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Всеукраїнський фінансовий чемпіонат 2025-26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F5026" i="1" l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577" i="1"/>
  <c r="F576" i="1"/>
  <c r="F575" i="1"/>
  <c r="F574" i="1"/>
  <c r="F573" i="1"/>
  <c r="F572" i="1"/>
  <c r="F571" i="1"/>
  <c r="F570" i="1"/>
  <c r="F569" i="1"/>
  <c r="F568" i="1"/>
  <c r="F567" i="1"/>
  <c r="F4992" i="1" l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<sst xmlns="http://schemas.openxmlformats.org/spreadsheetml/2006/main" count="25078" uniqueCount="10796">
  <si>
    <t>номер</t>
  </si>
  <si>
    <t>дата</t>
  </si>
  <si>
    <t>навчальний заклад</t>
  </si>
  <si>
    <t>ПІБ вчителя</t>
  </si>
  <si>
    <t>Посилання на сертифікат</t>
  </si>
  <si>
    <t>ВФЧ/Ш/У/0001</t>
  </si>
  <si>
    <t>16 грудня 2025 р.</t>
  </si>
  <si>
    <t>Ковалев Єгор Вячеславович</t>
  </si>
  <si>
    <t>Комунальний заклад "Вінницький ліцей №27"</t>
  </si>
  <si>
    <t>Никончук Наталя Дмитрівна</t>
  </si>
  <si>
    <t>ВФЧ/Ш/У/0002</t>
  </si>
  <si>
    <t>Демчук Яна Богданівна</t>
  </si>
  <si>
    <t>ВФЧ/Ш/У/0003</t>
  </si>
  <si>
    <t>Предоляк Костянтин Андрійович</t>
  </si>
  <si>
    <t>ВФЧ/Ш/У/0004</t>
  </si>
  <si>
    <t>Кацай Катерина Юріївна</t>
  </si>
  <si>
    <t>ВФЧ/Ш/У/0005</t>
  </si>
  <si>
    <t>Кошельник Діана Миколаївна</t>
  </si>
  <si>
    <t>ВФЧ/Ш/У/0006</t>
  </si>
  <si>
    <t>Лісовий Борис Борисович</t>
  </si>
  <si>
    <t>ВФЧ/Ш/У/0007</t>
  </si>
  <si>
    <t>Таранюк Дар'я Віталіївна</t>
  </si>
  <si>
    <t>ВФЧ/Ш/У/0008</t>
  </si>
  <si>
    <t>Білан Дарина Ігорівна</t>
  </si>
  <si>
    <t>Барський ліцей №1 Барської міської ради</t>
  </si>
  <si>
    <t>Паламарчук Любов Олександрівна</t>
  </si>
  <si>
    <t>ВФЧ/Ш/У/0009</t>
  </si>
  <si>
    <t>Гуменюк Юлія Андріївна</t>
  </si>
  <si>
    <t>ВФЧ/Ш/У/0010</t>
  </si>
  <si>
    <t>Дем´янов Віктор Русланович</t>
  </si>
  <si>
    <t>ВФЧ/Ш/У/0011</t>
  </si>
  <si>
    <t>Керніцький Ілля Вадимович</t>
  </si>
  <si>
    <t>ВФЧ/Ш/У/0012</t>
  </si>
  <si>
    <t>Крокотенко Артем Богданович</t>
  </si>
  <si>
    <t>ВФЧ/Ш/У/0013</t>
  </si>
  <si>
    <t>Критюк Дар’я Сергіївна</t>
  </si>
  <si>
    <t>ВФЧ/Ш/У/0014</t>
  </si>
  <si>
    <t>Лаврук Максим Павлович</t>
  </si>
  <si>
    <t>ВФЧ/Ш/У/0015</t>
  </si>
  <si>
    <t>Мар’яш Юлія Сергіївна</t>
  </si>
  <si>
    <t>ВФЧ/Ш/У/0016</t>
  </si>
  <si>
    <t>Панасюк Вероніка Сергіїна</t>
  </si>
  <si>
    <t>ВФЧ/Ш/У/0017</t>
  </si>
  <si>
    <t>Палевський Нікіта Михайлович</t>
  </si>
  <si>
    <t>ВФЧ/Ш/У/0018</t>
  </si>
  <si>
    <t>Подолян Анастасія Віталіївна</t>
  </si>
  <si>
    <t>ВФЧ/Ш/У/0019</t>
  </si>
  <si>
    <t>Правдюк Вікторія Сергіївна</t>
  </si>
  <si>
    <t>ВФЧ/Ш/У/0020</t>
  </si>
  <si>
    <t>Плех Юлія Сергіївна</t>
  </si>
  <si>
    <t>ВФЧ/Ш/У/0021</t>
  </si>
  <si>
    <t>Рочняк Злата Вікторівна</t>
  </si>
  <si>
    <t>ВФЧ/Ш/У/0022</t>
  </si>
  <si>
    <t>Раїнчук Максим Віталійович</t>
  </si>
  <si>
    <t>ВФЧ/Ш/У/0023</t>
  </si>
  <si>
    <t>Сіпалка Богдан Сергійович</t>
  </si>
  <si>
    <t>ВФЧ/Ш/У/0024</t>
  </si>
  <si>
    <t>Ставніча Діана Миколаївна</t>
  </si>
  <si>
    <t>ВФЧ/Ш/У/0025</t>
  </si>
  <si>
    <t>Солоненко Дарина Олексіївна</t>
  </si>
  <si>
    <t>ВФЧ/Ш/У/0026</t>
  </si>
  <si>
    <t>Шевченко Вероніка Ігорівна</t>
  </si>
  <si>
    <t>ВФЧ/Ш/У/0027</t>
  </si>
  <si>
    <t>Юзвенко Юлія Миколаївна</t>
  </si>
  <si>
    <t>ВФЧ/Ш/У/0028</t>
  </si>
  <si>
    <t>Сіденко Діана Романівна</t>
  </si>
  <si>
    <t>Барський ліцей №4 Барської міської ради</t>
  </si>
  <si>
    <t>Рудоман Тетяна Вікторівна</t>
  </si>
  <si>
    <t>ВФЧ/Ш/У/0029</t>
  </si>
  <si>
    <t>Сотнічук Сергій Ігорович</t>
  </si>
  <si>
    <t>ВФЧ/Ш/У/0030</t>
  </si>
  <si>
    <t>Лотоцька Діана Романівна</t>
  </si>
  <si>
    <t>ВФЧ/Ш/У/0031</t>
  </si>
  <si>
    <t>Линдюк Вікторія Олександрівна</t>
  </si>
  <si>
    <t>ВФЧ/Ш/У/0032</t>
  </si>
  <si>
    <t>Іванів Ілона Юріївна</t>
  </si>
  <si>
    <t>ВФЧ/Ш/У/0033</t>
  </si>
  <si>
    <t>Лучко Богдан Олександрович</t>
  </si>
  <si>
    <t>ВФЧ/Ш/У/0034</t>
  </si>
  <si>
    <t>Русанов Максим Дмитрович</t>
  </si>
  <si>
    <t>ВФЧ/Ш/У/0035</t>
  </si>
  <si>
    <t>Місінкевич Денис Олександрович</t>
  </si>
  <si>
    <t>ВФЧ/Ш/У/0036</t>
  </si>
  <si>
    <t>Котневич Володимир Олегович</t>
  </si>
  <si>
    <t>ВФЧ/Ш/У/0037</t>
  </si>
  <si>
    <t>Ломака МаріяМаксимівна</t>
  </si>
  <si>
    <t>ВФЧ/Ш/У/0038</t>
  </si>
  <si>
    <t>Шостаківський Кирил Олексійович</t>
  </si>
  <si>
    <t>ВФЧ/Ш/У/0039</t>
  </si>
  <si>
    <t>Глуговська Вікторія Максимівна</t>
  </si>
  <si>
    <t>ВФЧ/Ш/У/0040</t>
  </si>
  <si>
    <t>Зябкіна Ірина Олегівна</t>
  </si>
  <si>
    <t>ВФЧ/Ш/У/0041</t>
  </si>
  <si>
    <t>Сторчак Олександр Андрійович</t>
  </si>
  <si>
    <t>ВФЧ/Ш/У/0042</t>
  </si>
  <si>
    <t>Безносюк Марія Андріївна</t>
  </si>
  <si>
    <t>Комунальний заклад "Вінницький ліцей №7 ім. Олександра Сухомовського"</t>
  </si>
  <si>
    <t>Парфенюк Ірина Григорівна</t>
  </si>
  <si>
    <t>ВФЧ/Ш/У/0043</t>
  </si>
  <si>
    <t>Жмур Анастасія Андріївна</t>
  </si>
  <si>
    <t>ВФЧ/Ш/У/0044</t>
  </si>
  <si>
    <t>Сорокоумова Поліна Артеміївна</t>
  </si>
  <si>
    <t>ВФЧ/Ш/У/0045</t>
  </si>
  <si>
    <t>Терещенко Марія Андріївна</t>
  </si>
  <si>
    <t>ВФЧ/Ш/У/0046</t>
  </si>
  <si>
    <t>Сосницька Софія Сергіївна</t>
  </si>
  <si>
    <t>ВФЧ/Ш/У/0047</t>
  </si>
  <si>
    <t>Самохін Владислав Володимирович</t>
  </si>
  <si>
    <t>ВФЧ/Ш/У/0048</t>
  </si>
  <si>
    <t>Кудлаєнко Єгор Анатолійович</t>
  </si>
  <si>
    <t>ВФЧ/Ш/У/0049</t>
  </si>
  <si>
    <t>Костишин Антон Євгенійович</t>
  </si>
  <si>
    <t>ВФЧ/Ш/У/0050</t>
  </si>
  <si>
    <t>Ободянський Єгор Павлович</t>
  </si>
  <si>
    <t>ВФЧ/Ш/У/0051</t>
  </si>
  <si>
    <t>Масановська Єлизавета Ігорівна</t>
  </si>
  <si>
    <t>ВФЧ/Ш/У/0052</t>
  </si>
  <si>
    <t>Цецерошенко Марія Сергіївна</t>
  </si>
  <si>
    <t>ВФЧ/Ш/У/0053</t>
  </si>
  <si>
    <t>Богачук Анастасія Віталіївна</t>
  </si>
  <si>
    <t>ВФЧ/Ш/У/0054</t>
  </si>
  <si>
    <t>Лопатинська Емілія Олександрівна</t>
  </si>
  <si>
    <t>Ліцей №1 селища Крижопіль</t>
  </si>
  <si>
    <t>Купченко Надія Анатоліївна</t>
  </si>
  <si>
    <t>ВФЧ/Ш/У/0055</t>
  </si>
  <si>
    <t>Лопатинський Василь Олександрович</t>
  </si>
  <si>
    <t>ВФЧ/Ш/У/0056</t>
  </si>
  <si>
    <t>Кришталевич Іван Іванович</t>
  </si>
  <si>
    <t>ВФЧ/Ш/У/0057</t>
  </si>
  <si>
    <t>Скаженюк Антон Андрійович</t>
  </si>
  <si>
    <t>ВФЧ/Ш/У/0058</t>
  </si>
  <si>
    <t>Крайней Данило Віталійович</t>
  </si>
  <si>
    <t>ВФЧ/Ш/У/0059</t>
  </si>
  <si>
    <t>Онофрійчук Максим Віталійович</t>
  </si>
  <si>
    <t>ВФЧ/Ш/У/0060</t>
  </si>
  <si>
    <t>Гончар Максим Юрійович</t>
  </si>
  <si>
    <t>ВФЧ/Ш/У/0061</t>
  </si>
  <si>
    <t>Ляскало Оксана Романівна</t>
  </si>
  <si>
    <t>ВФЧ/Ш/У/0062</t>
  </si>
  <si>
    <t>Гуцол Софія Олександрівна</t>
  </si>
  <si>
    <t>ВФЧ/Ш/У/0063</t>
  </si>
  <si>
    <t>Фартосюк Єлизавета Андріївна</t>
  </si>
  <si>
    <t>ВФЧ/Ш/У/0064</t>
  </si>
  <si>
    <t>Мельник Олександра Денисівна</t>
  </si>
  <si>
    <t>ВФЧ/Ш/У/0065</t>
  </si>
  <si>
    <t>Федорчук Софія Сергіївна</t>
  </si>
  <si>
    <t>ВФЧ/Ш/У/0066</t>
  </si>
  <si>
    <t>Зибіна Марія Ігорівна</t>
  </si>
  <si>
    <t>ВФЧ/Ш/У/0067</t>
  </si>
  <si>
    <t>Кузьменко Ксенія Іванівна</t>
  </si>
  <si>
    <t>ВФЧ/Ш/У/0068</t>
  </si>
  <si>
    <t>Онищук Артем Русланович</t>
  </si>
  <si>
    <t>ВФЧ/Ш/У/0069</t>
  </si>
  <si>
    <t>Марценюк Софія Романівна</t>
  </si>
  <si>
    <t>ВФЧ/Ш/У/0070</t>
  </si>
  <si>
    <t>Ковінчук Дем'ян Юрійович</t>
  </si>
  <si>
    <t>ВФЧ/Ш/У/0071</t>
  </si>
  <si>
    <t>Мазур Анна Сергіївна</t>
  </si>
  <si>
    <t>ВФЧ/Ш/У/0072</t>
  </si>
  <si>
    <t>Шевчук Павло Вікторович</t>
  </si>
  <si>
    <t>ВФЧ/Ш/У/0073</t>
  </si>
  <si>
    <t>Плюта Іван Юрійович</t>
  </si>
  <si>
    <t>ВФЧ/Ш/У/0074</t>
  </si>
  <si>
    <t>Бортняк Владислав Олегович</t>
  </si>
  <si>
    <t>ВФЧ/Ш/У/0075</t>
  </si>
  <si>
    <t>Герасименко Іванна Дмитрівна</t>
  </si>
  <si>
    <t>Комунальний заклад "Ліцей №3 Козятинської міської ради Вінницької області"</t>
  </si>
  <si>
    <t>Сушко Володимир Вікторович</t>
  </si>
  <si>
    <t>ВФЧ/Ш/У/0076</t>
  </si>
  <si>
    <t>Обущак Ольга Олегівна</t>
  </si>
  <si>
    <t>ВФЧ/Ш/У/0077</t>
  </si>
  <si>
    <t>Довга Дарина Ігорівна</t>
  </si>
  <si>
    <t>ВФЧ/Ш/У/0078</t>
  </si>
  <si>
    <t>Тарасюк Євген Володимирович</t>
  </si>
  <si>
    <t>ВФЧ/Ш/У/0079</t>
  </si>
  <si>
    <t>Яніцька Юлія Анатоліївна</t>
  </si>
  <si>
    <t>ВФЧ/Ш/У/0080</t>
  </si>
  <si>
    <t>Лищук Дмитро Олександрович</t>
  </si>
  <si>
    <t>ВФЧ/Ш/У/0081</t>
  </si>
  <si>
    <t>Рудик Оксана Віталіївна</t>
  </si>
  <si>
    <t>ВФЧ/Ш/У/0082</t>
  </si>
  <si>
    <t>Волинець Максим Олегович</t>
  </si>
  <si>
    <t>ВФЧ/Ш/У/0083</t>
  </si>
  <si>
    <t>Чехівська Маргарита Станіславівна</t>
  </si>
  <si>
    <t>ВФЧ/Ш/У/0084</t>
  </si>
  <si>
    <t>Костюк Єлизавета Володимирівна</t>
  </si>
  <si>
    <t>ВФЧ/Ш/У/0085</t>
  </si>
  <si>
    <t>Загорна Рахіль Михайлівна</t>
  </si>
  <si>
    <t>ВФЧ/Ш/У/0086</t>
  </si>
  <si>
    <t>Павчук Яна Ярославівна</t>
  </si>
  <si>
    <t>ВФЧ/Ш/У/0087</t>
  </si>
  <si>
    <t>Борматова Аліна Андріївна</t>
  </si>
  <si>
    <t>ВФЧ/Ш/У/0088</t>
  </si>
  <si>
    <t>Хрищенюк Кірілл Юрійович</t>
  </si>
  <si>
    <t>ВФЧ/Ш/У/0089</t>
  </si>
  <si>
    <t>Крижанівський Олександр Олександрович</t>
  </si>
  <si>
    <t>ВФЧ/Ш/У/0090</t>
  </si>
  <si>
    <t>Колісник Марк В"ячеславович</t>
  </si>
  <si>
    <t>Ліцей №4 Ладижинської міської ради Вінницької області</t>
  </si>
  <si>
    <t>Трусь Світлана Олексіївна</t>
  </si>
  <si>
    <t>ВФЧ/Ш/У/0091</t>
  </si>
  <si>
    <t>Протасова Маргарита Вікторівна</t>
  </si>
  <si>
    <t>ВФЧ/Ш/У/0092</t>
  </si>
  <si>
    <t>Шека Поліна Євгенівна</t>
  </si>
  <si>
    <t>ВФЧ/Ш/У/0093</t>
  </si>
  <si>
    <t>Шевчук Даніїл Мирославович</t>
  </si>
  <si>
    <t>ВФЧ/Ш/У/0094</t>
  </si>
  <si>
    <t>Козак Софія Сергіївна</t>
  </si>
  <si>
    <t>ВФЧ/Ш/У/0095</t>
  </si>
  <si>
    <t>Федота Анна Сергіївна</t>
  </si>
  <si>
    <t>ВФЧ/Ш/У/0096</t>
  </si>
  <si>
    <t>Стріюк Владислава Ігорівна</t>
  </si>
  <si>
    <t>ВФЧ/Ш/У/0097</t>
  </si>
  <si>
    <t>Тімчук Єлизавета Федорівна</t>
  </si>
  <si>
    <t>ВФЧ/Ш/У/0098</t>
  </si>
  <si>
    <t>Григоренко Марина Андріївна</t>
  </si>
  <si>
    <t>ВФЧ/Ш/У/0099</t>
  </si>
  <si>
    <t>Боклаженко Яна Віталіївна</t>
  </si>
  <si>
    <t>Вінницький ліцей №20</t>
  </si>
  <si>
    <t>Шаповал Ярослав Юрійович</t>
  </si>
  <si>
    <t>ВФЧ/Ш/У/0100</t>
  </si>
  <si>
    <t>Бровченко Владислав Сергійович</t>
  </si>
  <si>
    <t>Вінницький ліцей №21</t>
  </si>
  <si>
    <t>ВФЧ/Ш/У/0101</t>
  </si>
  <si>
    <t>Вересова Каріна Андріївна</t>
  </si>
  <si>
    <t>Вінницький ліцей №22</t>
  </si>
  <si>
    <t>ВФЧ/Ш/У/0102</t>
  </si>
  <si>
    <t>Вознюк Вікторія Олександрівна</t>
  </si>
  <si>
    <t>Вінницький ліцей №23</t>
  </si>
  <si>
    <t>ВФЧ/Ш/У/0103</t>
  </si>
  <si>
    <t>Вольська Анастасія Іванівна</t>
  </si>
  <si>
    <t>Вінницький ліцей №24</t>
  </si>
  <si>
    <t>ВФЧ/Ш/У/0104</t>
  </si>
  <si>
    <t>Гудименко Дмитро Олександрович</t>
  </si>
  <si>
    <t>Вінницький ліцей №25</t>
  </si>
  <si>
    <t>ВФЧ/Ш/У/0105</t>
  </si>
  <si>
    <t>Журибіда Вікторія Андріївна</t>
  </si>
  <si>
    <t>Вінницький ліцей №26</t>
  </si>
  <si>
    <t>ВФЧ/Ш/У/0106</t>
  </si>
  <si>
    <t>Кіт Максим Сергійович</t>
  </si>
  <si>
    <t>Вінницький ліцей №27</t>
  </si>
  <si>
    <t>ВФЧ/Ш/У/0107</t>
  </si>
  <si>
    <t>Мазур Василь Олександрович</t>
  </si>
  <si>
    <t>Вінницький ліцей №28</t>
  </si>
  <si>
    <t>ВФЧ/Ш/У/0108</t>
  </si>
  <si>
    <t>Мельничук Станіслав Васильович</t>
  </si>
  <si>
    <t>Вінницький ліцей №29</t>
  </si>
  <si>
    <t>ВФЧ/Ш/У/0109</t>
  </si>
  <si>
    <t>Мороз Діана Дмитрівна</t>
  </si>
  <si>
    <t>Вінницький ліцей №30</t>
  </si>
  <si>
    <t>ВФЧ/Ш/У/0110</t>
  </si>
  <si>
    <t>Нагнибіда Олександра Русланівна</t>
  </si>
  <si>
    <t>Вінницький ліцей №31</t>
  </si>
  <si>
    <t>ВФЧ/Ш/У/0111</t>
  </si>
  <si>
    <t>Назаренко Аліна Олексіївна</t>
  </si>
  <si>
    <t>Вінницький ліцей №32</t>
  </si>
  <si>
    <t>ВФЧ/Ш/У/0112</t>
  </si>
  <si>
    <t>Островський Владислав Олександрович</t>
  </si>
  <si>
    <t>Вінницький ліцей №33</t>
  </si>
  <si>
    <t>ВФЧ/Ш/У/0113</t>
  </si>
  <si>
    <t>Петренко Тимофій Романович</t>
  </si>
  <si>
    <t>Вінницький ліцей №34</t>
  </si>
  <si>
    <t>ВФЧ/Ш/У/0114</t>
  </si>
  <si>
    <t>Підвисоцький Денис Дмитрович</t>
  </si>
  <si>
    <t>Вінницький ліцей №35</t>
  </si>
  <si>
    <t>ВФЧ/Ш/У/0115</t>
  </si>
  <si>
    <t>Сітніцька Юлія Олександрівна</t>
  </si>
  <si>
    <t>Вінницький ліцей №36</t>
  </si>
  <si>
    <t>ВФЧ/Ш/У/0116</t>
  </si>
  <si>
    <t>Степ'юк Тимофій Володимирович</t>
  </si>
  <si>
    <t>Вінницький ліцей №37</t>
  </si>
  <si>
    <t>ВФЧ/Ш/У/0117</t>
  </si>
  <si>
    <t>Сторчак Богдан Юрійович</t>
  </si>
  <si>
    <t>Вінницький ліцей №38</t>
  </si>
  <si>
    <t>ВФЧ/Ш/У/0118</t>
  </si>
  <si>
    <t>Сторчак Олександр Юрійович</t>
  </si>
  <si>
    <t>Вінницький ліцей №39</t>
  </si>
  <si>
    <t>ВФЧ/Ш/У/0119</t>
  </si>
  <si>
    <t>Цопа Дмитро Вячеславович</t>
  </si>
  <si>
    <t>Вінницький ліцей №40</t>
  </si>
  <si>
    <t>ВФЧ/Ш/У/0120</t>
  </si>
  <si>
    <t>Шаповалюк Вікторія Вікторівна</t>
  </si>
  <si>
    <t>Вінницький ліцей №41</t>
  </si>
  <si>
    <t>ВФЧ/Ш/У/0121</t>
  </si>
  <si>
    <t>Юровська Єлизавета Олександрівна</t>
  </si>
  <si>
    <t>Вінницький ліцей №42</t>
  </si>
  <si>
    <t>ВФЧ/Ш/У/0122</t>
  </si>
  <si>
    <t>Братанюк Єва Євгеніївна</t>
  </si>
  <si>
    <t>Ліцей № 1 Калинівської міської ради Вінницької області</t>
  </si>
  <si>
    <t>Домрачева Надія Юріївна</t>
  </si>
  <si>
    <t>ВФЧ/Ш/У/0123</t>
  </si>
  <si>
    <t>Бухаідзе Софіко Автанділівна</t>
  </si>
  <si>
    <t>ВФЧ/Ш/У/0124</t>
  </si>
  <si>
    <t>Артеменко Ангеліна Олександрівна</t>
  </si>
  <si>
    <t>ВФЧ/Ш/У/0125</t>
  </si>
  <si>
    <t>Мороз Ангеліна Андріївна</t>
  </si>
  <si>
    <t>ВФЧ/Ш/У/0126</t>
  </si>
  <si>
    <t>Петрушинська Ангеліна Василівна</t>
  </si>
  <si>
    <t>ВФЧ/Ш/У/0127</t>
  </si>
  <si>
    <t>Калінчук Владислав Богданович</t>
  </si>
  <si>
    <t>ВФЧ/Ш/У/0128</t>
  </si>
  <si>
    <t>Семенюк Олена Сергіївна</t>
  </si>
  <si>
    <t>ВФЧ/Ш/У/0129</t>
  </si>
  <si>
    <t>Перепічка Крістіна Миколаївна</t>
  </si>
  <si>
    <t>ВФЧ/Ш/У/0130</t>
  </si>
  <si>
    <t>Дяченко Андрій</t>
  </si>
  <si>
    <t>ВФЧ/Ш/У/0131</t>
  </si>
  <si>
    <t>Волков Євгеній</t>
  </si>
  <si>
    <t>ВФЧ/Ш/У/0132</t>
  </si>
  <si>
    <t>Драмарецький Владислав</t>
  </si>
  <si>
    <t>ВФЧ/Ш/У/0133</t>
  </si>
  <si>
    <t>Скрипник Даніїл</t>
  </si>
  <si>
    <t>ВФЧ/Ш/У/0134</t>
  </si>
  <si>
    <t>Майданюк Вікторія Валентинівна</t>
  </si>
  <si>
    <t>КЗ "Вінницький ліцей №4"</t>
  </si>
  <si>
    <t>Басько Тетяна Петрівна</t>
  </si>
  <si>
    <t>ВФЧ/Ш/У/0135</t>
  </si>
  <si>
    <t>Коровецька Олена Вадимівна</t>
  </si>
  <si>
    <t>ВФЧ/Ш/У/0136</t>
  </si>
  <si>
    <t>Гюмюшлю Олександр Дмитрийович</t>
  </si>
  <si>
    <t>ВФЧ/Ш/У/0137</t>
  </si>
  <si>
    <t>Гончаренко Анна Анатоліївна</t>
  </si>
  <si>
    <t>ВФЧ/Ш/У/0138</t>
  </si>
  <si>
    <t>Марчук Олександр Володимирович</t>
  </si>
  <si>
    <t>ВФЧ/Ш/У/0139</t>
  </si>
  <si>
    <t>Солодка-Мельник Єлизавета Константинівна</t>
  </si>
  <si>
    <t>ВФЧ/Ш/У/0140</t>
  </si>
  <si>
    <t>Милий Олексій Сергійович</t>
  </si>
  <si>
    <t>ВФЧ/Ш/У/0141</t>
  </si>
  <si>
    <t>Мазур Марія Дмитрівна</t>
  </si>
  <si>
    <t>ВФЧ/Ш/У/0142</t>
  </si>
  <si>
    <t>Гуменчук Олександр Антонович</t>
  </si>
  <si>
    <t>ВФЧ/Ш/У/0143</t>
  </si>
  <si>
    <t>Дончевська Дарина Сергіївна</t>
  </si>
  <si>
    <t>ВФЧ/Ш/У/0144</t>
  </si>
  <si>
    <t>Пономарчук Віктор Павлович</t>
  </si>
  <si>
    <t>ВФЧ/Ш/У/0145</t>
  </si>
  <si>
    <t>Газарова Марта Артурівна</t>
  </si>
  <si>
    <t>ВФЧ/Ш/У/0146</t>
  </si>
  <si>
    <t>Добровольський Ілля Денисович</t>
  </si>
  <si>
    <t>ВФЧ/Ш/У/0147</t>
  </si>
  <si>
    <t>Стасіо Алессандро</t>
  </si>
  <si>
    <t>Комунальний заклад "Вінницький ліцей №12"</t>
  </si>
  <si>
    <t>Цегольник Ілона Василівна</t>
  </si>
  <si>
    <t>ВФЧ/Ш/У/0148</t>
  </si>
  <si>
    <t>Черната Богдана</t>
  </si>
  <si>
    <t>ВФЧ/Ш/У/0149</t>
  </si>
  <si>
    <t>Вакалюк Кіра</t>
  </si>
  <si>
    <t>ВФЧ/Ш/У/0150</t>
  </si>
  <si>
    <t>Зайцева Каріна</t>
  </si>
  <si>
    <t>ВФЧ/Ш/У/0151</t>
  </si>
  <si>
    <t>Рудик Анжела</t>
  </si>
  <si>
    <t>ВФЧ/Ш/У/0152</t>
  </si>
  <si>
    <t>Касіяненко Ірина</t>
  </si>
  <si>
    <t>ВФЧ/Ш/У/0153</t>
  </si>
  <si>
    <t>Пилипенко Володимир</t>
  </si>
  <si>
    <t>ВФЧ/Ш/У/0154</t>
  </si>
  <si>
    <t>Сафарова Айсель</t>
  </si>
  <si>
    <t>ВФЧ/Ш/У/0155</t>
  </si>
  <si>
    <t>Березовська Софія</t>
  </si>
  <si>
    <t>ВФЧ/Ш/У/0156</t>
  </si>
  <si>
    <t>Гудзішевський Владислав</t>
  </si>
  <si>
    <t>ВФЧ/Ш/У/0157</t>
  </si>
  <si>
    <t>Кулик Вероніка</t>
  </si>
  <si>
    <t>ВФЧ/Ш/У/0158</t>
  </si>
  <si>
    <t>Герчіу Євгеній</t>
  </si>
  <si>
    <t>ВФЧ/Ш/У/0159</t>
  </si>
  <si>
    <t>Романко Ксенія</t>
  </si>
  <si>
    <t>ВФЧ/Ш/У/0160</t>
  </si>
  <si>
    <t>Сидорук Глєб</t>
  </si>
  <si>
    <t>ВФЧ/Ш/У/0161</t>
  </si>
  <si>
    <t>Мацяка Микита</t>
  </si>
  <si>
    <t>ВФЧ/Ш/У/0162</t>
  </si>
  <si>
    <t>Лелюк Анастасія</t>
  </si>
  <si>
    <t>ВФЧ/Ш/У/0163</t>
  </si>
  <si>
    <t>Бублик Вероніка</t>
  </si>
  <si>
    <t>ВФЧ/Ш/У/0164</t>
  </si>
  <si>
    <t>Осока Уляна</t>
  </si>
  <si>
    <t>ВФЧ/Ш/У/0165</t>
  </si>
  <si>
    <t>Грицик Наталія</t>
  </si>
  <si>
    <t>ВФЧ/Ш/У/0166</t>
  </si>
  <si>
    <t>Кушко Дар'я</t>
  </si>
  <si>
    <t>ВФЧ/Ш/У/0167</t>
  </si>
  <si>
    <t>Бевз Олена</t>
  </si>
  <si>
    <t>ВФЧ/Ш/У/0168</t>
  </si>
  <si>
    <t>Бартко Катерина</t>
  </si>
  <si>
    <t>ВФЧ/Ш/У/0169</t>
  </si>
  <si>
    <t>Колісник Валерія</t>
  </si>
  <si>
    <t>ВФЧ/Ш/У/0170</t>
  </si>
  <si>
    <t>Марчук Ростислав</t>
  </si>
  <si>
    <t>ВФЧ/Ш/У/0171</t>
  </si>
  <si>
    <t>Панасюк Влад</t>
  </si>
  <si>
    <t>ВФЧ/Ш/У/0172</t>
  </si>
  <si>
    <t>Темчишена Катерина</t>
  </si>
  <si>
    <t>ВФЧ/Ш/У/0173</t>
  </si>
  <si>
    <t>Гнатюк Ольга</t>
  </si>
  <si>
    <t>ВФЧ/Ш/У/0174</t>
  </si>
  <si>
    <t>Ковальський Артем</t>
  </si>
  <si>
    <t>ВФЧ/Ш/У/0175</t>
  </si>
  <si>
    <t>Повар Єгор</t>
  </si>
  <si>
    <t>ВФЧ/Ш/У/0176</t>
  </si>
  <si>
    <t>Соловей Ліза</t>
  </si>
  <si>
    <t>ВФЧ/Ш/У/0177</t>
  </si>
  <si>
    <t>Коваль Анастасія</t>
  </si>
  <si>
    <t>ВФЧ/Ш/У/0178</t>
  </si>
  <si>
    <t>Горбоносова Ксенія</t>
  </si>
  <si>
    <t>ВФЧ/Ш/У/0179</t>
  </si>
  <si>
    <t>Кравець Юрій</t>
  </si>
  <si>
    <t>ВФЧ/Ш/У/0180</t>
  </si>
  <si>
    <t>Белінська Ксенія</t>
  </si>
  <si>
    <t>ВФЧ/Ш/У/0181</t>
  </si>
  <si>
    <t>Шпирко Ярослав</t>
  </si>
  <si>
    <t>ВФЧ/Ш/У/0182</t>
  </si>
  <si>
    <t>Пилявська Марина</t>
  </si>
  <si>
    <t>ВФЧ/Ш/У/0183</t>
  </si>
  <si>
    <t>Тарановський Данило</t>
  </si>
  <si>
    <t>ВФЧ/Ш/У/0184</t>
  </si>
  <si>
    <t>Побережець Ярослав</t>
  </si>
  <si>
    <t>ВФЧ/Ш/У/0185</t>
  </si>
  <si>
    <t>Шкварук Максим</t>
  </si>
  <si>
    <t>ВФЧ/Ш/У/0186</t>
  </si>
  <si>
    <t>Домбровський Олександр</t>
  </si>
  <si>
    <t>ВФЧ/Ш/У/0187</t>
  </si>
  <si>
    <t>Єсаулова Маргаріта</t>
  </si>
  <si>
    <t>ВФЧ/Ш/У/0188</t>
  </si>
  <si>
    <t>Бойко Анастасія</t>
  </si>
  <si>
    <t>ВФЧ/Ш/У/0189</t>
  </si>
  <si>
    <t>Барбаш Іванна</t>
  </si>
  <si>
    <t>ВФЧ/Ш/У/0190</t>
  </si>
  <si>
    <t>Кравець Олена</t>
  </si>
  <si>
    <t>ВФЧ/Ш/У/0191</t>
  </si>
  <si>
    <t>Корнійчук Андрій</t>
  </si>
  <si>
    <t>ВФЧ/Ш/У/0192</t>
  </si>
  <si>
    <t>Кирнична Аліна</t>
  </si>
  <si>
    <t>ВФЧ/Ш/У/0193</t>
  </si>
  <si>
    <t>Шалавінський Артем</t>
  </si>
  <si>
    <t>ВФЧ/Ш/У/0194</t>
  </si>
  <si>
    <t>Машкіна Варвара</t>
  </si>
  <si>
    <t>ВФЧ/Ш/У/0195</t>
  </si>
  <si>
    <t>Тарасов Дмитро</t>
  </si>
  <si>
    <t>ВФЧ/Ш/У/0196</t>
  </si>
  <si>
    <t>Тодощак Софія</t>
  </si>
  <si>
    <t>ВФЧ/Ш/У/0197</t>
  </si>
  <si>
    <t>Муляр Платон</t>
  </si>
  <si>
    <t>Комунальний заклад "Вінницький технічний ліцей"</t>
  </si>
  <si>
    <t>Олесенко Інна Сергіївна</t>
  </si>
  <si>
    <t>ВФЧ/Ш/У/0198</t>
  </si>
  <si>
    <t>Драченко Софія</t>
  </si>
  <si>
    <t>ВФЧ/Ш/У/0199</t>
  </si>
  <si>
    <t>Олійник Назар</t>
  </si>
  <si>
    <t>ВФЧ/Ш/У/0200</t>
  </si>
  <si>
    <t>Потьомко Вероніка</t>
  </si>
  <si>
    <t>ВФЧ/Ш/У/0201</t>
  </si>
  <si>
    <t>Химич Єлизавета</t>
  </si>
  <si>
    <t>ВФЧ/Ш/У/0202</t>
  </si>
  <si>
    <t>Міхтюк Микола</t>
  </si>
  <si>
    <t>ВФЧ/Ш/У/0203</t>
  </si>
  <si>
    <t>Бурма Єлизавета</t>
  </si>
  <si>
    <t>ВФЧ/Ш/У/0204</t>
  </si>
  <si>
    <t>Перожик Анна</t>
  </si>
  <si>
    <t>ВФЧ/Ш/У/0205</t>
  </si>
  <si>
    <t>Харченко Владислав</t>
  </si>
  <si>
    <t>ВФЧ/Ш/У/0206</t>
  </si>
  <si>
    <t>Мартинюк Олександра</t>
  </si>
  <si>
    <t>ВФЧ/Ш/У/0207</t>
  </si>
  <si>
    <t>Василевська Аріна</t>
  </si>
  <si>
    <t>ВФЧ/Ш/У/0208</t>
  </si>
  <si>
    <t>Василюк Ярослав</t>
  </si>
  <si>
    <t>ВФЧ/Ш/У/0209</t>
  </si>
  <si>
    <t>Шевченко Дмитро</t>
  </si>
  <si>
    <t>ВФЧ/Ш/У/0210</t>
  </si>
  <si>
    <t>Біляєва Єлизавета</t>
  </si>
  <si>
    <t>ВФЧ/Ш/У/0211</t>
  </si>
  <si>
    <t>Ковтун Роман</t>
  </si>
  <si>
    <t>ВФЧ/Ш/У/0212</t>
  </si>
  <si>
    <t>Кучевська Вероніка</t>
  </si>
  <si>
    <t>ВФЧ/Ш/У/0213</t>
  </si>
  <si>
    <t>Грінчук Софія</t>
  </si>
  <si>
    <t>ВФЧ/Ш/У/0214</t>
  </si>
  <si>
    <t>Голубчик Марія</t>
  </si>
  <si>
    <t>ВФЧ/Ш/У/0215</t>
  </si>
  <si>
    <t>Сиваченко Тимур</t>
  </si>
  <si>
    <t>ВФЧ/Ш/У/0216</t>
  </si>
  <si>
    <t>Горбатюк Дар'я Володимирівна</t>
  </si>
  <si>
    <t>Люблинецький ліцей Волинсьткої обласної ради</t>
  </si>
  <si>
    <t>Бороненко Валентина Сергіївна</t>
  </si>
  <si>
    <t>ВФЧ/Ш/У/0217</t>
  </si>
  <si>
    <t>Вінницька Валерія Володимирівна</t>
  </si>
  <si>
    <t>ВФЧ/Ш/У/0218</t>
  </si>
  <si>
    <t>Дацко Марина Василівна</t>
  </si>
  <si>
    <t>ВФЧ/Ш/У/0219</t>
  </si>
  <si>
    <t>Салівончик Ярослав Миколайович</t>
  </si>
  <si>
    <t>ВФЧ/Ш/У/0220</t>
  </si>
  <si>
    <t>Кухтей Христина Тимурівна</t>
  </si>
  <si>
    <t>ВФЧ/Ш/У/0221</t>
  </si>
  <si>
    <t>Лозовицький Іван Васильович</t>
  </si>
  <si>
    <t>ВФЧ/Ш/У/0222</t>
  </si>
  <si>
    <t>Лук'янов Арсен Олександрович</t>
  </si>
  <si>
    <t>Комунальний заклад загальної середньої освіти "Луцький ліцей № 21 імені Михайла Кравчука Луцької міської ради"</t>
  </si>
  <si>
    <t>Мартинюк Оксана Володимирівна</t>
  </si>
  <si>
    <t>ВФЧ/Ш/У/0223</t>
  </si>
  <si>
    <t>Новицька Вікторія Максимівна</t>
  </si>
  <si>
    <t>ВФЧ/Ш/У/0224</t>
  </si>
  <si>
    <t>Бекас Андрій Васильович</t>
  </si>
  <si>
    <t>ВФЧ/Ш/У/0225</t>
  </si>
  <si>
    <t>Мазурок Роман Олександрович</t>
  </si>
  <si>
    <t>ВФЧ/Ш/У/0226</t>
  </si>
  <si>
    <t>Кудіна Марія Сергіївна</t>
  </si>
  <si>
    <t>ВФЧ/Ш/У/0227</t>
  </si>
  <si>
    <t>Гнатюк Софія Олегівна</t>
  </si>
  <si>
    <t>ВФЧ/Ш/У/0228</t>
  </si>
  <si>
    <t>Потоцький Тимофій Сергійович</t>
  </si>
  <si>
    <t>ВФЧ/Ш/У/0229</t>
  </si>
  <si>
    <t>Левчук Тарас Володимирович</t>
  </si>
  <si>
    <t>ВФЧ/Ш/У/0230</t>
  </si>
  <si>
    <t>Слива Олександр Андрійович</t>
  </si>
  <si>
    <t>ВФЧ/Ш/У/0231</t>
  </si>
  <si>
    <t>Черняк Анна Валентинівна</t>
  </si>
  <si>
    <t>ВФЧ/Ш/У/0232</t>
  </si>
  <si>
    <t>Симчук Остап Олегович</t>
  </si>
  <si>
    <t>ВФЧ/Ш/У/0233</t>
  </si>
  <si>
    <t>Вовдюк Ангеліна Олегівна</t>
  </si>
  <si>
    <t>ВФЧ/Ш/У/0234</t>
  </si>
  <si>
    <t>Сорока Вероніка Юріївна</t>
  </si>
  <si>
    <t>ВФЧ/Ш/У/0235</t>
  </si>
  <si>
    <t>Бохонко Анастасія Олександрівна</t>
  </si>
  <si>
    <t>ВФЧ/Ш/У/0236</t>
  </si>
  <si>
    <t>Поліщук Ангеліна Ігорівна</t>
  </si>
  <si>
    <t>ВФЧ/Ш/У/0237</t>
  </si>
  <si>
    <t>Пукалюк Артем Олександрович</t>
  </si>
  <si>
    <t>ВФЧ/Ш/У/0238</t>
  </si>
  <si>
    <t>Марчук Валерія Олександрівна</t>
  </si>
  <si>
    <t>ВФЧ/Ш/У/0239</t>
  </si>
  <si>
    <t>Кльоц Анна Юріївна</t>
  </si>
  <si>
    <t>ВФЧ/Ш/У/0240</t>
  </si>
  <si>
    <t>Шигідін Марія Ігорівна</t>
  </si>
  <si>
    <t>ВФЧ/Ш/У/0241</t>
  </si>
  <si>
    <t>Козій Дарина Василівна</t>
  </si>
  <si>
    <t>Горохівський ліцей №2 Горохівського МР</t>
  </si>
  <si>
    <t>Волощук Валентина Федорівна</t>
  </si>
  <si>
    <t>ВФЧ/Ш/У/0242</t>
  </si>
  <si>
    <t>Міндюк Лілія Віталіївна</t>
  </si>
  <si>
    <t>ВФЧ/Ш/У/0243</t>
  </si>
  <si>
    <t>Палій Валентина Віталійович</t>
  </si>
  <si>
    <t>ВФЧ/Ш/У/0244</t>
  </si>
  <si>
    <t>Притула Станіслав Тарасович</t>
  </si>
  <si>
    <t>ВФЧ/Ш/У/0245</t>
  </si>
  <si>
    <t>Садовець Уляна В'ячеславівна</t>
  </si>
  <si>
    <t>ВФЧ/Ш/У/0246</t>
  </si>
  <si>
    <t>Бабчук Софія Ярославівна</t>
  </si>
  <si>
    <t>ВФЧ/Ш/У/0247</t>
  </si>
  <si>
    <t>Бондар Ярослав Ігорович</t>
  </si>
  <si>
    <t>ВФЧ/Ш/У/0248</t>
  </si>
  <si>
    <t>Зелюк Катерина Володимирівна</t>
  </si>
  <si>
    <t>ВФЧ/Ш/У/0249</t>
  </si>
  <si>
    <t>Іванюк Христина Вікторівна</t>
  </si>
  <si>
    <t>ВФЧ/Ш/У/0250</t>
  </si>
  <si>
    <t>Коритко Ірина Валентинівна</t>
  </si>
  <si>
    <t>ВФЧ/Ш/У/0251</t>
  </si>
  <si>
    <t>Сак Максим Віталійович</t>
  </si>
  <si>
    <t>ВФЧ/Ш/У/0252</t>
  </si>
  <si>
    <t>Стадницький Тимофій Сергійович</t>
  </si>
  <si>
    <t>ВФЧ/Ш/У/0253</t>
  </si>
  <si>
    <t>Стельмащук Віра Олександрівна</t>
  </si>
  <si>
    <t>ВФЧ/Ш/У/0254</t>
  </si>
  <si>
    <t>Яковініч Іван Віталійович</t>
  </si>
  <si>
    <t>Мельниківський ліцей Шацької селищної ради Ковельського району Волинської області</t>
  </si>
  <si>
    <t>Постернак Маріанна Василівна</t>
  </si>
  <si>
    <t>ВФЧ/Ш/У/0255</t>
  </si>
  <si>
    <t>Дударчук Іван Юрійович</t>
  </si>
  <si>
    <t>ВФЧ/Ш/У/0256</t>
  </si>
  <si>
    <t>Пастернак Богдан миколайович</t>
  </si>
  <si>
    <t>ВФЧ/Ш/У/0257</t>
  </si>
  <si>
    <t>Кропивник Олександр Вікторович</t>
  </si>
  <si>
    <t>ВФЧ/Ш/У/0258</t>
  </si>
  <si>
    <t>Гловацький Іван Віталійович</t>
  </si>
  <si>
    <t>ВФЧ/Ш/У/0259</t>
  </si>
  <si>
    <t>Бойко Дарія Олександрівна</t>
  </si>
  <si>
    <t>КЗЗСО "Луцький ліцей №18 Луцької міської ради"</t>
  </si>
  <si>
    <t>Кирилюк Марія Віталіївна</t>
  </si>
  <si>
    <t>ВФЧ/Ш/У/0260</t>
  </si>
  <si>
    <t>Проскуріна Анастасія Олександрівна</t>
  </si>
  <si>
    <t>ВФЧ/Ш/У/0261</t>
  </si>
  <si>
    <t>Манелюк Мілена Мирославівна</t>
  </si>
  <si>
    <t>ВФЧ/Ш/У/0262</t>
  </si>
  <si>
    <t>Александрук Ярослава</t>
  </si>
  <si>
    <t>Ліцей імені Олени Пчілки м.Ковеля</t>
  </si>
  <si>
    <t>Коваль Людмила Петрівна</t>
  </si>
  <si>
    <t>ВФЧ/Ш/У/0263</t>
  </si>
  <si>
    <t>Васейко Вероніка</t>
  </si>
  <si>
    <t>ВФЧ/Ш/У/0264</t>
  </si>
  <si>
    <t>Герез Анна</t>
  </si>
  <si>
    <t>ВФЧ/Ш/У/0265</t>
  </si>
  <si>
    <t>Горбач Анастасія</t>
  </si>
  <si>
    <t>ВФЧ/Ш/У/0266</t>
  </si>
  <si>
    <t>Гурська Анастасія</t>
  </si>
  <si>
    <t>ВФЧ/Ш/У/0267</t>
  </si>
  <si>
    <t>Матвійчук Марта</t>
  </si>
  <si>
    <t>ВФЧ/Ш/У/0268</t>
  </si>
  <si>
    <t>Мельник Валерія</t>
  </si>
  <si>
    <t>ВФЧ/Ш/У/0269</t>
  </si>
  <si>
    <t>Павлючик Аліна</t>
  </si>
  <si>
    <t>ВФЧ/Ш/У/0270</t>
  </si>
  <si>
    <t>Паровенко Анна</t>
  </si>
  <si>
    <t>ВФЧ/Ш/У/0271</t>
  </si>
  <si>
    <t>Савлук Назарій</t>
  </si>
  <si>
    <t>ВФЧ/Ш/У/0272</t>
  </si>
  <si>
    <t>Ткачук Марта</t>
  </si>
  <si>
    <t>ВФЧ/Ш/У/0273</t>
  </si>
  <si>
    <t>Чайка Соломія</t>
  </si>
  <si>
    <t>ВФЧ/Ш/У/0274</t>
  </si>
  <si>
    <t>Юрків Тетяна</t>
  </si>
  <si>
    <t>ВФЧ/Ш/У/0275</t>
  </si>
  <si>
    <t>Жомирук Марія</t>
  </si>
  <si>
    <t>Комунальний заклад загальної середньої освіти «Луцький ліцей № 22 Луцької міської ради»</t>
  </si>
  <si>
    <t>Лаговський Віталій Степанович</t>
  </si>
  <si>
    <t>ВФЧ/Ш/У/0276</t>
  </si>
  <si>
    <t>Грек Ангеліна</t>
  </si>
  <si>
    <t>ВФЧ/Ш/У/0277</t>
  </si>
  <si>
    <t>Мисько Любомир</t>
  </si>
  <si>
    <t>ВФЧ/Ш/У/0278</t>
  </si>
  <si>
    <t>Валюк Богдан</t>
  </si>
  <si>
    <t>ВФЧ/Ш/У/0279</t>
  </si>
  <si>
    <t>Хінцінський Владислав</t>
  </si>
  <si>
    <t>ВФЧ/Ш/У/0280</t>
  </si>
  <si>
    <t>Гриневич Анастасія</t>
  </si>
  <si>
    <t>ВФЧ/Ш/У/0281</t>
  </si>
  <si>
    <t>Хімич Софія</t>
  </si>
  <si>
    <t>ВФЧ/Ш/У/0282</t>
  </si>
  <si>
    <t>Карпюк Артем</t>
  </si>
  <si>
    <t>ВФЧ/Ш/У/0283</t>
  </si>
  <si>
    <t>Грубець Адріана</t>
  </si>
  <si>
    <t>ВФЧ/Ш/У/0284</t>
  </si>
  <si>
    <t>Лелікова Юлія</t>
  </si>
  <si>
    <t>ВФЧ/Ш/У/0285</t>
  </si>
  <si>
    <t>Семенюк Денис</t>
  </si>
  <si>
    <t>ВФЧ/Ш/У/0286</t>
  </si>
  <si>
    <t>Омельчук Анна</t>
  </si>
  <si>
    <t>ВФЧ/Ш/У/0287</t>
  </si>
  <si>
    <t>Когут Денис</t>
  </si>
  <si>
    <t>ВФЧ/Ш/У/0288</t>
  </si>
  <si>
    <t>Ліпич Валерія</t>
  </si>
  <si>
    <t>ВФЧ/Ш/У/0289</t>
  </si>
  <si>
    <t>Мартинюк Анастасія</t>
  </si>
  <si>
    <t>ВФЧ/Ш/У/0290</t>
  </si>
  <si>
    <t>Міщук Остап</t>
  </si>
  <si>
    <t>ВФЧ/Ш/У/0291</t>
  </si>
  <si>
    <t>Ковальова Діана</t>
  </si>
  <si>
    <t>ВФЧ/Ш/У/0292</t>
  </si>
  <si>
    <t>Мороз Артем</t>
  </si>
  <si>
    <t>ВФЧ/Ш/У/0293</t>
  </si>
  <si>
    <t>Клебанський Назар</t>
  </si>
  <si>
    <t>ВФЧ/Ш/У/0294</t>
  </si>
  <si>
    <t>Крамар Андрій</t>
  </si>
  <si>
    <t>ВФЧ/Ш/У/0295</t>
  </si>
  <si>
    <t>Касян Арсен</t>
  </si>
  <si>
    <t>ВФЧ/Ш/У/0296</t>
  </si>
  <si>
    <t>Павляк Микита</t>
  </si>
  <si>
    <t>ВФЧ/Ш/У/0297</t>
  </si>
  <si>
    <t>Капрук Артем Леонідович</t>
  </si>
  <si>
    <t>Забродівський ліцей Забродівської сільської ради</t>
  </si>
  <si>
    <t>Сиротюк Оксана Павлівна</t>
  </si>
  <si>
    <t>ВФЧ/Ш/У/0298</t>
  </si>
  <si>
    <t>Бакалюк Олександра Юріївна</t>
  </si>
  <si>
    <t>ВФЧ/Ш/У/0299</t>
  </si>
  <si>
    <t>Жерж Соломія В'ячеславівна</t>
  </si>
  <si>
    <t>ВФЧ/Ш/У/0300</t>
  </si>
  <si>
    <t>Корусь Максим Сергійович</t>
  </si>
  <si>
    <t>ВФЧ/Ш/У/0301</t>
  </si>
  <si>
    <t>Мельник Арсен Вячеславович</t>
  </si>
  <si>
    <t>ВФЧ/Ш/У/0302</t>
  </si>
  <si>
    <t>Смальчук Яна Володимирівна</t>
  </si>
  <si>
    <t>ВФЧ/Ш/У/0303</t>
  </si>
  <si>
    <t>Шевчик Вікторія Володимирівна</t>
  </si>
  <si>
    <t>ВФЧ/Ш/У/0304</t>
  </si>
  <si>
    <t>Залуський Андрій Андрійович</t>
  </si>
  <si>
    <t>Опорний заклад загальної середньої освіти " Хотешівський ліцей"</t>
  </si>
  <si>
    <t>Сидорук Тетяна Іванівна</t>
  </si>
  <si>
    <t>ВФЧ/Ш/У/0305</t>
  </si>
  <si>
    <t>Семенюк Віталій Володимирович</t>
  </si>
  <si>
    <t>ВФЧ/Ш/У/0306</t>
  </si>
  <si>
    <t>Дуда Андрій Володимирович</t>
  </si>
  <si>
    <t>ВФЧ/Ш/У/0307</t>
  </si>
  <si>
    <t>Кошіль Богдан Іванович</t>
  </si>
  <si>
    <t>ВФЧ/Ш/У/0308</t>
  </si>
  <si>
    <t>Давидюк Андрій Володимирович</t>
  </si>
  <si>
    <t>ВФЧ/Ш/У/0309</t>
  </si>
  <si>
    <t>Маковецька Аріна Романівна</t>
  </si>
  <si>
    <t>ВФЧ/Ш/У/0310</t>
  </si>
  <si>
    <t>Корінчук Каріна Іванівна</t>
  </si>
  <si>
    <t>ВФЧ/Ш/У/0311</t>
  </si>
  <si>
    <t>Бровко Уляна Олександрівна</t>
  </si>
  <si>
    <t>Ліцей № 123 "ТАНДЕМ" Дніпровської міської ради</t>
  </si>
  <si>
    <t>Кривошея Галина Василівна</t>
  </si>
  <si>
    <t>ВФЧ/Ш/У/0312</t>
  </si>
  <si>
    <t>Бровко Серафіма Олександрівна</t>
  </si>
  <si>
    <t>ВФЧ/Ш/У/0313</t>
  </si>
  <si>
    <t>Коношук Богдан Сергійович</t>
  </si>
  <si>
    <t>ВФЧ/Ш/У/0314</t>
  </si>
  <si>
    <t>Зибалова Єва Дмитрівна</t>
  </si>
  <si>
    <t>ВФЧ/Ш/У/0315</t>
  </si>
  <si>
    <t>Лазуренко Валерія Олександрівна</t>
  </si>
  <si>
    <t>ВФЧ/Ш/У/0316</t>
  </si>
  <si>
    <t>Бочаров Владислав Олексійович</t>
  </si>
  <si>
    <t>Криворізький ліцей 49</t>
  </si>
  <si>
    <t>Баланюк Тетяна Юріївна</t>
  </si>
  <si>
    <t>ВФЧ/Ш/У/0317</t>
  </si>
  <si>
    <t>Супрун Даніїл Дмитрович</t>
  </si>
  <si>
    <t>ВФЧ/Ш/У/0318</t>
  </si>
  <si>
    <t>Мнацаканян Тетяна Ігорівна</t>
  </si>
  <si>
    <t>ВФЧ/Ш/У/0319</t>
  </si>
  <si>
    <t>Ваврушак Дар'я Сергіївна</t>
  </si>
  <si>
    <t>ВФЧ/Ш/У/0320</t>
  </si>
  <si>
    <t>Сидоренко Марина Сергіївна</t>
  </si>
  <si>
    <t>ВФЧ/Ш/У/0321</t>
  </si>
  <si>
    <t>Величко Павло Дмитрович</t>
  </si>
  <si>
    <t>ВФЧ/Ш/У/0322</t>
  </si>
  <si>
    <t>Рашевська Софія Олесандрівна</t>
  </si>
  <si>
    <t>ВФЧ/Ш/У/0323</t>
  </si>
  <si>
    <t>Андрієнко Микита Олександрович</t>
  </si>
  <si>
    <t>ВФЧ/Ш/У/0324</t>
  </si>
  <si>
    <t>Завалій Віолетта Максимівна</t>
  </si>
  <si>
    <t>ВФЧ/Ш/У/0325</t>
  </si>
  <si>
    <t>Неруш Назарій Сергійович</t>
  </si>
  <si>
    <t>ВФЧ/Ш/У/0326</t>
  </si>
  <si>
    <t>Зінченко Кіра Іванівна</t>
  </si>
  <si>
    <t>ВФЧ/Ш/У/0327</t>
  </si>
  <si>
    <t>Лугова Ірина Віталіївна</t>
  </si>
  <si>
    <t>ВФЧ/Ш/У/0328</t>
  </si>
  <si>
    <t>Скорульський Андрій Юрійович</t>
  </si>
  <si>
    <t>ВФЧ/Ш/У/0329</t>
  </si>
  <si>
    <t>Дядечко Євгенія Олегівна</t>
  </si>
  <si>
    <t>ВФЧ/Ш/У/0330</t>
  </si>
  <si>
    <t>Яковенко Вікторія Дмитрівна</t>
  </si>
  <si>
    <t>ВФЧ/Ш/У/0331</t>
  </si>
  <si>
    <t>Залозна Анастасія Михайлівна</t>
  </si>
  <si>
    <t>Криворізький ліцей №129 Криворізької міської ради</t>
  </si>
  <si>
    <t>Ольферт Олена Григорівна</t>
  </si>
  <si>
    <t>ВФЧ/Ш/У/0332</t>
  </si>
  <si>
    <t>Красін Богдан Русланович</t>
  </si>
  <si>
    <t>ВФЧ/Ш/У/0333</t>
  </si>
  <si>
    <t>Красюк Єгор Максимович</t>
  </si>
  <si>
    <t>ВФЧ/Ш/У/0334</t>
  </si>
  <si>
    <t>Лиманська Поліна Богданівна</t>
  </si>
  <si>
    <t>ВФЧ/Ш/У/0335</t>
  </si>
  <si>
    <t>Мальцев Денис Олексійович</t>
  </si>
  <si>
    <t>ВФЧ/Ш/У/0336</t>
  </si>
  <si>
    <t>Мелькова Аліна Костянтинівна</t>
  </si>
  <si>
    <t>ВФЧ/Ш/У/0337</t>
  </si>
  <si>
    <t>Меткий Максим Олександрович</t>
  </si>
  <si>
    <t>ВФЧ/Ш/У/0338</t>
  </si>
  <si>
    <t>Мосейчик Михайло Євгенович</t>
  </si>
  <si>
    <t>ВФЧ/Ш/У/0339</t>
  </si>
  <si>
    <t>Павленко Ян сергійович</t>
  </si>
  <si>
    <t>ВФЧ/Ш/У/0340</t>
  </si>
  <si>
    <t>Прокопченко Віталій Костянтинович</t>
  </si>
  <si>
    <t>ВФЧ/Ш/У/0341</t>
  </si>
  <si>
    <t>Коротич Матвій Валентинович</t>
  </si>
  <si>
    <t>Криворізький ліцей №127 Криворізької міської ради</t>
  </si>
  <si>
    <t>Чернова Людмила Іванівна</t>
  </si>
  <si>
    <t>ВФЧ/Ш/У/0342</t>
  </si>
  <si>
    <t>Сергієнко Дар'я Володимирівна</t>
  </si>
  <si>
    <t>ВФЧ/Ш/У/0343</t>
  </si>
  <si>
    <t>Бузько Уляна Сергіївна</t>
  </si>
  <si>
    <t>ВФЧ/Ш/У/0344</t>
  </si>
  <si>
    <t>Гарбуз Максим Віталійович</t>
  </si>
  <si>
    <t>ВФЧ/Ш/У/0345</t>
  </si>
  <si>
    <t>Алхімова Аріна Андріївна</t>
  </si>
  <si>
    <t>ВФЧ/Ш/У/0346</t>
  </si>
  <si>
    <t>Приходько Олексій Анатолійович</t>
  </si>
  <si>
    <t>ВФЧ/Ш/У/0347</t>
  </si>
  <si>
    <t>Сидоренко Софія Василівна</t>
  </si>
  <si>
    <t>ВФЧ/Ш/У/0348</t>
  </si>
  <si>
    <t>Зозуля Ксенія Вікторівна</t>
  </si>
  <si>
    <t>ВФЧ/Ш/У/0349</t>
  </si>
  <si>
    <t>Войдович Вероніка Максимівна</t>
  </si>
  <si>
    <t>ВФЧ/Ш/У/0350</t>
  </si>
  <si>
    <t>Митрофанова Марія Анатоліївна</t>
  </si>
  <si>
    <t>ВФЧ/Ш/У/0351</t>
  </si>
  <si>
    <t>Єфімов Ярослав Ігорович</t>
  </si>
  <si>
    <t>ВФЧ/Ш/У/0352</t>
  </si>
  <si>
    <t>Соловйова Софія Анатоліївна</t>
  </si>
  <si>
    <t>ВФЧ/Ш/У/0353</t>
  </si>
  <si>
    <t>Малюта Анатолій Сергійович</t>
  </si>
  <si>
    <t>ВФЧ/Ш/У/0354</t>
  </si>
  <si>
    <t>Калімбет Ростислав Євгенович</t>
  </si>
  <si>
    <t>Ліцей "Генеза" П'ятихатської міської ради</t>
  </si>
  <si>
    <t>Тюлюкіна Наталія Сергіївна</t>
  </si>
  <si>
    <t>ВФЧ/Ш/У/0355</t>
  </si>
  <si>
    <t>Корнелюк Діана Віталіївна</t>
  </si>
  <si>
    <t>ВФЧ/Ш/У/0356</t>
  </si>
  <si>
    <t>Кривошей Катерина Андріївна</t>
  </si>
  <si>
    <t>ВФЧ/Ш/У/0357</t>
  </si>
  <si>
    <t>Малоок Марія Олександрівна</t>
  </si>
  <si>
    <t>ВФЧ/Ш/У/0358</t>
  </si>
  <si>
    <t>Мізіна Анастасія Олександрівна</t>
  </si>
  <si>
    <t>ВФЧ/Ш/У/0359</t>
  </si>
  <si>
    <t>Работа Дмитро Олександрович</t>
  </si>
  <si>
    <t>ВФЧ/Ш/У/0360</t>
  </si>
  <si>
    <t>Савелова Анна Сергіївна</t>
  </si>
  <si>
    <t>ВФЧ/Ш/У/0361</t>
  </si>
  <si>
    <t>Северин Ксенія Олександрівна</t>
  </si>
  <si>
    <t>ВФЧ/Ш/У/0362</t>
  </si>
  <si>
    <t>Михалик Софія Василівна</t>
  </si>
  <si>
    <t>КЗО "Криворізький ліцей "КОЛІЯ" ДОР"</t>
  </si>
  <si>
    <t>Мокрушина Оксана Григорівна</t>
  </si>
  <si>
    <t>ВФЧ/Ш/У/0363</t>
  </si>
  <si>
    <t>Борисова Крістіна Олегівна</t>
  </si>
  <si>
    <t>ВФЧ/Ш/У/0364</t>
  </si>
  <si>
    <t>Чиженко Дарія Миколаївна</t>
  </si>
  <si>
    <t>ВФЧ/Ш/У/0365</t>
  </si>
  <si>
    <t>Шумеляк Данило Русланович</t>
  </si>
  <si>
    <t>ВФЧ/Ш/У/0366</t>
  </si>
  <si>
    <t>Євтушенко Костянтин Богданович</t>
  </si>
  <si>
    <t>ВФЧ/Ш/У/0367</t>
  </si>
  <si>
    <t>Темченко Богдан Сергійович</t>
  </si>
  <si>
    <t>ВФЧ/Ш/У/0368</t>
  </si>
  <si>
    <t>Мокрушин Юрій Сергійович</t>
  </si>
  <si>
    <t>ВФЧ/Ш/У/0369</t>
  </si>
  <si>
    <t>Шевченко Тимофій Анатолійович</t>
  </si>
  <si>
    <t>ВФЧ/Ш/У/0370</t>
  </si>
  <si>
    <t>Піркл Ярослав Дмитрович</t>
  </si>
  <si>
    <t>ВФЧ/Ш/У/0371</t>
  </si>
  <si>
    <t>Талда Олексій Романович</t>
  </si>
  <si>
    <t>ВФЧ/Ш/У/0372</t>
  </si>
  <si>
    <t>Кириченко Юлія Валеріївна</t>
  </si>
  <si>
    <t>ВФЧ/Ш/У/0373</t>
  </si>
  <si>
    <t>Голяк Поліна Вікторівна</t>
  </si>
  <si>
    <t>Заклад загальної середньої освіти "Солонянський ліцей" Солонянської селищної ради Дніпропетровської області</t>
  </si>
  <si>
    <t>Бондар Вікторія Олександрівна</t>
  </si>
  <si>
    <t>ВФЧ/Ш/У/0374</t>
  </si>
  <si>
    <t>Бондар Валерія Валентинівна</t>
  </si>
  <si>
    <t>ВФЧ/Ш/У/0375</t>
  </si>
  <si>
    <t>Бєгаль Владислава Віталіївна</t>
  </si>
  <si>
    <t>ВФЧ/Ш/У/0376</t>
  </si>
  <si>
    <t>Митрофанов Артур Юрійович</t>
  </si>
  <si>
    <t>ВФЧ/Ш/У/0377</t>
  </si>
  <si>
    <t>Павленко Валентин Олександрович</t>
  </si>
  <si>
    <t>ВФЧ/Ш/У/0378</t>
  </si>
  <si>
    <t>Лаврик Роман Іванович</t>
  </si>
  <si>
    <t>ВФЧ/Ш/У/0379</t>
  </si>
  <si>
    <t>Мотузко Софія Миколаївна</t>
  </si>
  <si>
    <t>ВФЧ/Ш/У/0380</t>
  </si>
  <si>
    <t>Харченко Нікіта Євгенійовия</t>
  </si>
  <si>
    <t>ВФЧ/Ш/У/0381</t>
  </si>
  <si>
    <t>Ткачук Катерина Максимівна</t>
  </si>
  <si>
    <t>ВФЧ/Ш/У/0382</t>
  </si>
  <si>
    <t>Васюк Яна Олександрівна</t>
  </si>
  <si>
    <t>ВФЧ/Ш/У/0383</t>
  </si>
  <si>
    <t>Грінько Георгій Вікторович</t>
  </si>
  <si>
    <t>ВФЧ/Ш/У/0384</t>
  </si>
  <si>
    <t>Буткова Ангеліна Артурівна</t>
  </si>
  <si>
    <t>ВФЧ/Ш/У/0385</t>
  </si>
  <si>
    <t>Мазур Михайло Олександрович</t>
  </si>
  <si>
    <t>ВФЧ/Ш/У/0386</t>
  </si>
  <si>
    <t>Паленко Сніжана Олександрівна</t>
  </si>
  <si>
    <t>ВФЧ/Ш/У/0387</t>
  </si>
  <si>
    <t>Буднік Євген Андрійович</t>
  </si>
  <si>
    <t>ВФЧ/Ш/У/0388</t>
  </si>
  <si>
    <t>Працюк Вікторія Євгенівна</t>
  </si>
  <si>
    <t>ВФЧ/Ш/У/0389</t>
  </si>
  <si>
    <t>Латюк Олександр Михайлович</t>
  </si>
  <si>
    <t>Криворізький ліцей №24 Криворізької міської ради</t>
  </si>
  <si>
    <t>Непомяща Діана Сергіївна, Лисакова Вікторія Юріївна</t>
  </si>
  <si>
    <t>ВФЧ/Ш/У/0390</t>
  </si>
  <si>
    <t>Георгієва Ксенія Марінівна</t>
  </si>
  <si>
    <t>ВФЧ/Ш/У/0391</t>
  </si>
  <si>
    <t>Новікова Валерія Євгенівна</t>
  </si>
  <si>
    <t>ВФЧ/Ш/У/0392</t>
  </si>
  <si>
    <t>Табакіна Віра Вадимівна</t>
  </si>
  <si>
    <t>ВФЧ/Ш/У/0393</t>
  </si>
  <si>
    <t>Соколовський Андрій Вячеславович</t>
  </si>
  <si>
    <t>ВФЧ/Ш/У/0394</t>
  </si>
  <si>
    <t>Заверчук Севастіян</t>
  </si>
  <si>
    <t>Комунальний заклад освіти "Ліцей митно-податкової справи з посиленою військово-фізичною підготовкою при Університеті митної справи та фінансів" Дніпровської міської ради</t>
  </si>
  <si>
    <t>Руденко Галина Анатоліївна</t>
  </si>
  <si>
    <t>ВФЧ/Ш/У/0395</t>
  </si>
  <si>
    <t>Бекян Денис</t>
  </si>
  <si>
    <t>ВФЧ/Ш/У/0396</t>
  </si>
  <si>
    <t>Лупан Дмитро</t>
  </si>
  <si>
    <t>ВФЧ/Ш/У/0397</t>
  </si>
  <si>
    <t>Вітюк Микита</t>
  </si>
  <si>
    <t>ВФЧ/Ш/У/0398</t>
  </si>
  <si>
    <t>Немченко Кирило</t>
  </si>
  <si>
    <t>ВФЧ/Ш/У/0399</t>
  </si>
  <si>
    <t>Малій Альбіна</t>
  </si>
  <si>
    <t>ВФЧ/Ш/У/0400</t>
  </si>
  <si>
    <t>Коваль Рената</t>
  </si>
  <si>
    <t>ВФЧ/Ш/У/0401</t>
  </si>
  <si>
    <t>Мазур Вікторія</t>
  </si>
  <si>
    <t>ВФЧ/Ш/У/0402</t>
  </si>
  <si>
    <t>Герич Іван</t>
  </si>
  <si>
    <t>ВФЧ/Ш/У/0403</t>
  </si>
  <si>
    <t>Дегтяр Владислав</t>
  </si>
  <si>
    <t>ВФЧ/Ш/У/0404</t>
  </si>
  <si>
    <t>Кім Анна</t>
  </si>
  <si>
    <t>ВФЧ/Ш/У/0405</t>
  </si>
  <si>
    <t>Морєва Олександра</t>
  </si>
  <si>
    <t>ВФЧ/Ш/У/0406</t>
  </si>
  <si>
    <t>Савельєва Марія</t>
  </si>
  <si>
    <t>ВФЧ/Ш/У/0407</t>
  </si>
  <si>
    <t>Мовчан Анастасія</t>
  </si>
  <si>
    <t>ВФЧ/Ш/У/0408</t>
  </si>
  <si>
    <t>Мисочка Даніїл</t>
  </si>
  <si>
    <t>ВФЧ/Ш/У/0409</t>
  </si>
  <si>
    <t>Піпа Олег</t>
  </si>
  <si>
    <t>ВФЧ/Ш/У/0410</t>
  </si>
  <si>
    <t>Мотриченко Владислав</t>
  </si>
  <si>
    <t>ВФЧ/Ш/У/0411</t>
  </si>
  <si>
    <t>Шатько Ілля</t>
  </si>
  <si>
    <t>ВФЧ/Ш/У/0412</t>
  </si>
  <si>
    <t>Клименко Дмитро</t>
  </si>
  <si>
    <t>ВФЧ/Ш/У/0413</t>
  </si>
  <si>
    <t>Горілик Мирослава</t>
  </si>
  <si>
    <t>ВФЧ/Ш/У/0414</t>
  </si>
  <si>
    <t>Нагурний Кирило</t>
  </si>
  <si>
    <t>ВФЧ/Ш/У/0415</t>
  </si>
  <si>
    <t>Жданенко Дмитро</t>
  </si>
  <si>
    <t>ВФЧ/Ш/У/0416</t>
  </si>
  <si>
    <t>Козенко Дмитро</t>
  </si>
  <si>
    <t>ВФЧ/Ш/У/0417</t>
  </si>
  <si>
    <t>Овсянніков Даніїл</t>
  </si>
  <si>
    <t>ВФЧ/Ш/У/0418</t>
  </si>
  <si>
    <t>Скоромний Артем</t>
  </si>
  <si>
    <t>ВФЧ/Ш/У/0419</t>
  </si>
  <si>
    <t>Олійник Марія</t>
  </si>
  <si>
    <t>ВФЧ/Ш/У/0420</t>
  </si>
  <si>
    <t>Биков Ігор</t>
  </si>
  <si>
    <t>ВФЧ/Ш/У/0421</t>
  </si>
  <si>
    <t>Литовченко Артем</t>
  </si>
  <si>
    <t>ВФЧ/Ш/У/0422</t>
  </si>
  <si>
    <t>Авраменко Владислава</t>
  </si>
  <si>
    <t>ВФЧ/Ш/У/0423</t>
  </si>
  <si>
    <t>Кремена Ілля</t>
  </si>
  <si>
    <t>ВФЧ/Ш/У/0424</t>
  </si>
  <si>
    <t>Литвиненко Єгор</t>
  </si>
  <si>
    <t>ВФЧ/Ш/У/0425</t>
  </si>
  <si>
    <t>Дмитрик Нікіта</t>
  </si>
  <si>
    <t>ВФЧ/Ш/У/0426</t>
  </si>
  <si>
    <t>Ткаченко Кирило</t>
  </si>
  <si>
    <t>ВФЧ/Ш/У/0427</t>
  </si>
  <si>
    <t>Резолюта Станіслав</t>
  </si>
  <si>
    <t>ВФЧ/Ш/У/0428</t>
  </si>
  <si>
    <t>Салімоненко Максим</t>
  </si>
  <si>
    <t>ВФЧ/Ш/У/0429</t>
  </si>
  <si>
    <t>Радіонов Микола</t>
  </si>
  <si>
    <t>ВФЧ/Ш/У/0430</t>
  </si>
  <si>
    <t>Гусаров Роман</t>
  </si>
  <si>
    <t>ВФЧ/Ш/У/0431</t>
  </si>
  <si>
    <t>Плотніков Артем</t>
  </si>
  <si>
    <t>ВФЧ/Ш/У/0432</t>
  </si>
  <si>
    <t>Парубок Михайло</t>
  </si>
  <si>
    <t>ВФЧ/Ш/У/0433</t>
  </si>
  <si>
    <t>Протопопенко Андрій</t>
  </si>
  <si>
    <t>ВФЧ/Ш/У/0434</t>
  </si>
  <si>
    <t>Косушкіна Єлизавета Олексіївна</t>
  </si>
  <si>
    <t>Магдалинівський ліцей Магдалинівської селищної ради</t>
  </si>
  <si>
    <t>Судьєв Сергій Володимирович</t>
  </si>
  <si>
    <t>ВФЧ/Ш/У/0435</t>
  </si>
  <si>
    <t>Тарасенко Поліна Андріївна</t>
  </si>
  <si>
    <t>ВФЧ/Ш/У/0436</t>
  </si>
  <si>
    <t>Соколянський Артем Романович</t>
  </si>
  <si>
    <t>ВФЧ/Ш/У/0437</t>
  </si>
  <si>
    <t>Александров Дмитро Миколайович</t>
  </si>
  <si>
    <t>ВФЧ/Ш/У/0438</t>
  </si>
  <si>
    <t>Гулько Марія Олександрівна</t>
  </si>
  <si>
    <t>ВФЧ/Ш/У/0439</t>
  </si>
  <si>
    <t>Бабій Владислава Андріївна</t>
  </si>
  <si>
    <t>ВФЧ/Ш/У/0440</t>
  </si>
  <si>
    <t>Анфіногенова Валерія Олексіївна</t>
  </si>
  <si>
    <t>ВФЧ/Ш/У/0441</t>
  </si>
  <si>
    <t>Бігмій Софія Валеріївна</t>
  </si>
  <si>
    <t>ВФЧ/Ш/У/0442</t>
  </si>
  <si>
    <t>Періг Олександр Сергійович</t>
  </si>
  <si>
    <t>ВФЧ/Ш/У/0443</t>
  </si>
  <si>
    <t>Хорольська Дар'я Антонівна</t>
  </si>
  <si>
    <t>ВФЧ/Ш/У/0444</t>
  </si>
  <si>
    <t>Фалько Марк Віталійович</t>
  </si>
  <si>
    <t>ВФЧ/Ш/У/0445</t>
  </si>
  <si>
    <t>Басюк Вероніка Олегівна</t>
  </si>
  <si>
    <t>ВФЧ/Ш/У/0446</t>
  </si>
  <si>
    <t>Мороз Віолета Миколаївна</t>
  </si>
  <si>
    <t>ВФЧ/Ш/У/0447</t>
  </si>
  <si>
    <t>Бут Ельвіра Сергіївна</t>
  </si>
  <si>
    <t>Опорний заклад освіти Славгородський ліцей Славгородської селищної ради Синельниківського району Дніпропетровської області</t>
  </si>
  <si>
    <t>Прядка-Іщенко Анна Володимирівна</t>
  </si>
  <si>
    <t>ВФЧ/Ш/У/0448</t>
  </si>
  <si>
    <t>Безуглий Іван Сергійович</t>
  </si>
  <si>
    <t>ВФЧ/Ш/У/0449</t>
  </si>
  <si>
    <t>Киричок Валерія Валеріївна</t>
  </si>
  <si>
    <t>ВФЧ/Ш/У/0450</t>
  </si>
  <si>
    <t>Мокайчук Марина Вікторівна</t>
  </si>
  <si>
    <t>ВФЧ/Ш/У/0451</t>
  </si>
  <si>
    <t>Іщенко Олександра Олександрівна</t>
  </si>
  <si>
    <t>ВФЧ/Ш/У/0452</t>
  </si>
  <si>
    <t>Головко Каріна Миколаївна</t>
  </si>
  <si>
    <t>ВФЧ/Ш/У/0453</t>
  </si>
  <si>
    <t>Рябініна Каміла Олегівна</t>
  </si>
  <si>
    <t>ВФЧ/Ш/У/0454</t>
  </si>
  <si>
    <t>Бабенко Маргарита Сергіївна</t>
  </si>
  <si>
    <t>ВФЧ/Ш/У/0455</t>
  </si>
  <si>
    <t>Макаров Микита Денисович</t>
  </si>
  <si>
    <t>ВФЧ/Ш/У/0456</t>
  </si>
  <si>
    <t>Галка Віталій Володимирович</t>
  </si>
  <si>
    <t>ВФЧ/Ш/У/0457</t>
  </si>
  <si>
    <t>Бурлаченко Ілля Дмитрович</t>
  </si>
  <si>
    <t>Криворізький Покровський ліцей Криворізької міської ради</t>
  </si>
  <si>
    <t>Малюжонок Олена Олександрівна</t>
  </si>
  <si>
    <t>ВФЧ/Ш/У/0458</t>
  </si>
  <si>
    <t>Ляшик Артем Віталійович</t>
  </si>
  <si>
    <t>ВФЧ/Ш/У/0459</t>
  </si>
  <si>
    <t>Ігнатенко Єва Євгенівна</t>
  </si>
  <si>
    <t>ВФЧ/Ш/У/0460</t>
  </si>
  <si>
    <t>Худорожкова Арина Русланівна</t>
  </si>
  <si>
    <t>ВФЧ/Ш/У/0461</t>
  </si>
  <si>
    <t>Пустовіт Діана Максимівна</t>
  </si>
  <si>
    <t>ВФЧ/Ш/У/0462</t>
  </si>
  <si>
    <t>Якубович Софія Миколаївна</t>
  </si>
  <si>
    <t>ВФЧ/Ш/У/0463</t>
  </si>
  <si>
    <t>Гарасюта Анна Дмитрівна</t>
  </si>
  <si>
    <t>ВФЧ/Ш/У/0464</t>
  </si>
  <si>
    <t>Мала Маргарита Вадимівна</t>
  </si>
  <si>
    <t>ВФЧ/Ш/У/0465</t>
  </si>
  <si>
    <t>Мулявко Вероніка Володимирівна</t>
  </si>
  <si>
    <t>ВФЧ/Ш/У/0466</t>
  </si>
  <si>
    <t>Чорноус Любов Дмитрівна</t>
  </si>
  <si>
    <t>ВФЧ/Ш/У/0467</t>
  </si>
  <si>
    <t>Акмурзін Артем Юрійович</t>
  </si>
  <si>
    <t>Криворізький ліцей №35 "Імпульс"</t>
  </si>
  <si>
    <t>Рудницьких Анна Сергіївна</t>
  </si>
  <si>
    <t>ВФЧ/Ш/У/0468</t>
  </si>
  <si>
    <t>Кісіль Анастасія Андріївна</t>
  </si>
  <si>
    <t>ВФЧ/Ш/У/0469</t>
  </si>
  <si>
    <t>Ковязіна Діана Олександрівна</t>
  </si>
  <si>
    <t>ВФЧ/Ш/У/0470</t>
  </si>
  <si>
    <t>Кравцов Дмитро Віталійович</t>
  </si>
  <si>
    <t>ВФЧ/Ш/У/0471</t>
  </si>
  <si>
    <t>Совпенко Ксенія Олександрівна</t>
  </si>
  <si>
    <t>ВФЧ/Ш/У/0472</t>
  </si>
  <si>
    <t>Штурко Софія Ельдарівна</t>
  </si>
  <si>
    <t>ВФЧ/Ш/У/0473</t>
  </si>
  <si>
    <t>Канібас Вадислав Михайлович</t>
  </si>
  <si>
    <t>ВФЧ/Ш/У/0474</t>
  </si>
  <si>
    <t>Толмач Олександр Юрійович</t>
  </si>
  <si>
    <t>ВФЧ/Ш/У/0475</t>
  </si>
  <si>
    <t>Бевз Гліб Кирилович</t>
  </si>
  <si>
    <t>Криворізький Тернівський ліцей Криворізької міської ради</t>
  </si>
  <si>
    <t>Литвиненко Наталія Миколаївна</t>
  </si>
  <si>
    <t>ВФЧ/Ш/У/0476</t>
  </si>
  <si>
    <t>Бичовий Ярослав Валерійович</t>
  </si>
  <si>
    <t>ВФЧ/Ш/У/0477</t>
  </si>
  <si>
    <t>Мазур Назар Русланович</t>
  </si>
  <si>
    <t>ВФЧ/Ш/У/0478</t>
  </si>
  <si>
    <t>Соковець Нікіта Андрійович</t>
  </si>
  <si>
    <t>ВФЧ/Ш/У/0479</t>
  </si>
  <si>
    <t>Якубенко Олександра Костянтинівна</t>
  </si>
  <si>
    <t>ВФЧ/Ш/У/0480</t>
  </si>
  <si>
    <t>Біюн Домініка Русланівна</t>
  </si>
  <si>
    <t>Комунальний заклад "Академічний ліцей №15" Кам'янської міської ради</t>
  </si>
  <si>
    <t>Астапенко Оксана Олександрівна</t>
  </si>
  <si>
    <t>ВФЧ/Ш/У/0481</t>
  </si>
  <si>
    <t>Золотаревський Микита Андрійович</t>
  </si>
  <si>
    <t>ВФЧ/Ш/У/0482</t>
  </si>
  <si>
    <t>Коломбет Вероніка Максимівна</t>
  </si>
  <si>
    <t>ВФЧ/Ш/У/0483</t>
  </si>
  <si>
    <t>Адамович Дмитро Юрійович</t>
  </si>
  <si>
    <t>ВФЧ/Ш/У/0484</t>
  </si>
  <si>
    <t>Поліщук Юлія Володимирівна</t>
  </si>
  <si>
    <t>ВФЧ/Ш/У/0485</t>
  </si>
  <si>
    <t>Ляшенко Никіта Олексійович</t>
  </si>
  <si>
    <t>КЗО Дніпровський ліцей № 31 "Пріоритет"</t>
  </si>
  <si>
    <t>Дядькова Людмила Михайлівна</t>
  </si>
  <si>
    <t>ВФЧ/Ш/У/0486</t>
  </si>
  <si>
    <t>Козуб Карина</t>
  </si>
  <si>
    <t>ВФЧ/Ш/У/0487</t>
  </si>
  <si>
    <t>Халамай Марія Станіславівна</t>
  </si>
  <si>
    <t>ВФЧ/Ш/У/0488</t>
  </si>
  <si>
    <t>Гнілова Владислава Вікторівна</t>
  </si>
  <si>
    <t>ВФЧ/Ш/У/0489</t>
  </si>
  <si>
    <t>Кривякин Олександр Віталійович</t>
  </si>
  <si>
    <t>ВФЧ/Ш/У/0490</t>
  </si>
  <si>
    <t>Прокопенко Євгенія Андріївна</t>
  </si>
  <si>
    <t>ВФЧ/Ш/У/0491</t>
  </si>
  <si>
    <t>Куцинська Аліна Борисівна</t>
  </si>
  <si>
    <t>ВФЧ/Ш/У/0492</t>
  </si>
  <si>
    <t>Леміщенко Марія</t>
  </si>
  <si>
    <t>ВФЧ/Ш/У/0493</t>
  </si>
  <si>
    <t>Заіка Діана Євгенівна</t>
  </si>
  <si>
    <t>ВФЧ/Ш/У/0494</t>
  </si>
  <si>
    <t>Бризгайло Артем Віталійович</t>
  </si>
  <si>
    <t>ВФЧ/Ш/У/0495</t>
  </si>
  <si>
    <t>Бурнаков Євгеній Олександрович</t>
  </si>
  <si>
    <t>ВФЧ/Ш/У/0496</t>
  </si>
  <si>
    <t>Конопля Даніїл Олександрович</t>
  </si>
  <si>
    <t>ВФЧ/Ш/У/0497</t>
  </si>
  <si>
    <t>Клімов Олександр Сергійович</t>
  </si>
  <si>
    <t>ВФЧ/Ш/У/0498</t>
  </si>
  <si>
    <t>Дронь Володимир Олександрович</t>
  </si>
  <si>
    <t>ВФЧ/Ш/У/0499</t>
  </si>
  <si>
    <t>Кеблиш Артем Русланович</t>
  </si>
  <si>
    <t>Зеленодольський ліцей №2 Зеленодольської міської ради Дніпропетровської області</t>
  </si>
  <si>
    <t>Гладкий Андрій Григорович</t>
  </si>
  <si>
    <t>ВФЧ/Ш/У/0500</t>
  </si>
  <si>
    <t>Сиродоєв Павло Сергійович</t>
  </si>
  <si>
    <t>ВФЧ/Ш/У/0501</t>
  </si>
  <si>
    <t>Хвисюк Валерія Олександрівна</t>
  </si>
  <si>
    <t>ВФЧ/Ш/У/0502</t>
  </si>
  <si>
    <t>Майданевич Назар Андрійович</t>
  </si>
  <si>
    <t>ВФЧ/Ш/У/0503</t>
  </si>
  <si>
    <t>Дейнеко Олександра В'ячеславівна</t>
  </si>
  <si>
    <t>ВФЧ/Ш/У/0504</t>
  </si>
  <si>
    <t>Сокол Єгор Анатолійович</t>
  </si>
  <si>
    <t>ВФЧ/Ш/У/0505</t>
  </si>
  <si>
    <t>Бейко Марія Олексіївна</t>
  </si>
  <si>
    <t>Криворізький ліцей №4 Криворізької міської ради</t>
  </si>
  <si>
    <t>Кулик Вікторія Вадимівна</t>
  </si>
  <si>
    <t>ВФЧ/Ш/У/0506</t>
  </si>
  <si>
    <t>Бебко Данило Олександрович</t>
  </si>
  <si>
    <t>ВФЧ/Ш/У/0507</t>
  </si>
  <si>
    <t>Лелет Софія Вікторівна</t>
  </si>
  <si>
    <t>ВФЧ/Ш/У/0508</t>
  </si>
  <si>
    <t>Мазур Софія Костянтинівна</t>
  </si>
  <si>
    <t>ВФЧ/Ш/У/0509</t>
  </si>
  <si>
    <t>Скрипник Андрій Андрійович</t>
  </si>
  <si>
    <t>ВФЧ/Ш/У/0510</t>
  </si>
  <si>
    <t>Запорожець Кіра Андріївна</t>
  </si>
  <si>
    <t>ВФЧ/Ш/У/0511</t>
  </si>
  <si>
    <t>Уривська Милана Артемівна</t>
  </si>
  <si>
    <t>ВФЧ/Ш/У/0512</t>
  </si>
  <si>
    <t>Короленко Іван Олександрович</t>
  </si>
  <si>
    <t>ВФЧ/Ш/У/0513</t>
  </si>
  <si>
    <t>Звоник Нікіта Костянтинович</t>
  </si>
  <si>
    <t>ВФЧ/Ш/У/0514</t>
  </si>
  <si>
    <t>Мельник Іван Іванович</t>
  </si>
  <si>
    <t>ВФЧ/Ш/У/0515</t>
  </si>
  <si>
    <t>Строгіна Юлія Сергіївна</t>
  </si>
  <si>
    <t>ВФЧ/Ш/У/0516</t>
  </si>
  <si>
    <t>Кузьміна Марія Володимирівна</t>
  </si>
  <si>
    <t>ВФЧ/Ш/У/0517</t>
  </si>
  <si>
    <t>Кіржаєв Кирило Дмитрович</t>
  </si>
  <si>
    <t>ВФЧ/Ш/У/0518</t>
  </si>
  <si>
    <t>Пивоваров Микита Сергійович</t>
  </si>
  <si>
    <t>ВФЧ/Ш/У/0519</t>
  </si>
  <si>
    <t>Сарай Кирило Михайлович</t>
  </si>
  <si>
    <t>ВФЧ/Ш/У/0520</t>
  </si>
  <si>
    <t>Найден Максим Юрійович</t>
  </si>
  <si>
    <t>ВФЧ/Ш/У/0521</t>
  </si>
  <si>
    <t>Шукюрова Сабіна Шукюр Кизи</t>
  </si>
  <si>
    <t>ВФЧ/Ш/У/0522</t>
  </si>
  <si>
    <t>Коваленко Людмила Іванівна</t>
  </si>
  <si>
    <t>ВФЧ/Ш/У/0523</t>
  </si>
  <si>
    <t>Рощупкін Михайло Геннадійович</t>
  </si>
  <si>
    <t>ВФЧ/Ш/У/0524</t>
  </si>
  <si>
    <t>Кавнатський Максим Сергійович</t>
  </si>
  <si>
    <t>ВФЧ/Ш/У/0525</t>
  </si>
  <si>
    <t>Сало Софія Сергіївна</t>
  </si>
  <si>
    <t>ВФЧ/Ш/У/0526</t>
  </si>
  <si>
    <t>Хозяйонок Тимур Володимирович</t>
  </si>
  <si>
    <t>ВФЧ/Ш/У/0527</t>
  </si>
  <si>
    <t>Кравченко Аліса Сергіївна</t>
  </si>
  <si>
    <t>ВФЧ/Ш/У/0528</t>
  </si>
  <si>
    <t>Марчак Владислава Володимирівна</t>
  </si>
  <si>
    <t>ВФЧ/Ш/У/0529</t>
  </si>
  <si>
    <t>Остапчук Олександра</t>
  </si>
  <si>
    <t>Дніпровський ліцей № 100 "Лідер" Дніпровської міської ради</t>
  </si>
  <si>
    <t>Біла Ганна Федорівна</t>
  </si>
  <si>
    <t>ВФЧ/Ш/У/0530</t>
  </si>
  <si>
    <t>Соловйова Маргарита</t>
  </si>
  <si>
    <t>ВФЧ/Ш/У/0531</t>
  </si>
  <si>
    <t>Катасонова Олеся</t>
  </si>
  <si>
    <t>ВФЧ/Ш/У/0532</t>
  </si>
  <si>
    <t>Костогриз Дмитро</t>
  </si>
  <si>
    <t>ВФЧ/Ш/У/0533</t>
  </si>
  <si>
    <t>Коцур Дар'я</t>
  </si>
  <si>
    <t>ВФЧ/Ш/У/0534</t>
  </si>
  <si>
    <t>Щербаков Олексій</t>
  </si>
  <si>
    <t>ВФЧ/Ш/У/0535</t>
  </si>
  <si>
    <t>Кирпа Дмитро</t>
  </si>
  <si>
    <t>ВФЧ/Ш/У/0536</t>
  </si>
  <si>
    <t>Соколов Даніїл</t>
  </si>
  <si>
    <t>ВФЧ/Ш/У/0537</t>
  </si>
  <si>
    <t>Бабич Юлія</t>
  </si>
  <si>
    <t>ВФЧ/Ш/У/0538</t>
  </si>
  <si>
    <t>Кім Федір</t>
  </si>
  <si>
    <t>ВФЧ/Ш/У/0539</t>
  </si>
  <si>
    <t>Козлов Ілля</t>
  </si>
  <si>
    <t>ВФЧ/Ш/У/0540</t>
  </si>
  <si>
    <t>Михальченко Данило</t>
  </si>
  <si>
    <t>ВФЧ/Ш/У/0541</t>
  </si>
  <si>
    <t>Просвєтова Ілона</t>
  </si>
  <si>
    <t>ВФЧ/Ш/У/0542</t>
  </si>
  <si>
    <t>Соколова Поліна</t>
  </si>
  <si>
    <t>ВФЧ/Ш/У/0543</t>
  </si>
  <si>
    <t>Бабинін Вадим</t>
  </si>
  <si>
    <t>ВФЧ/Ш/У/0544</t>
  </si>
  <si>
    <t>Бойко Олександр</t>
  </si>
  <si>
    <t>ВФЧ/Ш/У/0545</t>
  </si>
  <si>
    <t>Голов Ілля</t>
  </si>
  <si>
    <t>ВФЧ/Ш/У/0546</t>
  </si>
  <si>
    <t>Кочубей Тимур</t>
  </si>
  <si>
    <t>ВФЧ/Ш/У/0547</t>
  </si>
  <si>
    <t>Харченко Поліна</t>
  </si>
  <si>
    <t>ВФЧ/Ш/У/0548</t>
  </si>
  <si>
    <t>Перець Софія</t>
  </si>
  <si>
    <t>ВФЧ/Ш/У/0549</t>
  </si>
  <si>
    <t>Яременко Анна</t>
  </si>
  <si>
    <t>ВФЧ/Ш/У/0550</t>
  </si>
  <si>
    <t>Григорян Анастасія</t>
  </si>
  <si>
    <t>ВФЧ/Ш/У/0551</t>
  </si>
  <si>
    <t>Белошавіна Софія Артурівна</t>
  </si>
  <si>
    <t>Криворізький ліцей №115</t>
  </si>
  <si>
    <t>Полтавська Юлія Василівна</t>
  </si>
  <si>
    <t>ВФЧ/Ш/У/0552</t>
  </si>
  <si>
    <t>Блоха Данііл Олександрович</t>
  </si>
  <si>
    <t>ВФЧ/Ш/У/0553</t>
  </si>
  <si>
    <t>Бойко Олександра Олександрівна</t>
  </si>
  <si>
    <t>ВФЧ/Ш/У/0554</t>
  </si>
  <si>
    <t>Бондарук Юлія Сергіївна</t>
  </si>
  <si>
    <t>ВФЧ/Ш/У/0555</t>
  </si>
  <si>
    <t>Гречана Анастасія Ярославівна</t>
  </si>
  <si>
    <t>ВФЧ/Ш/У/0556</t>
  </si>
  <si>
    <t>Грибок Максим Ігорович</t>
  </si>
  <si>
    <t>ВФЧ/Ш/У/0557</t>
  </si>
  <si>
    <t>Івахнюк Анна Романівна</t>
  </si>
  <si>
    <t>ВФЧ/Ш/У/0558</t>
  </si>
  <si>
    <t>Коломоєць Дмитро Олександрович</t>
  </si>
  <si>
    <t>ВФЧ/Ш/У/0559</t>
  </si>
  <si>
    <t>Кононов Дмитро Віталійович</t>
  </si>
  <si>
    <t>ВФЧ/Ш/У/0560</t>
  </si>
  <si>
    <t>Леонтьєва Ірина Олександрівна</t>
  </si>
  <si>
    <t>ВФЧ/Ш/У/0561</t>
  </si>
  <si>
    <t>Соломяна Аліса Павлівна</t>
  </si>
  <si>
    <t>ВФЧ/Ш/У/0562</t>
  </si>
  <si>
    <t>Бурлаков Георгій Олександрович</t>
  </si>
  <si>
    <t>Дніпровський ліцей №120</t>
  </si>
  <si>
    <t>Кащук Тетяна Олександрівна</t>
  </si>
  <si>
    <t>ВФЧ/Ш/У/0563</t>
  </si>
  <si>
    <t>Новобранцева Анастасія Михайлівна</t>
  </si>
  <si>
    <t>ВФЧ/Ш/У/0564</t>
  </si>
  <si>
    <t>Легачова Анастасія Максимівна</t>
  </si>
  <si>
    <t>ВФЧ/Ш/У/0565</t>
  </si>
  <si>
    <t>Григор'ян Мері Артурівна</t>
  </si>
  <si>
    <t>ВФЧ/Ш/У/0566</t>
  </si>
  <si>
    <t>Зюзіна Елеонора Максимівна</t>
  </si>
  <si>
    <t>ВСП "Науковий ліцей міжнародних відносин II-III ступенів" Університету митної справи та фінансів</t>
  </si>
  <si>
    <t>ВФЧ/Ш/У/0567</t>
  </si>
  <si>
    <t>Чайка Софія Олександрівна</t>
  </si>
  <si>
    <t>ВФЧ/Ш/У/0568</t>
  </si>
  <si>
    <t>Югай Олександр Олександрович</t>
  </si>
  <si>
    <t>ВФЧ/Ш/У/0569</t>
  </si>
  <si>
    <t>Єсипенко Емілія Андріївна</t>
  </si>
  <si>
    <t>ВФЧ/Ш/У/0570</t>
  </si>
  <si>
    <t>Євтюхін Арсеній Олександрович</t>
  </si>
  <si>
    <t>ВФЧ/Ш/У/0571</t>
  </si>
  <si>
    <t>Охремчук Максим Всеволодович</t>
  </si>
  <si>
    <t>ВФЧ/Ш/У/0572</t>
  </si>
  <si>
    <t>Ражда Максим Віталійович</t>
  </si>
  <si>
    <t>ВФЧ/Ш/У/0573</t>
  </si>
  <si>
    <t>Шилін Михайло Іванович</t>
  </si>
  <si>
    <t>ВФЧ/Ш/У/0574</t>
  </si>
  <si>
    <t>Копійка Єгор Євгенович</t>
  </si>
  <si>
    <t>ВФЧ/Ш/У/0575</t>
  </si>
  <si>
    <t>Дюдя Кіра Олександрівна</t>
  </si>
  <si>
    <t>ВФЧ/Ш/У/0576</t>
  </si>
  <si>
    <t>Мосін Максим Віталійович</t>
  </si>
  <si>
    <t>ВФЧ/Ш/У/0577</t>
  </si>
  <si>
    <t>Андрєєва Милана Дмитрівна</t>
  </si>
  <si>
    <t>Криворізький Центрально-Міський ліцей Криворізької міської ради Дніпропетровської області</t>
  </si>
  <si>
    <t>Хорольська Любов Володимирівна</t>
  </si>
  <si>
    <t>ВФЧ/Ш/У/0578</t>
  </si>
  <si>
    <t>Галушко Віталіна Максимівна</t>
  </si>
  <si>
    <t>ВФЧ/Ш/У/0579</t>
  </si>
  <si>
    <t>Литвинова Ірина Олегівна</t>
  </si>
  <si>
    <t>ВФЧ/Ш/У/0580</t>
  </si>
  <si>
    <t>Любутіна Ірина Сергіївна</t>
  </si>
  <si>
    <t>ВФЧ/Ш/У/0581</t>
  </si>
  <si>
    <t>Носаченко Анастасія Миколаївна</t>
  </si>
  <si>
    <t>ВФЧ/Ш/У/0582</t>
  </si>
  <si>
    <t>Носаченко Дар'я Миколаївна</t>
  </si>
  <si>
    <t>ВФЧ/Ш/У/0583</t>
  </si>
  <si>
    <t>Потєхіна Анастасія Ігорівна</t>
  </si>
  <si>
    <t>ВФЧ/Ш/У/0584</t>
  </si>
  <si>
    <t>Страх Анастасія Євгеніївна</t>
  </si>
  <si>
    <t>ВФЧ/Ш/У/0585</t>
  </si>
  <si>
    <t>Суворов Борис Олексійович</t>
  </si>
  <si>
    <t>ВФЧ/Ш/У/0586</t>
  </si>
  <si>
    <t>Букун Маргарита Романівна</t>
  </si>
  <si>
    <t>Криворізький природничо-науковий ліцей</t>
  </si>
  <si>
    <t>Герун Марія Іванівна</t>
  </si>
  <si>
    <t>ВФЧ/Ш/У/0587</t>
  </si>
  <si>
    <t>Гайдей Ксенія Олегівна</t>
  </si>
  <si>
    <t>ВФЧ/Ш/У/0588</t>
  </si>
  <si>
    <t>Гапон Софія Миколаївна</t>
  </si>
  <si>
    <t>ВФЧ/Ш/У/0589</t>
  </si>
  <si>
    <t>Гузієв Гліб Кирилович</t>
  </si>
  <si>
    <t>ВФЧ/Ш/У/0590</t>
  </si>
  <si>
    <t>Дикова Олена Павлівна</t>
  </si>
  <si>
    <t>ВФЧ/Ш/У/0591</t>
  </si>
  <si>
    <t>Зіньковський Максим Олексійович</t>
  </si>
  <si>
    <t>ВФЧ/Ш/У/0592</t>
  </si>
  <si>
    <t>Козлова Віолетта Валентинівна</t>
  </si>
  <si>
    <t>ВФЧ/Ш/У/0593</t>
  </si>
  <si>
    <t>Котов Андрій Юрійович</t>
  </si>
  <si>
    <t>ВФЧ/Ш/У/0594</t>
  </si>
  <si>
    <t>Матковський Андрій Олегович</t>
  </si>
  <si>
    <t>ВФЧ/Ш/У/0595</t>
  </si>
  <si>
    <t>Пашкова Юлія Андріївна</t>
  </si>
  <si>
    <t>ВФЧ/Ш/У/0596</t>
  </si>
  <si>
    <t>Півіха Маргарита Владисдавівна</t>
  </si>
  <si>
    <t>ВФЧ/Ш/У/0597</t>
  </si>
  <si>
    <t>Плєханова Діана Олександрівна</t>
  </si>
  <si>
    <t>ВФЧ/Ш/У/0598</t>
  </si>
  <si>
    <t>Погрєбна Вікторія Олександрівна</t>
  </si>
  <si>
    <t>ВФЧ/Ш/У/0599</t>
  </si>
  <si>
    <t>Попов Артемій Олександрович</t>
  </si>
  <si>
    <t>ВФЧ/Ш/У/0600</t>
  </si>
  <si>
    <t>Потапенко Ассія Миколаївна</t>
  </si>
  <si>
    <t>ВФЧ/Ш/У/0601</t>
  </si>
  <si>
    <t>Потапенко Варвара Миколаївна</t>
  </si>
  <si>
    <t>ВФЧ/Ш/У/0602</t>
  </si>
  <si>
    <t>Притула Денис Євгенович</t>
  </si>
  <si>
    <t>ВФЧ/Ш/У/0603</t>
  </si>
  <si>
    <t>Пучок Петро Петрович</t>
  </si>
  <si>
    <t>ВФЧ/Ш/У/0604</t>
  </si>
  <si>
    <t>Пушкарюк Поліна Олександрівна</t>
  </si>
  <si>
    <t>ВФЧ/Ш/У/0605</t>
  </si>
  <si>
    <t>Рибалко Денис Євгенович</t>
  </si>
  <si>
    <t>ВФЧ/Ш/У/0606</t>
  </si>
  <si>
    <t>Свідлова Маргарита Олександрівна</t>
  </si>
  <si>
    <t>ВФЧ/Ш/У/0607</t>
  </si>
  <si>
    <t>Старостін Іван Олександрович</t>
  </si>
  <si>
    <t>ВФЧ/Ш/У/0608</t>
  </si>
  <si>
    <t>Суботін Тихон Олександрович</t>
  </si>
  <si>
    <t>ВФЧ/Ш/У/0609</t>
  </si>
  <si>
    <t>Третяк Дем’ян Вячеславович</t>
  </si>
  <si>
    <t>ВФЧ/Ш/У/0610</t>
  </si>
  <si>
    <t>Федоренко Дмитро Сергійович</t>
  </si>
  <si>
    <t>ВФЧ/Ш/У/0611</t>
  </si>
  <si>
    <t>Федоров Ярослав Федорович</t>
  </si>
  <si>
    <t>ВФЧ/Ш/У/0612</t>
  </si>
  <si>
    <t>Школяренко Анна Володимирівна</t>
  </si>
  <si>
    <t>ВФЧ/Ш/У/0613</t>
  </si>
  <si>
    <t>Юрко Еліна Юріївна</t>
  </si>
  <si>
    <t>ВФЧ/Ш/У/0614</t>
  </si>
  <si>
    <t>Вінокурова Вікторія Дмитрівна</t>
  </si>
  <si>
    <t>Олександрівський ліцей Слобожанської селищної ради Дніпровського району Дніпропетровської області</t>
  </si>
  <si>
    <t>Кудирко Ольга Василівна</t>
  </si>
  <si>
    <t>ВФЧ/Ш/У/0615</t>
  </si>
  <si>
    <t>Папазов Андрій Олекандрович</t>
  </si>
  <si>
    <t>Веселівський ліцей Межівської селищної ради</t>
  </si>
  <si>
    <t>Півторацький Олександр Юрійович</t>
  </si>
  <si>
    <t>ВФЧ/Ш/У/0616</t>
  </si>
  <si>
    <t>Явтушенко Артем Миколайович</t>
  </si>
  <si>
    <t>ВФЧ/Ш/У/0617</t>
  </si>
  <si>
    <t>Степаненко Єгор Сергійович</t>
  </si>
  <si>
    <t>ВФЧ/Ш/У/0618</t>
  </si>
  <si>
    <t>Нешта Сніжана Олегівна</t>
  </si>
  <si>
    <t>ВФЧ/Ш/У/0619</t>
  </si>
  <si>
    <t>Андрухова Маргарита Сергіївна</t>
  </si>
  <si>
    <t>Дніпровський науковий фінансово-економічний ліцей Дніпровської міської ради</t>
  </si>
  <si>
    <t>Шаріпова Тетяна Володимирівна, Александрюк Тетяна Юріївна</t>
  </si>
  <si>
    <t>ВФЧ/Ш/У/0620</t>
  </si>
  <si>
    <t>Антушевич Захар Олексійович</t>
  </si>
  <si>
    <t>ВФЧ/Ш/У/0621</t>
  </si>
  <si>
    <t>Башмаков Артем Віталійович</t>
  </si>
  <si>
    <t>ВФЧ/Ш/У/0622</t>
  </si>
  <si>
    <t>Бєлова Софія Юріівна</t>
  </si>
  <si>
    <t>ВФЧ/Ш/У/0623</t>
  </si>
  <si>
    <t>Веселов Святослав Олегович</t>
  </si>
  <si>
    <t>ВФЧ/Ш/У/0624</t>
  </si>
  <si>
    <t>Грибенко Кіра Артемівна</t>
  </si>
  <si>
    <t>ВФЧ/Ш/У/0625</t>
  </si>
  <si>
    <t>Ейсмонт Аріна Павлівна</t>
  </si>
  <si>
    <t>ВФЧ/Ш/У/0626</t>
  </si>
  <si>
    <t>Єрьоміна Марія Олександрівна</t>
  </si>
  <si>
    <t>ВФЧ/Ш/У/0627</t>
  </si>
  <si>
    <t>Кравченко Антон Романович</t>
  </si>
  <si>
    <t>ВФЧ/Ш/У/0628</t>
  </si>
  <si>
    <t>Кулеба Валерій Віталійович</t>
  </si>
  <si>
    <t>ВФЧ/Ш/У/0629</t>
  </si>
  <si>
    <t>Литка Марія Євгеніївна</t>
  </si>
  <si>
    <t>ВФЧ/Ш/У/0630</t>
  </si>
  <si>
    <t>Макарова Поліна Денисівна</t>
  </si>
  <si>
    <t>ВФЧ/Ш/У/0631</t>
  </si>
  <si>
    <t>Мала Софія Сергівна</t>
  </si>
  <si>
    <t>ВФЧ/Ш/У/0632</t>
  </si>
  <si>
    <t>Мещерякова Марія Єгорівна</t>
  </si>
  <si>
    <t>ВФЧ/Ш/У/0633</t>
  </si>
  <si>
    <t>Мотика Костянтин Вячеславович</t>
  </si>
  <si>
    <t>ВФЧ/Ш/У/0634</t>
  </si>
  <si>
    <t>Мулько Артем Костянтинович</t>
  </si>
  <si>
    <t>ВФЧ/Ш/У/0635</t>
  </si>
  <si>
    <t>Орлов Андрій Сергійович</t>
  </si>
  <si>
    <t>ВФЧ/Ш/У/0636</t>
  </si>
  <si>
    <t>Потуга Софія Сергіївна</t>
  </si>
  <si>
    <t>ВФЧ/Ш/У/0637</t>
  </si>
  <si>
    <t>Ружа Аріна Ігорівна</t>
  </si>
  <si>
    <t>ВФЧ/Ш/У/0638</t>
  </si>
  <si>
    <t>Смирнов Нікіта Олексійович</t>
  </si>
  <si>
    <t>ВФЧ/Ш/У/0639</t>
  </si>
  <si>
    <t>Феськова Єлизавета Юріївна</t>
  </si>
  <si>
    <t>ВФЧ/Ш/У/0640</t>
  </si>
  <si>
    <t>Хорева Дарія Олександрівна</t>
  </si>
  <si>
    <t>ВФЧ/Ш/У/0641</t>
  </si>
  <si>
    <t>Хром Софія Євгенівна</t>
  </si>
  <si>
    <t>ВФЧ/Ш/У/0642</t>
  </si>
  <si>
    <t>Чабаненко Софія Дмитрівна</t>
  </si>
  <si>
    <t>ВФЧ/Ш/У/0643</t>
  </si>
  <si>
    <t>Черба Іван Вікторович</t>
  </si>
  <si>
    <t>ВФЧ/Ш/У/0644</t>
  </si>
  <si>
    <t>Шамова Олександра Олександрівна</t>
  </si>
  <si>
    <t>ВФЧ/Ш/У/0645</t>
  </si>
  <si>
    <t>Бурма Ілля Максимович</t>
  </si>
  <si>
    <t>ВФЧ/Ш/У/0646</t>
  </si>
  <si>
    <t>Сізюхін Єгор Дмитрович</t>
  </si>
  <si>
    <t>ВФЧ/Ш/У/0647</t>
  </si>
  <si>
    <t>Гриценко Олександр Денисович</t>
  </si>
  <si>
    <t>ВФЧ/Ш/У/0648</t>
  </si>
  <si>
    <t>Лошакова Вероніка Вадимівна</t>
  </si>
  <si>
    <t>ВФЧ/Ш/У/0649</t>
  </si>
  <si>
    <t>Маркіна Марія Євгенівна</t>
  </si>
  <si>
    <t>ВФЧ/Ш/У/0650</t>
  </si>
  <si>
    <t>Ночовка Марія Владиславівна</t>
  </si>
  <si>
    <t>ВФЧ/Ш/У/0651</t>
  </si>
  <si>
    <t>Ракша Анна Романівна</t>
  </si>
  <si>
    <t>ВФЧ/Ш/У/0652</t>
  </si>
  <si>
    <t>Свєтла Оксана Олександрівна</t>
  </si>
  <si>
    <t>ВФЧ/Ш/У/0653</t>
  </si>
  <si>
    <t>Сокальська Вероніка Миколаївна</t>
  </si>
  <si>
    <t>Криворізький ліцей №77 Криворізької міської ради</t>
  </si>
  <si>
    <t>Барзіон Владислав Ігорович</t>
  </si>
  <si>
    <t>ВФЧ/Ш/У/0654</t>
  </si>
  <si>
    <t>Половинкин Володимир Владиславович</t>
  </si>
  <si>
    <t>ВФЧ/Ш/У/0655</t>
  </si>
  <si>
    <t>Рачков Арсеній Олегович</t>
  </si>
  <si>
    <t>ВФЧ/Ш/У/0656</t>
  </si>
  <si>
    <t>Бартєнєв Євгеній Юрійович</t>
  </si>
  <si>
    <t>Дніпровський ліцей № 36 ДМР</t>
  </si>
  <si>
    <t>Кравченко Олена Валентинівна</t>
  </si>
  <si>
    <t>ВФЧ/Ш/У/0657</t>
  </si>
  <si>
    <t>Бикова Валерія Віталіївна</t>
  </si>
  <si>
    <t>ВФЧ/Ш/У/0658</t>
  </si>
  <si>
    <t>Бовкун Марія Дмитрівна</t>
  </si>
  <si>
    <t>ВФЧ/Ш/У/0659</t>
  </si>
  <si>
    <t>Грицаєнко Іван Андрійович</t>
  </si>
  <si>
    <t>ВФЧ/Ш/У/0660</t>
  </si>
  <si>
    <t>Дбар Микита Димитрійович</t>
  </si>
  <si>
    <t>ВФЧ/Ш/У/0661</t>
  </si>
  <si>
    <t>Жажко Федір Андрійович</t>
  </si>
  <si>
    <t>ВФЧ/Ш/У/0662</t>
  </si>
  <si>
    <t>Клець Дар’я Владиславівна</t>
  </si>
  <si>
    <t>ВФЧ/Ш/У/0663</t>
  </si>
  <si>
    <t>Криворучко Артем Дмитрович</t>
  </si>
  <si>
    <t>ВФЧ/Ш/У/0664</t>
  </si>
  <si>
    <t>Лямцев Олександр Сергійович</t>
  </si>
  <si>
    <t>ВФЧ/Ш/У/0665</t>
  </si>
  <si>
    <t>Матюшенко Владислав Костянтинович</t>
  </si>
  <si>
    <t>ВФЧ/Ш/У/0666</t>
  </si>
  <si>
    <t>Нельга Олександр Валерійович</t>
  </si>
  <si>
    <t>ВФЧ/Ш/У/0667</t>
  </si>
  <si>
    <t>Овчаренко Дар’я Дмитрівна</t>
  </si>
  <si>
    <t>ВФЧ/Ш/У/0668</t>
  </si>
  <si>
    <t>Педенко Артем Ігорович</t>
  </si>
  <si>
    <t>ВФЧ/Ш/У/0669</t>
  </si>
  <si>
    <t>Полівар Ілля Олексійович</t>
  </si>
  <si>
    <t>ВФЧ/Ш/У/0670</t>
  </si>
  <si>
    <t>Пономаренко Марія Олександрівна</t>
  </si>
  <si>
    <t>ВФЧ/Ш/У/0671</t>
  </si>
  <si>
    <t>Руснак Роман Сергійович</t>
  </si>
  <si>
    <t>ВФЧ/Ш/У/0672</t>
  </si>
  <si>
    <t>Стегній Дар’я Іванівна</t>
  </si>
  <si>
    <t>ВФЧ/Ш/У/0673</t>
  </si>
  <si>
    <t>Стіфонова Валерія Олегівна</t>
  </si>
  <si>
    <t>ВФЧ/Ш/У/0674</t>
  </si>
  <si>
    <t>Ящик Надія Олександрівна</t>
  </si>
  <si>
    <t>ВФЧ/Ш/У/0675</t>
  </si>
  <si>
    <t>Солоденко Любов</t>
  </si>
  <si>
    <t>Черкаський ліцей Черкаської селищної ради Самарівського району Дніпропетровської бласті</t>
  </si>
  <si>
    <t>Майстренко Дар'я Володимирівна</t>
  </si>
  <si>
    <t>ВФЧ/Ш/У/0676</t>
  </si>
  <si>
    <t>Гальчинська Діана</t>
  </si>
  <si>
    <t>ВФЧ/Ш/У/0677</t>
  </si>
  <si>
    <t>Форопонов Микола</t>
  </si>
  <si>
    <t>ВФЧ/Ш/У/0678</t>
  </si>
  <si>
    <t>Мацапула Дар'я</t>
  </si>
  <si>
    <t>ВФЧ/Ш/У/0679</t>
  </si>
  <si>
    <t>Наумичева Євгенія</t>
  </si>
  <si>
    <t>ВФЧ/Ш/У/0680</t>
  </si>
  <si>
    <t>Білокопитова Таїсія</t>
  </si>
  <si>
    <t>ВФЧ/Ш/У/0681</t>
  </si>
  <si>
    <t>Павелко Дар'я</t>
  </si>
  <si>
    <t>ВФЧ/Ш/У/0682</t>
  </si>
  <si>
    <t>Козинець Кирило</t>
  </si>
  <si>
    <t>ВФЧ/Ш/У/0683</t>
  </si>
  <si>
    <t>Багмет Катерина Денисівна</t>
  </si>
  <si>
    <t>Криворізький ліцей №95 Криворізької міської ради</t>
  </si>
  <si>
    <t>Гавриленко Любов Іванівна</t>
  </si>
  <si>
    <t>ВФЧ/Ш/У/0684</t>
  </si>
  <si>
    <t>Бережний Михайло Андрійович</t>
  </si>
  <si>
    <t>ВФЧ/Ш/У/0685</t>
  </si>
  <si>
    <t>Беспояско Єлизавета Едуардівна</t>
  </si>
  <si>
    <t>ВФЧ/Ш/У/0686</t>
  </si>
  <si>
    <t>Білаш Єлизавета Сергіївна</t>
  </si>
  <si>
    <t>ВФЧ/Ш/У/0687</t>
  </si>
  <si>
    <t>Бойко Ілля Володимирович</t>
  </si>
  <si>
    <t>ВФЧ/Ш/У/0688</t>
  </si>
  <si>
    <t>Бондар Катерина Валеріївна</t>
  </si>
  <si>
    <t>ВФЧ/Ш/У/0689</t>
  </si>
  <si>
    <t>Бражко Анастасія Олегівна</t>
  </si>
  <si>
    <t>ВФЧ/Ш/У/0690</t>
  </si>
  <si>
    <t>Брянцова Єва Юріївна</t>
  </si>
  <si>
    <t>ВФЧ/Ш/У/0691</t>
  </si>
  <si>
    <t>Власенко Дмитрій Володимирович</t>
  </si>
  <si>
    <t>ВФЧ/Ш/У/0692</t>
  </si>
  <si>
    <t>Гнатченко Артем Олегович</t>
  </si>
  <si>
    <t>ВФЧ/Ш/У/0693</t>
  </si>
  <si>
    <t>Гоголєва Софія Олександрівна</t>
  </si>
  <si>
    <t>ВФЧ/Ш/У/0694</t>
  </si>
  <si>
    <t>Головін Олександр Антонович</t>
  </si>
  <si>
    <t>ВФЧ/Ш/У/0695</t>
  </si>
  <si>
    <t>Голошапов Андрій Олександрович</t>
  </si>
  <si>
    <t>ВФЧ/Ш/У/0696</t>
  </si>
  <si>
    <t>Гомілко Анастасія Юріівна</t>
  </si>
  <si>
    <t>ВФЧ/Ш/У/0697</t>
  </si>
  <si>
    <t>Дзюба Кирило Олександрович</t>
  </si>
  <si>
    <t>ВФЧ/Ш/У/0698</t>
  </si>
  <si>
    <t>Дорнер Олександра Денисівна</t>
  </si>
  <si>
    <t>ВФЧ/Ш/У/0699</t>
  </si>
  <si>
    <t>Доценко Елла Андріївна</t>
  </si>
  <si>
    <t>ВФЧ/Ш/У/0700</t>
  </si>
  <si>
    <t>Єчина Олена Романівна</t>
  </si>
  <si>
    <t>ВФЧ/Ш/У/0701</t>
  </si>
  <si>
    <t>Железняк Софія Павлівна</t>
  </si>
  <si>
    <t>ВФЧ/Ш/У/0702</t>
  </si>
  <si>
    <t>Каракай Катерина Володимирівна</t>
  </si>
  <si>
    <t>ВФЧ/Ш/У/0703</t>
  </si>
  <si>
    <t>Карапетян Ельмір Таярович</t>
  </si>
  <si>
    <t>ВФЧ/Ш/У/0704</t>
  </si>
  <si>
    <t>Кашель Юлія Сергіївна</t>
  </si>
  <si>
    <t>ВФЧ/Ш/У/0705</t>
  </si>
  <si>
    <t>Кирилюк Ксенія Анатоліївна</t>
  </si>
  <si>
    <t>ВФЧ/Ш/У/0706</t>
  </si>
  <si>
    <t>Кіяновська Марія Миколаївна</t>
  </si>
  <si>
    <t>ВФЧ/Ш/У/0707</t>
  </si>
  <si>
    <t>Книш Аріна Сергіївна</t>
  </si>
  <si>
    <t>ВФЧ/Ш/У/0708</t>
  </si>
  <si>
    <t>Ковалевич Ельдар Едурдович</t>
  </si>
  <si>
    <t>ВФЧ/Ш/У/0709</t>
  </si>
  <si>
    <t>Козицька Руслана Вікторівна</t>
  </si>
  <si>
    <t>ВФЧ/Ш/У/0710</t>
  </si>
  <si>
    <t>Корнет Iлля Святославович</t>
  </si>
  <si>
    <t>ВФЧ/Ш/У/0711</t>
  </si>
  <si>
    <t>Короїд Марія Сергіївна</t>
  </si>
  <si>
    <t>ВФЧ/Ш/У/0712</t>
  </si>
  <si>
    <t>Кошевий Тимофій Сергійович</t>
  </si>
  <si>
    <t>ВФЧ/Ш/У/0713</t>
  </si>
  <si>
    <t>Кузнецова Кіра Олександрівна</t>
  </si>
  <si>
    <t>ВФЧ/Ш/У/0714</t>
  </si>
  <si>
    <t>Кулагіна Марія Іванівна</t>
  </si>
  <si>
    <t>ВФЧ/Ш/У/0715</t>
  </si>
  <si>
    <t>Куліков Андрій Віталійович</t>
  </si>
  <si>
    <t>ВФЧ/Ш/У/0716</t>
  </si>
  <si>
    <t>Кучер Владислав Романович</t>
  </si>
  <si>
    <t>ВФЧ/Ш/У/0717</t>
  </si>
  <si>
    <t>Лазарев Олександр Олександрович</t>
  </si>
  <si>
    <t>ВФЧ/Ш/У/0718</t>
  </si>
  <si>
    <t>Лелека Катерина Андріївна</t>
  </si>
  <si>
    <t>ВФЧ/Ш/У/0719</t>
  </si>
  <si>
    <t>Малицька Валерія Віталіївна</t>
  </si>
  <si>
    <t>ВФЧ/Ш/У/0720</t>
  </si>
  <si>
    <t>Мартинюк Кирило Віталійович</t>
  </si>
  <si>
    <t>ВФЧ/Ш/У/0721</t>
  </si>
  <si>
    <t>Махсма Олексiй Олегович</t>
  </si>
  <si>
    <t>ВФЧ/Ш/У/0722</t>
  </si>
  <si>
    <t>Меньшиков Валерій Евгенійович</t>
  </si>
  <si>
    <t>ВФЧ/Ш/У/0723</t>
  </si>
  <si>
    <t>Мороз Валерія Олегівна</t>
  </si>
  <si>
    <t>ВФЧ/Ш/У/0724</t>
  </si>
  <si>
    <t>Мусієнко Аліна Андріївна</t>
  </si>
  <si>
    <t>ВФЧ/Ш/У/0725</t>
  </si>
  <si>
    <t>Назарова Вероніка Вікторівна</t>
  </si>
  <si>
    <t>ВФЧ/Ш/У/0726</t>
  </si>
  <si>
    <t>Науменко Дарʼя Анатоліївна</t>
  </si>
  <si>
    <t>ВФЧ/Ш/У/0727</t>
  </si>
  <si>
    <t>Подвойський Андрій Олексійович</t>
  </si>
  <si>
    <t>ВФЧ/Ш/У/0728</t>
  </si>
  <si>
    <t>Полюшко Олександра Олександрівна</t>
  </si>
  <si>
    <t>ВФЧ/Ш/У/0729</t>
  </si>
  <si>
    <t>Потомахіна Діана Анатоліївна</t>
  </si>
  <si>
    <t>ВФЧ/Ш/У/0730</t>
  </si>
  <si>
    <t>Прохоров Родіон Сергійович</t>
  </si>
  <si>
    <t>ВФЧ/Ш/У/0731</t>
  </si>
  <si>
    <t>Садова Валерія Євгенівна</t>
  </si>
  <si>
    <t>ВФЧ/Ш/У/0732</t>
  </si>
  <si>
    <t>Сидорчук Єгор Анатолійович</t>
  </si>
  <si>
    <t>ВФЧ/Ш/У/0733</t>
  </si>
  <si>
    <t>Сисоєва Вероніка Костянтинівна</t>
  </si>
  <si>
    <t>ВФЧ/Ш/У/0734</t>
  </si>
  <si>
    <t>Скороход Кирило Олександрович</t>
  </si>
  <si>
    <t>ВФЧ/Ш/У/0735</t>
  </si>
  <si>
    <t>Собчук Андрій Олександрович</t>
  </si>
  <si>
    <t>ВФЧ/Ш/У/0736</t>
  </si>
  <si>
    <t>Соловйова Віталіна Олексіївна</t>
  </si>
  <si>
    <t>ВФЧ/Ш/У/0737</t>
  </si>
  <si>
    <t>Соловйова Милана Сергіївна</t>
  </si>
  <si>
    <t>ВФЧ/Ш/У/0738</t>
  </si>
  <si>
    <t>Степакін Ілля Ігорович</t>
  </si>
  <si>
    <t>ВФЧ/Ш/У/0739</t>
  </si>
  <si>
    <t>Тарасов Владислав Ігорович</t>
  </si>
  <si>
    <t>ВФЧ/Ш/У/0740</t>
  </si>
  <si>
    <t>Ткаченко Роман Романович</t>
  </si>
  <si>
    <t>ВФЧ/Ш/У/0741</t>
  </si>
  <si>
    <t>Тоцький Олексій Олексійович</t>
  </si>
  <si>
    <t>ВФЧ/Ш/У/0742</t>
  </si>
  <si>
    <t>Хміль Анастасія Сергіївна</t>
  </si>
  <si>
    <t>ВФЧ/Ш/У/0743</t>
  </si>
  <si>
    <t>Храменок Єлизавета Дмитрівна</t>
  </si>
  <si>
    <t>ВФЧ/Ш/У/0744</t>
  </si>
  <si>
    <t>Чабанов Максим Андрійович</t>
  </si>
  <si>
    <t>ВФЧ/Ш/У/0745</t>
  </si>
  <si>
    <t>Черкова Вероніка Богданівна</t>
  </si>
  <si>
    <t>ВФЧ/Ш/У/0746</t>
  </si>
  <si>
    <t>Чумак Кіра Володимирівна</t>
  </si>
  <si>
    <t>ВФЧ/Ш/У/0747</t>
  </si>
  <si>
    <t>Шапошнікова Анастасія Владиславівна</t>
  </si>
  <si>
    <t>ВФЧ/Ш/У/0748</t>
  </si>
  <si>
    <t>Шатунов Денис Андрійович</t>
  </si>
  <si>
    <t>ВФЧ/Ш/У/0749</t>
  </si>
  <si>
    <t>Швець Віталій Павлович</t>
  </si>
  <si>
    <t>ВФЧ/Ш/У/0750</t>
  </si>
  <si>
    <t>Шевстусьов Михайло Олександрович</t>
  </si>
  <si>
    <t>ВФЧ/Ш/У/0751</t>
  </si>
  <si>
    <t>Шевченко Анастасія Александровна</t>
  </si>
  <si>
    <t>ВФЧ/Ш/У/0752</t>
  </si>
  <si>
    <t>Шишманова Владислава Дмитрівна</t>
  </si>
  <si>
    <t>ВФЧ/Ш/У/0753</t>
  </si>
  <si>
    <t>Янчевський Євгеній Олегович</t>
  </si>
  <si>
    <t>ВФЧ/Ш/У/0754</t>
  </si>
  <si>
    <t>Бандурко Кирило</t>
  </si>
  <si>
    <t>Слобожанський ліцей Слобожанської селищної ради</t>
  </si>
  <si>
    <t>Мараховська Юлія Олексіївна</t>
  </si>
  <si>
    <t>ВФЧ/Ш/У/0755</t>
  </si>
  <si>
    <t>Баранник Таїсія</t>
  </si>
  <si>
    <t>ВФЧ/Ш/У/0756</t>
  </si>
  <si>
    <t>Ганжа Дар'я</t>
  </si>
  <si>
    <t>ВФЧ/Ш/У/0757</t>
  </si>
  <si>
    <t>Єрошенко Євгенія</t>
  </si>
  <si>
    <t>ВФЧ/Ш/У/0758</t>
  </si>
  <si>
    <t>Колихалов В'ячеслав</t>
  </si>
  <si>
    <t>ВФЧ/Ш/У/0759</t>
  </si>
  <si>
    <t>Комар Єгор</t>
  </si>
  <si>
    <t>ВФЧ/Ш/У/0760</t>
  </si>
  <si>
    <t>Компанієць Артем</t>
  </si>
  <si>
    <t>ВФЧ/Ш/У/0761</t>
  </si>
  <si>
    <t>Лисенко Назар</t>
  </si>
  <si>
    <t>ВФЧ/Ш/У/0762</t>
  </si>
  <si>
    <t>Машевський Дмитро</t>
  </si>
  <si>
    <t>ВФЧ/Ш/У/0763</t>
  </si>
  <si>
    <t>Новіцький Олексій</t>
  </si>
  <si>
    <t>ВФЧ/Ш/У/0764</t>
  </si>
  <si>
    <t>Нолбат Марія</t>
  </si>
  <si>
    <t>ВФЧ/Ш/У/0765</t>
  </si>
  <si>
    <t>Угланова Юлія</t>
  </si>
  <si>
    <t>ВФЧ/Ш/У/0766</t>
  </si>
  <si>
    <t>Чорногор Поліна</t>
  </si>
  <si>
    <t>ВФЧ/Ш/У/0767</t>
  </si>
  <si>
    <t>Беліков Дмитро</t>
  </si>
  <si>
    <t>ВФЧ/Ш/У/0768</t>
  </si>
  <si>
    <t>Дворецька Софія</t>
  </si>
  <si>
    <t>ВФЧ/Ш/У/0769</t>
  </si>
  <si>
    <t>Жлуктіна Марія</t>
  </si>
  <si>
    <t>ВФЧ/Ш/У/0770</t>
  </si>
  <si>
    <t>Корнілов Михайло</t>
  </si>
  <si>
    <t>ВФЧ/Ш/У/0771</t>
  </si>
  <si>
    <t>Кроткова Ксенія</t>
  </si>
  <si>
    <t>ВФЧ/Ш/У/0772</t>
  </si>
  <si>
    <t>Литвин Таїсія</t>
  </si>
  <si>
    <t>ВФЧ/Ш/У/0773</t>
  </si>
  <si>
    <t>Максименко Кароліна</t>
  </si>
  <si>
    <t>ВФЧ/Ш/У/0774</t>
  </si>
  <si>
    <t>Мараховська Валерія</t>
  </si>
  <si>
    <t>ВФЧ/Ш/У/0775</t>
  </si>
  <si>
    <t>Почепецький Максим</t>
  </si>
  <si>
    <t>ВФЧ/Ш/У/0776</t>
  </si>
  <si>
    <t>Сахно Георгій</t>
  </si>
  <si>
    <t>ВФЧ/Ш/У/0777</t>
  </si>
  <si>
    <t>Суржан Микита</t>
  </si>
  <si>
    <t>ВФЧ/Ш/У/0778</t>
  </si>
  <si>
    <t>Тищенко Антон</t>
  </si>
  <si>
    <t>ВФЧ/Ш/У/0779</t>
  </si>
  <si>
    <t>Царук Юлія</t>
  </si>
  <si>
    <t>ВФЧ/Ш/У/0780</t>
  </si>
  <si>
    <t>Чопенко Максим</t>
  </si>
  <si>
    <t>ВФЧ/Ш/У/0781</t>
  </si>
  <si>
    <t>Шовікова Аліса</t>
  </si>
  <si>
    <t>ВФЧ/Ш/У/0782</t>
  </si>
  <si>
    <t>Баєв Олександр</t>
  </si>
  <si>
    <t>ВФЧ/Ш/У/0783</t>
  </si>
  <si>
    <t>Балан Максим</t>
  </si>
  <si>
    <t>ВФЧ/Ш/У/0784</t>
  </si>
  <si>
    <t>Білодід Артем</t>
  </si>
  <si>
    <t>ВФЧ/Ш/У/0785</t>
  </si>
  <si>
    <t>Гвоздикова Надія</t>
  </si>
  <si>
    <t>ВФЧ/Ш/У/0786</t>
  </si>
  <si>
    <t>Деревянко Олег</t>
  </si>
  <si>
    <t>ВФЧ/Ш/У/0787</t>
  </si>
  <si>
    <t>Єрмак Мар'яна</t>
  </si>
  <si>
    <t>ВФЧ/Ш/У/0788</t>
  </si>
  <si>
    <t>Єрошевич Андрій</t>
  </si>
  <si>
    <t>ВФЧ/Ш/У/0789</t>
  </si>
  <si>
    <t>Костюченко Роберт</t>
  </si>
  <si>
    <t>ВФЧ/Ш/У/0790</t>
  </si>
  <si>
    <t>Лещенко Оксана</t>
  </si>
  <si>
    <t>ВФЧ/Ш/У/0791</t>
  </si>
  <si>
    <t>Лінніков Назар</t>
  </si>
  <si>
    <t>ВФЧ/Ш/У/0792</t>
  </si>
  <si>
    <t>Ліпська Марта</t>
  </si>
  <si>
    <t>ВФЧ/Ш/У/0793</t>
  </si>
  <si>
    <t>Мануйленко Давід</t>
  </si>
  <si>
    <t>ВФЧ/Ш/У/0794</t>
  </si>
  <si>
    <t>Маркотенко Данило</t>
  </si>
  <si>
    <t>ВФЧ/Ш/У/0795</t>
  </si>
  <si>
    <t>Потужна Діана</t>
  </si>
  <si>
    <t>ВФЧ/Ш/У/0796</t>
  </si>
  <si>
    <t>Пудовкіна Софія</t>
  </si>
  <si>
    <t>ВФЧ/Ш/У/0797</t>
  </si>
  <si>
    <t>Сафронюк Ніка</t>
  </si>
  <si>
    <t>ВФЧ/Ш/У/0798</t>
  </si>
  <si>
    <t>Таран Данило</t>
  </si>
  <si>
    <t>ВФЧ/Ш/У/0799</t>
  </si>
  <si>
    <t>Фоменко Артем</t>
  </si>
  <si>
    <t>ВФЧ/Ш/У/0800</t>
  </si>
  <si>
    <t>Фроліков Ігор</t>
  </si>
  <si>
    <t>ВФЧ/Ш/У/0801</t>
  </si>
  <si>
    <t>Войтович Тимофій</t>
  </si>
  <si>
    <t>ВФЧ/Ш/У/0802</t>
  </si>
  <si>
    <t>Мушинський Назар</t>
  </si>
  <si>
    <t>ВФЧ/Ш/У/0803</t>
  </si>
  <si>
    <t>Полупанова Ольга</t>
  </si>
  <si>
    <t>ВФЧ/Ш/У/0804</t>
  </si>
  <si>
    <t>Рубан Марія</t>
  </si>
  <si>
    <t>ВФЧ/Ш/У/0805</t>
  </si>
  <si>
    <t>Самойленко Мирослава</t>
  </si>
  <si>
    <t>ВФЧ/Ш/У/0806</t>
  </si>
  <si>
    <t>Ситніченко Єгор</t>
  </si>
  <si>
    <t>ВФЧ/Ш/У/0807</t>
  </si>
  <si>
    <t>Шилько Аліса</t>
  </si>
  <si>
    <t>ВФЧ/Ш/У/0808</t>
  </si>
  <si>
    <t>Константинова Христина Володимирівна</t>
  </si>
  <si>
    <t>Богданівський ліцей Богданівської сільської ради Павлоградського району Дніпропетровської області</t>
  </si>
  <si>
    <t>Борисова Марина Володимирівна</t>
  </si>
  <si>
    <t>ВФЧ/Ш/У/0809</t>
  </si>
  <si>
    <t>Дригайло Богдан В’ячеславович</t>
  </si>
  <si>
    <t>ВФЧ/Ш/У/0810</t>
  </si>
  <si>
    <t>Холод Максим Євгенович</t>
  </si>
  <si>
    <t>ВФЧ/Ш/У/0811</t>
  </si>
  <si>
    <t>Топільницька Крістіна Петрівна</t>
  </si>
  <si>
    <t>Комунальний заклад освіти «Криворізький ліцей «Джерело» Дніпропетровської обласної ради»</t>
  </si>
  <si>
    <t>Кукушкін Максим Вікторович</t>
  </si>
  <si>
    <t>ВФЧ/Ш/У/0812</t>
  </si>
  <si>
    <t>Рябой Ярослав Віталійович</t>
  </si>
  <si>
    <t>ВФЧ/Ш/У/0813</t>
  </si>
  <si>
    <t>Гніп Вікторія Олександрівна</t>
  </si>
  <si>
    <t>ВФЧ/Ш/У/0814</t>
  </si>
  <si>
    <t>Самсонов Максим Анатолійович</t>
  </si>
  <si>
    <t>ВФЧ/Ш/У/0815</t>
  </si>
  <si>
    <t>Смоляк Богдан Олександрович</t>
  </si>
  <si>
    <t>ВФЧ/Ш/У/0816</t>
  </si>
  <si>
    <t>Іваненко Єлизавета Олександрівна</t>
  </si>
  <si>
    <t>ВФЧ/Ш/У/0817</t>
  </si>
  <si>
    <t>Коваленко Олександр Віталійович</t>
  </si>
  <si>
    <t>ВФЧ/Ш/У/0818</t>
  </si>
  <si>
    <t>Васін Ілля Олександрович</t>
  </si>
  <si>
    <t>ВФЧ/Ш/У/0819</t>
  </si>
  <si>
    <t>Кияшко Ростислав Іванович</t>
  </si>
  <si>
    <t>ВФЧ/Ш/У/0820</t>
  </si>
  <si>
    <t>Васильєва Валерія Денисівна</t>
  </si>
  <si>
    <t>ВФЧ/Ш/У/0821</t>
  </si>
  <si>
    <t>Насінник Володимир Антонович</t>
  </si>
  <si>
    <t>ВФЧ/Ш/У/0822</t>
  </si>
  <si>
    <t>Медяник Нікіта Артемович</t>
  </si>
  <si>
    <t>ВФЧ/Ш/У/0823</t>
  </si>
  <si>
    <t>Онісімов Максим Дмитрович</t>
  </si>
  <si>
    <t>ВФЧ/Ш/У/0824</t>
  </si>
  <si>
    <t>Рознай Богдан Романович</t>
  </si>
  <si>
    <t>ВФЧ/Ш/У/0825</t>
  </si>
  <si>
    <t>Запєвайло Анастасія Сергіївна</t>
  </si>
  <si>
    <t>ВФЧ/Ш/У/0826</t>
  </si>
  <si>
    <t>Федорова Олександра Володимирівна</t>
  </si>
  <si>
    <t>Криворізький ліцей № 119 Криворізької міської ради</t>
  </si>
  <si>
    <t>Сеглянік Олена Михайлівна</t>
  </si>
  <si>
    <t>ВФЧ/Ш/У/0827</t>
  </si>
  <si>
    <t>Місюра Олександра</t>
  </si>
  <si>
    <t>ВФЧ/Ш/У/0828</t>
  </si>
  <si>
    <t>Тимошенко Анастасія Павлівна</t>
  </si>
  <si>
    <t>ВФЧ/Ш/У/0829</t>
  </si>
  <si>
    <t>Сміян Дарина Іванівна</t>
  </si>
  <si>
    <t>ВФЧ/Ш/У/0830</t>
  </si>
  <si>
    <t>Частокол Яна Павлівна</t>
  </si>
  <si>
    <t>ВФЧ/Ш/У/0831</t>
  </si>
  <si>
    <t>Власенко Ренат</t>
  </si>
  <si>
    <t>ВФЧ/Ш/У/0832</t>
  </si>
  <si>
    <t>Березень Кирил Віталійович</t>
  </si>
  <si>
    <t>Криворізький ліцей №81 КМР</t>
  </si>
  <si>
    <t>Приходько Галина Петрівна</t>
  </si>
  <si>
    <t>ВФЧ/Ш/У/0833</t>
  </si>
  <si>
    <t>Бєла Віолетта Артурівна</t>
  </si>
  <si>
    <t>ВФЧ/Ш/У/0834</t>
  </si>
  <si>
    <t>Близнюк Кирило Олегович</t>
  </si>
  <si>
    <t>ВФЧ/Ш/У/0835</t>
  </si>
  <si>
    <t>Гавва Еліна Сергіївна</t>
  </si>
  <si>
    <t>ВФЧ/Ш/У/0836</t>
  </si>
  <si>
    <t>Гогіна Анастасія Закірівна</t>
  </si>
  <si>
    <t>ВФЧ/Ш/У/0837</t>
  </si>
  <si>
    <t>Двигун Єгор Валерійович</t>
  </si>
  <si>
    <t>ВФЧ/Ш/У/0838</t>
  </si>
  <si>
    <t>Козак Владислав Сергійович</t>
  </si>
  <si>
    <t>ВФЧ/Ш/У/0839</t>
  </si>
  <si>
    <t>Кодинець Назар Вадимович</t>
  </si>
  <si>
    <t>ВФЧ/Ш/У/0840</t>
  </si>
  <si>
    <t>Кузнякова Юлія Сергіївна</t>
  </si>
  <si>
    <t>ВФЧ/Ш/У/0841</t>
  </si>
  <si>
    <t>Ліфер Михайло Сергійович</t>
  </si>
  <si>
    <t>ВФЧ/Ш/У/0842</t>
  </si>
  <si>
    <t>Малихіна Софія Олександрівна</t>
  </si>
  <si>
    <t>ВФЧ/Ш/У/0843</t>
  </si>
  <si>
    <t>Пигида Єва Олексіївна</t>
  </si>
  <si>
    <t>ВФЧ/Ш/У/0844</t>
  </si>
  <si>
    <t>Решетнікова Аліса Євгенівна</t>
  </si>
  <si>
    <t>ВФЧ/Ш/У/0845</t>
  </si>
  <si>
    <t>Турчин Владислав Сергійович</t>
  </si>
  <si>
    <t>ВФЧ/Ш/У/0846</t>
  </si>
  <si>
    <t>Каюн Вероніка Олександрівна</t>
  </si>
  <si>
    <t>ВФЧ/Ш/У/0847</t>
  </si>
  <si>
    <t>Борисенко Євген Іванович</t>
  </si>
  <si>
    <t>ВФЧ/Ш/У/0848</t>
  </si>
  <si>
    <t>Рощенко Микита Олександрович</t>
  </si>
  <si>
    <t>ВФЧ/Ш/У/0849</t>
  </si>
  <si>
    <t>Козмович Гліб Олександрович</t>
  </si>
  <si>
    <t>ВФЧ/Ш/У/0850</t>
  </si>
  <si>
    <t>Іванух Вероніка Олександрівна</t>
  </si>
  <si>
    <t>ВФЧ/Ш/У/0851</t>
  </si>
  <si>
    <t>Голяк Богдан Ігорович</t>
  </si>
  <si>
    <t>ВФЧ/Ш/У/0852</t>
  </si>
  <si>
    <t>Кисельов Єгор Євгенович</t>
  </si>
  <si>
    <t>Криворізький ліцей №123 Криворізької міської ради</t>
  </si>
  <si>
    <t>Субач Оксана Ігорівна</t>
  </si>
  <si>
    <t>ВФЧ/Ш/У/0853</t>
  </si>
  <si>
    <t>Богун Влада Олександрівна</t>
  </si>
  <si>
    <t>ВФЧ/Ш/У/0854</t>
  </si>
  <si>
    <t>Бовкун Віолетта Віталіївна</t>
  </si>
  <si>
    <t>ВФЧ/Ш/У/0855</t>
  </si>
  <si>
    <t>Єремейчук Аліна Євгеніївна</t>
  </si>
  <si>
    <t>ВФЧ/Ш/У/0856</t>
  </si>
  <si>
    <t>Кісільова Поліна Дмитрівна</t>
  </si>
  <si>
    <t>ВФЧ/Ш/У/0857</t>
  </si>
  <si>
    <t>Мірохіна Варвара Геннадіївна</t>
  </si>
  <si>
    <t>ВФЧ/Ш/У/0858</t>
  </si>
  <si>
    <t>Шило Данило Варелійович</t>
  </si>
  <si>
    <t>ВФЧ/Ш/У/0859</t>
  </si>
  <si>
    <t>Якубенко Марія Юріївна</t>
  </si>
  <si>
    <t>ВФЧ/Ш/У/0860</t>
  </si>
  <si>
    <t>Ментий Ангеліна Олександрівна</t>
  </si>
  <si>
    <t>ВФЧ/Ш/У/0861</t>
  </si>
  <si>
    <t>Рубаненко Вероніка Олегівна</t>
  </si>
  <si>
    <t>ВФЧ/Ш/У/0862</t>
  </si>
  <si>
    <t>Москот Аліна Валеріївна</t>
  </si>
  <si>
    <t>ВФЧ/Ш/У/0863</t>
  </si>
  <si>
    <t>Нардід Денис Сергійович</t>
  </si>
  <si>
    <t>ВФЧ/Ш/У/0864</t>
  </si>
  <si>
    <t>Слєсарєва Анастасія Геннадіївна</t>
  </si>
  <si>
    <t>ВФЧ/Ш/У/0865</t>
  </si>
  <si>
    <t>Умралієва Вікторія Вадимівна</t>
  </si>
  <si>
    <t>ВФЧ/Ш/У/0866</t>
  </si>
  <si>
    <t>Лукіна Станіслава Олександрівна</t>
  </si>
  <si>
    <t>ВФЧ/Ш/У/0867</t>
  </si>
  <si>
    <t>Приходченко Олександр Миколайович</t>
  </si>
  <si>
    <t>ВФЧ/Ш/У/0868</t>
  </si>
  <si>
    <t>Гаращенко Олександр Олександрович</t>
  </si>
  <si>
    <t>ВФЧ/Ш/У/0869</t>
  </si>
  <si>
    <t>Слободянюк Катерина Артемівна</t>
  </si>
  <si>
    <t>ВФЧ/Ш/У/0870</t>
  </si>
  <si>
    <t>Солонюк Єгор Геннадійович</t>
  </si>
  <si>
    <t>ВФЧ/Ш/У/0871</t>
  </si>
  <si>
    <t>Коник Богдан Максимович</t>
  </si>
  <si>
    <t>ВФЧ/Ш/У/0872</t>
  </si>
  <si>
    <t>Слізова Вікторія Миколаївна</t>
  </si>
  <si>
    <t>ВФЧ/Ш/У/0873</t>
  </si>
  <si>
    <t>Скворцова Сніжана Максимівна</t>
  </si>
  <si>
    <t>ВФЧ/Ш/У/0874</t>
  </si>
  <si>
    <t>Єрмачкова Владислава Андріївна</t>
  </si>
  <si>
    <t>ВФЧ/Ш/У/0875</t>
  </si>
  <si>
    <t>Мельніченко Марія Сергіївна</t>
  </si>
  <si>
    <t>ВФЧ/Ш/У/0876</t>
  </si>
  <si>
    <t>Гончаренко Альбіна Марківна</t>
  </si>
  <si>
    <t>ВФЧ/Ш/У/0877</t>
  </si>
  <si>
    <t>Єрмак Анастасія Максимівна</t>
  </si>
  <si>
    <t>ВФЧ/Ш/У/0878</t>
  </si>
  <si>
    <t>Безверха Маргарита Максимівна</t>
  </si>
  <si>
    <t>ВФЧ/Ш/У/0879</t>
  </si>
  <si>
    <t>Стеценко Богдан Володимирович</t>
  </si>
  <si>
    <t>ВФЧ/Ш/У/0880</t>
  </si>
  <si>
    <t>Обараз Марія Андріїна</t>
  </si>
  <si>
    <t>ВФЧ/Ш/У/0881</t>
  </si>
  <si>
    <t>Діденко Анастасія Сергіївна</t>
  </si>
  <si>
    <t>ВФЧ/Ш/У/0882</t>
  </si>
  <si>
    <t>Булаєва Тетяна Сергіївна</t>
  </si>
  <si>
    <t>ВФЧ/Ш/У/0883</t>
  </si>
  <si>
    <t>Горбань Анна Олександрівна</t>
  </si>
  <si>
    <t>ВФЧ/Ш/У/0884</t>
  </si>
  <si>
    <t>Дирда Микита Олександрович</t>
  </si>
  <si>
    <t>ВФЧ/Ш/У/0885</t>
  </si>
  <si>
    <t>Космін Дмитро Олександрович</t>
  </si>
  <si>
    <t>ВФЧ/Ш/У/0886</t>
  </si>
  <si>
    <t>Любчинська Вікторія Андріївна</t>
  </si>
  <si>
    <t>ВФЧ/Ш/У/0887</t>
  </si>
  <si>
    <t>Гончаров Іван Сергійович</t>
  </si>
  <si>
    <t>ВФЧ/Ш/У/0888</t>
  </si>
  <si>
    <t>Макаров Ілля Олександрович</t>
  </si>
  <si>
    <t>Краматорська спеціальна школа № 18 Донецької обласної ради</t>
  </si>
  <si>
    <t>Тимко Наталія Федорівна</t>
  </si>
  <si>
    <t>ВФЧ/Ш/У/0889</t>
  </si>
  <si>
    <t>Калініченко Кирило Олександрович</t>
  </si>
  <si>
    <t>ВФЧ/Ш/У/0890</t>
  </si>
  <si>
    <t>Курарарь Артем Сергійович</t>
  </si>
  <si>
    <t>ВФЧ/Ш/У/0891</t>
  </si>
  <si>
    <t>Жук Федір Андрійович</t>
  </si>
  <si>
    <t>ВФЧ/Ш/У/0892</t>
  </si>
  <si>
    <t>Сіпягіна Валерія Андріївна</t>
  </si>
  <si>
    <t>ВФЧ/Ш/У/0893</t>
  </si>
  <si>
    <t>Кургановський Богдан Валерійович</t>
  </si>
  <si>
    <t>ВФЧ/Ш/У/0894</t>
  </si>
  <si>
    <t>Бурлачка Кирил</t>
  </si>
  <si>
    <t>Перший Краматорський ліцей Крматорської міської ради Донецької області</t>
  </si>
  <si>
    <t>Чемерис Наталія Володимирівна</t>
  </si>
  <si>
    <t>ВФЧ/Ш/У/0895</t>
  </si>
  <si>
    <t>Кірік Маріанна</t>
  </si>
  <si>
    <t>ВФЧ/Ш/У/0896</t>
  </si>
  <si>
    <t>Майстренко Олена</t>
  </si>
  <si>
    <t>ВФЧ/Ш/У/0897</t>
  </si>
  <si>
    <t>Мушка Мелана Романівна</t>
  </si>
  <si>
    <t>ВФЧ/Ш/У/0898</t>
  </si>
  <si>
    <t>Корнієнко Аліна Вадимівна</t>
  </si>
  <si>
    <t>Удачненська загальноосвітня школа І-ІІІ ступенів Удачненської селищної ради Покровського району Донецької області</t>
  </si>
  <si>
    <t>Єфремова Світлана Миколаївна</t>
  </si>
  <si>
    <t>ВФЧ/Ш/У/0899</t>
  </si>
  <si>
    <t>Корнієнко Максим Вадимович</t>
  </si>
  <si>
    <t>ВФЧ/Ш/У/0900</t>
  </si>
  <si>
    <t>Мінаков Дмитро Олександрович</t>
  </si>
  <si>
    <t>ВФЧ/Ш/У/0901</t>
  </si>
  <si>
    <t>Кобець Вероніка Сергіївна</t>
  </si>
  <si>
    <t>ВФЧ/Ш/У/0902</t>
  </si>
  <si>
    <t>Єгоришев Сергій Леонідович</t>
  </si>
  <si>
    <t>ВФЧ/Ш/У/0903</t>
  </si>
  <si>
    <t>Костюк Дмитро Павлович</t>
  </si>
  <si>
    <t>ВФЧ/Ш/У/0904</t>
  </si>
  <si>
    <t>Пашкова Анастасія Сергіївна</t>
  </si>
  <si>
    <t>ВФЧ/Ш/У/0905</t>
  </si>
  <si>
    <t>Бабалік Кіра Геннадіївна</t>
  </si>
  <si>
    <t>Курахівський заклад загальної середньої освіти І-ІІІ ступенів №1 Курахівської міської ради Донецької області</t>
  </si>
  <si>
    <t>Павлуша Олена Іванівна</t>
  </si>
  <si>
    <t>ВФЧ/Ш/У/0906</t>
  </si>
  <si>
    <t>Борисов Герман Петрович</t>
  </si>
  <si>
    <t>ВФЧ/Ш/У/0907</t>
  </si>
  <si>
    <t>Боровець Мирослава Борисівна</t>
  </si>
  <si>
    <t>ВФЧ/Ш/У/0908</t>
  </si>
  <si>
    <t>Колесник Аліка Сергіївна</t>
  </si>
  <si>
    <t>ВФЧ/Ш/У/0909</t>
  </si>
  <si>
    <t>Маненко Анастасія Денисівна</t>
  </si>
  <si>
    <t>ВФЧ/Ш/У/0910</t>
  </si>
  <si>
    <t>Прусов Кирило Миколайович</t>
  </si>
  <si>
    <t>ВФЧ/Ш/У/0911</t>
  </si>
  <si>
    <t>Рибалка Денис Євгенович</t>
  </si>
  <si>
    <t>ВФЧ/Ш/У/0912</t>
  </si>
  <si>
    <t>Соловйов Владислав Сергійович</t>
  </si>
  <si>
    <t>ВФЧ/Ш/У/0913</t>
  </si>
  <si>
    <t>Соловйова Мілана Сергіївна</t>
  </si>
  <si>
    <t>ВФЧ/Ш/У/0914</t>
  </si>
  <si>
    <t>Фесенко Роман Андрійович</t>
  </si>
  <si>
    <t>ВФЧ/Ш/У/0915</t>
  </si>
  <si>
    <t>Цяцько Валерія Олександрівна</t>
  </si>
  <si>
    <t>ВФЧ/Ш/У/0916</t>
  </si>
  <si>
    <t>Шишкін Гліб Павлович</t>
  </si>
  <si>
    <t>ВФЧ/Ш/У/0917</t>
  </si>
  <si>
    <t>Шишкіна Олена Павлівна</t>
  </si>
  <si>
    <t>ВФЧ/Ш/У/0918</t>
  </si>
  <si>
    <t>Нестеренко Александр Сергійович</t>
  </si>
  <si>
    <t>Опорний заклад "Світлівська загальноосвітня школа I-III ступенів Добропільської міської ради Донецької області"</t>
  </si>
  <si>
    <t>Конопацька Катерина Олегівна</t>
  </si>
  <si>
    <t>ВФЧ/Ш/У/0919</t>
  </si>
  <si>
    <t>Степаненко Артем Олегович</t>
  </si>
  <si>
    <t>ВФЧ/Ш/У/0920</t>
  </si>
  <si>
    <t>Ісаков Дмитро Вікторович</t>
  </si>
  <si>
    <t>ВФЧ/Ш/У/0921</t>
  </si>
  <si>
    <t>Некрасова Катерина Миколаївна</t>
  </si>
  <si>
    <t>НВК “Ліцей із загальноосвітньою школою І-ІІІ ступенів” Костянтинівської міської ради Донецької області</t>
  </si>
  <si>
    <t>Козлова Елеонора Бахтіярівна,  Дума Світлана Іванівна</t>
  </si>
  <si>
    <t>ВФЧ/Ш/У/0922</t>
  </si>
  <si>
    <t>Казмірчук Максим Юрійович</t>
  </si>
  <si>
    <t>ВФЧ/Ш/У/0923</t>
  </si>
  <si>
    <t>Зоріна Оксана Олексіївна</t>
  </si>
  <si>
    <t>ВФЧ/Ш/У/0924</t>
  </si>
  <si>
    <t>Коровіна Поліна Олегівна</t>
  </si>
  <si>
    <t>ВФЧ/Ш/У/0925</t>
  </si>
  <si>
    <t>Онопрієнко Богдан Володимирович</t>
  </si>
  <si>
    <t>ВФЧ/Ш/У/0926</t>
  </si>
  <si>
    <t>Мултих Діана Едуардівна</t>
  </si>
  <si>
    <t>Великоновосілківська гімназія з загальноосвітньою школою І ступеня Великоновосілківської селищної ради</t>
  </si>
  <si>
    <t>Савченко Інна Миколаївна</t>
  </si>
  <si>
    <t>ВФЧ/Ш/У/0927</t>
  </si>
  <si>
    <t>Попсуй Тетяна Олександрівна</t>
  </si>
  <si>
    <t>ВФЧ/Ш/У/0928</t>
  </si>
  <si>
    <t>Денисенко Максим Віталійович</t>
  </si>
  <si>
    <t>ВФЧ/Ш/У/0929</t>
  </si>
  <si>
    <t>Верченко Валерія Валеріївна</t>
  </si>
  <si>
    <t>ВФЧ/Ш/У/0930</t>
  </si>
  <si>
    <t>Дем'яненко Максим Миколайович</t>
  </si>
  <si>
    <t>ВФЧ/Ш/У/0931</t>
  </si>
  <si>
    <t>Маліч Станіслав Володимирович</t>
  </si>
  <si>
    <t>ВФЧ/Ш/У/0932</t>
  </si>
  <si>
    <t>Остренко Данило Олексійович</t>
  </si>
  <si>
    <t>ВФЧ/Ш/У/0933</t>
  </si>
  <si>
    <t>Хорош Тимур Олегович</t>
  </si>
  <si>
    <t>ВФЧ/Ш/У/0934</t>
  </si>
  <si>
    <t>Чердаклі Марат Олександрович</t>
  </si>
  <si>
    <t>ВФЧ/Ш/У/0935</t>
  </si>
  <si>
    <t>Єгоров Максим Геннадійович</t>
  </si>
  <si>
    <t>ВФЧ/Ш/У/0936</t>
  </si>
  <si>
    <t>Борковська Єлизавета Геннадіївна</t>
  </si>
  <si>
    <t>Слов'янський педагогічний ліцей Слов'янської міської ради Донецької області</t>
  </si>
  <si>
    <t>Клименко Олена Вікторівна</t>
  </si>
  <si>
    <t>ВФЧ/Ш/У/0937</t>
  </si>
  <si>
    <t>Капінос Марія Володимирівна</t>
  </si>
  <si>
    <t>ВФЧ/Ш/У/0938</t>
  </si>
  <si>
    <t>Макаров Даніїл Артемович</t>
  </si>
  <si>
    <t>ВФЧ/Ш/У/0939</t>
  </si>
  <si>
    <t>Пішта Валерія Дмитрівна</t>
  </si>
  <si>
    <t>ВФЧ/Ш/У/0940</t>
  </si>
  <si>
    <t>Тимчук Денис Дмитрович</t>
  </si>
  <si>
    <t>ВФЧ/Ш/У/0941</t>
  </si>
  <si>
    <t>Чумаченко Валерія Віталіївна</t>
  </si>
  <si>
    <t>ВФЧ/Ш/У/0942</t>
  </si>
  <si>
    <t>Чижик Сергій</t>
  </si>
  <si>
    <t>КЗ "Маріупольська загальноосвітня школа І-ІІІ ступенів № 47 Маріупольської міської ради Донецької області"</t>
  </si>
  <si>
    <t>Добровольська Світлана Вікторівна</t>
  </si>
  <si>
    <t>ВФЧ/Ш/У/0943</t>
  </si>
  <si>
    <t>Бойко Ілля</t>
  </si>
  <si>
    <t>ВФЧ/Ш/У/0944</t>
  </si>
  <si>
    <t>Ковальова Дар'я</t>
  </si>
  <si>
    <t>ВФЧ/Ш/У/0945</t>
  </si>
  <si>
    <t>Голоядов Артем</t>
  </si>
  <si>
    <t>ВФЧ/Ш/У/0946</t>
  </si>
  <si>
    <t>Олександр Зелинський</t>
  </si>
  <si>
    <t>Слов'янський заклад загальної середньої освіти І-ІІІ ступенів № 1 Слов'янської міської ради Донецької області</t>
  </si>
  <si>
    <t>Анацька Злата Сергіївна</t>
  </si>
  <si>
    <t>ВФЧ/Ш/У/0947</t>
  </si>
  <si>
    <t>Олександра Риб'янець</t>
  </si>
  <si>
    <t>ВФЧ/Ш/У/0948</t>
  </si>
  <si>
    <t>Бондаренко Денис</t>
  </si>
  <si>
    <t>ВФЧ/Ш/У/0949</t>
  </si>
  <si>
    <t>Виходов Єлісєй</t>
  </si>
  <si>
    <t>ВФЧ/Ш/У/0950</t>
  </si>
  <si>
    <t>Дарина Шейкаш</t>
  </si>
  <si>
    <t>ВФЧ/Ш/У/0951</t>
  </si>
  <si>
    <t>Пряников Іван</t>
  </si>
  <si>
    <t>ВФЧ/Ш/У/0952</t>
  </si>
  <si>
    <t>Безручко Дар'я</t>
  </si>
  <si>
    <t>ВФЧ/Ш/У/0953</t>
  </si>
  <si>
    <t>Едуард Свитайло</t>
  </si>
  <si>
    <t>ВФЧ/Ш/У/0954</t>
  </si>
  <si>
    <t>Аліна Шейкаш</t>
  </si>
  <si>
    <t>ВФЧ/Ш/У/0955</t>
  </si>
  <si>
    <t>Микита Харчинський</t>
  </si>
  <si>
    <t>ВФЧ/Ш/У/0956</t>
  </si>
  <si>
    <t>Терешкин Іван</t>
  </si>
  <si>
    <t>ВФЧ/Ш/У/0957</t>
  </si>
  <si>
    <t>Касатський Єгор Юрійович</t>
  </si>
  <si>
    <t>НВК "Сергіївська загальноосвітня школа I-III ступенів - дошкільний навчальний заклад" Удачненської селищної ради Покровського району Донецької області</t>
  </si>
  <si>
    <t>Сорокіна Антоніна Володимирівна</t>
  </si>
  <si>
    <t>ВФЧ/Ш/У/0958</t>
  </si>
  <si>
    <t>Суханов Артем Євгенович</t>
  </si>
  <si>
    <t>ВФЧ/Ш/У/0959</t>
  </si>
  <si>
    <t>Черваньов Артем Олександрович</t>
  </si>
  <si>
    <t>ВФЧ/Ш/У/0960</t>
  </si>
  <si>
    <t>Беркут Ганна Сергіївна</t>
  </si>
  <si>
    <t>Курахівський опорний заклад загальної середньої освіти №5 Курахівської міської ради Донецької області</t>
  </si>
  <si>
    <t>Ніколаєва Наталія Вікторівна</t>
  </si>
  <si>
    <t>ВФЧ/Ш/У/0961</t>
  </si>
  <si>
    <t>Писаний Максим Максимович</t>
  </si>
  <si>
    <t>ВФЧ/Ш/У/0962</t>
  </si>
  <si>
    <t>Боровець Гліб Сергійович</t>
  </si>
  <si>
    <t>ВФЧ/Ш/У/0963</t>
  </si>
  <si>
    <t>Захаров Родіон Олексійович</t>
  </si>
  <si>
    <t>ВФЧ/Ш/У/0964</t>
  </si>
  <si>
    <t>Антонюк Станіслав Васильович</t>
  </si>
  <si>
    <t>Грозинський ліцей, Коростенської міської ради</t>
  </si>
  <si>
    <t>Лукашенко Людмила Володимирівна</t>
  </si>
  <si>
    <t>ВФЧ/Ш/У/0965</t>
  </si>
  <si>
    <t>Аравенко Софія Святославівна</t>
  </si>
  <si>
    <t>ВФЧ/Ш/У/0966</t>
  </si>
  <si>
    <t>Богородченко Крістіна Максимівна</t>
  </si>
  <si>
    <t>ВФЧ/Ш/У/0967</t>
  </si>
  <si>
    <t>Корнелюк Анастасія Ігорівна</t>
  </si>
  <si>
    <t>ВФЧ/Ш/У/0968</t>
  </si>
  <si>
    <t>Матвієнко Віктор Вікторович</t>
  </si>
  <si>
    <t>ВФЧ/Ш/У/0969</t>
  </si>
  <si>
    <t>Матвієнко Єгор Вікторович</t>
  </si>
  <si>
    <t>ВФЧ/Ш/У/0970</t>
  </si>
  <si>
    <t>Підгородинський Артем Анатолійович</t>
  </si>
  <si>
    <t>ВФЧ/Ш/У/0971</t>
  </si>
  <si>
    <t>Рудий Назар Васильович</t>
  </si>
  <si>
    <t>ВФЧ/Ш/У/0972</t>
  </si>
  <si>
    <t>Савущик Максим Петрович</t>
  </si>
  <si>
    <t>ВФЧ/Ш/У/0973</t>
  </si>
  <si>
    <t>Терещук Альбіна Олександрівна</t>
  </si>
  <si>
    <t>ВФЧ/Ш/У/0974</t>
  </si>
  <si>
    <t>Черняк Богдана Миколаївна</t>
  </si>
  <si>
    <t>ВФЧ/Ш/У/0975</t>
  </si>
  <si>
    <t>Кучерук Соломія Валеріївна</t>
  </si>
  <si>
    <t>Головинський ліцей Черняхівської селищної ради</t>
  </si>
  <si>
    <t>Бедик Ольга Михайлівна</t>
  </si>
  <si>
    <t>ВФЧ/Ш/У/0976</t>
  </si>
  <si>
    <t>Дятел Діна Богданівна</t>
  </si>
  <si>
    <t>ВФЧ/Ш/У/0977</t>
  </si>
  <si>
    <t>Войтенко Аліна Олександрівна</t>
  </si>
  <si>
    <t>ВФЧ/Ш/У/0978</t>
  </si>
  <si>
    <t>Шелігацька Вікторія Сергіївна</t>
  </si>
  <si>
    <t>ВФЧ/Ш/У/0979</t>
  </si>
  <si>
    <t>Тимошенко Віта Миколаївна</t>
  </si>
  <si>
    <t>ВФЧ/Ш/У/0980</t>
  </si>
  <si>
    <t>Якубчук Єгор Віталійович</t>
  </si>
  <si>
    <t>ВФЧ/Ш/У/0981</t>
  </si>
  <si>
    <t>Мироненко Віталій Михайлович</t>
  </si>
  <si>
    <t>ВФЧ/Ш/У/0982</t>
  </si>
  <si>
    <t>Дембіцький Денис Вікторович</t>
  </si>
  <si>
    <t>ВФЧ/Ш/У/0983</t>
  </si>
  <si>
    <t>Каленюк Володимир Вячеславович</t>
  </si>
  <si>
    <t>ВФЧ/Ш/У/0984</t>
  </si>
  <si>
    <t>Ануліч Вікторія Романівна</t>
  </si>
  <si>
    <t>Дубрівський ліцей №1 Дубрівської сільської ради Житомирської області</t>
  </si>
  <si>
    <t>Фом'юк Наталія Петрівна</t>
  </si>
  <si>
    <t>ВФЧ/Ш/У/0985</t>
  </si>
  <si>
    <t>Дейнека Аліна Володимирівна</t>
  </si>
  <si>
    <t>ВФЧ/Ш/У/0986</t>
  </si>
  <si>
    <t>Іванюк Дар'я Вікторівна</t>
  </si>
  <si>
    <t>ВФЧ/Ш/У/0987</t>
  </si>
  <si>
    <t>Іванюк Павло Юрійович</t>
  </si>
  <si>
    <t>ВФЧ/Ш/У/0988</t>
  </si>
  <si>
    <t>Ковальчук Марія Сергіївна</t>
  </si>
  <si>
    <t>ВФЧ/Ш/У/0989</t>
  </si>
  <si>
    <t>Кондрин Василина Любомирівна</t>
  </si>
  <si>
    <t>ВФЧ/Ш/У/0990</t>
  </si>
  <si>
    <t>Лук'янчук Софія Віталіївна</t>
  </si>
  <si>
    <t>ВФЧ/Ш/У/0991</t>
  </si>
  <si>
    <t>Максимович Володимир Сергійович</t>
  </si>
  <si>
    <t>ВФЧ/Ш/У/0992</t>
  </si>
  <si>
    <t>Марчук Євгеній Русланович</t>
  </si>
  <si>
    <t>ВФЧ/Ш/У/0993</t>
  </si>
  <si>
    <t>Устіновська Аліса Олександрівна</t>
  </si>
  <si>
    <t>ВФЧ/Ш/У/0994</t>
  </si>
  <si>
    <t>Соколов Рамір Федорович</t>
  </si>
  <si>
    <t>"ОКЗО Іванопільський ліцей"</t>
  </si>
  <si>
    <t>Сімашко Любов Іванівна</t>
  </si>
  <si>
    <t>ВФЧ/Ш/У/0995</t>
  </si>
  <si>
    <t>Гавловський Олег Олегович</t>
  </si>
  <si>
    <t>ВФЧ/Ш/У/0996</t>
  </si>
  <si>
    <t>Нагорний Максим Вікторович</t>
  </si>
  <si>
    <t>ВФЧ/Ш/У/0997</t>
  </si>
  <si>
    <t>Ятченко Дмитро Юрійович</t>
  </si>
  <si>
    <t>ТОВ ПЗО «Май Скул Едюкейшин»</t>
  </si>
  <si>
    <t>Петрович Віктор Володимирович</t>
  </si>
  <si>
    <t>ВФЧ/Ш/У/0998</t>
  </si>
  <si>
    <t>Савляк Роман Богданович</t>
  </si>
  <si>
    <t>ВФЧ/Ш/У/0999</t>
  </si>
  <si>
    <t>Кузьма Анна Олександрівна</t>
  </si>
  <si>
    <t>ВФЧ/Ш/У/1000</t>
  </si>
  <si>
    <t>Юрченко Єлизавета Юріївна</t>
  </si>
  <si>
    <t>ВФЧ/Ш/У/1001</t>
  </si>
  <si>
    <t>Абель Іванна-Каміла</t>
  </si>
  <si>
    <t>Мукачівська ЗОШ І-ІІІ ступенів №7</t>
  </si>
  <si>
    <t>Вожжов Сергій Анатолійович</t>
  </si>
  <si>
    <t>ВФЧ/Ш/У/1002</t>
  </si>
  <si>
    <t>Бібен Аліна</t>
  </si>
  <si>
    <t>ВФЧ/Ш/У/1003</t>
  </si>
  <si>
    <t>Бойко Дарина</t>
  </si>
  <si>
    <t>ВФЧ/Ш/У/1004</t>
  </si>
  <si>
    <t>Гулинець Ксенія</t>
  </si>
  <si>
    <t>ВФЧ/Ш/У/1005</t>
  </si>
  <si>
    <t>Заярний Давид</t>
  </si>
  <si>
    <t>ВФЧ/Ш/У/1006</t>
  </si>
  <si>
    <t>Калабішка Ніколетта</t>
  </si>
  <si>
    <t>ВФЧ/Ш/У/1007</t>
  </si>
  <si>
    <t>Луцькова Крістіна</t>
  </si>
  <si>
    <t>ВФЧ/Ш/У/1008</t>
  </si>
  <si>
    <t>Свяцький Максим</t>
  </si>
  <si>
    <t>ВФЧ/Ш/У/1009</t>
  </si>
  <si>
    <t>Созанський Артур</t>
  </si>
  <si>
    <t>ВФЧ/Ш/У/1010</t>
  </si>
  <si>
    <t>Шеверньов Артур</t>
  </si>
  <si>
    <t>ВФЧ/Ш/У/1011</t>
  </si>
  <si>
    <t>Березейчук Софія Денисівна</t>
  </si>
  <si>
    <t>Ужгородський ліцей ім. Т. Г. Шевченка Ужгородської міської ради Закарпатської області</t>
  </si>
  <si>
    <t>Мойсюк Роман Йосипович</t>
  </si>
  <si>
    <t>ВФЧ/Ш/У/1012</t>
  </si>
  <si>
    <t>Дьолог Андрій Сергійович</t>
  </si>
  <si>
    <t>ВФЧ/Ш/У/1013</t>
  </si>
  <si>
    <t>Ерфан Денис Віталійович</t>
  </si>
  <si>
    <t>ВФЧ/Ш/У/1014</t>
  </si>
  <si>
    <t>Кут Василь Васильович</t>
  </si>
  <si>
    <t>ВФЧ/Ш/У/1015</t>
  </si>
  <si>
    <t>Литвин Владислав Олександрович</t>
  </si>
  <si>
    <t>ВФЧ/Ш/У/1016</t>
  </si>
  <si>
    <t>Михайлець Андрій Сергійович</t>
  </si>
  <si>
    <t>ВФЧ/Ш/У/1017</t>
  </si>
  <si>
    <t>Сатмарі Соломія Владиславна</t>
  </si>
  <si>
    <t>ВФЧ/Ш/У/1018</t>
  </si>
  <si>
    <t>Стефанишин Микола Романович</t>
  </si>
  <si>
    <t>ВФЧ/Ш/У/1019</t>
  </si>
  <si>
    <t>Терпак Владислав Юрійович</t>
  </si>
  <si>
    <t>ВФЧ/Ш/У/1020</t>
  </si>
  <si>
    <t>Бурак Ксенія</t>
  </si>
  <si>
    <t>Концівський ліцей Холмківської сільської ради Ужгородського району Закарпатської області</t>
  </si>
  <si>
    <t>Шанта Марина Михайлівна</t>
  </si>
  <si>
    <t>ВФЧ/Ш/У/1021</t>
  </si>
  <si>
    <t>Випришко Катерина</t>
  </si>
  <si>
    <t>ВФЧ/Ш/У/1022</t>
  </si>
  <si>
    <t>Зінич Аліса</t>
  </si>
  <si>
    <t>ВФЧ/Ш/У/1023</t>
  </si>
  <si>
    <t>Крайнянська Валерія</t>
  </si>
  <si>
    <t>ВФЧ/Ш/У/1024</t>
  </si>
  <si>
    <t>Корнута Крістіна</t>
  </si>
  <si>
    <t>ВФЧ/Ш/У/1025</t>
  </si>
  <si>
    <t>Шагур Галина</t>
  </si>
  <si>
    <t>ВФЧ/Ш/У/1026</t>
  </si>
  <si>
    <t>Шагур Крістіна</t>
  </si>
  <si>
    <t>ВФЧ/Ш/У/1027</t>
  </si>
  <si>
    <t>Міовканич Себастіан</t>
  </si>
  <si>
    <t>ВФЧ/Ш/У/1028</t>
  </si>
  <si>
    <t>Алмашій Ілля Віталійович</t>
  </si>
  <si>
    <t>Залужанський ліцей Мукачівської міської ради</t>
  </si>
  <si>
    <t>Химинець Ганна Іванівна</t>
  </si>
  <si>
    <t>ВФЧ/Ш/У/1029</t>
  </si>
  <si>
    <t>Больна Анастасія Валеріївна</t>
  </si>
  <si>
    <t>ВФЧ/Ш/У/1030</t>
  </si>
  <si>
    <t>Гуралевич Віталій Леонідович</t>
  </si>
  <si>
    <t>ВФЧ/Ш/У/1031</t>
  </si>
  <si>
    <t>Лендєл Дмитро Сергійович</t>
  </si>
  <si>
    <t>ВФЧ/Ш/У/1032</t>
  </si>
  <si>
    <t>Олексик Даніелла Іванівна</t>
  </si>
  <si>
    <t>ВФЧ/Ш/У/1033</t>
  </si>
  <si>
    <t>Симчина Анастасія Миколаївна</t>
  </si>
  <si>
    <t>ВФЧ/Ш/У/1034</t>
  </si>
  <si>
    <t>Янцо Доменіка Владиславівна</t>
  </si>
  <si>
    <t>ВФЧ/Ш/У/1035</t>
  </si>
  <si>
    <t>Брода Аліна Іванівна</t>
  </si>
  <si>
    <t>Ізянський заклад загальної середньої освіти І-ІІІ ступенів</t>
  </si>
  <si>
    <t>Бабич Даніелла Михайлівна</t>
  </si>
  <si>
    <t>ВФЧ/Ш/У/1036</t>
  </si>
  <si>
    <t>Гангур Марія Дмитрівна</t>
  </si>
  <si>
    <t>ВФЧ/Ш/У/1037</t>
  </si>
  <si>
    <t>Гомечко Крістіна Василівна</t>
  </si>
  <si>
    <t>ВФЧ/Ш/У/1038</t>
  </si>
  <si>
    <t>Дума Дар'я Василівна</t>
  </si>
  <si>
    <t>ВФЧ/Ш/У/1039</t>
  </si>
  <si>
    <t>Кемінь Артем Іванович</t>
  </si>
  <si>
    <t>ВФЧ/Ш/У/1040</t>
  </si>
  <si>
    <t>Орос Владислава Володимирівна</t>
  </si>
  <si>
    <t>ВФЧ/Ш/У/1041</t>
  </si>
  <si>
    <t>Рішко Рафаїл Сергійович</t>
  </si>
  <si>
    <t>ВФЧ/Ш/У/1042</t>
  </si>
  <si>
    <t>Горбан Вікторія Михайлівна</t>
  </si>
  <si>
    <t>ВФЧ/Ш/У/1043</t>
  </si>
  <si>
    <t>Романко Анна Миколаївна</t>
  </si>
  <si>
    <t>ВФЧ/Ш/У/1044</t>
  </si>
  <si>
    <t>Щербіна Софія Іванівна</t>
  </si>
  <si>
    <t>Мукачівський ліцей Мукачівської міської ради</t>
  </si>
  <si>
    <t>Лийза Катерина Михайлівна</t>
  </si>
  <si>
    <t>ВФЧ/Ш/У/1045</t>
  </si>
  <si>
    <t>Пуга Іванна Іванівна</t>
  </si>
  <si>
    <t>ВФЧ/Ш/У/1046</t>
  </si>
  <si>
    <t>Бідзіля Яна Михайлівна</t>
  </si>
  <si>
    <t>ВФЧ/Ш/У/1047</t>
  </si>
  <si>
    <t>Плеша Евеліна Володимирівна</t>
  </si>
  <si>
    <t>ВФЧ/Ш/У/1048</t>
  </si>
  <si>
    <t>Бахмач Владислав Романович</t>
  </si>
  <si>
    <t>ВФЧ/Ш/У/1049</t>
  </si>
  <si>
    <t>Гакава Евеліна Михайлівна</t>
  </si>
  <si>
    <t>ВФЧ/Ш/У/1050</t>
  </si>
  <si>
    <t>Паук Яна Іванівна</t>
  </si>
  <si>
    <t>Рахівський заклад загальної середньої освіти І-ІІІ ступенів №3</t>
  </si>
  <si>
    <t>Козурак Галина Пертівна, Русанюк Валентин Михайлович</t>
  </si>
  <si>
    <t>ВФЧ/Ш/У/1051</t>
  </si>
  <si>
    <t>Брана Яна Василівна</t>
  </si>
  <si>
    <t>Рахівський заклад загальної середньої освіти І-ІІІ ступенів №4</t>
  </si>
  <si>
    <t>ВФЧ/Ш/У/1052</t>
  </si>
  <si>
    <t>Пукман Ганна Дмитрівна</t>
  </si>
  <si>
    <t>Рахівський заклад загальної середньої освіти І-ІІІ ступенів №5</t>
  </si>
  <si>
    <t>ВФЧ/Ш/У/1053</t>
  </si>
  <si>
    <t>Томенюк Василь Васильович</t>
  </si>
  <si>
    <t>Рахівський заклад загальної середньої освіти І-ІІІ ступенів №6</t>
  </si>
  <si>
    <t>ВФЧ/Ш/У/1054</t>
  </si>
  <si>
    <t>Арутюнян Маіс Робертович</t>
  </si>
  <si>
    <t>Ужгородський ліцей "Лідер" Ужгородської міської ради Закарпатської області</t>
  </si>
  <si>
    <t>Вороніна Наталія Григорівна</t>
  </si>
  <si>
    <t>ВФЧ/Ш/У/1055</t>
  </si>
  <si>
    <t>Бонгар Микола Іванович</t>
  </si>
  <si>
    <t>ВФЧ/Ш/У/1056</t>
  </si>
  <si>
    <t>Гайдар Софія Вадимівна</t>
  </si>
  <si>
    <t>ВФЧ/Ш/У/1057</t>
  </si>
  <si>
    <t>Гарькава Софія Андріївна</t>
  </si>
  <si>
    <t>ВФЧ/Ш/У/1058</t>
  </si>
  <si>
    <t>Горват Катерина Андріївна</t>
  </si>
  <si>
    <t>ВФЧ/Ш/У/1059</t>
  </si>
  <si>
    <t>Залом Влада-Вікторія Юріївна</t>
  </si>
  <si>
    <t>ВФЧ/Ш/У/1060</t>
  </si>
  <si>
    <t>Копач Вікторія Ростиславівна</t>
  </si>
  <si>
    <t>ВФЧ/Ш/У/1061</t>
  </si>
  <si>
    <t>Крупінець Анастасія Михайлівна</t>
  </si>
  <si>
    <t>ВФЧ/Ш/У/1062</t>
  </si>
  <si>
    <t>Куртанич Анастасія Володимирівна</t>
  </si>
  <si>
    <t>ВФЧ/Ш/У/1063</t>
  </si>
  <si>
    <t>Лисенко Дар'я Іванівна</t>
  </si>
  <si>
    <t>ВФЧ/Ш/У/1064</t>
  </si>
  <si>
    <t>Лисяк Богдан Олегович</t>
  </si>
  <si>
    <t>ВФЧ/Ш/У/1065</t>
  </si>
  <si>
    <t>Мацур Михайло Миколайович</t>
  </si>
  <si>
    <t>ВФЧ/Ш/У/1066</t>
  </si>
  <si>
    <t>Молнар Євгеній Юрійович</t>
  </si>
  <si>
    <t>ВФЧ/Ш/У/1067</t>
  </si>
  <si>
    <t>Негря Евеліна Русланівна</t>
  </si>
  <si>
    <t>ВФЧ/Ш/У/1068</t>
  </si>
  <si>
    <t>Олеськів Нікіта Арсенович</t>
  </si>
  <si>
    <t>ВФЧ/Ш/У/1069</t>
  </si>
  <si>
    <t>Повхан Дарина Іванівна</t>
  </si>
  <si>
    <t>ВФЧ/Ш/У/1070</t>
  </si>
  <si>
    <t>Тимчак Станіслав Васильович</t>
  </si>
  <si>
    <t>ВФЧ/Ш/У/1071</t>
  </si>
  <si>
    <t>Бабакіна Поліна Олександрівна</t>
  </si>
  <si>
    <t>ВФЧ/Ш/У/1072</t>
  </si>
  <si>
    <t>Зубач Софія Юріївна</t>
  </si>
  <si>
    <t>ВФЧ/Ш/У/1073</t>
  </si>
  <si>
    <t>Кудик Христина Ярославівна</t>
  </si>
  <si>
    <t>ВФЧ/Ш/У/1074</t>
  </si>
  <si>
    <t>Леган Анастасія Анатоліївна</t>
  </si>
  <si>
    <t>ВФЧ/Ш/У/1075</t>
  </si>
  <si>
    <t>Лібра Олександр Євгенович</t>
  </si>
  <si>
    <t>ВФЧ/Ш/У/1076</t>
  </si>
  <si>
    <t>Немушенко Валерія Даниїлівнуа</t>
  </si>
  <si>
    <t>ВФЧ/Ш/У/1077</t>
  </si>
  <si>
    <t>Савельєва Катерина Володимирівна</t>
  </si>
  <si>
    <t>ВФЧ/Ш/У/1078</t>
  </si>
  <si>
    <t>Тучкова Анастасія Олегівна</t>
  </si>
  <si>
    <t>ВФЧ/Ш/У/1079</t>
  </si>
  <si>
    <t>Уцин Олександр Володимирович</t>
  </si>
  <si>
    <t>ВФЧ/Ш/У/1080</t>
  </si>
  <si>
    <t>Фальч Мілена Василівна</t>
  </si>
  <si>
    <t>ВФЧ/Ш/У/1081</t>
  </si>
  <si>
    <t>Черненко Вікторія Олександрівна</t>
  </si>
  <si>
    <t>ВФЧ/Ш/У/1082</t>
  </si>
  <si>
    <t>Чиж Михайло Миколайович</t>
  </si>
  <si>
    <t>ВФЧ/Ш/У/1083</t>
  </si>
  <si>
    <t>Гаврилюк Кира Кирилівна</t>
  </si>
  <si>
    <t>Запорізька суспільно-гуманітарна гімназія № 27 Запорізької міської ради Запорізької області</t>
  </si>
  <si>
    <t>Линенко Андрій Володимирович</t>
  </si>
  <si>
    <t>ВФЧ/Ш/У/1084</t>
  </si>
  <si>
    <t>Журавський Віктор Віталійович</t>
  </si>
  <si>
    <t>ВФЧ/Ш/У/1085</t>
  </si>
  <si>
    <t>Козлов Артем Олегович</t>
  </si>
  <si>
    <t>ВФЧ/Ш/У/1086</t>
  </si>
  <si>
    <t>Макаренко Емма Павлівна</t>
  </si>
  <si>
    <t>ВФЧ/Ш/У/1087</t>
  </si>
  <si>
    <t>Мацкевич Артем Євгенович</t>
  </si>
  <si>
    <t>ВФЧ/Ш/У/1088</t>
  </si>
  <si>
    <t>Мишьяков Артемій Олександрович</t>
  </si>
  <si>
    <t>ВФЧ/Ш/У/1089</t>
  </si>
  <si>
    <t>Урлов Єгор Олександрович</t>
  </si>
  <si>
    <t>ВФЧ/Ш/У/1090</t>
  </si>
  <si>
    <t>Шевчук Данило Артурович</t>
  </si>
  <si>
    <t>ВФЧ/Ш/У/1091</t>
  </si>
  <si>
    <t>Широбоков Максим Ігорович</t>
  </si>
  <si>
    <t>ВФЧ/Ш/У/1092</t>
  </si>
  <si>
    <t>Йолкін Ярослав Романович</t>
  </si>
  <si>
    <t>Гімназія №5 "Перлина" Бердянської міської ради</t>
  </si>
  <si>
    <t>Бобошко Оксана Олександрівна</t>
  </si>
  <si>
    <t>ВФЧ/Ш/У/1093</t>
  </si>
  <si>
    <t>Курта Ольга Олександрівна</t>
  </si>
  <si>
    <t>ВФЧ/Ш/У/1094</t>
  </si>
  <si>
    <t>Ярмола Дмитро</t>
  </si>
  <si>
    <t>ВФЧ/Ш/У/1095</t>
  </si>
  <si>
    <t>Жиленко Андрій Сергійович</t>
  </si>
  <si>
    <t>Ліцей №24 Мелітопольської міської ради</t>
  </si>
  <si>
    <t>Апанасенко Світлана Юріївна</t>
  </si>
  <si>
    <t>ВФЧ/Ш/У/1096</t>
  </si>
  <si>
    <t>Глушаниця Вадим Олександрович</t>
  </si>
  <si>
    <t>Запорізька гімназія №107 Запорізької міської ради Запорізької області</t>
  </si>
  <si>
    <t>Черьомухіна Альона Олександрівна</t>
  </si>
  <si>
    <t>ВФЧ/Ш/У/1097</t>
  </si>
  <si>
    <t>Захарченко Максим Вікторович</t>
  </si>
  <si>
    <t>ВФЧ/Ш/У/1098</t>
  </si>
  <si>
    <t>Червоненко Євгеній Ярославович</t>
  </si>
  <si>
    <t>ВФЧ/Ш/У/1099</t>
  </si>
  <si>
    <t>Маляр Дар'я Юріївна</t>
  </si>
  <si>
    <t>ВФЧ/Ш/У/1100</t>
  </si>
  <si>
    <t>Шундель Анастасія Олексіївна</t>
  </si>
  <si>
    <t>ВФЧ/Ш/У/1101</t>
  </si>
  <si>
    <t>Чепинога Давид Денисович</t>
  </si>
  <si>
    <t>ВФЧ/Ш/У/1102</t>
  </si>
  <si>
    <t>Штапура Софія Євгенівна</t>
  </si>
  <si>
    <t>ВФЧ/Ш/У/1103</t>
  </si>
  <si>
    <t>Санду Сергій Віталійович</t>
  </si>
  <si>
    <t>ВФЧ/Ш/У/1104</t>
  </si>
  <si>
    <t>Бережна Вікторія Сергіївна</t>
  </si>
  <si>
    <t>ВФЧ/Ш/У/1105</t>
  </si>
  <si>
    <t>Пестов Максим Дмитрович</t>
  </si>
  <si>
    <t>ВФЧ/Ш/У/1106</t>
  </si>
  <si>
    <t>Константінова Софія Романівна</t>
  </si>
  <si>
    <t>ВФЧ/Ш/У/1107</t>
  </si>
  <si>
    <t>Пєлагейко Софія Сергіївна</t>
  </si>
  <si>
    <t>ВФЧ/Ш/У/1108</t>
  </si>
  <si>
    <t>Костенко Ярослав Валентинович</t>
  </si>
  <si>
    <t>ВФЧ/Ш/У/1109</t>
  </si>
  <si>
    <t>Вольвач Максим Юрійович</t>
  </si>
  <si>
    <t>ВФЧ/Ш/У/1110</t>
  </si>
  <si>
    <t>Замула Олександр Олександрович</t>
  </si>
  <si>
    <t>ВФЧ/Ш/У/1111</t>
  </si>
  <si>
    <t>Коломієць Роман Дмитрович</t>
  </si>
  <si>
    <t>ВФЧ/Ш/У/1112</t>
  </si>
  <si>
    <t>Шаламов Даніїл Сергійович</t>
  </si>
  <si>
    <t>ВФЧ/Ш/У/1113</t>
  </si>
  <si>
    <t>Перепелиця Максим Володимирович</t>
  </si>
  <si>
    <t>ВФЧ/Ш/У/1114</t>
  </si>
  <si>
    <t>Сіманков Кирило Артемович</t>
  </si>
  <si>
    <t>ВФЧ/Ш/У/1115</t>
  </si>
  <si>
    <t>Молібог Антон Сергійович</t>
  </si>
  <si>
    <t>ВФЧ/Ш/У/1116</t>
  </si>
  <si>
    <t>Мандрикіна Агата Юріївна</t>
  </si>
  <si>
    <t>ВФЧ/Ш/У/1117</t>
  </si>
  <si>
    <t>Левіна Олена Романівна</t>
  </si>
  <si>
    <t>Ліцей №16 Мелітопольської міської ради Запорізької області</t>
  </si>
  <si>
    <t>Трифаничева Анна Олегівна</t>
  </si>
  <si>
    <t>ВФЧ/Ш/У/1118</t>
  </si>
  <si>
    <t>Кобінчук Іван Андрійович</t>
  </si>
  <si>
    <t>ВФЧ/Ш/У/1119</t>
  </si>
  <si>
    <t>Товчигречко Аліса Кстянтинівна</t>
  </si>
  <si>
    <t>ВФЧ/Ш/У/1120</t>
  </si>
  <si>
    <t>Алексейчук Іван Сергійович</t>
  </si>
  <si>
    <t>ВФЧ/Ш/У/1121</t>
  </si>
  <si>
    <t>Машков Богдан Олександрович</t>
  </si>
  <si>
    <t>ВФЧ/Ш/У/1122</t>
  </si>
  <si>
    <t>Чумак Катерина Олегівна</t>
  </si>
  <si>
    <t>КЗ "ДНІПРОРУДНЕНСЬКА СПЕЦІАЛІЗОВАНА ШКОЛА І-ІІІ СТУПЕНІВ "СВІТОЧ" ДНІПРОРУДНЕНСЬКОЇ МІСЬКОЇ РАДИ ВАСИЛІВСЬКОГО РАЙОНУ ЗАПОРІЗЬКОЇ ОБЛАСТІ</t>
  </si>
  <si>
    <t>Сізова Тетяна Петрівна</t>
  </si>
  <si>
    <t>ВФЧ/Ш/У/1123</t>
  </si>
  <si>
    <t>Дериведмідь Єгор Сергійович</t>
  </si>
  <si>
    <t>ВФЧ/Ш/У/1124</t>
  </si>
  <si>
    <t>Дубровін Денис Іванович</t>
  </si>
  <si>
    <t>ВФЧ/Ш/У/1125</t>
  </si>
  <si>
    <t>Ошлаков Владислав Сергійович</t>
  </si>
  <si>
    <t>ВФЧ/Ш/У/1126</t>
  </si>
  <si>
    <t>Романов Данило Денисович</t>
  </si>
  <si>
    <t>ВФЧ/Ш/У/1127</t>
  </si>
  <si>
    <t>Нікітенко Валерія Олександрівна</t>
  </si>
  <si>
    <t>ВФЧ/Ш/У/1128</t>
  </si>
  <si>
    <t>Торохтій Леонід Олексійович</t>
  </si>
  <si>
    <t>ВФЧ/Ш/У/1129</t>
  </si>
  <si>
    <t>Чеверда Максим Андрійович</t>
  </si>
  <si>
    <t>ВФЧ/Ш/У/1130</t>
  </si>
  <si>
    <t>Тимков Марко Віталійович</t>
  </si>
  <si>
    <t>ВФЧ/Ш/У/1131</t>
  </si>
  <si>
    <t>Коробка Марія Олександрівна</t>
  </si>
  <si>
    <t>Комунальний заклад "Запорізька спеціалізована школа-інтернат ІІ-ІІІ ступенів "Козацький ліцей" Запорізької обласної ради</t>
  </si>
  <si>
    <t>Водоп'янов Роман Вікторович</t>
  </si>
  <si>
    <t>ВФЧ/Ш/У/1132</t>
  </si>
  <si>
    <t>Медведєва Ярослава Дмитрівна</t>
  </si>
  <si>
    <t>ВФЧ/Ш/У/1133</t>
  </si>
  <si>
    <t>Свінцицький Андрій Миколайович</t>
  </si>
  <si>
    <t>ВФЧ/Ш/У/1134</t>
  </si>
  <si>
    <t>Шевченко Марія Тарасівна</t>
  </si>
  <si>
    <t>ВФЧ/Ш/У/1135</t>
  </si>
  <si>
    <t>Бочелюк Іван Віталійович</t>
  </si>
  <si>
    <t>Науковий ліцей комунального закладу вищої освіти "Хортицька національна навчально-реабілітаційна академія" Запорізької обласної ради</t>
  </si>
  <si>
    <t>Казанцева Валентина Іванівна</t>
  </si>
  <si>
    <t>ВФЧ/Ш/У/1136</t>
  </si>
  <si>
    <t>Грінченко Максим Вікторович</t>
  </si>
  <si>
    <t>ВФЧ/Ш/У/1137</t>
  </si>
  <si>
    <t>Гуцман Вероніка Олександрівна</t>
  </si>
  <si>
    <t>ВФЧ/Ш/У/1138</t>
  </si>
  <si>
    <t>Кас'янов Мирослав Володимирович</t>
  </si>
  <si>
    <t>ВФЧ/Ш/У/1139</t>
  </si>
  <si>
    <t>Кікалова Анастасія Григорівна</t>
  </si>
  <si>
    <t>ВФЧ/Ш/У/1140</t>
  </si>
  <si>
    <t>Нетреба Богдан Олександрович</t>
  </si>
  <si>
    <t>ВФЧ/Ш/У/1141</t>
  </si>
  <si>
    <t>Павлюк Кирило Сергійович</t>
  </si>
  <si>
    <t>ВФЧ/Ш/У/1142</t>
  </si>
  <si>
    <t>Семивол Ярослав Сергійович</t>
  </si>
  <si>
    <t>ВФЧ/Ш/У/1143</t>
  </si>
  <si>
    <t>Бальва Єгор</t>
  </si>
  <si>
    <t>Запорізька спеціалізована школа І-ІІІ ст.№100 Запорізької міської ради Запорізької області</t>
  </si>
  <si>
    <t>Гурінок Марина Анатоліївна, Горбачова Олександра Олегівна</t>
  </si>
  <si>
    <t>ВФЧ/Ш/У/1144</t>
  </si>
  <si>
    <t>Смолка Богдан</t>
  </si>
  <si>
    <t>ВФЧ/Ш/У/1145</t>
  </si>
  <si>
    <t>Дмитро Костромітінов</t>
  </si>
  <si>
    <t>ВФЧ/Ш/У/1146</t>
  </si>
  <si>
    <t>Микита Коломійцев</t>
  </si>
  <si>
    <t>ВФЧ/Ш/У/1147</t>
  </si>
  <si>
    <t>Микита Ленівенко</t>
  </si>
  <si>
    <t>ВФЧ/Ш/У/1148</t>
  </si>
  <si>
    <t>Павло Коваленко</t>
  </si>
  <si>
    <t>ВФЧ/Ш/У/1149</t>
  </si>
  <si>
    <t>Аліна Ковпік</t>
  </si>
  <si>
    <t>ВФЧ/Ш/У/1150</t>
  </si>
  <si>
    <t>Дмитро Середа</t>
  </si>
  <si>
    <t>ВФЧ/Ш/У/1151</t>
  </si>
  <si>
    <t>Олександр Шлапак</t>
  </si>
  <si>
    <t>ВФЧ/Ш/У/1152</t>
  </si>
  <si>
    <t>Ірина Новодон</t>
  </si>
  <si>
    <t>ВФЧ/Ш/У/1153</t>
  </si>
  <si>
    <t>Олександра Зінько</t>
  </si>
  <si>
    <t>ВФЧ/Ш/У/1154</t>
  </si>
  <si>
    <t>Анна Остапенко</t>
  </si>
  <si>
    <t>ВФЧ/Ш/У/1155</t>
  </si>
  <si>
    <t>Владислав Котов</t>
  </si>
  <si>
    <t>ВФЧ/Ш/У/1156</t>
  </si>
  <si>
    <t>Данило Бойко</t>
  </si>
  <si>
    <t>ВФЧ/Ш/У/1157</t>
  </si>
  <si>
    <t>Ерік Уаров</t>
  </si>
  <si>
    <t>ВФЧ/Ш/У/1158</t>
  </si>
  <si>
    <t>Кирило Крівніхін</t>
  </si>
  <si>
    <t>ВФЧ/Ш/У/1159</t>
  </si>
  <si>
    <t>Михайло Безкоровайний</t>
  </si>
  <si>
    <t>ВФЧ/Ш/У/1160</t>
  </si>
  <si>
    <t>Єлізавета Шушлян</t>
  </si>
  <si>
    <t>ВФЧ/Ш/У/1161</t>
  </si>
  <si>
    <t>Вероніка Зівенко</t>
  </si>
  <si>
    <t>ВФЧ/Ш/У/1162</t>
  </si>
  <si>
    <t>Тимур Рябушко</t>
  </si>
  <si>
    <t>ВФЧ/Ш/У/1163</t>
  </si>
  <si>
    <t>Семен Александрович</t>
  </si>
  <si>
    <t>ВФЧ/Ш/У/1164</t>
  </si>
  <si>
    <t>Ілля Бузян</t>
  </si>
  <si>
    <t>ВФЧ/Ш/У/1165</t>
  </si>
  <si>
    <t>Анастасія Кущ</t>
  </si>
  <si>
    <t>ВФЧ/Ш/У/1166</t>
  </si>
  <si>
    <t>Максим Левченко</t>
  </si>
  <si>
    <t>ВФЧ/Ш/У/1167</t>
  </si>
  <si>
    <t>Дар'я Рибалко</t>
  </si>
  <si>
    <t>ВФЧ/Ш/У/1168</t>
  </si>
  <si>
    <t>Карина Саніна</t>
  </si>
  <si>
    <t>ВФЧ/Ш/У/1169</t>
  </si>
  <si>
    <t>Максим Страукас</t>
  </si>
  <si>
    <t>ВФЧ/Ш/У/1170</t>
  </si>
  <si>
    <t>Маргарита Шапошнік</t>
  </si>
  <si>
    <t>ВФЧ/Ш/У/1171</t>
  </si>
  <si>
    <t>Краснокутська Уляна</t>
  </si>
  <si>
    <t>ВФЧ/Ш/У/1172</t>
  </si>
  <si>
    <t>Лещенко Дар'я</t>
  </si>
  <si>
    <t>ВФЧ/Ш/У/1173</t>
  </si>
  <si>
    <t>Вікторія Клюба</t>
  </si>
  <si>
    <t>ВФЧ/Ш/У/1174</t>
  </si>
  <si>
    <t>Поліна Бережна</t>
  </si>
  <si>
    <t>ВФЧ/Ш/У/1175</t>
  </si>
  <si>
    <t>Ілля Лук'янов</t>
  </si>
  <si>
    <t>ВФЧ/Ш/У/1176</t>
  </si>
  <si>
    <t>Роман Павліченко</t>
  </si>
  <si>
    <t>ВФЧ/Ш/У/1177</t>
  </si>
  <si>
    <t>Євгенія Бадибіна</t>
  </si>
  <si>
    <t>ВФЧ/Ш/У/1178</t>
  </si>
  <si>
    <t>Анна Мартовод</t>
  </si>
  <si>
    <t>ВФЧ/Ш/У/1179</t>
  </si>
  <si>
    <t>Ілля Берцан</t>
  </si>
  <si>
    <t>ВФЧ/Ш/У/1180</t>
  </si>
  <si>
    <t>Деревянко Віра Володимирівна</t>
  </si>
  <si>
    <t>Комунальний заклад "Запорізька спеціалізована школа-інтернат ІІ-ІІІ ступенів "Січовий колегіум" Запорізької обласної ради</t>
  </si>
  <si>
    <t>Кравченко Ліна Миколаївна</t>
  </si>
  <si>
    <t>ВФЧ/Ш/У/1181</t>
  </si>
  <si>
    <t>Вексельман Поліна Євгенівн</t>
  </si>
  <si>
    <t>ВФЧ/Ш/У/1182</t>
  </si>
  <si>
    <t>Галич Софія Анатоліївна</t>
  </si>
  <si>
    <t>ВФЧ/Ш/У/1183</t>
  </si>
  <si>
    <t>Озерчук Тимофій Сергійович</t>
  </si>
  <si>
    <t>ВФЧ/Ш/У/1184</t>
  </si>
  <si>
    <t>Лисенко Володимир Олександрович</t>
  </si>
  <si>
    <t>ВФЧ/Ш/У/1185</t>
  </si>
  <si>
    <t>Зенькович Кіра Романівна</t>
  </si>
  <si>
    <t>ВФЧ/Ш/У/1186</t>
  </si>
  <si>
    <t>Кашевар Ярослав Михайлович</t>
  </si>
  <si>
    <t>ВФЧ/Ш/У/1187</t>
  </si>
  <si>
    <t>Федорчук Валерія Леонідівна</t>
  </si>
  <si>
    <t>ВФЧ/Ш/У/1188</t>
  </si>
  <si>
    <t>Верескун Артем Олексійович</t>
  </si>
  <si>
    <t>ВФЧ/Ш/У/1189</t>
  </si>
  <si>
    <t>Держак Анастасія Андріївна</t>
  </si>
  <si>
    <t>ВФЧ/Ш/У/1190</t>
  </si>
  <si>
    <t>Ларін Дмитро Олександрович</t>
  </si>
  <si>
    <t>ВФЧ/Ш/У/1191</t>
  </si>
  <si>
    <t>Федорченко Вікторія Андріївна</t>
  </si>
  <si>
    <t>ВФЧ/Ш/У/1192</t>
  </si>
  <si>
    <t>Цвєткова Катерина Костянтинівна</t>
  </si>
  <si>
    <t>ВФЧ/Ш/У/1193</t>
  </si>
  <si>
    <t>Гамера Микита Євгенович</t>
  </si>
  <si>
    <t>ВФЧ/Ш/У/1194</t>
  </si>
  <si>
    <t>Дідович Марія Андріївна</t>
  </si>
  <si>
    <t>ВФЧ/Ш/У/1195</t>
  </si>
  <si>
    <t>Досаєва Дарина Борисівна</t>
  </si>
  <si>
    <t>ВФЧ/Ш/У/1196</t>
  </si>
  <si>
    <t>Красилець Михайло Юрійович</t>
  </si>
  <si>
    <t>ВФЧ/Ш/У/1197</t>
  </si>
  <si>
    <t>Лоцкін Данііл Антонович</t>
  </si>
  <si>
    <t>ВФЧ/Ш/У/1198</t>
  </si>
  <si>
    <t>Мірошниченко Владислав Вікторович</t>
  </si>
  <si>
    <t>ВФЧ/Ш/У/1199</t>
  </si>
  <si>
    <t>Огар Артем Андрійович</t>
  </si>
  <si>
    <t>ВФЧ/Ш/У/1200</t>
  </si>
  <si>
    <t>Онуфрієнко Маргарита Олексіївна</t>
  </si>
  <si>
    <t>ВФЧ/Ш/У/1201</t>
  </si>
  <si>
    <t>Сізих Данило Дмитрович</t>
  </si>
  <si>
    <t>ВФЧ/Ш/У/1202</t>
  </si>
  <si>
    <t>Сімоненко Марія Сергіївна</t>
  </si>
  <si>
    <t>ВФЧ/Ш/У/1203</t>
  </si>
  <si>
    <t>Тютюнник Сергій Михайлович</t>
  </si>
  <si>
    <t>ВФЧ/Ш/У/1204</t>
  </si>
  <si>
    <t>Хуторна Софія Віталіївна</t>
  </si>
  <si>
    <t>Ліцей "Успіх" Вільнянської міської ради Запорізької області</t>
  </si>
  <si>
    <t>Скотаренко Анна Володимирівна</t>
  </si>
  <si>
    <t>ВФЧ/Ш/У/1205</t>
  </si>
  <si>
    <t>Кузьменко Ілля Антонович</t>
  </si>
  <si>
    <t>ВФЧ/Ш/У/1206</t>
  </si>
  <si>
    <t>Янковська Вікторія Олегівна</t>
  </si>
  <si>
    <t>ВФЧ/Ш/У/1207</t>
  </si>
  <si>
    <t>Мусихін Владислав Олександрович</t>
  </si>
  <si>
    <t>ВФЧ/Ш/У/1208</t>
  </si>
  <si>
    <t>Волохіна Саміра Максимівна</t>
  </si>
  <si>
    <t>Запорізький академічний ліцей № 34 Запорізької міської ради</t>
  </si>
  <si>
    <t>Ільїна Марина Євгеніївна</t>
  </si>
  <si>
    <t>ВФЧ/Ш/У/1209</t>
  </si>
  <si>
    <t>Олійник Поліна Сергіївна</t>
  </si>
  <si>
    <t>ВФЧ/Ш/У/1210</t>
  </si>
  <si>
    <t>Корольов Максим Денисович</t>
  </si>
  <si>
    <t>ВФЧ/Ш/У/1211</t>
  </si>
  <si>
    <t>Панов Вячеслав Юрійович</t>
  </si>
  <si>
    <t>ВФЧ/Ш/У/1212</t>
  </si>
  <si>
    <t>Дородних Владислав Романович</t>
  </si>
  <si>
    <t>ВФЧ/Ш/У/1213</t>
  </si>
  <si>
    <t>Капля Катерина Олександрівна</t>
  </si>
  <si>
    <t>ВФЧ/Ш/У/1214</t>
  </si>
  <si>
    <t>Польська Карина Олексіївна</t>
  </si>
  <si>
    <t>ВФЧ/Ш/У/1215</t>
  </si>
  <si>
    <t>Лякун Софія Сергіївна</t>
  </si>
  <si>
    <t>ВФЧ/Ш/У/1216</t>
  </si>
  <si>
    <t>Мазуніна Марія Сергіївна</t>
  </si>
  <si>
    <t>ВФЧ/Ш/У/1217</t>
  </si>
  <si>
    <t>Рак Анастасія Олексіївна</t>
  </si>
  <si>
    <t>ВФЧ/Ш/У/1218</t>
  </si>
  <si>
    <t>Власенко Вячеслав Андрійович</t>
  </si>
  <si>
    <t>ВФЧ/Ш/У/1219</t>
  </si>
  <si>
    <t>Стецюк Кирило Сергійович</t>
  </si>
  <si>
    <t>ВФЧ/Ш/У/1220</t>
  </si>
  <si>
    <t>Марков Михайло Сергійович</t>
  </si>
  <si>
    <t>ВФЧ/Ш/У/1221</t>
  </si>
  <si>
    <t>Бондарев Ілля Сергійович</t>
  </si>
  <si>
    <t>ВФЧ/Ш/У/1222</t>
  </si>
  <si>
    <t>Радченко Назар Романович</t>
  </si>
  <si>
    <t>ВФЧ/Ш/У/1223</t>
  </si>
  <si>
    <t>Фомінцев Дмитро Андрійович</t>
  </si>
  <si>
    <t>ВФЧ/Ш/У/1224</t>
  </si>
  <si>
    <t>Потапчук Аліна Іллівна</t>
  </si>
  <si>
    <t>ВФЧ/Ш/У/1225</t>
  </si>
  <si>
    <t>Савушкін Артем Костянтинович</t>
  </si>
  <si>
    <t>ВФЧ/Ш/У/1226</t>
  </si>
  <si>
    <t>Рубан Марія Денисівна</t>
  </si>
  <si>
    <t>ВФЧ/Ш/У/1227</t>
  </si>
  <si>
    <t>Юхно Ярослава Валеріївна</t>
  </si>
  <si>
    <t>ВФЧ/Ш/У/1228</t>
  </si>
  <si>
    <t>Сірик Іван Максимович</t>
  </si>
  <si>
    <t>ВФЧ/Ш/У/1229</t>
  </si>
  <si>
    <t>Пелех Андрій Володимирович</t>
  </si>
  <si>
    <t>ВФЧ/Ш/У/1230</t>
  </si>
  <si>
    <t>Бутков Олександр Сергійович</t>
  </si>
  <si>
    <t>ВФЧ/Ш/У/1231</t>
  </si>
  <si>
    <t>Савков Єгор Олексійович</t>
  </si>
  <si>
    <t>ВФЧ/Ш/У/1232</t>
  </si>
  <si>
    <t>Широков Максим Миколайович</t>
  </si>
  <si>
    <t>ВФЧ/Ш/У/1233</t>
  </si>
  <si>
    <t>Соляненко Анна Олександрівна</t>
  </si>
  <si>
    <t>ВФЧ/Ш/У/1234</t>
  </si>
  <si>
    <t>Миронюк Валерія Олегівна</t>
  </si>
  <si>
    <t>ВФЧ/Ш/У/1235</t>
  </si>
  <si>
    <t>Чекір Марія Сергіївна</t>
  </si>
  <si>
    <t>ВФЧ/Ш/У/1236</t>
  </si>
  <si>
    <t>Коломейчук Вероніка Олександрівна</t>
  </si>
  <si>
    <t>ВФЧ/Ш/У/1237</t>
  </si>
  <si>
    <t>Павлов Віталій Романович</t>
  </si>
  <si>
    <t>ВФЧ/Ш/У/1238</t>
  </si>
  <si>
    <t>Процько Маргарита Василівна</t>
  </si>
  <si>
    <t>ВФЧ/Ш/У/1239</t>
  </si>
  <si>
    <t>Гаркавенко Катерина Іванівна</t>
  </si>
  <si>
    <t>ВФЧ/Ш/У/1240</t>
  </si>
  <si>
    <t>Міщенко Іван Максимович</t>
  </si>
  <si>
    <t>ВФЧ/Ш/У/1241</t>
  </si>
  <si>
    <t>Коломейчук Денис Олександрович</t>
  </si>
  <si>
    <t>ВФЧ/Ш/У/1242</t>
  </si>
  <si>
    <t>Дубенко Єлізавета Павлівна</t>
  </si>
  <si>
    <t>ВФЧ/Ш/У/1243</t>
  </si>
  <si>
    <t>Потапова Діана Сергіївна</t>
  </si>
  <si>
    <t>ВФЧ/Ш/У/1244</t>
  </si>
  <si>
    <t>Коваленко Максим Анатолійович</t>
  </si>
  <si>
    <t>ВФЧ/Ш/У/1245</t>
  </si>
  <si>
    <t>Поліна Худолій Сергіївна</t>
  </si>
  <si>
    <t>ВФЧ/Ш/У/1246</t>
  </si>
  <si>
    <t>Гусаров Ілля Олегович</t>
  </si>
  <si>
    <t>ВФЧ/Ш/У/1247</t>
  </si>
  <si>
    <t>Шпак Наум Віталійович</t>
  </si>
  <si>
    <t>ВФЧ/Ш/У/1248</t>
  </si>
  <si>
    <t>Чемоданова Ярослава Станіславівна</t>
  </si>
  <si>
    <t>ВФЧ/Ш/У/1249</t>
  </si>
  <si>
    <t>Кузичева Ангеліна Олександрівна</t>
  </si>
  <si>
    <t>ВФЧ/Ш/У/1250</t>
  </si>
  <si>
    <t>Щукін Руслан Олегович</t>
  </si>
  <si>
    <t>ВФЧ/Ш/У/1251</t>
  </si>
  <si>
    <t>Москаленко Юлія Володимирівна</t>
  </si>
  <si>
    <t>Ліцей "Всесвіт" Матвіївської сільської ради</t>
  </si>
  <si>
    <t>Третяк Світлана Василівна</t>
  </si>
  <si>
    <t>ВФЧ/Ш/У/1252</t>
  </si>
  <si>
    <t>Рабешко Єлизавета Вадимівна</t>
  </si>
  <si>
    <t>ВФЧ/Ш/У/1253</t>
  </si>
  <si>
    <t>Рибіна Софія Андріївна</t>
  </si>
  <si>
    <t>ВФЧ/Ш/У/1254</t>
  </si>
  <si>
    <t>Фролов Назар Денисович</t>
  </si>
  <si>
    <t>ВФЧ/Ш/У/1255</t>
  </si>
  <si>
    <t>Бойченко Анастасія Олександрівна</t>
  </si>
  <si>
    <t>ВФЧ/Ш/У/1256</t>
  </si>
  <si>
    <t>Кармазь Поліна Євгенівна</t>
  </si>
  <si>
    <t>ВФЧ/Ш/У/1257</t>
  </si>
  <si>
    <t>Анацький Данило Володимирович</t>
  </si>
  <si>
    <t>ВФЧ/Ш/У/1258</t>
  </si>
  <si>
    <t>Коріневська Валерія Володимирівна</t>
  </si>
  <si>
    <t>ВФЧ/Ш/У/1259</t>
  </si>
  <si>
    <t>Щербакова Поліна Андріївна</t>
  </si>
  <si>
    <t>ВФЧ/Ш/У/1260</t>
  </si>
  <si>
    <t>Яскульська Божена Вікторівна</t>
  </si>
  <si>
    <t>ВФЧ/Ш/У/1261</t>
  </si>
  <si>
    <t>Старікова Аліна Володимирівна</t>
  </si>
  <si>
    <t>ВФЧ/Ш/У/1262</t>
  </si>
  <si>
    <t>Козаченко анна Володимирівна</t>
  </si>
  <si>
    <t>ВФЧ/Ш/У/1263</t>
  </si>
  <si>
    <t>Коваленко Максим Олександрович</t>
  </si>
  <si>
    <t>ВФЧ/Ш/У/1264</t>
  </si>
  <si>
    <t>Ільїн Олег Владиславович</t>
  </si>
  <si>
    <t>ВФЧ/Ш/У/1265</t>
  </si>
  <si>
    <t>Старцева Марія Дмитрівна</t>
  </si>
  <si>
    <t>Бердянський ліцей "Сузір'я" Бердянської міської ради Запорізької області</t>
  </si>
  <si>
    <t>Сидорук Олександра Олександрівна</t>
  </si>
  <si>
    <t>ВФЧ/Ш/У/1266</t>
  </si>
  <si>
    <t>Філін Єгор Володимирович</t>
  </si>
  <si>
    <t>ВФЧ/Ш/У/1267</t>
  </si>
  <si>
    <t>Гончар Дар'я Вадимівна</t>
  </si>
  <si>
    <t>ВФЧ/Ш/У/1268</t>
  </si>
  <si>
    <t>Новіков Дмитро Олексійович</t>
  </si>
  <si>
    <t>ВФЧ/Ш/У/1269</t>
  </si>
  <si>
    <t>Гомзікова Марія Євгенівна</t>
  </si>
  <si>
    <t>ВФЧ/Ш/У/1270</t>
  </si>
  <si>
    <t>Свідрак Михайло Андрійович</t>
  </si>
  <si>
    <t>Івано-Франківський приватний заклад ліцей "ВС СКУЛ"</t>
  </si>
  <si>
    <t>Сисак Марія Миколаївна</t>
  </si>
  <si>
    <t>ВФЧ/Ш/У/1271</t>
  </si>
  <si>
    <t>Радиш Надія Ігорівна</t>
  </si>
  <si>
    <t>Косівський ліцей номер 2 імені Михайла Павлика</t>
  </si>
  <si>
    <t>Яремин Олександра Ярославівна</t>
  </si>
  <si>
    <t>ВФЧ/Ш/У/1272</t>
  </si>
  <si>
    <t>Букатка Ілля Іванович</t>
  </si>
  <si>
    <t>ВФЧ/Ш/У/1273</t>
  </si>
  <si>
    <t>Чайковська Емілія Вікторівна</t>
  </si>
  <si>
    <t>ВФЧ/Ш/У/1274</t>
  </si>
  <si>
    <t>Полюк Андріан Андрійович</t>
  </si>
  <si>
    <t>ВФЧ/Ш/У/1275</t>
  </si>
  <si>
    <t>Томенко Андрій Сергійович</t>
  </si>
  <si>
    <t>ВФЧ/Ш/У/1276</t>
  </si>
  <si>
    <t>Закірова Злата Станіславівна</t>
  </si>
  <si>
    <t>ВФЧ/Ш/У/1277</t>
  </si>
  <si>
    <t>Шевчик Денис Андрійович</t>
  </si>
  <si>
    <t>ВФЧ/Ш/У/1278</t>
  </si>
  <si>
    <t>Полагнюк Соломія Петрівна</t>
  </si>
  <si>
    <t>ВФЧ/Ш/У/1279</t>
  </si>
  <si>
    <t>Стратійчук Ярослав Андрійович</t>
  </si>
  <si>
    <t>ВФЧ/Ш/У/1280</t>
  </si>
  <si>
    <t>Рудак Альбіна Віталіївна</t>
  </si>
  <si>
    <t>ВФЧ/Ш/У/1281</t>
  </si>
  <si>
    <t>Лущ Кароліна Іванівна</t>
  </si>
  <si>
    <t>Калуський ліцей №2</t>
  </si>
  <si>
    <t>Головчак Галина Іванівна</t>
  </si>
  <si>
    <t>ВФЧ/Ш/У/1282</t>
  </si>
  <si>
    <t>Гаразд Андрій Святославович</t>
  </si>
  <si>
    <t>ВФЧ/Ш/У/1283</t>
  </si>
  <si>
    <t>Шост Вікторія Павлівна</t>
  </si>
  <si>
    <t>ВФЧ/Ш/У/1284</t>
  </si>
  <si>
    <t>Пілянський Тимур Сергійович</t>
  </si>
  <si>
    <t>ВФЧ/Ш/У/1285</t>
  </si>
  <si>
    <t>Пукаляк Марія Семенівна</t>
  </si>
  <si>
    <t>ВФЧ/Ш/У/1286</t>
  </si>
  <si>
    <t>Атаманчук Марія Ігорівна</t>
  </si>
  <si>
    <t>ВФЧ/Ш/У/1287</t>
  </si>
  <si>
    <t>Курілова Христина Олегівна</t>
  </si>
  <si>
    <t>ВФЧ/Ш/У/1288</t>
  </si>
  <si>
    <t>Федус Назарій Олегович</t>
  </si>
  <si>
    <t>ВФЧ/Ш/У/1289</t>
  </si>
  <si>
    <t>Сисак Святослав Олегович</t>
  </si>
  <si>
    <t>ВФЧ/Ш/У/1290</t>
  </si>
  <si>
    <t>Кохман Ангеліна Дмитрівна</t>
  </si>
  <si>
    <t>ВФЧ/Ш/У/1291</t>
  </si>
  <si>
    <t>Василів Максим Володимирович</t>
  </si>
  <si>
    <t>ВФЧ/Ш/У/1292</t>
  </si>
  <si>
    <t>Сурудін Богдан Миколайович</t>
  </si>
  <si>
    <t>ВФЧ/Ш/У/1293</t>
  </si>
  <si>
    <t>Навальковська Наталія Назарівна</t>
  </si>
  <si>
    <t>ВФЧ/Ш/У/1294</t>
  </si>
  <si>
    <t>Крашевська Єва Тарасівна</t>
  </si>
  <si>
    <t>ВФЧ/Ш/У/1295</t>
  </si>
  <si>
    <t>Петрів Вікторія Миколаївна</t>
  </si>
  <si>
    <t>ВФЧ/Ш/У/1296</t>
  </si>
  <si>
    <t>Рим Вікторія Андріївна</t>
  </si>
  <si>
    <t>ВФЧ/Ш/У/1297</t>
  </si>
  <si>
    <t>Араксінен Володимир Миколайович</t>
  </si>
  <si>
    <t>ВФЧ/Ш/У/1298</t>
  </si>
  <si>
    <t>Данів Вікторія Романівна</t>
  </si>
  <si>
    <t>ВФЧ/Ш/У/1299</t>
  </si>
  <si>
    <t>Мудрик Тамара Андріївна</t>
  </si>
  <si>
    <t>ВФЧ/Ш/У/1300</t>
  </si>
  <si>
    <t>Богдан Віолетта Крістіна</t>
  </si>
  <si>
    <t>ВФЧ/Ш/У/1301</t>
  </si>
  <si>
    <t>Ільків Тетяна Богданівна</t>
  </si>
  <si>
    <t>ВФЧ/Ш/У/1302</t>
  </si>
  <si>
    <t>Шевчук Марія Петрівна</t>
  </si>
  <si>
    <t>ВФЧ/Ш/У/1303</t>
  </si>
  <si>
    <t>Паньків Анастасія Олегівна</t>
  </si>
  <si>
    <t>ВФЧ/Ш/У/1304</t>
  </si>
  <si>
    <t>Марущак Максим Олегович</t>
  </si>
  <si>
    <t>ВФЧ/Ш/У/1305</t>
  </si>
  <si>
    <t>Босович Сергій Євгенович</t>
  </si>
  <si>
    <t>ВФЧ/Ш/У/1306</t>
  </si>
  <si>
    <t>Пасічник Роксолана Олегівна</t>
  </si>
  <si>
    <t>ВФЧ/Ш/У/1307</t>
  </si>
  <si>
    <t>Лучка Неоніла Володимирівна</t>
  </si>
  <si>
    <t>ВФЧ/Ш/У/1308</t>
  </si>
  <si>
    <t>Журибіда Ольга Олександрівна</t>
  </si>
  <si>
    <t>ВФЧ/Ш/У/1309</t>
  </si>
  <si>
    <t>Баранівська Вікторія Богданівна</t>
  </si>
  <si>
    <t>ВФЧ/Ш/У/1310</t>
  </si>
  <si>
    <t>Тимчишин Владислава Олегівна</t>
  </si>
  <si>
    <t>ВФЧ/Ш/У/1311</t>
  </si>
  <si>
    <t>Терьошина Поліна Олегівна</t>
  </si>
  <si>
    <t>ВФЧ/Ш/У/1312</t>
  </si>
  <si>
    <t>Дякун Ірина Михайлівна</t>
  </si>
  <si>
    <t>ВФЧ/Ш/У/1313</t>
  </si>
  <si>
    <t>Кишляк Андрій Васильович</t>
  </si>
  <si>
    <t>ВФЧ/Ш/У/1314</t>
  </si>
  <si>
    <t>Положенцев Руслан Ігорович</t>
  </si>
  <si>
    <t>ВФЧ/Ш/У/1315</t>
  </si>
  <si>
    <t>Кушлик Назар Любомирович</t>
  </si>
  <si>
    <t>ВФЧ/Ш/У/1316</t>
  </si>
  <si>
    <t>Тринчій Евеліна Олегівна</t>
  </si>
  <si>
    <t>ВФЧ/Ш/У/1317</t>
  </si>
  <si>
    <t>Карабан Анна Дмитрівна</t>
  </si>
  <si>
    <t>ВФЧ/Ш/У/1318</t>
  </si>
  <si>
    <t>Березовська Софія Сергіївна</t>
  </si>
  <si>
    <t>ВФЧ/Ш/У/1319</t>
  </si>
  <si>
    <t>Бахматюк Владислава Ігорівна</t>
  </si>
  <si>
    <t>Коломийський ліцей №9 Коломийської міської ради</t>
  </si>
  <si>
    <t>Юр'як Роман Іванович</t>
  </si>
  <si>
    <t>ВФЧ/Ш/У/1320</t>
  </si>
  <si>
    <t>Гринюк Соломія Ярославівна</t>
  </si>
  <si>
    <t>ВФЧ/Ш/У/1321</t>
  </si>
  <si>
    <t>Дячук Ілля Васильович</t>
  </si>
  <si>
    <t>ВФЧ/Ш/У/1322</t>
  </si>
  <si>
    <t>Міляр Богдан Ярославович</t>
  </si>
  <si>
    <t>ВФЧ/Ш/У/1323</t>
  </si>
  <si>
    <t>Ферчук Юрій Васильович</t>
  </si>
  <si>
    <t>ВФЧ/Ш/У/1324</t>
  </si>
  <si>
    <t>Семенюк Андрій Володимирович</t>
  </si>
  <si>
    <t>ВФЧ/Ш/У/1325</t>
  </si>
  <si>
    <t>Геник Вадим Васильович</t>
  </si>
  <si>
    <t>ВФЧ/Ш/У/1326</t>
  </si>
  <si>
    <t>Білецька Анастасія</t>
  </si>
  <si>
    <t>Надвірнянський ліцей "Престиж" Надвірнянської міської ради Івано-Франківської області</t>
  </si>
  <si>
    <t>Ковальчук Олег Олексійович</t>
  </si>
  <si>
    <t>ВФЧ/Ш/У/1327</t>
  </si>
  <si>
    <t>Винник Роман</t>
  </si>
  <si>
    <t>ВФЧ/Ш/У/1328</t>
  </si>
  <si>
    <t>Вінтоняк Валерія</t>
  </si>
  <si>
    <t>ВФЧ/Ш/У/1329</t>
  </si>
  <si>
    <t>Вінтоняк Степан</t>
  </si>
  <si>
    <t>ВФЧ/Ш/У/1330</t>
  </si>
  <si>
    <t>Волошенюк Анастасія</t>
  </si>
  <si>
    <t>ВФЧ/Ш/У/1331</t>
  </si>
  <si>
    <t>Гаврилів Юлія</t>
  </si>
  <si>
    <t>ВФЧ/Ш/У/1332</t>
  </si>
  <si>
    <t>Глухий Мирослав</t>
  </si>
  <si>
    <t>ВФЧ/Ш/У/1333</t>
  </si>
  <si>
    <t>Римарук Владислав</t>
  </si>
  <si>
    <t>ВФЧ/Ш/У/1334</t>
  </si>
  <si>
    <t>Григораш Анастасія</t>
  </si>
  <si>
    <t>ВФЧ/Ш/У/1335</t>
  </si>
  <si>
    <t>Гуменюк Вероніка</t>
  </si>
  <si>
    <t>ВФЧ/Ш/У/1336</t>
  </si>
  <si>
    <t>Дем'янчук Катерина</t>
  </si>
  <si>
    <t>ВФЧ/Ш/У/1337</t>
  </si>
  <si>
    <t>Дмитрук Ілона</t>
  </si>
  <si>
    <t>ВФЧ/Ш/У/1338</t>
  </si>
  <si>
    <t>Дячук Андрій</t>
  </si>
  <si>
    <t>ВФЧ/Ш/У/1339</t>
  </si>
  <si>
    <t>Завацький Роман</t>
  </si>
  <si>
    <t>ВФЧ/Ш/У/1340</t>
  </si>
  <si>
    <t>Зварич Андрій</t>
  </si>
  <si>
    <t>ВФЧ/Ш/У/1341</t>
  </si>
  <si>
    <t>Зеленчук Віра</t>
  </si>
  <si>
    <t>ВФЧ/Ш/У/1342</t>
  </si>
  <si>
    <t>Кібаш Богдан</t>
  </si>
  <si>
    <t>ВФЧ/Ш/У/1343</t>
  </si>
  <si>
    <t>Космірак Всеволод</t>
  </si>
  <si>
    <t>ВФЧ/Ш/У/1344</t>
  </si>
  <si>
    <t>Кочержук Галина</t>
  </si>
  <si>
    <t>ВФЧ/Ш/У/1345</t>
  </si>
  <si>
    <t>Левицька Андріана</t>
  </si>
  <si>
    <t>ВФЧ/Ш/У/1346</t>
  </si>
  <si>
    <t>Нагорний Дмитро</t>
  </si>
  <si>
    <t>ВФЧ/Ш/У/1347</t>
  </si>
  <si>
    <t>Осипенко Віра</t>
  </si>
  <si>
    <t>ВФЧ/Ш/У/1348</t>
  </si>
  <si>
    <t>Паньків Олег</t>
  </si>
  <si>
    <t>ВФЧ/Ш/У/1349</t>
  </si>
  <si>
    <t>Попович Денис</t>
  </si>
  <si>
    <t>ВФЧ/Ш/У/1350</t>
  </si>
  <si>
    <t>Саміляк Андріана</t>
  </si>
  <si>
    <t>ВФЧ/Ш/У/1351</t>
  </si>
  <si>
    <t>Середюк Анна</t>
  </si>
  <si>
    <t>ВФЧ/Ш/У/1352</t>
  </si>
  <si>
    <t>Срайчук Максим</t>
  </si>
  <si>
    <t>ВФЧ/Ш/У/1353</t>
  </si>
  <si>
    <t>Угринюк Станіслав</t>
  </si>
  <si>
    <t>ВФЧ/Ш/У/1354</t>
  </si>
  <si>
    <t>Юрчило Антоніна</t>
  </si>
  <si>
    <t>ВФЧ/Ш/У/1355</t>
  </si>
  <si>
    <t>Андрусяк Максим</t>
  </si>
  <si>
    <t>ВФЧ/Ш/У/1356</t>
  </si>
  <si>
    <t>Байляк Ольга</t>
  </si>
  <si>
    <t>ВФЧ/Ш/У/1357</t>
  </si>
  <si>
    <t>Баюрчак Катя</t>
  </si>
  <si>
    <t>ВФЧ/Ш/У/1358</t>
  </si>
  <si>
    <t>Вірста Вікторія</t>
  </si>
  <si>
    <t>ВФЧ/Ш/У/1359</t>
  </si>
  <si>
    <t>Вислюк Святослав</t>
  </si>
  <si>
    <t>ВФЧ/Ш/У/1360</t>
  </si>
  <si>
    <t>Гавриліва Нестор</t>
  </si>
  <si>
    <t>ВФЧ/Ш/У/1361</t>
  </si>
  <si>
    <t>Глинчак Лідія</t>
  </si>
  <si>
    <t>ВФЧ/Ш/У/1362</t>
  </si>
  <si>
    <t>Гуцько Юлія</t>
  </si>
  <si>
    <t>ВФЧ/Ш/У/1363</t>
  </si>
  <si>
    <t>Декрет Валентина</t>
  </si>
  <si>
    <t>ВФЧ/Ш/У/1364</t>
  </si>
  <si>
    <t>Демедюк Ярина</t>
  </si>
  <si>
    <t>ВФЧ/Ш/У/1365</t>
  </si>
  <si>
    <t>Дмитрук Марта</t>
  </si>
  <si>
    <t>ВФЧ/Ш/У/1366</t>
  </si>
  <si>
    <t>Дроздик Микола</t>
  </si>
  <si>
    <t>ВФЧ/Ш/У/1367</t>
  </si>
  <si>
    <t>Жога Олександр</t>
  </si>
  <si>
    <t>ВФЧ/Ш/У/1368</t>
  </si>
  <si>
    <t>Зеленчук Софія</t>
  </si>
  <si>
    <t>ВФЧ/Ш/У/1369</t>
  </si>
  <si>
    <t>Іванишин Вікторія</t>
  </si>
  <si>
    <t>ВФЧ/Ш/У/1370</t>
  </si>
  <si>
    <t>Климюк Марина</t>
  </si>
  <si>
    <t>ВФЧ/Ш/У/1371</t>
  </si>
  <si>
    <t>Кочержук Владислав</t>
  </si>
  <si>
    <t>ВФЧ/Ш/У/1372</t>
  </si>
  <si>
    <t>Легкий Олег</t>
  </si>
  <si>
    <t>ВФЧ/Ш/У/1373</t>
  </si>
  <si>
    <t>Литвинюк Софія</t>
  </si>
  <si>
    <t>ВФЧ/Ш/У/1374</t>
  </si>
  <si>
    <t>Лундяк Олександр</t>
  </si>
  <si>
    <t>ВФЧ/Ш/У/1375</t>
  </si>
  <si>
    <t>Мазур Софія</t>
  </si>
  <si>
    <t>ВФЧ/Ш/У/1376</t>
  </si>
  <si>
    <t>Мороз Мирон</t>
  </si>
  <si>
    <t>ВФЧ/Ш/У/1377</t>
  </si>
  <si>
    <t>Насадюк Євген</t>
  </si>
  <si>
    <t>ВФЧ/Ш/У/1378</t>
  </si>
  <si>
    <t>Нищак Микола</t>
  </si>
  <si>
    <t>ВФЧ/Ш/У/1379</t>
  </si>
  <si>
    <t>Осташук Євген</t>
  </si>
  <si>
    <t>ВФЧ/Ш/У/1380</t>
  </si>
  <si>
    <t>Петрук Христина</t>
  </si>
  <si>
    <t>ВФЧ/Ш/У/1381</t>
  </si>
  <si>
    <t>Плитус Богдан</t>
  </si>
  <si>
    <t>ВФЧ/Ш/У/1382</t>
  </si>
  <si>
    <t>Понайда Захар</t>
  </si>
  <si>
    <t>ВФЧ/Ш/У/1383</t>
  </si>
  <si>
    <t>Рабінчак Віра</t>
  </si>
  <si>
    <t>ВФЧ/Ш/У/1384</t>
  </si>
  <si>
    <t>Томин Олександр</t>
  </si>
  <si>
    <t>ВФЧ/Ш/У/1385</t>
  </si>
  <si>
    <t>Ясінська Софія</t>
  </si>
  <si>
    <t>ВФЧ/Ш/У/1386</t>
  </si>
  <si>
    <t>Яцейко Віктор</t>
  </si>
  <si>
    <t>ВФЧ/Ш/У/1387</t>
  </si>
  <si>
    <t>Іванюк Ольга Андріївна</t>
  </si>
  <si>
    <t>Пнівський ліцей Пасічнянської сільської ради</t>
  </si>
  <si>
    <t>Андріїв Христина Дмитрівна</t>
  </si>
  <si>
    <t>ВФЧ/Ш/У/1388</t>
  </si>
  <si>
    <t>Павлюк Валерія Євгенівна</t>
  </si>
  <si>
    <t>ВФЧ/Ш/У/1389</t>
  </si>
  <si>
    <t>Бойчук Марія Миколаївна</t>
  </si>
  <si>
    <t>ВФЧ/Ш/У/1390</t>
  </si>
  <si>
    <t>Безерко Вероніка Сергіївна</t>
  </si>
  <si>
    <t>ВФЧ/Ш/У/1391</t>
  </si>
  <si>
    <t>Бенюк Христина Михайлівна</t>
  </si>
  <si>
    <t>ВФЧ/Ш/У/1392</t>
  </si>
  <si>
    <t>Іванюк Олександр Олександрович</t>
  </si>
  <si>
    <t>ВФЧ/Ш/У/1393</t>
  </si>
  <si>
    <t>Бабій Вікторія</t>
  </si>
  <si>
    <t>Калуський ліцей №10 Калуської міської ради Івано-Франківської області.</t>
  </si>
  <si>
    <t>Крохта Оксана</t>
  </si>
  <si>
    <t>ВФЧ/Ш/У/1394</t>
  </si>
  <si>
    <t>Бойко Владислав</t>
  </si>
  <si>
    <t>ВФЧ/Ш/У/1395</t>
  </si>
  <si>
    <t>Ворона Антон</t>
  </si>
  <si>
    <t>ВФЧ/Ш/У/1396</t>
  </si>
  <si>
    <t>Джуган В'ячеслав</t>
  </si>
  <si>
    <t>ВФЧ/Ш/У/1397</t>
  </si>
  <si>
    <t>Лихолат Неллі</t>
  </si>
  <si>
    <t>ВФЧ/Ш/У/1398</t>
  </si>
  <si>
    <t>Матрофайло Олег</t>
  </si>
  <si>
    <t>ВФЧ/Ш/У/1399</t>
  </si>
  <si>
    <t>Микитин Владислава</t>
  </si>
  <si>
    <t>ВФЧ/Ш/У/1400</t>
  </si>
  <si>
    <t>Мужчіль Володимир</t>
  </si>
  <si>
    <t>ВФЧ/Ш/У/1401</t>
  </si>
  <si>
    <t>Пасічник Надія</t>
  </si>
  <si>
    <t>ВФЧ/Ш/У/1402</t>
  </si>
  <si>
    <t>Процишин Марія</t>
  </si>
  <si>
    <t>ВФЧ/Ш/У/1403</t>
  </si>
  <si>
    <t>Равлик Дарина</t>
  </si>
  <si>
    <t>ВФЧ/Ш/У/1404</t>
  </si>
  <si>
    <t>Тихий Дмитро</t>
  </si>
  <si>
    <t>ВФЧ/Ш/У/1405</t>
  </si>
  <si>
    <t>Хвалка Анастасія</t>
  </si>
  <si>
    <t>ВФЧ/Ш/У/1406</t>
  </si>
  <si>
    <t>Чишинська Софія</t>
  </si>
  <si>
    <t>ВФЧ/Ш/У/1407</t>
  </si>
  <si>
    <t>Семенюк Денис Ярославович</t>
  </si>
  <si>
    <t>Калуський науковий ліцей імені Дмитра Бахматюка Калуської міськрї ради</t>
  </si>
  <si>
    <t>Святкевич Наталія Володимирівна</t>
  </si>
  <si>
    <t>ВФЧ/Ш/У/1408</t>
  </si>
  <si>
    <t>Цицик Яна Степанівна</t>
  </si>
  <si>
    <t>ВФЧ/Ш/У/1409</t>
  </si>
  <si>
    <t>Мартинюк Марко Володимирович</t>
  </si>
  <si>
    <t>ВФЧ/Ш/У/1410</t>
  </si>
  <si>
    <t>Андрусяк Владислав Тарасович</t>
  </si>
  <si>
    <t>Яблунський ліцей</t>
  </si>
  <si>
    <t>Зварич Тетяна Юріївна</t>
  </si>
  <si>
    <t>ВФЧ/Ш/У/1411</t>
  </si>
  <si>
    <t>Близнюк Ірина Леонідівна</t>
  </si>
  <si>
    <t>ВФЧ/Ш/У/1412</t>
  </si>
  <si>
    <t>Гербуд Андрій Іванович</t>
  </si>
  <si>
    <t>ВФЧ/Ш/У/1413</t>
  </si>
  <si>
    <t>Глушак Віктор Васильович</t>
  </si>
  <si>
    <t>ВФЧ/Ш/У/1414</t>
  </si>
  <si>
    <t>Гринішак Михайло Степанович</t>
  </si>
  <si>
    <t>ВФЧ/Ш/У/1415</t>
  </si>
  <si>
    <t>Гуменяк Денис Васильович</t>
  </si>
  <si>
    <t>ВФЧ/Ш/У/1416</t>
  </si>
  <si>
    <t>Гуменяк Костянтин Васильович</t>
  </si>
  <si>
    <t>ВФЧ/Ш/У/1417</t>
  </si>
  <si>
    <t>Данилюк Вадим Васильович</t>
  </si>
  <si>
    <t>ВФЧ/Ш/У/1418</t>
  </si>
  <si>
    <t>Дем'яник Анастасія Іванівна</t>
  </si>
  <si>
    <t>ВФЧ/Ш/У/1419</t>
  </si>
  <si>
    <t>Демчук Андрій Іванович</t>
  </si>
  <si>
    <t>ВФЧ/Ш/У/1420</t>
  </si>
  <si>
    <t>Зеленюк Євген Петрович</t>
  </si>
  <si>
    <t>ВФЧ/Ш/У/1421</t>
  </si>
  <si>
    <t>Кімачук Лілія Володимирівна</t>
  </si>
  <si>
    <t>ВФЧ/Ш/У/1422</t>
  </si>
  <si>
    <t>Климович Діана Любомирівна</t>
  </si>
  <si>
    <t>ВФЧ/Ш/У/1423</t>
  </si>
  <si>
    <t>Красілич Анастасія Дмитрівна</t>
  </si>
  <si>
    <t>ВФЧ/Ш/У/1424</t>
  </si>
  <si>
    <t>Левицька Анастасія Михайлівна</t>
  </si>
  <si>
    <t>ВФЧ/Ш/У/1425</t>
  </si>
  <si>
    <t>Лесюк Ірина Василівна</t>
  </si>
  <si>
    <t>ВФЧ/Ш/У/1426</t>
  </si>
  <si>
    <t>Макарович Сергій Васильович</t>
  </si>
  <si>
    <t>ВФЧ/Ш/У/1427</t>
  </si>
  <si>
    <t>Нестерук Андрій Іванович</t>
  </si>
  <si>
    <t>ВФЧ/Ш/У/1428</t>
  </si>
  <si>
    <t>Панько Дмитро Васильович</t>
  </si>
  <si>
    <t>ВФЧ/Ш/У/1429</t>
  </si>
  <si>
    <t>Пилипчук Володимир Іванович</t>
  </si>
  <si>
    <t>ВФЧ/Ш/У/1430</t>
  </si>
  <si>
    <t>Пронозюк Олександра Анатоліївна</t>
  </si>
  <si>
    <t>ВФЧ/Ш/У/1431</t>
  </si>
  <si>
    <t>Рошко Ігор Танасович</t>
  </si>
  <si>
    <t>ВФЧ/Ш/У/1432</t>
  </si>
  <si>
    <t>Сав'юк Марія Романівна</t>
  </si>
  <si>
    <t>ВФЧ/Ш/У/1433</t>
  </si>
  <si>
    <t>Савіцький Андрій Ігорович</t>
  </si>
  <si>
    <t>ВФЧ/Ш/У/1434</t>
  </si>
  <si>
    <t>Станішевський Дмитро Васильович</t>
  </si>
  <si>
    <t>ВФЧ/Ш/У/1435</t>
  </si>
  <si>
    <t>Стефанців Вероніка Василівна</t>
  </si>
  <si>
    <t>ВФЧ/Ш/У/1436</t>
  </si>
  <si>
    <t>Хорхоль Михайло Михайлович</t>
  </si>
  <si>
    <t>ВФЧ/Ш/У/1437</t>
  </si>
  <si>
    <t>Цінівський Василь Дмитрович</t>
  </si>
  <si>
    <t>ВФЧ/Ш/У/1438</t>
  </si>
  <si>
    <t>Цьомко Марія Любомирівна</t>
  </si>
  <si>
    <t>ВФЧ/Ш/У/1439</t>
  </si>
  <si>
    <t>Боднарчук Софія Володимирівна</t>
  </si>
  <si>
    <t>ВФЧ/Ш/У/1440</t>
  </si>
  <si>
    <t>Бойко Анастасія Андріївна</t>
  </si>
  <si>
    <t>ВФЧ/Ш/У/1441</t>
  </si>
  <si>
    <t>Бучковська Діана Степанівна</t>
  </si>
  <si>
    <t>ВФЧ/Ш/У/1442</t>
  </si>
  <si>
    <t>Василів Лілія Василівна</t>
  </si>
  <si>
    <t>ВФЧ/Ш/У/1443</t>
  </si>
  <si>
    <t>Гавриш Роман Валерійович</t>
  </si>
  <si>
    <t>ВФЧ/Ш/У/1444</t>
  </si>
  <si>
    <t>Гуменяк Марія Іванівна</t>
  </si>
  <si>
    <t>ВФЧ/Ш/У/1445</t>
  </si>
  <si>
    <t>Дмитричук Богдан Васильович</t>
  </si>
  <si>
    <t>ВФЧ/Ш/У/1446</t>
  </si>
  <si>
    <t>Дмитрук Діана Василівна</t>
  </si>
  <si>
    <t>ВФЧ/Ш/У/1447</t>
  </si>
  <si>
    <t>Іванюк Соломія Василівна</t>
  </si>
  <si>
    <t>ВФЧ/Ш/У/1448</t>
  </si>
  <si>
    <t>Князевич Марія Михайлівна</t>
  </si>
  <si>
    <t>ВФЧ/Ш/У/1449</t>
  </si>
  <si>
    <t>Марковецька Антоніна Мар'янівна</t>
  </si>
  <si>
    <t>ВФЧ/Ш/У/1450</t>
  </si>
  <si>
    <t>Рудяк Степан Іванович</t>
  </si>
  <si>
    <t>ВФЧ/Ш/У/1451</t>
  </si>
  <si>
    <t>Савин Марія Іванівна</t>
  </si>
  <si>
    <t>ВФЧ/Ш/У/1452</t>
  </si>
  <si>
    <t>Уманців Наталія Василівна</t>
  </si>
  <si>
    <t>ВФЧ/Ш/У/1453</t>
  </si>
  <si>
    <t>Цьомко Володимир</t>
  </si>
  <si>
    <t>ВФЧ/Ш/У/1454</t>
  </si>
  <si>
    <t>Шпиталь Анна</t>
  </si>
  <si>
    <t>Ліцей 53 Шевченківського району, м.Києва</t>
  </si>
  <si>
    <t>Загика Тетяна Григорівна</t>
  </si>
  <si>
    <t>ВФЧ/Ш/У/1455</t>
  </si>
  <si>
    <t>Ямпольський Нікіта</t>
  </si>
  <si>
    <t>ВФЧ/Ш/У/1456</t>
  </si>
  <si>
    <t>Ніколенко Євгеній</t>
  </si>
  <si>
    <t>ВФЧ/Ш/У/1457</t>
  </si>
  <si>
    <t>Наумов Павло</t>
  </si>
  <si>
    <t>ВФЧ/Ш/У/1458</t>
  </si>
  <si>
    <t>Лещ Богдан</t>
  </si>
  <si>
    <t>ВФЧ/Ш/У/1459</t>
  </si>
  <si>
    <t>Козленко Матвій</t>
  </si>
  <si>
    <t>ВФЧ/Ш/У/1460</t>
  </si>
  <si>
    <t>Святелик Марк</t>
  </si>
  <si>
    <t>ВФЧ/Ш/У/1461</t>
  </si>
  <si>
    <t>Шевченко Нікіта</t>
  </si>
  <si>
    <t>ВФЧ/Ш/У/1462</t>
  </si>
  <si>
    <t>Сапон Микола</t>
  </si>
  <si>
    <t>ВФЧ/Ш/У/1463</t>
  </si>
  <si>
    <t>Кутя Олексій</t>
  </si>
  <si>
    <t>ВФЧ/Ш/У/1464</t>
  </si>
  <si>
    <t>Прозоровська Аніта</t>
  </si>
  <si>
    <t>ВФЧ/Ш/У/1465</t>
  </si>
  <si>
    <t>Баришполець Анастасія Олексіївна</t>
  </si>
  <si>
    <t>Український медичний ліцей Національного медичного університету імені О. О. Богомольця</t>
  </si>
  <si>
    <t>Колеснік Оксана Іванівна</t>
  </si>
  <si>
    <t>ВФЧ/Ш/У/1466</t>
  </si>
  <si>
    <t>Білоброва Анастасія Андріївна</t>
  </si>
  <si>
    <t>ВФЧ/Ш/У/1467</t>
  </si>
  <si>
    <t>Бокучава Мері Іракліївна</t>
  </si>
  <si>
    <t>ВФЧ/Ш/У/1468</t>
  </si>
  <si>
    <t>Дворова Тетяна Олександрівна</t>
  </si>
  <si>
    <t>ВФЧ/Ш/У/1469</t>
  </si>
  <si>
    <t>Дика Віталіна Віталіївна</t>
  </si>
  <si>
    <t>ВФЧ/Ш/У/1470</t>
  </si>
  <si>
    <t>Гентош Крістіна Дмитрівна</t>
  </si>
  <si>
    <t>ВФЧ/Ш/У/1471</t>
  </si>
  <si>
    <t>Кондратюк Даниїл Сергійович</t>
  </si>
  <si>
    <t>ВФЧ/Ш/У/1472</t>
  </si>
  <si>
    <t>Кошарний Назар Олександрович</t>
  </si>
  <si>
    <t>ВФЧ/Ш/У/1473</t>
  </si>
  <si>
    <t>Малкіна Таїсія Іванівна</t>
  </si>
  <si>
    <t>ВФЧ/Ш/У/1474</t>
  </si>
  <si>
    <t>Мельник Наталія Олександрівна</t>
  </si>
  <si>
    <t>ВФЧ/Ш/У/1475</t>
  </si>
  <si>
    <t>Нечипорук Валерія Олександрівна</t>
  </si>
  <si>
    <t>ВФЧ/Ш/У/1476</t>
  </si>
  <si>
    <t>Сукачова Марія Олегівна</t>
  </si>
  <si>
    <t>ВФЧ/Ш/У/1477</t>
  </si>
  <si>
    <t>Домарацька Злата Валентинівна</t>
  </si>
  <si>
    <t>ВФЧ/Ш/У/1478</t>
  </si>
  <si>
    <t>Кіченко Світлана Русланівна</t>
  </si>
  <si>
    <t>ВФЧ/Ш/У/1479</t>
  </si>
  <si>
    <t>Комаренко Віра Сергіївна</t>
  </si>
  <si>
    <t>ВФЧ/Ш/У/1480</t>
  </si>
  <si>
    <t>Луковнікова Ольга Володимирівна</t>
  </si>
  <si>
    <t>ВФЧ/Ш/У/1481</t>
  </si>
  <si>
    <t>Салоїд Софія Вячеславівна</t>
  </si>
  <si>
    <t>ВФЧ/Ш/У/1482</t>
  </si>
  <si>
    <t>Федорова Олена Марія Романівна</t>
  </si>
  <si>
    <t>ВФЧ/Ш/У/1483</t>
  </si>
  <si>
    <t>Юрченко Аліна Романівна</t>
  </si>
  <si>
    <t>ВФЧ/Ш/У/1484</t>
  </si>
  <si>
    <t>Яременко Маргарита Володимирівна</t>
  </si>
  <si>
    <t>ВФЧ/Ш/У/1485</t>
  </si>
  <si>
    <t>Абдюшев Олександр Ільдарович</t>
  </si>
  <si>
    <t>ВФЧ/Ш/У/1486</t>
  </si>
  <si>
    <t>Ахмедова Сугра Ельсевар кизи</t>
  </si>
  <si>
    <t>ВФЧ/Ш/У/1487</t>
  </si>
  <si>
    <t>Білецька Поліна Сергіївна</t>
  </si>
  <si>
    <t>ВФЧ/Ш/У/1488</t>
  </si>
  <si>
    <t>Забишна Софія Ярославівна</t>
  </si>
  <si>
    <t>ВФЧ/Ш/У/1489</t>
  </si>
  <si>
    <t>Кабаннік Єлизавета Олегівна</t>
  </si>
  <si>
    <t>ВФЧ/Ш/У/1490</t>
  </si>
  <si>
    <t>Король Матвій Васильович</t>
  </si>
  <si>
    <t>ВФЧ/Ш/У/1491</t>
  </si>
  <si>
    <t>Кушнерик Марія Сергіївна</t>
  </si>
  <si>
    <t>ВФЧ/Ш/У/1492</t>
  </si>
  <si>
    <t>Лук'яненко Дарія Ярославівна</t>
  </si>
  <si>
    <t>ВФЧ/Ш/У/1493</t>
  </si>
  <si>
    <t>Оніщенко Крістіна Олександрівна</t>
  </si>
  <si>
    <t>ВФЧ/Ш/У/1494</t>
  </si>
  <si>
    <t>Отрішко Вероніка Сергіївна</t>
  </si>
  <si>
    <t>ВФЧ/Ш/У/1495</t>
  </si>
  <si>
    <t>Потапенко Валерія Сергіївна</t>
  </si>
  <si>
    <t>ВФЧ/Ш/У/1496</t>
  </si>
  <si>
    <t>Рогинська Євгенія Григорівна</t>
  </si>
  <si>
    <t>ВФЧ/Ш/У/1497</t>
  </si>
  <si>
    <t>Савчук Соломія Володимирівна</t>
  </si>
  <si>
    <t>ВФЧ/Ш/У/1498</t>
  </si>
  <si>
    <t>Сєчкарьова Вероніка Віталіївна</t>
  </si>
  <si>
    <t>ВФЧ/Ш/У/1499</t>
  </si>
  <si>
    <t>Сич Марія Олександрівна</t>
  </si>
  <si>
    <t>ВФЧ/Ш/У/1500</t>
  </si>
  <si>
    <t>Пікуза Ельвіра Євгеніївна</t>
  </si>
  <si>
    <t>ВФЧ/Ш/У/1501</t>
  </si>
  <si>
    <t>Шаповалова Софія Романівна</t>
  </si>
  <si>
    <t>ВФЧ/Ш/У/1502</t>
  </si>
  <si>
    <t>Ященко Евеліна Володимирівна</t>
  </si>
  <si>
    <t>ВФЧ/Ш/У/1503</t>
  </si>
  <si>
    <t>Єщенко Вікторія</t>
  </si>
  <si>
    <t>Гімназія "Міленіум" 318 м.Києва</t>
  </si>
  <si>
    <t>Беседіна Марія Олександрівна</t>
  </si>
  <si>
    <t>ВФЧ/Ш/У/1504</t>
  </si>
  <si>
    <t>Лапенко Назар</t>
  </si>
  <si>
    <t>ВФЧ/Ш/У/1505</t>
  </si>
  <si>
    <t>Саламова Олександра</t>
  </si>
  <si>
    <t>ВФЧ/Ш/У/1506</t>
  </si>
  <si>
    <t>Скопенко Анастасія</t>
  </si>
  <si>
    <t>ВФЧ/Ш/У/1507</t>
  </si>
  <si>
    <t>Черес Артем</t>
  </si>
  <si>
    <t>ВФЧ/Ш/У/1508</t>
  </si>
  <si>
    <t>Дяденко Данило</t>
  </si>
  <si>
    <t>ВФЧ/Ш/У/1509</t>
  </si>
  <si>
    <t>Арестов Олександр</t>
  </si>
  <si>
    <t>ВФЧ/Ш/У/1510</t>
  </si>
  <si>
    <t>Волинець Аліса</t>
  </si>
  <si>
    <t>ВФЧ/Ш/У/1511</t>
  </si>
  <si>
    <t>Степаненко Олексій</t>
  </si>
  <si>
    <t>ВФЧ/Ш/У/1512</t>
  </si>
  <si>
    <t>Овсяннікова Кіра</t>
  </si>
  <si>
    <t>ВФЧ/Ш/У/1513</t>
  </si>
  <si>
    <t>Дзюбієва Марія</t>
  </si>
  <si>
    <t>ВФЧ/Ш/У/1514</t>
  </si>
  <si>
    <t>Рєпной Ілля</t>
  </si>
  <si>
    <t>ВФЧ/Ш/У/1515</t>
  </si>
  <si>
    <t>Самченко Поліна</t>
  </si>
  <si>
    <t>ВФЧ/Ш/У/1516</t>
  </si>
  <si>
    <t>Кідіна Стефанія</t>
  </si>
  <si>
    <t>ВФЧ/Ш/У/1517</t>
  </si>
  <si>
    <t>Єрченко Ярослав</t>
  </si>
  <si>
    <t>ВФЧ/Ш/У/1518</t>
  </si>
  <si>
    <t>Прядко Єлизавета</t>
  </si>
  <si>
    <t>ВФЧ/Ш/У/1519</t>
  </si>
  <si>
    <t>Ревтюх Марія</t>
  </si>
  <si>
    <t>ВФЧ/Ш/У/1520</t>
  </si>
  <si>
    <t>Моклюк Марія</t>
  </si>
  <si>
    <t>ВФЧ/Ш/У/1521</t>
  </si>
  <si>
    <t>Курмазенко Марія</t>
  </si>
  <si>
    <t>ВФЧ/Ш/У/1522</t>
  </si>
  <si>
    <t>Шевчук Влада</t>
  </si>
  <si>
    <t>ВФЧ/Ш/У/1523</t>
  </si>
  <si>
    <t>Хахуда Єгор</t>
  </si>
  <si>
    <t>ВФЧ/Ш/У/1524</t>
  </si>
  <si>
    <t>Вєгєрін Михайло</t>
  </si>
  <si>
    <t>ВФЧ/Ш/У/1525</t>
  </si>
  <si>
    <t>Ліпкан Тимур</t>
  </si>
  <si>
    <t>ВФЧ/Ш/У/1526</t>
  </si>
  <si>
    <t>Візняк Анна</t>
  </si>
  <si>
    <t>ВФЧ/Ш/У/1527</t>
  </si>
  <si>
    <t>Мазур Нікіта</t>
  </si>
  <si>
    <t>ВФЧ/Ш/У/1528</t>
  </si>
  <si>
    <t>Поляков Кирило</t>
  </si>
  <si>
    <t>ВФЧ/Ш/У/1529</t>
  </si>
  <si>
    <t>Бекеєв Іван</t>
  </si>
  <si>
    <t>ВФЧ/Ш/У/1530</t>
  </si>
  <si>
    <t>Давтян Луїза</t>
  </si>
  <si>
    <t>ВФЧ/Ш/У/1531</t>
  </si>
  <si>
    <t>Холікова Азізазон</t>
  </si>
  <si>
    <t>ВФЧ/Ш/У/1532</t>
  </si>
  <si>
    <t>Лагута Ніколь</t>
  </si>
  <si>
    <t>ВФЧ/Ш/У/1533</t>
  </si>
  <si>
    <t>Саламаха Маргарита</t>
  </si>
  <si>
    <t>ВФЧ/Ш/У/1534</t>
  </si>
  <si>
    <t>Лук'яненко Данііл</t>
  </si>
  <si>
    <t>ВФЧ/Ш/У/1535</t>
  </si>
  <si>
    <t>Гончарук Анна</t>
  </si>
  <si>
    <t>ВФЧ/Ш/У/1536</t>
  </si>
  <si>
    <t>Івасенко Євгенія Миколаївна</t>
  </si>
  <si>
    <t>Середня загальноосвітня школа № 35</t>
  </si>
  <si>
    <t>Духніцький Юрій Олексійович</t>
  </si>
  <si>
    <t>ВФЧ/Ш/У/1537</t>
  </si>
  <si>
    <t>Конончук Олена Ігорівна</t>
  </si>
  <si>
    <t>ВФЧ/Ш/У/1538</t>
  </si>
  <si>
    <t>Пузій Сергій Русланович</t>
  </si>
  <si>
    <t>ВФЧ/Ш/У/1539</t>
  </si>
  <si>
    <t>Шмерега Назар Сергійович</t>
  </si>
  <si>
    <t>ВФЧ/Ш/У/1540</t>
  </si>
  <si>
    <t>Бережна Катерина Ярославівна</t>
  </si>
  <si>
    <t>ВФЧ/Ш/У/1541</t>
  </si>
  <si>
    <t>Борисюк Вероніка Олександрівна</t>
  </si>
  <si>
    <t>ВФЧ/Ш/У/1542</t>
  </si>
  <si>
    <t>Деркач Дарина Олегівна</t>
  </si>
  <si>
    <t>Ліцей № 309</t>
  </si>
  <si>
    <t>Бондарчук Інна Володимирівна</t>
  </si>
  <si>
    <t>ВФЧ/Ш/У/1543</t>
  </si>
  <si>
    <t>Денисенко Марія Євгенівна</t>
  </si>
  <si>
    <t>ВФЧ/Ш/У/1544</t>
  </si>
  <si>
    <t>Завалюєва Анастасія Іванівна</t>
  </si>
  <si>
    <t>ВФЧ/Ш/У/1545</t>
  </si>
  <si>
    <t>Міцкевич Надія Олексіївна</t>
  </si>
  <si>
    <t>ВФЧ/Ш/У/1546</t>
  </si>
  <si>
    <t>Рвач Поліна Андріївна</t>
  </si>
  <si>
    <t>ВФЧ/Ш/У/1547</t>
  </si>
  <si>
    <t>Стась Дарина Сергіївна</t>
  </si>
  <si>
    <t>ВФЧ/Ш/У/1548</t>
  </si>
  <si>
    <t>Федоріненко Катерина Євгеніївна</t>
  </si>
  <si>
    <t>ВФЧ/Ш/У/1549</t>
  </si>
  <si>
    <t>Загородній Дмитро Олегович</t>
  </si>
  <si>
    <t>Вишнівський академічний ліцей "Основа"</t>
  </si>
  <si>
    <t>Горенко Людмила Петрівна</t>
  </si>
  <si>
    <t>ВФЧ/Ш/У/1550</t>
  </si>
  <si>
    <t>Зубач Максим Назарійович</t>
  </si>
  <si>
    <t>ВФЧ/Ш/У/1551</t>
  </si>
  <si>
    <t>Данільченко Євгеній Іванович</t>
  </si>
  <si>
    <t>ВФЧ/Ш/У/1552</t>
  </si>
  <si>
    <t>Харенко Володимир Володимирович</t>
  </si>
  <si>
    <t>ВФЧ/Ш/У/1553</t>
  </si>
  <si>
    <t>Ахтемійчук Ксенія Дмитрівна</t>
  </si>
  <si>
    <t>Ліцей №100 "Поділ"</t>
  </si>
  <si>
    <t>Воронюк Анатолій Васильович</t>
  </si>
  <si>
    <t>ВФЧ/Ш/У/1554</t>
  </si>
  <si>
    <t>Морозов Олександр Дмитрович</t>
  </si>
  <si>
    <t>ВФЧ/Ш/У/1555</t>
  </si>
  <si>
    <t>Совенко Кірілл Русланович</t>
  </si>
  <si>
    <t>ВФЧ/Ш/У/1556</t>
  </si>
  <si>
    <t>Пастух Лев Андрійович</t>
  </si>
  <si>
    <t>ВФЧ/Ш/У/1557</t>
  </si>
  <si>
    <t>Худа Тимур Олександрович</t>
  </si>
  <si>
    <t>ВФЧ/Ш/У/1558</t>
  </si>
  <si>
    <t>Романій Дар'я Володимирівна</t>
  </si>
  <si>
    <t>Ліцей "Фінансовий" м. Києва</t>
  </si>
  <si>
    <t>Бицюра Юрій Васильович</t>
  </si>
  <si>
    <t>ВФЧ/Ш/У/1559</t>
  </si>
  <si>
    <t>Ушакова Кароліна Ігорівна</t>
  </si>
  <si>
    <t>ВФЧ/Ш/У/1560</t>
  </si>
  <si>
    <t>Кудлінська Дар'я Сергіївна</t>
  </si>
  <si>
    <t>ВФЧ/Ш/У/1561</t>
  </si>
  <si>
    <t>Решетняк Андрій Сергійович</t>
  </si>
  <si>
    <t>ВФЧ/Ш/У/1562</t>
  </si>
  <si>
    <t>Андрусенко Ксенія Олегівна</t>
  </si>
  <si>
    <t>ВФЧ/Ш/У/1563</t>
  </si>
  <si>
    <t>Прохоренко Поліна Вікторівна</t>
  </si>
  <si>
    <t>ВФЧ/Ш/У/1564</t>
  </si>
  <si>
    <t>Томських Аліса Сергіївна</t>
  </si>
  <si>
    <t>ВФЧ/Ш/У/1565</t>
  </si>
  <si>
    <t>Злобін Максим Ігорович</t>
  </si>
  <si>
    <t>ВФЧ/Ш/У/1566</t>
  </si>
  <si>
    <t>Вітковський Остап Олексійович</t>
  </si>
  <si>
    <t>ВФЧ/Ш/У/1567</t>
  </si>
  <si>
    <t>Попов Іван Дмитрович</t>
  </si>
  <si>
    <t>ВФЧ/Ш/У/1568</t>
  </si>
  <si>
    <t>Панасюк Олександра Андріївна</t>
  </si>
  <si>
    <t>ВФЧ/Ш/У/1569</t>
  </si>
  <si>
    <t>Доненко Мирослав Тарасович</t>
  </si>
  <si>
    <t>ВФЧ/Ш/У/1570</t>
  </si>
  <si>
    <t>Пономарьова Діана Дмитрівна</t>
  </si>
  <si>
    <t>ВФЧ/Ш/У/1571</t>
  </si>
  <si>
    <t>Мовчан Ілля Олексійович</t>
  </si>
  <si>
    <t>ВФЧ/Ш/У/1572</t>
  </si>
  <si>
    <t>Леуськов Ярослав Олександрович</t>
  </si>
  <si>
    <t>ВФЧ/Ш/У/1573</t>
  </si>
  <si>
    <t>Соколовський Микола Володимирович</t>
  </si>
  <si>
    <t>ВФЧ/Ш/У/1574</t>
  </si>
  <si>
    <t>Цюпко Іван Дмитрович</t>
  </si>
  <si>
    <t>ВФЧ/Ш/У/1575</t>
  </si>
  <si>
    <t>Сухіна Катерина Ростиславівна</t>
  </si>
  <si>
    <t>ВФЧ/Ш/У/1576</t>
  </si>
  <si>
    <t>Книш Андрій Микитович</t>
  </si>
  <si>
    <t>ВФЧ/Ш/У/1577</t>
  </si>
  <si>
    <t>Чумак Тимофій Леонідович</t>
  </si>
  <si>
    <t>ВФЧ/Ш/У/1578</t>
  </si>
  <si>
    <t>Болюбах Андрій Костянтинович</t>
  </si>
  <si>
    <t>ВФЧ/Ш/У/1579</t>
  </si>
  <si>
    <t>Васил'єва Мирослава Денисівна</t>
  </si>
  <si>
    <t>ВФЧ/Ш/У/1580</t>
  </si>
  <si>
    <t>Дяченко Тимофій Володимирович</t>
  </si>
  <si>
    <t>ВФЧ/Ш/У/1581</t>
  </si>
  <si>
    <t>Чекменьова Анна</t>
  </si>
  <si>
    <t>ТОВ "Приватний ліцей "Ай Діти" міста Києва"</t>
  </si>
  <si>
    <t>Середа Катерина Анатоліївна</t>
  </si>
  <si>
    <t>ВФЧ/Ш/У/1582</t>
  </si>
  <si>
    <t>Гопало Захар</t>
  </si>
  <si>
    <t>ВФЧ/Ш/У/1583</t>
  </si>
  <si>
    <t>Бойко Ілля Олексійович</t>
  </si>
  <si>
    <t>Яготинський ліцей № 2 Яготинської міської ради</t>
  </si>
  <si>
    <t>Кадубінська Наталія Леонідівна</t>
  </si>
  <si>
    <t>ВФЧ/Ш/У/1584</t>
  </si>
  <si>
    <t>Гирич Олександр Сергійович</t>
  </si>
  <si>
    <t>ВФЧ/Ш/У/1585</t>
  </si>
  <si>
    <t>Гопкало Христина Олегівна</t>
  </si>
  <si>
    <t>ВФЧ/Ш/У/1586</t>
  </si>
  <si>
    <t>Згурська Анастасія Олександрівна</t>
  </si>
  <si>
    <t>ВФЧ/Ш/У/1587</t>
  </si>
  <si>
    <t>Корбут Ростислав Андрійович</t>
  </si>
  <si>
    <t>ВФЧ/Ш/У/1588</t>
  </si>
  <si>
    <t>Литовченко Анастасія Сергіївна</t>
  </si>
  <si>
    <t>ВФЧ/Ш/У/1589</t>
  </si>
  <si>
    <t>Манастирний Лев Юрійович</t>
  </si>
  <si>
    <t>ВФЧ/Ш/У/1590</t>
  </si>
  <si>
    <t>Потабенко Варвара Павлівна</t>
  </si>
  <si>
    <t>Піївський ліцей "Ерудит" Ржищівської міської ради Київської області</t>
  </si>
  <si>
    <t>Ковтун Валерій Петрович</t>
  </si>
  <si>
    <t>ВФЧ/Ш/У/1591</t>
  </si>
  <si>
    <t>Мисліка Борис Євгенович</t>
  </si>
  <si>
    <t>ТОВ "Центр освіти "Оптіма"</t>
  </si>
  <si>
    <t>Шатіло Оксана Вадимівна</t>
  </si>
  <si>
    <t>ВФЧ/Ш/У/1592</t>
  </si>
  <si>
    <t>Кравченко Софія Вадимівна</t>
  </si>
  <si>
    <t>ВФЧ/Ш/У/1593</t>
  </si>
  <si>
    <t>Стрілок Анастасія Максимівна</t>
  </si>
  <si>
    <t>ВФЧ/Ш/У/1594</t>
  </si>
  <si>
    <t>Єфіменко Анна Олегівна</t>
  </si>
  <si>
    <t>Комунальний заклад Київської обласної ради "Переяславський військово-спортивний ліцей "Патріот"</t>
  </si>
  <si>
    <t>Бабій Аліна Вікторівна</t>
  </si>
  <si>
    <t>ВФЧ/Ш/У/1595</t>
  </si>
  <si>
    <t>Лисенко Анна Анатоліївна</t>
  </si>
  <si>
    <t>ВФЧ/Ш/У/1596</t>
  </si>
  <si>
    <t>Аркуша Тимофій Вадимович</t>
  </si>
  <si>
    <t>ВФЧ/Ш/У/1597</t>
  </si>
  <si>
    <t>Кононенко Поліна Василівна</t>
  </si>
  <si>
    <t>ВФЧ/Ш/У/1598</t>
  </si>
  <si>
    <t>Тур Владислава Євгенівна</t>
  </si>
  <si>
    <t>ВФЧ/Ш/У/1599</t>
  </si>
  <si>
    <t>Богачова Маріанна Андріанівна</t>
  </si>
  <si>
    <t>ВФЧ/Ш/У/1600</t>
  </si>
  <si>
    <t>Дьолог Дарина Юріївна</t>
  </si>
  <si>
    <t>ВФЧ/Ш/У/1601</t>
  </si>
  <si>
    <t>Шевчук Дарія Володимирівна</t>
  </si>
  <si>
    <t>ВФЧ/Ш/У/1602</t>
  </si>
  <si>
    <t>Тищенко Тетяна Юріївна</t>
  </si>
  <si>
    <t>ВФЧ/Ш/У/1603</t>
  </si>
  <si>
    <t>Чернякова Любов Андріївна</t>
  </si>
  <si>
    <t>ВФЧ/Ш/У/1604</t>
  </si>
  <si>
    <t>Сонько Костянтин Андрійович</t>
  </si>
  <si>
    <t>ВФЧ/Ш/У/1605</t>
  </si>
  <si>
    <t>Панькевич Дмитро Михайлович</t>
  </si>
  <si>
    <t>ВФЧ/Ш/У/1606</t>
  </si>
  <si>
    <t>Конон Олександр Андрійович</t>
  </si>
  <si>
    <t>ВФЧ/Ш/У/1607</t>
  </si>
  <si>
    <t>Заболотна Анастасія Юріївна</t>
  </si>
  <si>
    <t>ВФЧ/Ш/У/1608</t>
  </si>
  <si>
    <t>Лихно Дарія Михайлівна</t>
  </si>
  <si>
    <t>ВФЧ/Ш/У/1609</t>
  </si>
  <si>
    <t>Перчук Дарина Костянтинівна</t>
  </si>
  <si>
    <t>ВФЧ/Ш/У/1610</t>
  </si>
  <si>
    <t>Свириденко Сергій Вадимович</t>
  </si>
  <si>
    <t>ВФЧ/Ш/У/1611</t>
  </si>
  <si>
    <t>Арнаутова Варвара Артемівна</t>
  </si>
  <si>
    <t>Ліцей ім. Михайла Драгоманова</t>
  </si>
  <si>
    <t>Воронецька Ірина Яківна</t>
  </si>
  <si>
    <t>ВФЧ/Ш/У/1612</t>
  </si>
  <si>
    <t>Алексєєв Микита Віталійович</t>
  </si>
  <si>
    <t>ВФЧ/Ш/У/1613</t>
  </si>
  <si>
    <t>Антонів Анастасія Сергіївна</t>
  </si>
  <si>
    <t>ВФЧ/Ш/У/1614</t>
  </si>
  <si>
    <t>Бабикіна Вероніка Олегівна</t>
  </si>
  <si>
    <t>ВФЧ/Ш/У/1615</t>
  </si>
  <si>
    <t>Баліцька Тетяна Олексіївна</t>
  </si>
  <si>
    <t>ВФЧ/Ш/У/1616</t>
  </si>
  <si>
    <t>Божук Єлізавета Олегівна</t>
  </si>
  <si>
    <t>ВФЧ/Ш/У/1617</t>
  </si>
  <si>
    <t>Вакулін Євгеній Русланович</t>
  </si>
  <si>
    <t>ВФЧ/Ш/У/1618</t>
  </si>
  <si>
    <t>Волік Анастасія Олександрівна</t>
  </si>
  <si>
    <t>ВФЧ/Ш/У/1619</t>
  </si>
  <si>
    <t>Волохоненко Анастасія Юріївна</t>
  </si>
  <si>
    <t>ВФЧ/Ш/У/1620</t>
  </si>
  <si>
    <t>Григор'єв Дмитро Олександрович</t>
  </si>
  <si>
    <t>ВФЧ/Ш/У/1621</t>
  </si>
  <si>
    <t>Єлісєєв Еліан Артурович</t>
  </si>
  <si>
    <t>ВФЧ/Ш/У/1622</t>
  </si>
  <si>
    <t>Зекерья Тимофій Арсенович</t>
  </si>
  <si>
    <t>ВФЧ/Ш/У/1623</t>
  </si>
  <si>
    <t>Кіпчук Владислава Артемівна</t>
  </si>
  <si>
    <t>ВФЧ/Ш/У/1624</t>
  </si>
  <si>
    <t>Клименко Аліна Ігорівна</t>
  </si>
  <si>
    <t>ВФЧ/Ш/У/1625</t>
  </si>
  <si>
    <t>Лапенко Марія Олександрівна</t>
  </si>
  <si>
    <t>ВФЧ/Ш/У/1626</t>
  </si>
  <si>
    <t>Матяш Олексій Олексійович</t>
  </si>
  <si>
    <t>ВФЧ/Ш/У/1627</t>
  </si>
  <si>
    <t>Міщанюк Максим Васильович</t>
  </si>
  <si>
    <t>ВФЧ/Ш/У/1628</t>
  </si>
  <si>
    <t>Монах Ірина Михайлівна</t>
  </si>
  <si>
    <t>ВФЧ/Ш/У/1629</t>
  </si>
  <si>
    <t>Назаров Матвій Сергійович</t>
  </si>
  <si>
    <t>ВФЧ/Ш/У/1630</t>
  </si>
  <si>
    <t>Новікова Олександра Андріївна</t>
  </si>
  <si>
    <t>ВФЧ/Ш/У/1631</t>
  </si>
  <si>
    <t>Осадчий Владислав Сергійович</t>
  </si>
  <si>
    <t>ВФЧ/Ш/У/1632</t>
  </si>
  <si>
    <t>Поліщук Владислава Юріївна</t>
  </si>
  <si>
    <t>ВФЧ/Ш/У/1633</t>
  </si>
  <si>
    <t>Протанська Олеся Андріївна</t>
  </si>
  <si>
    <t>ВФЧ/Ш/У/1634</t>
  </si>
  <si>
    <t>Салмінський Володимир Дмитрович</t>
  </si>
  <si>
    <t>ВФЧ/Ш/У/1635</t>
  </si>
  <si>
    <t>Сосюра Тимофій Вадимович</t>
  </si>
  <si>
    <t>ВФЧ/Ш/У/1636</t>
  </si>
  <si>
    <t>Толочко Олеся Вікторівна</t>
  </si>
  <si>
    <t>ВФЧ/Ш/У/1637</t>
  </si>
  <si>
    <t>Тофановська Анастасія Григоріївна</t>
  </si>
  <si>
    <t>ВФЧ/Ш/У/1638</t>
  </si>
  <si>
    <t>Ходимчук Андрій Юрійович</t>
  </si>
  <si>
    <t>ВФЧ/Ш/У/1639</t>
  </si>
  <si>
    <t>Штанько Марія Анатоліївна</t>
  </si>
  <si>
    <t>ВФЧ/Ш/У/1640</t>
  </si>
  <si>
    <t>Гаврилюк Аліна Олегівна</t>
  </si>
  <si>
    <t>Ліцей 280 Дарницького району міста Києва</t>
  </si>
  <si>
    <t>Степуленко Наталія Сергіївна</t>
  </si>
  <si>
    <t>ВФЧ/Ш/У/1641</t>
  </si>
  <si>
    <t>Гуртова Кіра Дмитрівна</t>
  </si>
  <si>
    <t>ВФЧ/Ш/У/1642</t>
  </si>
  <si>
    <t>Ліходєєва Поліна Сергіївна</t>
  </si>
  <si>
    <t>ВФЧ/Ш/У/1643</t>
  </si>
  <si>
    <t>Егле Руф Давидівна</t>
  </si>
  <si>
    <t>ВФЧ/Ш/У/1644</t>
  </si>
  <si>
    <t>Чужа Назар Юрійович</t>
  </si>
  <si>
    <t>ВФЧ/Ш/У/1645</t>
  </si>
  <si>
    <t>Мазур Олександра Дмитрівна</t>
  </si>
  <si>
    <t>ВФЧ/Ш/У/1646</t>
  </si>
  <si>
    <t>Казімко Єлізавета Євгеніївна</t>
  </si>
  <si>
    <t>ВФЧ/Ш/У/1647</t>
  </si>
  <si>
    <t>Кулага Роман Володимирович</t>
  </si>
  <si>
    <t>ВФЧ/Ш/У/1648</t>
  </si>
  <si>
    <t>Гасинець Нікіта Михайлович</t>
  </si>
  <si>
    <t>ВФЧ/Ш/У/1649</t>
  </si>
  <si>
    <t>Коропець Софія Юріївна</t>
  </si>
  <si>
    <t>ВФЧ/Ш/У/1650</t>
  </si>
  <si>
    <t>Лінкіна Анастасія Володимирівна</t>
  </si>
  <si>
    <t>ВФЧ/Ш/У/1651</t>
  </si>
  <si>
    <t>Григорчик Єлізавета Євгеніївна</t>
  </si>
  <si>
    <t>ВФЧ/Ш/У/1652</t>
  </si>
  <si>
    <t>Погар Станіслав Олександрович</t>
  </si>
  <si>
    <t>ВФЧ/Ш/У/1653</t>
  </si>
  <si>
    <t>Бондар Софія Сергіївна</t>
  </si>
  <si>
    <t>Ірпінський ліцей інноваційних технологій</t>
  </si>
  <si>
    <t>Скорік Сергій Олексійович</t>
  </si>
  <si>
    <t>ВФЧ/Ш/У/1654</t>
  </si>
  <si>
    <t>Волошин Ілля Олександрович</t>
  </si>
  <si>
    <t>ВФЧ/Ш/У/1655</t>
  </si>
  <si>
    <t>Гайдабас Дмитро Олександрович</t>
  </si>
  <si>
    <t>ВФЧ/Ш/У/1656</t>
  </si>
  <si>
    <t>Зекунова Марія Борисівна</t>
  </si>
  <si>
    <t>ВФЧ/Ш/У/1657</t>
  </si>
  <si>
    <t>Коваленко Марія Юріївна</t>
  </si>
  <si>
    <t>ВФЧ/Ш/У/1658</t>
  </si>
  <si>
    <t>Пономарьова Святослава Романівна</t>
  </si>
  <si>
    <t>ВФЧ/Ш/У/1659</t>
  </si>
  <si>
    <t>Потравний Володимир Володимирович</t>
  </si>
  <si>
    <t>ВФЧ/Ш/У/1660</t>
  </si>
  <si>
    <t>Скудова Марина Андріївна</t>
  </si>
  <si>
    <t>ВФЧ/Ш/У/1661</t>
  </si>
  <si>
    <t>Чуркіна Дар'я Сергіївна</t>
  </si>
  <si>
    <t>ВФЧ/Ш/У/1662</t>
  </si>
  <si>
    <t>Юдін Олександр Євгенійович</t>
  </si>
  <si>
    <t>ВФЧ/Ш/У/1663</t>
  </si>
  <si>
    <t>Асрян Люсіне Артурівна</t>
  </si>
  <si>
    <t>Спеціалізована школа І-ІІІ ступенів № 57 з поглибленим вивченням англійської мови Шевченківського району м. Києва</t>
  </si>
  <si>
    <t>Денисова Ірина Вікторівна</t>
  </si>
  <si>
    <t>ВФЧ/Ш/У/1664</t>
  </si>
  <si>
    <t>Лукінюк-Валєєва Мілана Олексіївна</t>
  </si>
  <si>
    <t>ВФЧ/Ш/У/1665</t>
  </si>
  <si>
    <t>Онищенко Надія Петрівна</t>
  </si>
  <si>
    <t>ВФЧ/Ш/У/1666</t>
  </si>
  <si>
    <t>Онуфрієв Леонід Олександрович</t>
  </si>
  <si>
    <t>ВФЧ/Ш/У/1667</t>
  </si>
  <si>
    <t>Павленко Маргарита Олександрівна</t>
  </si>
  <si>
    <t>ВФЧ/Ш/У/1668</t>
  </si>
  <si>
    <t>Плугарьов Давід Олегович</t>
  </si>
  <si>
    <t>ВФЧ/Ш/У/1669</t>
  </si>
  <si>
    <t>Полтавченко Катерина Ярославівна</t>
  </si>
  <si>
    <t>ВФЧ/Ш/У/1670</t>
  </si>
  <si>
    <t>Слободянюк Артемій Павлович</t>
  </si>
  <si>
    <t>ВФЧ/Ш/У/1671</t>
  </si>
  <si>
    <t>Фисенко Ельміра Рустамівна</t>
  </si>
  <si>
    <t>ВФЧ/Ш/У/1672</t>
  </si>
  <si>
    <t>Шантаріна Марія Юріївна</t>
  </si>
  <si>
    <t>ВФЧ/Ш/У/1673</t>
  </si>
  <si>
    <t>Шикіна Владислава Сергіївна</t>
  </si>
  <si>
    <t>ВФЧ/Ш/У/1674</t>
  </si>
  <si>
    <t>Марченко Марія Сергіївна</t>
  </si>
  <si>
    <t>ВФЧ/Ш/У/1675</t>
  </si>
  <si>
    <t>Богданова Анна</t>
  </si>
  <si>
    <t>ВФЧ/Ш/У/1676</t>
  </si>
  <si>
    <t>Бондар Єлизавета</t>
  </si>
  <si>
    <t>ВФЧ/Ш/У/1677</t>
  </si>
  <si>
    <t>Боринський Іван</t>
  </si>
  <si>
    <t>ВФЧ/Ш/У/1678</t>
  </si>
  <si>
    <t>Гавва Вероніка</t>
  </si>
  <si>
    <t>ВФЧ/Ш/У/1679</t>
  </si>
  <si>
    <t>Заріцька Єлизавета</t>
  </si>
  <si>
    <t>ВФЧ/Ш/У/1680</t>
  </si>
  <si>
    <t>Земсков Олександр</t>
  </si>
  <si>
    <t>ВФЧ/Ш/У/1681</t>
  </si>
  <si>
    <t>Карпенко Анна</t>
  </si>
  <si>
    <t>ВФЧ/Ш/У/1682</t>
  </si>
  <si>
    <t>Корнєєва Дар’я</t>
  </si>
  <si>
    <t>ВФЧ/Ш/У/1683</t>
  </si>
  <si>
    <t>Павленко Михайло</t>
  </si>
  <si>
    <t>ВФЧ/Ш/У/1684</t>
  </si>
  <si>
    <t>Подолін Фьодор</t>
  </si>
  <si>
    <t>ВФЧ/Ш/У/1685</t>
  </si>
  <si>
    <t>Щербина Соломія</t>
  </si>
  <si>
    <t>ВФЧ/Ш/У/1686</t>
  </si>
  <si>
    <t>Рибалко Назар</t>
  </si>
  <si>
    <t>Коцюбинський ліцей №1 Коцюбинської селищної ради</t>
  </si>
  <si>
    <t>Шевчук Наталія Михайлівна</t>
  </si>
  <si>
    <t>ВФЧ/Ш/У/1687</t>
  </si>
  <si>
    <t>Гонгало Вадим</t>
  </si>
  <si>
    <t>ВФЧ/Ш/У/1688</t>
  </si>
  <si>
    <t>Вагабова Дарья</t>
  </si>
  <si>
    <t>ВФЧ/Ш/У/1689</t>
  </si>
  <si>
    <t>Коршак Марія</t>
  </si>
  <si>
    <t>Український фізико-математичний ліцей КНУ імені Тараса Шевченка</t>
  </si>
  <si>
    <t>Мельник-Мірзоян Арміне Лаврентіївна</t>
  </si>
  <si>
    <t>ВФЧ/Ш/У/1690</t>
  </si>
  <si>
    <t>Карасьов Олександр</t>
  </si>
  <si>
    <t>ВФЧ/Ш/У/1691</t>
  </si>
  <si>
    <t>Тарантай Кирил</t>
  </si>
  <si>
    <t>ВФЧ/Ш/У/1692</t>
  </si>
  <si>
    <t>Дзядевич Едуард</t>
  </si>
  <si>
    <t>ВФЧ/Ш/У/1693</t>
  </si>
  <si>
    <t>Дзядевич Кирил</t>
  </si>
  <si>
    <t>ВФЧ/Ш/У/1694</t>
  </si>
  <si>
    <t>Кологойда Артем</t>
  </si>
  <si>
    <t>ВФЧ/Ш/У/1695</t>
  </si>
  <si>
    <t>Григорчук Андрій</t>
  </si>
  <si>
    <t>ВФЧ/Ш/У/1696</t>
  </si>
  <si>
    <t>Бурлакова Вікторія</t>
  </si>
  <si>
    <t>ВФЧ/Ш/У/1697</t>
  </si>
  <si>
    <t>Вакулко Денис Петрович</t>
  </si>
  <si>
    <t>Комунальний заклад "Блиставицький заклад загальної середньої освіти І-ІІІ ступенів" №6</t>
  </si>
  <si>
    <t>Гаврилюк Олена Іванівна</t>
  </si>
  <si>
    <t>ВФЧ/Ш/У/1698</t>
  </si>
  <si>
    <t>Давиденко Нікіта Сергійович</t>
  </si>
  <si>
    <t>ВФЧ/Ш/У/1699</t>
  </si>
  <si>
    <t>Дементьєва Катерина Андріївна</t>
  </si>
  <si>
    <t>ВФЧ/Ш/У/1700</t>
  </si>
  <si>
    <t>Мартиненко Назар Олександрович</t>
  </si>
  <si>
    <t>ВФЧ/Ш/У/1701</t>
  </si>
  <si>
    <t>Нагорний Назар Миколайович</t>
  </si>
  <si>
    <t>ВФЧ/Ш/У/1702</t>
  </si>
  <si>
    <t>Нікеєнко Єлизавета Андріївна</t>
  </si>
  <si>
    <t>ВФЧ/Ш/У/1703</t>
  </si>
  <si>
    <t>Слобожан Марія Романівна</t>
  </si>
  <si>
    <t>ВФЧ/Ш/У/1704</t>
  </si>
  <si>
    <t>Тарасенко Дарина Сергіївна</t>
  </si>
  <si>
    <t>ВФЧ/Ш/У/1705</t>
  </si>
  <si>
    <t>Томченко Софія Анатоліївна</t>
  </si>
  <si>
    <t>ВФЧ/Ш/У/1706</t>
  </si>
  <si>
    <t>Шульга Микола Володимирович</t>
  </si>
  <si>
    <t>ВФЧ/Ш/У/1707</t>
  </si>
  <si>
    <t>Янєв Іван Володимирович</t>
  </si>
  <si>
    <t>ВФЧ/Ш/У/1708</t>
  </si>
  <si>
    <t>Майдан Ілона Олегівна</t>
  </si>
  <si>
    <t>Ліцей "Наукова зміна"</t>
  </si>
  <si>
    <t>Седляр Михайло Олегович</t>
  </si>
  <si>
    <t>ВФЧ/Ш/У/1709</t>
  </si>
  <si>
    <t>Маркова Олександра Павлівна</t>
  </si>
  <si>
    <t>ВФЧ/Ш/У/1710</t>
  </si>
  <si>
    <t>Матковська Мілана Романівна</t>
  </si>
  <si>
    <t>ВФЧ/Ш/У/1711</t>
  </si>
  <si>
    <t>Чанцева Алісія Андріївна</t>
  </si>
  <si>
    <t>ВФЧ/Ш/У/1712</t>
  </si>
  <si>
    <t>Шовкун Дарʼя Андріївна</t>
  </si>
  <si>
    <t>ВФЧ/Ш/У/1713</t>
  </si>
  <si>
    <t>Трегуб Єлизавета Максимівна</t>
  </si>
  <si>
    <t>ВФЧ/Ш/У/1714</t>
  </si>
  <si>
    <t>Терьохин Кирило Євгенович</t>
  </si>
  <si>
    <t>Спеціалізована школа І-ІІІ ступенів № 320 з поглибленим вивченням української мови міста Києва</t>
  </si>
  <si>
    <t>Сивоголовко Зінаїда Анатоліївна</t>
  </si>
  <si>
    <t>ВФЧ/Ш/У/1715</t>
  </si>
  <si>
    <t>Кондратюк Матвій Олексійович</t>
  </si>
  <si>
    <t>ВФЧ/Ш/У/1716</t>
  </si>
  <si>
    <t>Смірнов Данило Русланович</t>
  </si>
  <si>
    <t>ВФЧ/Ш/У/1717</t>
  </si>
  <si>
    <t>Іванова Евеліна Глібівна</t>
  </si>
  <si>
    <t>ВФЧ/Ш/У/1718</t>
  </si>
  <si>
    <t>Деревянко Данил Вікторович</t>
  </si>
  <si>
    <t>ВФЧ/Ш/У/1719</t>
  </si>
  <si>
    <t>Чернобородюк Даніл Андрійович</t>
  </si>
  <si>
    <t>ВФЧ/Ш/У/1720</t>
  </si>
  <si>
    <t>Альмужна Олександра Сергіївна</t>
  </si>
  <si>
    <t>ВФЧ/Ш/У/1721</t>
  </si>
  <si>
    <t>Вдовиченко Яна Ігорівна</t>
  </si>
  <si>
    <t>ВФЧ/Ш/У/1722</t>
  </si>
  <si>
    <t>Простакова Валерія Андріївна</t>
  </si>
  <si>
    <t>ВФЧ/Ш/У/1723</t>
  </si>
  <si>
    <t>Горай Софія Віталіївна</t>
  </si>
  <si>
    <t>ВФЧ/Ш/У/1724</t>
  </si>
  <si>
    <t>Пісний Станіслав Юрійович</t>
  </si>
  <si>
    <t>ВФЧ/Ш/У/1725</t>
  </si>
  <si>
    <t>Папроцький Кирило Максимович</t>
  </si>
  <si>
    <t>ВФЧ/Ш/У/1726</t>
  </si>
  <si>
    <t>Линчак Максим Вікторович</t>
  </si>
  <si>
    <t>ВФЧ/Ш/У/1727</t>
  </si>
  <si>
    <t>Зозуля Дарина Андріївна</t>
  </si>
  <si>
    <t>ВФЧ/Ш/У/1728</t>
  </si>
  <si>
    <t>Косянчук Вікторія Ігорівна</t>
  </si>
  <si>
    <t>ВФЧ/Ш/У/1729</t>
  </si>
  <si>
    <t>Бабаєва Елза Кямран кизи</t>
  </si>
  <si>
    <t>ВФЧ/Ш/У/1730</t>
  </si>
  <si>
    <t>Кривоус Марія Олександрівна</t>
  </si>
  <si>
    <t>Броварський ліцей №10 Броварської міської ради Броварського району Київської області</t>
  </si>
  <si>
    <t>Бакал Сергій Миколайович</t>
  </si>
  <si>
    <t>ВФЧ/Ш/У/1731</t>
  </si>
  <si>
    <t>Новик Діана Сергіївна</t>
  </si>
  <si>
    <t>ВФЧ/Ш/У/1732</t>
  </si>
  <si>
    <t>Назарсой Фатіма</t>
  </si>
  <si>
    <t>ВФЧ/Ш/У/1733</t>
  </si>
  <si>
    <t>Шевченко Костянтин Валентинович</t>
  </si>
  <si>
    <t>ВФЧ/Ш/У/1734</t>
  </si>
  <si>
    <t>Лістрова Анастасія Максимівна</t>
  </si>
  <si>
    <t>ВФЧ/Ш/У/1735</t>
  </si>
  <si>
    <t>Степаненко Кіра Андріївна</t>
  </si>
  <si>
    <t>ВФЧ/Ш/У/1736</t>
  </si>
  <si>
    <t>Сипко Матвій Анатолійович</t>
  </si>
  <si>
    <t>ВФЧ/Ш/У/1737</t>
  </si>
  <si>
    <t>Сердюк Вікторія Віталіївна</t>
  </si>
  <si>
    <t>ВФЧ/Ш/У/1738</t>
  </si>
  <si>
    <t>Тетерук Діана Андріївна</t>
  </si>
  <si>
    <t>ВФЧ/Ш/У/1739</t>
  </si>
  <si>
    <t>Мейта Іван</t>
  </si>
  <si>
    <t>Коцюбинський ліцей №2</t>
  </si>
  <si>
    <t>Кожухар Надія Михайлівна</t>
  </si>
  <si>
    <t>ВФЧ/Ш/У/1740</t>
  </si>
  <si>
    <t>Тетерюк Єгор</t>
  </si>
  <si>
    <t>Коцюбинський ліцей №3</t>
  </si>
  <si>
    <t>ВФЧ/Ш/У/1741</t>
  </si>
  <si>
    <t>Терещенко Олена</t>
  </si>
  <si>
    <t>Коцюбинський ліцей №4</t>
  </si>
  <si>
    <t>ВФЧ/Ш/У/1742</t>
  </si>
  <si>
    <t>Рубан Олексій</t>
  </si>
  <si>
    <t>Коцюбинський ліцей №5</t>
  </si>
  <si>
    <t>ВФЧ/Ш/У/1743</t>
  </si>
  <si>
    <t>Козлова Аліса</t>
  </si>
  <si>
    <t>Коцюбинський ліцей №6</t>
  </si>
  <si>
    <t>ВФЧ/Ш/У/1744</t>
  </si>
  <si>
    <t>Воловенко Артур</t>
  </si>
  <si>
    <t>Коцюбинський ліцей №7</t>
  </si>
  <si>
    <t>ВФЧ/Ш/У/1745</t>
  </si>
  <si>
    <t>Демченко Маргарита Євгенівна</t>
  </si>
  <si>
    <t>Ліцей №80 Печерського району м. Києва</t>
  </si>
  <si>
    <t>Шаля Катерина Володимирівна</t>
  </si>
  <si>
    <t>ВФЧ/Ш/У/1746</t>
  </si>
  <si>
    <t>Клімова Єлизавета Романівна</t>
  </si>
  <si>
    <t>ВФЧ/Ш/У/1747</t>
  </si>
  <si>
    <t>Кураса Мілана Юріївна</t>
  </si>
  <si>
    <t>ВФЧ/Ш/У/1748</t>
  </si>
  <si>
    <t>Курочкіна Маргарита Олександрівна</t>
  </si>
  <si>
    <t>ВФЧ/Ш/У/1749</t>
  </si>
  <si>
    <t>Ляхович Олексій Якович</t>
  </si>
  <si>
    <t>ВФЧ/Ш/У/1750</t>
  </si>
  <si>
    <t>Петренко Сабріна Русланівна</t>
  </si>
  <si>
    <t>ВФЧ/Ш/У/1751</t>
  </si>
  <si>
    <t>Рубанець Мирослава Ігорівна</t>
  </si>
  <si>
    <t>ВФЧ/Ш/У/1752</t>
  </si>
  <si>
    <t>Тростянська Єлизавета Костянтинівна</t>
  </si>
  <si>
    <t>ВФЧ/Ш/У/1753</t>
  </si>
  <si>
    <t>Усова Олександра Вікторівна</t>
  </si>
  <si>
    <t>ВФЧ/Ш/У/1754</t>
  </si>
  <si>
    <t>Шувалова Алєксандріна Олександрівна</t>
  </si>
  <si>
    <t>ВФЧ/Ш/У/1755</t>
  </si>
  <si>
    <t>Маслова Аліна Андріївна</t>
  </si>
  <si>
    <t>ВФЧ/Ш/У/1756</t>
  </si>
  <si>
    <t>Павловський Олексій Андрійович</t>
  </si>
  <si>
    <t>ВФЧ/Ш/У/1757</t>
  </si>
  <si>
    <t>Топольник Олексій Максимович</t>
  </si>
  <si>
    <t>ВФЧ/Ш/У/1758</t>
  </si>
  <si>
    <t>Братусь Ілля Олександрович</t>
  </si>
  <si>
    <t>Бориспільський ліцей "Лідер" Бориспільської міської ради Київської області</t>
  </si>
  <si>
    <t>Бабич Галина Владиславівна</t>
  </si>
  <si>
    <t>ВФЧ/Ш/У/1759</t>
  </si>
  <si>
    <t>Дубров Андрій Володимирович</t>
  </si>
  <si>
    <t>ВФЧ/Ш/У/1760</t>
  </si>
  <si>
    <t>Кріпкий Дмитро Сергійович</t>
  </si>
  <si>
    <t>ВФЧ/Ш/У/1761</t>
  </si>
  <si>
    <t>Крижанівський Дмитро Вадимович</t>
  </si>
  <si>
    <t>ВФЧ/Ш/У/1762</t>
  </si>
  <si>
    <t>Сорокопуд Давід Артемович</t>
  </si>
  <si>
    <t>ВФЧ/Ш/У/1763</t>
  </si>
  <si>
    <t>Черноног Анастасія Олександрівна</t>
  </si>
  <si>
    <t>ВФЧ/Ш/У/1764</t>
  </si>
  <si>
    <t>Шевченко Анна Олександрівна</t>
  </si>
  <si>
    <t>ВФЧ/Ш/У/1765</t>
  </si>
  <si>
    <t>Бабич Ірина Володимирівна</t>
  </si>
  <si>
    <t>ВФЧ/Ш/У/1766</t>
  </si>
  <si>
    <t>Ніколенко Назар Вадимович</t>
  </si>
  <si>
    <t>ВФЧ/Ш/У/1767</t>
  </si>
  <si>
    <t>Бабич Вікторія Вячеславівна</t>
  </si>
  <si>
    <t>ВФЧ/Ш/У/1768</t>
  </si>
  <si>
    <t>Бас Олександр</t>
  </si>
  <si>
    <t>Спеціалізована школа № 271 із поглибленним вивченням інформаційних технологій</t>
  </si>
  <si>
    <t>Зайцева Катерина Сергіївна</t>
  </si>
  <si>
    <t>ВФЧ/Ш/У/1769</t>
  </si>
  <si>
    <t>Горбань Ярослав</t>
  </si>
  <si>
    <t>ВФЧ/Ш/У/1770</t>
  </si>
  <si>
    <t>Жур Марія</t>
  </si>
  <si>
    <t>ВФЧ/Ш/У/1771</t>
  </si>
  <si>
    <t>Коваль Анна</t>
  </si>
  <si>
    <t>ВФЧ/Ш/У/1772</t>
  </si>
  <si>
    <t>Корнієнко Ілля</t>
  </si>
  <si>
    <t>ВФЧ/Ш/У/1773</t>
  </si>
  <si>
    <t>Костенко Дар'я</t>
  </si>
  <si>
    <t>ВФЧ/Ш/У/1774</t>
  </si>
  <si>
    <t>Коцюруба Дар'я</t>
  </si>
  <si>
    <t>ВФЧ/Ш/У/1775</t>
  </si>
  <si>
    <t>Лігостаєв Андрій</t>
  </si>
  <si>
    <t>ВФЧ/Ш/У/1776</t>
  </si>
  <si>
    <t>Панов Ярослав</t>
  </si>
  <si>
    <t>ВФЧ/Ш/У/1777</t>
  </si>
  <si>
    <t>Самойленко Владислав</t>
  </si>
  <si>
    <t>ВФЧ/Ш/У/1778</t>
  </si>
  <si>
    <t>Сорокін Микола</t>
  </si>
  <si>
    <t>ВФЧ/Ш/У/1779</t>
  </si>
  <si>
    <t>Чеботарев Артур</t>
  </si>
  <si>
    <t>ВФЧ/Ш/У/1780</t>
  </si>
  <si>
    <t>Чуприн Станіслав</t>
  </si>
  <si>
    <t>ВФЧ/Ш/У/1781</t>
  </si>
  <si>
    <t>Шарінов Богдан</t>
  </si>
  <si>
    <t>ВФЧ/Ш/У/1782</t>
  </si>
  <si>
    <t>ШерстНЬОВА Вікторія</t>
  </si>
  <si>
    <t>ВФЧ/Ш/У/1783</t>
  </si>
  <si>
    <t>Шубін Севастян</t>
  </si>
  <si>
    <t>ВФЧ/Ш/У/1784</t>
  </si>
  <si>
    <t>Параскевич Віталіна Ігорівна</t>
  </si>
  <si>
    <t>КЗЗСО "Ліцей Петропавлівський"</t>
  </si>
  <si>
    <t>Авраменко Ірина Миколаївна</t>
  </si>
  <si>
    <t>ВФЧ/Ш/У/1785</t>
  </si>
  <si>
    <t>Глявин Кирило Андрійович</t>
  </si>
  <si>
    <t>ВФЧ/Ш/У/1786</t>
  </si>
  <si>
    <t>Петров Артур Олександрович</t>
  </si>
  <si>
    <t>ВФЧ/Ш/У/1787</t>
  </si>
  <si>
    <t>Штанько Єва Сергіївна</t>
  </si>
  <si>
    <t>ВФЧ/Ш/У/1788</t>
  </si>
  <si>
    <t>Завада Анастасія Русланівна</t>
  </si>
  <si>
    <t>ВФЧ/Ш/У/1789</t>
  </si>
  <si>
    <t>Губський Володимир Сергійович</t>
  </si>
  <si>
    <t>ВФЧ/Ш/У/1790</t>
  </si>
  <si>
    <t>Доля Софія Валеріївна</t>
  </si>
  <si>
    <t>ВФЧ/Ш/У/1791</t>
  </si>
  <si>
    <t>Сірук Микола Сергійович</t>
  </si>
  <si>
    <t>ВФЧ/Ш/У/1792</t>
  </si>
  <si>
    <t>Петрик Анна Вадимівна</t>
  </si>
  <si>
    <t>ВФЧ/Ш/У/1793</t>
  </si>
  <si>
    <t>Ізадхах Рафаель Фармадович</t>
  </si>
  <si>
    <t>ВФЧ/Ш/У/1794</t>
  </si>
  <si>
    <t>Музика Марія Олександрівна</t>
  </si>
  <si>
    <t>ВФЧ/Ш/У/1795</t>
  </si>
  <si>
    <t>Семененко Єгор Андрійович</t>
  </si>
  <si>
    <t>ВФЧ/Ш/У/1796</t>
  </si>
  <si>
    <t>Яковенко Анастасія Денисівна</t>
  </si>
  <si>
    <t>ВФЧ/Ш/У/1797</t>
  </si>
  <si>
    <t>Ковальчук Маргарита Олександрівна</t>
  </si>
  <si>
    <t>ВФЧ/Ш/У/1798</t>
  </si>
  <si>
    <t>Чорна Ксенія Миколаївна</t>
  </si>
  <si>
    <t>ВФЧ/Ш/У/1799</t>
  </si>
  <si>
    <t>Лещенко Марія Олександрівна</t>
  </si>
  <si>
    <t>ВФЧ/Ш/У/1800</t>
  </si>
  <si>
    <t>Котляр Владислав Михайлович</t>
  </si>
  <si>
    <t>ВФЧ/Ш/У/1801</t>
  </si>
  <si>
    <t>Котелянець Світлана Олександрівна</t>
  </si>
  <si>
    <t>ВФЧ/Ш/У/1802</t>
  </si>
  <si>
    <t>Сісецька Анастасія Олексіївна</t>
  </si>
  <si>
    <t>ВФЧ/Ш/У/1803</t>
  </si>
  <si>
    <t>Гекалюк Анна Володимирівна</t>
  </si>
  <si>
    <t>ВФЧ/Ш/У/1804</t>
  </si>
  <si>
    <t>Зінченко Поліна Вячеславівна</t>
  </si>
  <si>
    <t>ВФЧ/Ш/У/1805</t>
  </si>
  <si>
    <t>Пухальська Вероніка Богданівна</t>
  </si>
  <si>
    <t>ВФЧ/Ш/У/1806</t>
  </si>
  <si>
    <t>Остапчук Сергій Анатолійович</t>
  </si>
  <si>
    <t>ВФЧ/Ш/У/1807</t>
  </si>
  <si>
    <t>Марченко Дар'я Євгеніцївна</t>
  </si>
  <si>
    <t>Глевахівський академічний ліцей</t>
  </si>
  <si>
    <t>Дмітрова Людмила Володимирівна</t>
  </si>
  <si>
    <t>ВФЧ/Ш/У/1808</t>
  </si>
  <si>
    <t>Стасюк Каміла Сергіївна</t>
  </si>
  <si>
    <t>ВФЧ/Ш/У/1809</t>
  </si>
  <si>
    <t>Пустовий Ярослав Юлійович</t>
  </si>
  <si>
    <t>ВФЧ/Ш/У/1810</t>
  </si>
  <si>
    <t>Тищенко Поліна</t>
  </si>
  <si>
    <t>ВФЧ/Ш/У/1811</t>
  </si>
  <si>
    <t>Кукла Аделіна-Софія Володимирівна</t>
  </si>
  <si>
    <t>ВФЧ/Ш/У/1812</t>
  </si>
  <si>
    <t>Сідоренко Аліна Русланівна</t>
  </si>
  <si>
    <t>ВФЧ/Ш/У/1813</t>
  </si>
  <si>
    <t>Безрученко Варвара Володимирівна</t>
  </si>
  <si>
    <t>ВФЧ/Ш/У/1814</t>
  </si>
  <si>
    <t>Капуснік Софія Сергіївна</t>
  </si>
  <si>
    <t>ВФЧ/Ш/У/1815</t>
  </si>
  <si>
    <t>Никончук Максим Володимирович</t>
  </si>
  <si>
    <t>ВФЧ/Ш/У/1816</t>
  </si>
  <si>
    <t>Погоріла Анна Сергіївна</t>
  </si>
  <si>
    <t>ВФЧ/Ш/У/1817</t>
  </si>
  <si>
    <t>Білоусенко Данило Олексійович</t>
  </si>
  <si>
    <t>ВФЧ/Ш/У/1818</t>
  </si>
  <si>
    <t>Шевченко Дар'я Вадимівна</t>
  </si>
  <si>
    <t>ВФЧ/Ш/У/1819</t>
  </si>
  <si>
    <t>Петрусенко Анастасія Євгеніївна</t>
  </si>
  <si>
    <t>ВФЧ/Ш/У/1820</t>
  </si>
  <si>
    <t>Волкова Аріна Андріївна</t>
  </si>
  <si>
    <t>ВФЧ/Ш/У/1821</t>
  </si>
  <si>
    <t>Мінченко Марія Андріївна</t>
  </si>
  <si>
    <t>ВФЧ/Ш/У/1822</t>
  </si>
  <si>
    <t>Бикова Софія Олександрівна</t>
  </si>
  <si>
    <t>ВФЧ/Ш/У/1823</t>
  </si>
  <si>
    <t>Куделя Дар'я Дмитрівна</t>
  </si>
  <si>
    <t>ВФЧ/Ш/У/1824</t>
  </si>
  <si>
    <t>Баінова Олександра Володимирівна</t>
  </si>
  <si>
    <t>ВФЧ/Ш/У/1825</t>
  </si>
  <si>
    <t>Пащенко Андрій Сергійович</t>
  </si>
  <si>
    <t>ВФЧ/Ш/У/1826</t>
  </si>
  <si>
    <t>Куценко Валерія Вікторівна</t>
  </si>
  <si>
    <t>ВФЧ/Ш/У/1827</t>
  </si>
  <si>
    <t>Гермаш Вікторія Сергіївна</t>
  </si>
  <si>
    <t>ВФЧ/Ш/У/1828</t>
  </si>
  <si>
    <t>Мошенець Іванна Русланівна</t>
  </si>
  <si>
    <t>ВФЧ/Ш/У/1829</t>
  </si>
  <si>
    <t>Бекул Володимир</t>
  </si>
  <si>
    <t>ВФЧ/Ш/У/1830</t>
  </si>
  <si>
    <t>Ромашко Марія Дмитрівна</t>
  </si>
  <si>
    <t>ВФЧ/Ш/У/1831</t>
  </si>
  <si>
    <t>Сладковська Анастасія В'ячеславівна</t>
  </si>
  <si>
    <t>ВФЧ/Ш/У/1832</t>
  </si>
  <si>
    <t>Домбровська Поліна Миколаївна</t>
  </si>
  <si>
    <t>Боярський академічний ліцей "Лідер"</t>
  </si>
  <si>
    <t>Полевик Галина Олексіївна</t>
  </si>
  <si>
    <t>ВФЧ/Ш/У/1833</t>
  </si>
  <si>
    <t>Рудь Дарина Андріївна</t>
  </si>
  <si>
    <t>ВФЧ/Ш/У/1834</t>
  </si>
  <si>
    <t>Сильчик Кіра Ігорівна</t>
  </si>
  <si>
    <t>ВФЧ/Ш/У/1835</t>
  </si>
  <si>
    <t>Бичкова Марія</t>
  </si>
  <si>
    <t>Український гуманітарний ліцей КНУ імені Тараса Шевченка</t>
  </si>
  <si>
    <t>Мамон Едуард Миколайович</t>
  </si>
  <si>
    <t>ВФЧ/Ш/У/1836</t>
  </si>
  <si>
    <t>Коломовченко Борис</t>
  </si>
  <si>
    <t>ВФЧ/Ш/У/1837</t>
  </si>
  <si>
    <t>Войтенко Максим</t>
  </si>
  <si>
    <t>ВФЧ/Ш/У/1838</t>
  </si>
  <si>
    <t>Данченко Олександр</t>
  </si>
  <si>
    <t>ВФЧ/Ш/У/1839</t>
  </si>
  <si>
    <t>Конончук Діана</t>
  </si>
  <si>
    <t>ВФЧ/Ш/У/1840</t>
  </si>
  <si>
    <t>Лихолай Зоряна</t>
  </si>
  <si>
    <t>ВФЧ/Ш/У/1841</t>
  </si>
  <si>
    <t>Роман Софія</t>
  </si>
  <si>
    <t>ВФЧ/Ш/У/1842</t>
  </si>
  <si>
    <t>Блінов Олександр</t>
  </si>
  <si>
    <t>ВФЧ/Ш/У/1843</t>
  </si>
  <si>
    <t>Власюк Олег</t>
  </si>
  <si>
    <t>ВФЧ/Ш/У/1844</t>
  </si>
  <si>
    <t>Каменна Анна</t>
  </si>
  <si>
    <t>ВФЧ/Ш/У/1845</t>
  </si>
  <si>
    <t>Бондаренко Уляна</t>
  </si>
  <si>
    <t>ВФЧ/Ш/У/1846</t>
  </si>
  <si>
    <t>Герасименко Катерина</t>
  </si>
  <si>
    <t>ВФЧ/Ш/У/1847</t>
  </si>
  <si>
    <t>Садрицький Артем</t>
  </si>
  <si>
    <t>ВФЧ/Ш/У/1848</t>
  </si>
  <si>
    <t>Сухомлінова Маріанна</t>
  </si>
  <si>
    <t>ВФЧ/Ш/У/1849</t>
  </si>
  <si>
    <t>Хомяк Ксенія</t>
  </si>
  <si>
    <t>ВФЧ/Ш/У/1850</t>
  </si>
  <si>
    <t>Шевченко Владислава</t>
  </si>
  <si>
    <t>ВФЧ/Ш/У/1851</t>
  </si>
  <si>
    <t>Ющенко Марк</t>
  </si>
  <si>
    <t>ВФЧ/Ш/У/1852</t>
  </si>
  <si>
    <t>Афоніна Поліна</t>
  </si>
  <si>
    <t>ВФЧ/Ш/У/1853</t>
  </si>
  <si>
    <t>Богомаз Антоніна</t>
  </si>
  <si>
    <t>ВФЧ/Ш/У/1854</t>
  </si>
  <si>
    <t>Верзун Марія</t>
  </si>
  <si>
    <t>ВФЧ/Ш/У/1855</t>
  </si>
  <si>
    <t>Галус Марія</t>
  </si>
  <si>
    <t>ВФЧ/Ш/У/1856</t>
  </si>
  <si>
    <t>Дехтярук Уляна</t>
  </si>
  <si>
    <t>ВФЧ/Ш/У/1857</t>
  </si>
  <si>
    <t>Кибало Марк</t>
  </si>
  <si>
    <t>ВФЧ/Ш/У/1858</t>
  </si>
  <si>
    <t>Крижановська Софія</t>
  </si>
  <si>
    <t>ВФЧ/Ш/У/1859</t>
  </si>
  <si>
    <t>Мостафаві Гаєш-Гуршаг Сабріна</t>
  </si>
  <si>
    <t>ВФЧ/Ш/У/1860</t>
  </si>
  <si>
    <t>Нагірняк Євдокія-Соломія</t>
  </si>
  <si>
    <t>ВФЧ/Ш/У/1861</t>
  </si>
  <si>
    <t>Нелєпа Іван</t>
  </si>
  <si>
    <t>ВФЧ/Ш/У/1862</t>
  </si>
  <si>
    <t>Нечипоренко Маргарита</t>
  </si>
  <si>
    <t>ВФЧ/Ш/У/1863</t>
  </si>
  <si>
    <t>Панкратьєва Ксенія</t>
  </si>
  <si>
    <t>ВФЧ/Ш/У/1864</t>
  </si>
  <si>
    <t>Пилипенко Злата</t>
  </si>
  <si>
    <t>ВФЧ/Ш/У/1865</t>
  </si>
  <si>
    <t>Токар Вікторія</t>
  </si>
  <si>
    <t>ВФЧ/Ш/У/1866</t>
  </si>
  <si>
    <t>Шаблієнко Мирослава</t>
  </si>
  <si>
    <t>ВФЧ/Ш/У/1867</t>
  </si>
  <si>
    <t>Шевченко Ольга</t>
  </si>
  <si>
    <t>ВФЧ/Ш/У/1868</t>
  </si>
  <si>
    <t>Галата Максим</t>
  </si>
  <si>
    <t>Школа І-ІІІ ступенів №248 Деснянського району міста Києва</t>
  </si>
  <si>
    <t>Булах Ганна Володимирівна</t>
  </si>
  <si>
    <t>ВФЧ/Ш/У/1869</t>
  </si>
  <si>
    <t>Гук Вікторія</t>
  </si>
  <si>
    <t>ВФЧ/Ш/У/1870</t>
  </si>
  <si>
    <t>Захарченко Нікіта</t>
  </si>
  <si>
    <t>ВФЧ/Ш/У/1871</t>
  </si>
  <si>
    <t>Лопатинська Марина</t>
  </si>
  <si>
    <t>ВФЧ/Ш/У/1872</t>
  </si>
  <si>
    <t>Ніколаєва Юліанна</t>
  </si>
  <si>
    <t>ВФЧ/Ш/У/1873</t>
  </si>
  <si>
    <t>Пазак Мілена</t>
  </si>
  <si>
    <t>ВФЧ/Ш/У/1874</t>
  </si>
  <si>
    <t>Пазак Міхаела</t>
  </si>
  <si>
    <t>ВФЧ/Ш/У/1875</t>
  </si>
  <si>
    <t>Пасісніченко Ілля</t>
  </si>
  <si>
    <t>ВФЧ/Ш/У/1876</t>
  </si>
  <si>
    <t>Перепеченко Руслан</t>
  </si>
  <si>
    <t>ВФЧ/Ш/У/1877</t>
  </si>
  <si>
    <t>Сахацький Андрій</t>
  </si>
  <si>
    <t>ВФЧ/Ш/У/1878</t>
  </si>
  <si>
    <t>Тарнавська Лілія</t>
  </si>
  <si>
    <t>ВФЧ/Ш/У/1879</t>
  </si>
  <si>
    <t>Некрашевич Вікторія</t>
  </si>
  <si>
    <t>ВФЧ/Ш/У/1880</t>
  </si>
  <si>
    <t>Гаман Вікторія</t>
  </si>
  <si>
    <t>ВФЧ/Ш/У/1881</t>
  </si>
  <si>
    <t>Фоміна Єлизавета</t>
  </si>
  <si>
    <t>ВФЧ/Ш/У/1882</t>
  </si>
  <si>
    <t>Шпильова Ангеліна</t>
  </si>
  <si>
    <t>ВФЧ/Ш/У/1883</t>
  </si>
  <si>
    <t>Щербина Олександр</t>
  </si>
  <si>
    <t>ВФЧ/Ш/У/1884</t>
  </si>
  <si>
    <t>Коваль Дар'я Миколаївна</t>
  </si>
  <si>
    <t>ПРИВАТНИЙ ЗАКЛАД "МІЖНАРОДНИЙ ЛІЦЕЙ "МИХАЇЛ" С.ЧАЙКИ"</t>
  </si>
  <si>
    <t>ОРЕШКО ТЕТЯНА ОЛЕКСІЇВНА</t>
  </si>
  <si>
    <t>ВФЧ/Ш/У/1885</t>
  </si>
  <si>
    <t>Ситайло Соломія Романівна</t>
  </si>
  <si>
    <t>ВФЧ/Ш/У/1886</t>
  </si>
  <si>
    <t>Нєщадімова Софія Андріївна</t>
  </si>
  <si>
    <t>ВФЧ/Ш/У/1887</t>
  </si>
  <si>
    <t>Дорошкевич Олена Костянтинівна</t>
  </si>
  <si>
    <t>ВФЧ/Ш/У/1888</t>
  </si>
  <si>
    <t>Воронова Марія Олександрівна</t>
  </si>
  <si>
    <t>ВФЧ/Ш/У/1889</t>
  </si>
  <si>
    <t>Бродовий Олег Володимирович</t>
  </si>
  <si>
    <t>ВФЧ/Ш/У/1890</t>
  </si>
  <si>
    <t>Омета Петро Павлович</t>
  </si>
  <si>
    <t>ВФЧ/Ш/У/1891</t>
  </si>
  <si>
    <t>Стопикіна Інна Петрівна</t>
  </si>
  <si>
    <t>ВФЧ/Ш/У/1892</t>
  </si>
  <si>
    <t>Тарнавська Вікторія Михайлівна</t>
  </si>
  <si>
    <t>ВФЧ/Ш/У/1893</t>
  </si>
  <si>
    <t>Баб'яр Платон Павлович</t>
  </si>
  <si>
    <t>ВФЧ/Ш/У/1894</t>
  </si>
  <si>
    <t>Троєкуров Денис Дмитрович</t>
  </si>
  <si>
    <t>ВФЧ/Ш/У/1895</t>
  </si>
  <si>
    <t>Купрєішвілі Анна</t>
  </si>
  <si>
    <t>Ліцей №29 Оболонського району м.Києва імені Петра Калнишевського</t>
  </si>
  <si>
    <t>Гавриш Станіслав Костянтинович</t>
  </si>
  <si>
    <t>ВФЧ/Ш/У/1896</t>
  </si>
  <si>
    <t>Костюк Анна</t>
  </si>
  <si>
    <t>ВФЧ/Ш/У/1897</t>
  </si>
  <si>
    <t>Лісовиченко Вероніка</t>
  </si>
  <si>
    <t>ВФЧ/Ш/У/1898</t>
  </si>
  <si>
    <t>Лисиця Альона</t>
  </si>
  <si>
    <t>ВФЧ/Ш/У/1899</t>
  </si>
  <si>
    <t>Стороха Катерина</t>
  </si>
  <si>
    <t>ВФЧ/Ш/У/1900</t>
  </si>
  <si>
    <t>Ремжина Поліна</t>
  </si>
  <si>
    <t>ВФЧ/Ш/У/1901</t>
  </si>
  <si>
    <t>Силенко Злата</t>
  </si>
  <si>
    <t>ВФЧ/Ш/У/1902</t>
  </si>
  <si>
    <t>Супрунюк Данило</t>
  </si>
  <si>
    <t>ВФЧ/Ш/У/1903</t>
  </si>
  <si>
    <t>Сергій Прошута</t>
  </si>
  <si>
    <t>ВФЧ/Ш/У/1904</t>
  </si>
  <si>
    <t>Шляхова Аліса</t>
  </si>
  <si>
    <t>ВФЧ/Ш/У/1905</t>
  </si>
  <si>
    <t>Іванова Ксенія</t>
  </si>
  <si>
    <t>ВФЧ/Ш/У/1906</t>
  </si>
  <si>
    <t>Одягайло Ярослава</t>
  </si>
  <si>
    <t>ВФЧ/Ш/У/1907</t>
  </si>
  <si>
    <t>Матвіїва Олександра</t>
  </si>
  <si>
    <t>ВФЧ/Ш/У/1908</t>
  </si>
  <si>
    <t>Цясіомко Данило</t>
  </si>
  <si>
    <t>ВФЧ/Ш/У/1909</t>
  </si>
  <si>
    <t>Зуграва Вікторія</t>
  </si>
  <si>
    <t>ВФЧ/Ш/У/1910</t>
  </si>
  <si>
    <t>Бойко Дар'я</t>
  </si>
  <si>
    <t>ВФЧ/Ш/У/1911</t>
  </si>
  <si>
    <t>Мітін Давід</t>
  </si>
  <si>
    <t>ВФЧ/Ш/У/1912</t>
  </si>
  <si>
    <t>Зварич Анастасія</t>
  </si>
  <si>
    <t>ВФЧ/Ш/У/1913</t>
  </si>
  <si>
    <t>Коміссаров Артем</t>
  </si>
  <si>
    <t>ВФЧ/Ш/У/1914</t>
  </si>
  <si>
    <t>Бєлоножко Едуард</t>
  </si>
  <si>
    <t>ВФЧ/Ш/У/1915</t>
  </si>
  <si>
    <t>Мегеда Катерина</t>
  </si>
  <si>
    <t>ВФЧ/Ш/У/1916</t>
  </si>
  <si>
    <t>Трохманенко Антон</t>
  </si>
  <si>
    <t>ВФЧ/Ш/У/1917</t>
  </si>
  <si>
    <t>Семенюк Валерія</t>
  </si>
  <si>
    <t>ВФЧ/Ш/У/1918</t>
  </si>
  <si>
    <t>Сапак Богдан</t>
  </si>
  <si>
    <t>ВФЧ/Ш/У/1919</t>
  </si>
  <si>
    <t>Калюка Дмитро</t>
  </si>
  <si>
    <t>ВФЧ/Ш/У/1920</t>
  </si>
  <si>
    <t>Курінна Дар'я</t>
  </si>
  <si>
    <t>ВФЧ/Ш/У/1921</t>
  </si>
  <si>
    <t>Капустинська Єлизавета</t>
  </si>
  <si>
    <t>ВФЧ/Ш/У/1922</t>
  </si>
  <si>
    <t>Миколюк Тімур</t>
  </si>
  <si>
    <t>ВФЧ/Ш/У/1923</t>
  </si>
  <si>
    <t>Паробець Микола</t>
  </si>
  <si>
    <t>ВФЧ/Ш/У/1924</t>
  </si>
  <si>
    <t>Гречишкіна Марія</t>
  </si>
  <si>
    <t>ВФЧ/Ш/У/1925</t>
  </si>
  <si>
    <t>Клименко Каріна</t>
  </si>
  <si>
    <t>ВФЧ/Ш/У/1926</t>
  </si>
  <si>
    <t>Назаренко Анна</t>
  </si>
  <si>
    <t>ВФЧ/Ш/У/1927</t>
  </si>
  <si>
    <t>Сковлюк Матвій</t>
  </si>
  <si>
    <t>ВФЧ/Ш/У/1928</t>
  </si>
  <si>
    <t>Михайлова Маргарита</t>
  </si>
  <si>
    <t>ВФЧ/Ш/У/1929</t>
  </si>
  <si>
    <t>Любченко Ілля</t>
  </si>
  <si>
    <t>ВФЧ/Ш/У/1930</t>
  </si>
  <si>
    <t>Сергієнко Назар</t>
  </si>
  <si>
    <t>ВФЧ/Ш/У/1931</t>
  </si>
  <si>
    <t>Мейлах Дмитро</t>
  </si>
  <si>
    <t>ВФЧ/Ш/У/1932</t>
  </si>
  <si>
    <t>Миронюк Олександра</t>
  </si>
  <si>
    <t>ВФЧ/Ш/У/1933</t>
  </si>
  <si>
    <t>Ковальова Каріна</t>
  </si>
  <si>
    <t>ВФЧ/Ш/У/1934</t>
  </si>
  <si>
    <t>Буйненко Кіріл</t>
  </si>
  <si>
    <t>ВФЧ/Ш/У/1935</t>
  </si>
  <si>
    <t>Пономарьов Іван</t>
  </si>
  <si>
    <t>ВФЧ/Ш/У/1936</t>
  </si>
  <si>
    <t>Слободяник Маргарита</t>
  </si>
  <si>
    <t>ВФЧ/Ш/У/1937</t>
  </si>
  <si>
    <t>Процюк Аліса</t>
  </si>
  <si>
    <t>ВФЧ/Ш/У/1938</t>
  </si>
  <si>
    <t>Нікітенко Ангеліна</t>
  </si>
  <si>
    <t>ВФЧ/Ш/У/1939</t>
  </si>
  <si>
    <t>Кипич Яна</t>
  </si>
  <si>
    <t>ВФЧ/Ш/У/1940</t>
  </si>
  <si>
    <t>Клімов Кирило</t>
  </si>
  <si>
    <t>ВФЧ/Ш/У/1941</t>
  </si>
  <si>
    <t>Березанська Марія Валеріївна</t>
  </si>
  <si>
    <t>Опорний заклад освіти "Софієвсько-Борщагівський ліцей" Борщагівської селищної ради Бучанського району Київської області</t>
  </si>
  <si>
    <t>Гончаренко Ольга Володимирівна</t>
  </si>
  <si>
    <t>ВФЧ/Ш/У/1942</t>
  </si>
  <si>
    <t>Шевченко Олексій Олександрович</t>
  </si>
  <si>
    <t>ВФЧ/Ш/У/1943</t>
  </si>
  <si>
    <t>Микитуха Вікторія Серніївна</t>
  </si>
  <si>
    <t>ВФЧ/Ш/У/1944</t>
  </si>
  <si>
    <t>Довгань Дмитро Русланович</t>
  </si>
  <si>
    <t>ВФЧ/Ш/У/1945</t>
  </si>
  <si>
    <t>Шупик Артем Валерійович</t>
  </si>
  <si>
    <t>ВФЧ/Ш/У/1946</t>
  </si>
  <si>
    <t>Поліщук Аліна Василівна</t>
  </si>
  <si>
    <t>ВФЧ/Ш/У/1947</t>
  </si>
  <si>
    <t>Вітер Віолетта Вадимівна</t>
  </si>
  <si>
    <t>ВФЧ/Ш/У/1948</t>
  </si>
  <si>
    <t>Ішуніна Анастасія Сергіївна</t>
  </si>
  <si>
    <t>ВФЧ/Ш/У/1949</t>
  </si>
  <si>
    <t>Лаврова Марія Костянтинівна</t>
  </si>
  <si>
    <t>ВФЧ/Ш/У/1950</t>
  </si>
  <si>
    <t>Афанасенко Юлія Павлівна</t>
  </si>
  <si>
    <t>ВФЧ/Ш/У/1951</t>
  </si>
  <si>
    <t>Астапенко Дар’я Олексіївна</t>
  </si>
  <si>
    <t>ВФЧ/Ш/У/1952</t>
  </si>
  <si>
    <t>Омельчекно Вікторія Віталіївна</t>
  </si>
  <si>
    <t>ВФЧ/Ш/У/1953</t>
  </si>
  <si>
    <t>Дума Кароліна Олександрівна</t>
  </si>
  <si>
    <t>ВФЧ/Ш/У/1954</t>
  </si>
  <si>
    <t>Божко Поліна Юріївна</t>
  </si>
  <si>
    <t>ВФЧ/Ш/У/1955</t>
  </si>
  <si>
    <t>Удовідченко Родіон Денисович</t>
  </si>
  <si>
    <t>ВФЧ/Ш/У/1956</t>
  </si>
  <si>
    <t>Курбет Ілля Сергійович</t>
  </si>
  <si>
    <t>ВФЧ/Ш/У/1957</t>
  </si>
  <si>
    <t>Грінік Михайло Олесандрович</t>
  </si>
  <si>
    <t>ВФЧ/Ш/У/1958</t>
  </si>
  <si>
    <t>Щупок Дар’я Ігорівна</t>
  </si>
  <si>
    <t>ВФЧ/Ш/У/1959</t>
  </si>
  <si>
    <t>Кіронда Кіра Олександрівна</t>
  </si>
  <si>
    <t>ВФЧ/Ш/У/1960</t>
  </si>
  <si>
    <t>Осавальчук Ілля Олександрович</t>
  </si>
  <si>
    <t>ВФЧ/Ш/У/1961</t>
  </si>
  <si>
    <t>Пансовий Даніїл Вікторович</t>
  </si>
  <si>
    <t>ВФЧ/Ш/У/1962</t>
  </si>
  <si>
    <t>Даценко Анатолій Олександрович</t>
  </si>
  <si>
    <t>ВФЧ/Ш/У/1963</t>
  </si>
  <si>
    <t>Шигіна Катерина Максимівна</t>
  </si>
  <si>
    <t>ВФЧ/Ш/У/1964</t>
  </si>
  <si>
    <t>Ямкова Анастасія Вікторівна</t>
  </si>
  <si>
    <t>ВФЧ/Ш/У/1965</t>
  </si>
  <si>
    <t>Нілогов Артем Русланович</t>
  </si>
  <si>
    <t>ВФЧ/Ш/У/1966</t>
  </si>
  <si>
    <t>Куц Дарина Геннадіївна</t>
  </si>
  <si>
    <t>Славутицький ЗЗСО І-ІІІ ст. №3 Славутицької міської ради Вишгородського району Київської області</t>
  </si>
  <si>
    <t>Андросович Тетяна Миколаївна</t>
  </si>
  <si>
    <t>ВФЧ/Ш/У/1967</t>
  </si>
  <si>
    <t>Сусло Марія Сергіївна</t>
  </si>
  <si>
    <t>ВФЧ/Ш/У/1968</t>
  </si>
  <si>
    <t>Губарєва Аліна Олександрівна</t>
  </si>
  <si>
    <t>ВФЧ/Ш/У/1969</t>
  </si>
  <si>
    <t>Дудкіна Вероніка Андріївна</t>
  </si>
  <si>
    <t>ВФЧ/Ш/У/1970</t>
  </si>
  <si>
    <t>Новик Вікторія Андріївна</t>
  </si>
  <si>
    <t>ВФЧ/Ш/У/1971</t>
  </si>
  <si>
    <t>Ромашова Дар'я Володимирівна</t>
  </si>
  <si>
    <t>ВФЧ/Ш/У/1972</t>
  </si>
  <si>
    <t>Павленко Єлизавета Ігорівна</t>
  </si>
  <si>
    <t>ВФЧ/Ш/У/1973</t>
  </si>
  <si>
    <t>Періна Дарина Євгеніївна</t>
  </si>
  <si>
    <t>ВФЧ/Ш/У/1974</t>
  </si>
  <si>
    <t>Катерина Івахнюк</t>
  </si>
  <si>
    <t>ОЗНЗ Новоолександрівський НВК "Загальноосвітня школа І-ІІІ ступенів-дошкільний навчальний заклад"</t>
  </si>
  <si>
    <t>Безклубюк Світлана Борисівна</t>
  </si>
  <si>
    <t>ВФЧ/Ш/У/1975</t>
  </si>
  <si>
    <t>Софія Тодосійчук</t>
  </si>
  <si>
    <t>ВФЧ/Ш/У/1976</t>
  </si>
  <si>
    <t>Олександра Комар</t>
  </si>
  <si>
    <t>ВФЧ/Ш/У/1977</t>
  </si>
  <si>
    <t>Ангеліна Васильченко</t>
  </si>
  <si>
    <t>ВФЧ/Ш/У/1978</t>
  </si>
  <si>
    <t>Анастасія Полонська</t>
  </si>
  <si>
    <t>ВФЧ/Ш/У/1979</t>
  </si>
  <si>
    <t>Ромах Ігор Владиславович</t>
  </si>
  <si>
    <t>Ліцей №33 міста Києва</t>
  </si>
  <si>
    <t>Стаднюк Тетяна Олексіївна</t>
  </si>
  <si>
    <t>ВФЧ/Ш/У/1980</t>
  </si>
  <si>
    <t>Приходько Мілана Сергіївна</t>
  </si>
  <si>
    <t>ВФЧ/Ш/У/1981</t>
  </si>
  <si>
    <t>Гаранжа Анна Іванівна</t>
  </si>
  <si>
    <t>ВФЧ/Ш/У/1982</t>
  </si>
  <si>
    <t>Бєднов Володимир Олегович</t>
  </si>
  <si>
    <t>ВФЧ/Ш/У/1983</t>
  </si>
  <si>
    <t>Ващенок Альбіна Геннадіївна</t>
  </si>
  <si>
    <t>ВФЧ/Ш/У/1984</t>
  </si>
  <si>
    <t>Кадацька Марія Давидівна</t>
  </si>
  <si>
    <t>ВФЧ/Ш/У/1985</t>
  </si>
  <si>
    <t>Комарова Елеонора Олексіївна</t>
  </si>
  <si>
    <t>ВФЧ/Ш/У/1986</t>
  </si>
  <si>
    <t>Лебідь Маргарита Максимівна</t>
  </si>
  <si>
    <t>ВФЧ/Ш/У/1987</t>
  </si>
  <si>
    <t>Леонтьєва Ірина Максимівна</t>
  </si>
  <si>
    <t>ВФЧ/Ш/У/1988</t>
  </si>
  <si>
    <t>Мусієнко Микита Дмитрович</t>
  </si>
  <si>
    <t>ВФЧ/Ш/У/1989</t>
  </si>
  <si>
    <t>Олійник Ігор Леонідович</t>
  </si>
  <si>
    <t>ВФЧ/Ш/У/1990</t>
  </si>
  <si>
    <t>Зайцев Олексій В’ячеславович</t>
  </si>
  <si>
    <t>Ліцей №323 Дарницького району м.Києва</t>
  </si>
  <si>
    <t>Тарасова Ірина Петрівна</t>
  </si>
  <si>
    <t>ВФЧ/Ш/У/1991</t>
  </si>
  <si>
    <t>Запальська Єлизавета Дмитрівна</t>
  </si>
  <si>
    <t>ВФЧ/Ш/У/1992</t>
  </si>
  <si>
    <t>Крюков Владислав Олександрович</t>
  </si>
  <si>
    <t>ВФЧ/Ш/У/1993</t>
  </si>
  <si>
    <t>Куліков Дмитро Михайлович</t>
  </si>
  <si>
    <t>ВФЧ/Ш/У/1994</t>
  </si>
  <si>
    <t>Левківський Віталій Артемович</t>
  </si>
  <si>
    <t>ВФЧ/Ш/У/1995</t>
  </si>
  <si>
    <t>Сайпілаєв Владислав Батирович</t>
  </si>
  <si>
    <t>ВФЧ/Ш/У/1996</t>
  </si>
  <si>
    <t>Цепух Михайло Євгенович</t>
  </si>
  <si>
    <t>ВФЧ/Ш/У/1997</t>
  </si>
  <si>
    <t>Карпенко Аліса Олександрівна</t>
  </si>
  <si>
    <t>Ліцей № 101, м. Київ</t>
  </si>
  <si>
    <t>Коломієць Тетяна Миколаївна</t>
  </si>
  <si>
    <t>ВФЧ/Ш/У/1998</t>
  </si>
  <si>
    <t>Фугело Артем Юрійович</t>
  </si>
  <si>
    <t>Київський ліцей бізнесу</t>
  </si>
  <si>
    <t>Андруховець Петро Михайлович</t>
  </si>
  <si>
    <t>ВФЧ/Ш/У/1999</t>
  </si>
  <si>
    <t>Зубенко Андрій Дмитрович</t>
  </si>
  <si>
    <t>ВФЧ/Ш/У/2000</t>
  </si>
  <si>
    <t>Сидорук Ілля Євгенович</t>
  </si>
  <si>
    <t>ВФЧ/Ш/У/2001</t>
  </si>
  <si>
    <t>Пилипенко Назар Костянтинович</t>
  </si>
  <si>
    <t>ВФЧ/Ш/У/2002</t>
  </si>
  <si>
    <t>Любчич Єлісей Дмитрович</t>
  </si>
  <si>
    <t>ВФЧ/Ш/У/2003</t>
  </si>
  <si>
    <t>Богдан Десятник Денисович</t>
  </si>
  <si>
    <t>ВФЧ/Ш/У/2004</t>
  </si>
  <si>
    <t>Петров Дмитро Ігорович</t>
  </si>
  <si>
    <t>ВФЧ/Ш/У/2005</t>
  </si>
  <si>
    <t>Митник Дарина Андріївна</t>
  </si>
  <si>
    <t>ВФЧ/Ш/У/2006</t>
  </si>
  <si>
    <t>Кісільов Денис Андрійович</t>
  </si>
  <si>
    <t>ВФЧ/Ш/У/2007</t>
  </si>
  <si>
    <t>Горчакова Евеліна Костянтинівна</t>
  </si>
  <si>
    <t>ВФЧ/Ш/У/2008</t>
  </si>
  <si>
    <t>Любченко Варвара Денисівна</t>
  </si>
  <si>
    <t>ВФЧ/Ш/У/2009</t>
  </si>
  <si>
    <t>Біляєв Тимофій Сергійович</t>
  </si>
  <si>
    <t>ВФЧ/Ш/У/2010</t>
  </si>
  <si>
    <t>Костянець Іван Юрійович</t>
  </si>
  <si>
    <t>ВФЧ/Ш/У/2011</t>
  </si>
  <si>
    <t>Слободян Тимур Сергійович</t>
  </si>
  <si>
    <t>ВФЧ/Ш/У/2012</t>
  </si>
  <si>
    <t>Сєров Олексій Антонович</t>
  </si>
  <si>
    <t>ВФЧ/Ш/У/2013</t>
  </si>
  <si>
    <t>Кісільова Софія Андріївна</t>
  </si>
  <si>
    <t>ВФЧ/Ш/У/2014</t>
  </si>
  <si>
    <t>Потійко Аліна Русланівна</t>
  </si>
  <si>
    <t>ВФЧ/Ш/У/2015</t>
  </si>
  <si>
    <t>Коваленко Вікторія Сергіївна</t>
  </si>
  <si>
    <t>ВФЧ/Ш/У/2016</t>
  </si>
  <si>
    <t>Ткач Софія Костянтинівна</t>
  </si>
  <si>
    <t>ВФЧ/Ш/У/2017</t>
  </si>
  <si>
    <t>Видиш Олександр Володимирович</t>
  </si>
  <si>
    <t>ВФЧ/Ш/У/2018</t>
  </si>
  <si>
    <t>Шарун Максим Володимирович</t>
  </si>
  <si>
    <t>ВФЧ/Ш/У/2019</t>
  </si>
  <si>
    <t>Федорець Данило</t>
  </si>
  <si>
    <t>ВФЧ/Ш/У/2020</t>
  </si>
  <si>
    <t>Морофіянець Іван Богданович</t>
  </si>
  <si>
    <t>ВФЧ/Ш/У/2021</t>
  </si>
  <si>
    <t>Борисов Андрій Дмитрович</t>
  </si>
  <si>
    <t>ВФЧ/Ш/У/2022</t>
  </si>
  <si>
    <t>Шахраюк Роман Вікторвич</t>
  </si>
  <si>
    <t>ВФЧ/Ш/У/2023</t>
  </si>
  <si>
    <t>Акименко Катерина</t>
  </si>
  <si>
    <t>БРОВАРСЬКИЙ ЛІЦЕЙ №1 БРОВАРСЬКОЇ МІСЬКОЇ РАДИ БРОВАРСЬКОГО РАЙОНУ КИЇВСЬКОЇ ОБЛАСТІ</t>
  </si>
  <si>
    <t>Золотаревський Андрій Вікторович</t>
  </si>
  <si>
    <t>ВФЧ/Ш/У/2024</t>
  </si>
  <si>
    <t>Балабан Софія</t>
  </si>
  <si>
    <t>ВФЧ/Ш/У/2025</t>
  </si>
  <si>
    <t>Коваль Артем</t>
  </si>
  <si>
    <t>ВФЧ/Ш/У/2026</t>
  </si>
  <si>
    <t>Кондратенко Ганна</t>
  </si>
  <si>
    <t>ВФЧ/Ш/У/2027</t>
  </si>
  <si>
    <t>Кондратенко Марія</t>
  </si>
  <si>
    <t>ВФЧ/Ш/У/2028</t>
  </si>
  <si>
    <t>Кондрашова Поліна</t>
  </si>
  <si>
    <t>ВФЧ/Ш/У/2029</t>
  </si>
  <si>
    <t>Ляхович Назарій</t>
  </si>
  <si>
    <t>ВФЧ/Ш/У/2030</t>
  </si>
  <si>
    <t>Павлущенко Анна</t>
  </si>
  <si>
    <t>ВФЧ/Ш/У/2031</t>
  </si>
  <si>
    <t>Ромаскевич Маргарита</t>
  </si>
  <si>
    <t>ВФЧ/Ш/У/2032</t>
  </si>
  <si>
    <t>Сачавська Анастасія</t>
  </si>
  <si>
    <t>ВФЧ/Ш/У/2033</t>
  </si>
  <si>
    <t>Сиротюк Дар'я</t>
  </si>
  <si>
    <t>ВФЧ/Ш/У/2034</t>
  </si>
  <si>
    <t>Таран Мілана</t>
  </si>
  <si>
    <t>ВФЧ/Ш/У/2035</t>
  </si>
  <si>
    <t>тишкова Віолетта</t>
  </si>
  <si>
    <t>ВФЧ/Ш/У/2036</t>
  </si>
  <si>
    <t>Ткаченко Ярослав</t>
  </si>
  <si>
    <t>ВФЧ/Ш/У/2037</t>
  </si>
  <si>
    <t>Форсун Андрій</t>
  </si>
  <si>
    <t>ВФЧ/Ш/У/2038</t>
  </si>
  <si>
    <t>Халімолін Павло</t>
  </si>
  <si>
    <t>ВФЧ/Ш/У/2039</t>
  </si>
  <si>
    <t>Яців Христина</t>
  </si>
  <si>
    <t>ВФЧ/Ш/У/2040</t>
  </si>
  <si>
    <t>Бодяк Володимир</t>
  </si>
  <si>
    <t>Школа I-III ступенів 70</t>
  </si>
  <si>
    <t>Горай Людмила Володимирівна</t>
  </si>
  <si>
    <t>ВФЧ/Ш/У/2041</t>
  </si>
  <si>
    <t>Івасюк Софія</t>
  </si>
  <si>
    <t>ВФЧ/Ш/У/2042</t>
  </si>
  <si>
    <t>Макухін Іван</t>
  </si>
  <si>
    <t>ВФЧ/Ш/У/2043</t>
  </si>
  <si>
    <t>Яременко Анастасія</t>
  </si>
  <si>
    <t>ВФЧ/Ш/У/2044</t>
  </si>
  <si>
    <t>Дубенець Альбіна Євгеніївна</t>
  </si>
  <si>
    <t>Фастівський академічний ліцей №2</t>
  </si>
  <si>
    <t>Гульшіна Катерина Юріївна</t>
  </si>
  <si>
    <t>ВФЧ/Ш/У/2045</t>
  </si>
  <si>
    <t>Якимчук Артем Олександрович</t>
  </si>
  <si>
    <t>ВФЧ/Ш/У/2046</t>
  </si>
  <si>
    <t>Шаповалова Владислава Вікторівна</t>
  </si>
  <si>
    <t>ВФЧ/Ш/У/2047</t>
  </si>
  <si>
    <t>Войтенко Віктор Миколайович</t>
  </si>
  <si>
    <t>ВФЧ/Ш/У/2048</t>
  </si>
  <si>
    <t>Пустовіт Матвій Володимирович</t>
  </si>
  <si>
    <t>ВФЧ/Ш/У/2049</t>
  </si>
  <si>
    <t>Івашень Дар'я Максимівна</t>
  </si>
  <si>
    <t>ВФЧ/Ш/У/2050</t>
  </si>
  <si>
    <t>Кошарна Поліна Вадимівна</t>
  </si>
  <si>
    <t>ВФЧ/Ш/У/2051</t>
  </si>
  <si>
    <t>Науменко Уляна Вікторівна</t>
  </si>
  <si>
    <t>ВФЧ/Ш/У/2052</t>
  </si>
  <si>
    <t>Сідько Анастасія Сергіївна</t>
  </si>
  <si>
    <t>ВФЧ/Ш/У/2053</t>
  </si>
  <si>
    <t>Воєвудська Кіра Мизайлівна</t>
  </si>
  <si>
    <t>Ліцей №6 м.Києва</t>
  </si>
  <si>
    <t>Шинкарьова Юлія Семенівна</t>
  </si>
  <si>
    <t>ВФЧ/Ш/У/2054</t>
  </si>
  <si>
    <t>Губа Владислав Євгенійович</t>
  </si>
  <si>
    <t>ВФЧ/Ш/У/2055</t>
  </si>
  <si>
    <t>Іллюк Всеволод Миколайович</t>
  </si>
  <si>
    <t>ВФЧ/Ш/У/2056</t>
  </si>
  <si>
    <t>Кірсанов Ігор Сергійович</t>
  </si>
  <si>
    <t>ВФЧ/Ш/У/2057</t>
  </si>
  <si>
    <t>Цуканова Анфіса Петрівна</t>
  </si>
  <si>
    <t>ВФЧ/Ш/У/2058</t>
  </si>
  <si>
    <t>Бородій Роман Олександрович</t>
  </si>
  <si>
    <t>КЗ КОР "Київський обласний ліцей"</t>
  </si>
  <si>
    <t>Купріянчук Любов Анатоліївна</t>
  </si>
  <si>
    <t>ВФЧ/Ш/У/2059</t>
  </si>
  <si>
    <t>Горбенко Максим Юрійович</t>
  </si>
  <si>
    <t>ВФЧ/Ш/У/2060</t>
  </si>
  <si>
    <t>Двірний Микита Романович</t>
  </si>
  <si>
    <t>ВФЧ/Ш/У/2061</t>
  </si>
  <si>
    <t>Охримович Марина Анатоліївна</t>
  </si>
  <si>
    <t>ВФЧ/Ш/У/2062</t>
  </si>
  <si>
    <t>Замліла Дарина Володимирівна</t>
  </si>
  <si>
    <t>Білоцерківський академічний ліцей "Колегіум" Білоцерківської міської ради Київської області</t>
  </si>
  <si>
    <t>Яременко Людмила Петрівна</t>
  </si>
  <si>
    <t>ВФЧ/Ш/У/2063</t>
  </si>
  <si>
    <t>Замліла Олександра Володимирівна</t>
  </si>
  <si>
    <t>ВФЧ/Ш/У/2064</t>
  </si>
  <si>
    <t>Романів Серафим Андрійович</t>
  </si>
  <si>
    <t>ВФЧ/Ш/У/2065</t>
  </si>
  <si>
    <t>Савін Євген Олександрович</t>
  </si>
  <si>
    <t>ВФЧ/Ш/У/2066</t>
  </si>
  <si>
    <t>Ковченко Матвій Михайлович</t>
  </si>
  <si>
    <t>ВФЧ/Ш/У/2067</t>
  </si>
  <si>
    <t>Кандур Богдан Олександрович</t>
  </si>
  <si>
    <t>ВФЧ/Ш/У/2068</t>
  </si>
  <si>
    <t>Гунько Владислав Олександрович</t>
  </si>
  <si>
    <t>ВФЧ/Ш/У/2069</t>
  </si>
  <si>
    <t>Веремчук Назар Миколайович</t>
  </si>
  <si>
    <t>ВФЧ/Ш/У/2070</t>
  </si>
  <si>
    <t>Міщенко Вадим Олександрович</t>
  </si>
  <si>
    <t>ВФЧ/Ш/У/2071</t>
  </si>
  <si>
    <t>Мазур Вероніка Русланівна</t>
  </si>
  <si>
    <t>ВФЧ/Ш/У/2072</t>
  </si>
  <si>
    <t>Косянчук Макар Олегович</t>
  </si>
  <si>
    <t>ВФЧ/Ш/У/2073</t>
  </si>
  <si>
    <t>Маковецька Анастасія Сергіївна</t>
  </si>
  <si>
    <t>ВФЧ/Ш/У/2074</t>
  </si>
  <si>
    <t>Панаєва Карина Русланівна</t>
  </si>
  <si>
    <t>ВФЧ/Ш/У/2075</t>
  </si>
  <si>
    <t>Коморченко Анна Максимівна</t>
  </si>
  <si>
    <t>ВФЧ/Ш/У/2076</t>
  </si>
  <si>
    <t>Палій Кароліна Назаріївна</t>
  </si>
  <si>
    <t>ВФЧ/Ш/У/2077</t>
  </si>
  <si>
    <t>Костенко Сніжана Ігорівна</t>
  </si>
  <si>
    <t>ВФЧ/Ш/У/2078</t>
  </si>
  <si>
    <t>Возний Денис Олександрович</t>
  </si>
  <si>
    <t>ВФЧ/Ш/У/2079</t>
  </si>
  <si>
    <t>Антоненко Роман Антонович</t>
  </si>
  <si>
    <t>ВФЧ/Ш/У/2080</t>
  </si>
  <si>
    <t>Мулік Анастасія Валеріївна</t>
  </si>
  <si>
    <t>ВФЧ/Ш/У/2081</t>
  </si>
  <si>
    <t>Кожух Андрій Вадимович</t>
  </si>
  <si>
    <t>ВФЧ/Ш/У/2082</t>
  </si>
  <si>
    <t>Цимбалюк Марія Леонідівна</t>
  </si>
  <si>
    <t>ВФЧ/Ш/У/2083</t>
  </si>
  <si>
    <t>Литвин Олександр Олегович</t>
  </si>
  <si>
    <t>ВФЧ/Ш/У/2084</t>
  </si>
  <si>
    <t>Дригало Поліна Юріївна</t>
  </si>
  <si>
    <t>ВФЧ/Ш/У/2085</t>
  </si>
  <si>
    <t>Синиця Юліанна Іллівна</t>
  </si>
  <si>
    <t>ВФЧ/Ш/У/2086</t>
  </si>
  <si>
    <t>Ганжа Анастасія Віталіївна</t>
  </si>
  <si>
    <t>ВФЧ/Ш/У/2087</t>
  </si>
  <si>
    <t>Однорог Вікторія Богданівна</t>
  </si>
  <si>
    <t>ВФЧ/Ш/У/2088</t>
  </si>
  <si>
    <t>Шевченко Поліна Олександрівна</t>
  </si>
  <si>
    <t>ВФЧ/Ш/У/2089</t>
  </si>
  <si>
    <t>Савіцький Артем Олегович</t>
  </si>
  <si>
    <t>ВФЧ/Ш/У/2090</t>
  </si>
  <si>
    <t>Фастовець Діана Русланівна</t>
  </si>
  <si>
    <t>ВФЧ/Ш/У/2091</t>
  </si>
  <si>
    <t>Яворська Валерія Олегівна</t>
  </si>
  <si>
    <t>ВФЧ/Ш/У/2092</t>
  </si>
  <si>
    <t>Черненко Віолетта Сергіївна</t>
  </si>
  <si>
    <t>ВФЧ/Ш/У/2093</t>
  </si>
  <si>
    <t>Базяк Вікторія Олександрівна</t>
  </si>
  <si>
    <t>ВФЧ/Ш/У/2094</t>
  </si>
  <si>
    <t>Луценко Софія Богданівна</t>
  </si>
  <si>
    <t>ВФЧ/Ш/У/2095</t>
  </si>
  <si>
    <t>Анненков Максим Олександрович</t>
  </si>
  <si>
    <t>ВФЧ/Ш/У/2096</t>
  </si>
  <si>
    <t>Доманська Ніколетта Олександрівна</t>
  </si>
  <si>
    <t>ВФЧ/Ш/У/2097</t>
  </si>
  <si>
    <t>Рева Дар'я Євгенівна</t>
  </si>
  <si>
    <t>ВФЧ/Ш/У/2098</t>
  </si>
  <si>
    <t>Федотов В'ячеслав Євгенійович</t>
  </si>
  <si>
    <t>ВФЧ/Ш/У/2099</t>
  </si>
  <si>
    <t>Бабенко Мар’яна Сергіївна</t>
  </si>
  <si>
    <t>ВФЧ/Ш/У/2100</t>
  </si>
  <si>
    <t>Сухаренко Софія Олександрівна</t>
  </si>
  <si>
    <t>ВФЧ/Ш/У/2101</t>
  </si>
  <si>
    <t>Аргат Софія Борисівна</t>
  </si>
  <si>
    <t>ВФЧ/Ш/У/2102</t>
  </si>
  <si>
    <t>Павленко Глєб Олександрович</t>
  </si>
  <si>
    <t>ВФЧ/Ш/У/2103</t>
  </si>
  <si>
    <t>Сидоренко Анна Олександрівна</t>
  </si>
  <si>
    <t>ВФЧ/Ш/У/2104</t>
  </si>
  <si>
    <t>Дудчик Анна Олександрівна</t>
  </si>
  <si>
    <t>ВФЧ/Ш/У/2105</t>
  </si>
  <si>
    <t>Оранська Віталіна Віталіївна</t>
  </si>
  <si>
    <t>ВФЧ/Ш/У/2106</t>
  </si>
  <si>
    <t>Яременко Поліна Ігорівна</t>
  </si>
  <si>
    <t>ВФЧ/Ш/У/2107</t>
  </si>
  <si>
    <t>Драченко Михайло В'ячеславович</t>
  </si>
  <si>
    <t>ВФЧ/Ш/У/2108</t>
  </si>
  <si>
    <t>Губач Ангеліна Віталіївна</t>
  </si>
  <si>
    <t>ВФЧ/Ш/У/2109</t>
  </si>
  <si>
    <t>Ходак Вікторія Владиславівна</t>
  </si>
  <si>
    <t>ВФЧ/Ш/У/2110</t>
  </si>
  <si>
    <t>Воропай Олександр Дмитрович</t>
  </si>
  <si>
    <t>ВФЧ/Ш/У/2111</t>
  </si>
  <si>
    <t>Новицька Євсенія Євгенівна</t>
  </si>
  <si>
    <t>ВФЧ/Ш/У/2112</t>
  </si>
  <si>
    <t>Капшук Катерина Олександрівна</t>
  </si>
  <si>
    <t>ВФЧ/Ш/У/2113</t>
  </si>
  <si>
    <t>Олятовська Вероніка Миколаївна</t>
  </si>
  <si>
    <t>ВФЧ/Ш/У/2114</t>
  </si>
  <si>
    <t>Трубіна Вікторія Олексіївна</t>
  </si>
  <si>
    <t>ВФЧ/Ш/У/2115</t>
  </si>
  <si>
    <t>Вакуленко Аріна Вікторівна</t>
  </si>
  <si>
    <t>ВФЧ/Ш/У/2116</t>
  </si>
  <si>
    <t>Запара Дарія Віталіївна</t>
  </si>
  <si>
    <t>ВФЧ/Ш/У/2117</t>
  </si>
  <si>
    <t>Назаренко Зоряна Олександрівна</t>
  </si>
  <si>
    <t>ВФЧ/Ш/У/2118</t>
  </si>
  <si>
    <t>Семенцова Марта Сергіївна</t>
  </si>
  <si>
    <t>ВФЧ/Ш/У/2119</t>
  </si>
  <si>
    <t>Цвірова Катерина Вадимівна</t>
  </si>
  <si>
    <t>ВФЧ/Ш/У/2120</t>
  </si>
  <si>
    <t>Соколова Софія Олександрівна</t>
  </si>
  <si>
    <t>ВФЧ/Ш/У/2121</t>
  </si>
  <si>
    <t>Старовіт Зоряна Дмитрівна</t>
  </si>
  <si>
    <t>ВФЧ/Ш/У/2122</t>
  </si>
  <si>
    <t>Стешенко Вікторія Юріївна</t>
  </si>
  <si>
    <t>Комунальний заклад Кагарлицькоі міської ради «Кагарлицький ліцей №3»</t>
  </si>
  <si>
    <t>Бондар Тамара Василівна</t>
  </si>
  <si>
    <t>ВФЧ/Ш/У/2123</t>
  </si>
  <si>
    <t>Опанасюк Юлія Миколаївна</t>
  </si>
  <si>
    <t>ВФЧ/Ш/У/2124</t>
  </si>
  <si>
    <t>Аністратенко Максим Володимирович</t>
  </si>
  <si>
    <t>ВФЧ/Ш/У/2125</t>
  </si>
  <si>
    <t>Костенко Аліна Миколаївна</t>
  </si>
  <si>
    <t>ВФЧ/Ш/У/2126</t>
  </si>
  <si>
    <t>Гладкевич Артем Олексійович</t>
  </si>
  <si>
    <t>ВФЧ/Ш/У/2127</t>
  </si>
  <si>
    <t>Захарко Ірина Олегівна</t>
  </si>
  <si>
    <t>ВФЧ/Ш/У/2128</t>
  </si>
  <si>
    <t>Шкляр Карина Євгеніївна</t>
  </si>
  <si>
    <t>ВФЧ/Ш/У/2129</t>
  </si>
  <si>
    <t>Тригуб Анна Вадимівна</t>
  </si>
  <si>
    <t>ВФЧ/Ш/У/2130</t>
  </si>
  <si>
    <t>Пономаренко Марія В'ячеславівна</t>
  </si>
  <si>
    <t>ВФЧ/Ш/У/2131</t>
  </si>
  <si>
    <t>Барбашова Аліна Дмитрівна</t>
  </si>
  <si>
    <t>Ліцей № 38 Київ</t>
  </si>
  <si>
    <t>ХОЗЕЄВА ІРИНА МИХАЙЛІВНА, ЛІНЧУК ЕЛЛА СЕРГІЇВНА</t>
  </si>
  <si>
    <t>ВФЧ/Ш/У/2132</t>
  </si>
  <si>
    <t>Сторожик Вероніка</t>
  </si>
  <si>
    <t>ВФЧ/Ш/У/2133</t>
  </si>
  <si>
    <t>Бурбель Христина Тарасівна</t>
  </si>
  <si>
    <t>ВФЧ/Ш/У/2134</t>
  </si>
  <si>
    <t>Мельник Катерина Олександрівна</t>
  </si>
  <si>
    <t>ВФЧ/Ш/У/2135</t>
  </si>
  <si>
    <t>Пастух Ернест Борисович</t>
  </si>
  <si>
    <t>ВФЧ/Ш/У/2136</t>
  </si>
  <si>
    <t>Арашкевич Віра</t>
  </si>
  <si>
    <t>ВФЧ/Ш/У/2137</t>
  </si>
  <si>
    <t>Соломаха Ярослава</t>
  </si>
  <si>
    <t>ВФЧ/Ш/У/2138</t>
  </si>
  <si>
    <t>Арестрхова Вікторія Олегівна</t>
  </si>
  <si>
    <t>ВФЧ/Ш/У/2139</t>
  </si>
  <si>
    <t>Павлик Даніїл Дмитрович</t>
  </si>
  <si>
    <t>ВФЧ/Ш/У/2140</t>
  </si>
  <si>
    <t>Ковалюк Лідія Олексіївна</t>
  </si>
  <si>
    <t>ВФЧ/Ш/У/2141</t>
  </si>
  <si>
    <t>Драмарадзький Тимофій Артемович</t>
  </si>
  <si>
    <t>ВФЧ/Ш/У/2142</t>
  </si>
  <si>
    <t>Мозель Марія Сергіївна</t>
  </si>
  <si>
    <t>ВФЧ/Ш/У/2143</t>
  </si>
  <si>
    <t>Роговик Микита Дмитрович</t>
  </si>
  <si>
    <t>ВФЧ/Ш/У/2144</t>
  </si>
  <si>
    <t>Сернецький Теодор Олександрович</t>
  </si>
  <si>
    <t>ВФЧ/Ш/У/2145</t>
  </si>
  <si>
    <t>Пшук Вікторія Вячеславівна</t>
  </si>
  <si>
    <t>ВФЧ/Ш/У/2146</t>
  </si>
  <si>
    <t>Торговцев Артем Юрійович</t>
  </si>
  <si>
    <t>ВФЧ/Ш/У/2147</t>
  </si>
  <si>
    <t>Суворов-Чабан Микола Ігорович</t>
  </si>
  <si>
    <t>ВФЧ/Ш/У/2148</t>
  </si>
  <si>
    <t>Вітюк Максим Сергійович</t>
  </si>
  <si>
    <t>ВФЧ/Ш/У/2149</t>
  </si>
  <si>
    <t>Бондарєв Олександр Михайлович</t>
  </si>
  <si>
    <t>ВФЧ/Ш/У/2150</t>
  </si>
  <si>
    <t>Кияниця Софія Федорівна</t>
  </si>
  <si>
    <t>ВФЧ/Ш/У/2151</t>
  </si>
  <si>
    <t>Цулая Ілля Нурійович</t>
  </si>
  <si>
    <t>ВФЧ/Ш/У/2152</t>
  </si>
  <si>
    <t>Сивак Дмитро Олегович</t>
  </si>
  <si>
    <t>Шпитьківський академічний ліцей "Скіф"</t>
  </si>
  <si>
    <t>Медвідь Вікторія Валентинівна</t>
  </si>
  <si>
    <t>ВФЧ/Ш/У/2153</t>
  </si>
  <si>
    <t>Луцкова Вероніка Олександрівна</t>
  </si>
  <si>
    <t>ВФЧ/Ш/У/2154</t>
  </si>
  <si>
    <t>Товченко Ярослав Андрійович</t>
  </si>
  <si>
    <t>ВФЧ/Ш/У/2155</t>
  </si>
  <si>
    <t>Макарчук Матвій Ілліч</t>
  </si>
  <si>
    <t>Ліцей №214</t>
  </si>
  <si>
    <t>Загідуліна Наталія Георгіївна</t>
  </si>
  <si>
    <t>ВФЧ/Ш/У/2156</t>
  </si>
  <si>
    <t>Лапін Данііл Володимирович</t>
  </si>
  <si>
    <t>ВФЧ/Ш/У/2157</t>
  </si>
  <si>
    <t>Бондар Нікіта Олегович</t>
  </si>
  <si>
    <t>ВФЧ/Ш/У/2158</t>
  </si>
  <si>
    <t>Грабовий Сергій Сергійович</t>
  </si>
  <si>
    <t>ВФЧ/Ш/У/2159</t>
  </si>
  <si>
    <t>Харчун Тимофій Васильович</t>
  </si>
  <si>
    <t>ВФЧ/Ш/У/2160</t>
  </si>
  <si>
    <t>Волков Євгеній Володимирович</t>
  </si>
  <si>
    <t>ВФЧ/Ш/У/2161</t>
  </si>
  <si>
    <t>Герасимов Іван Русланович</t>
  </si>
  <si>
    <t>ВФЧ/Ш/У/2162</t>
  </si>
  <si>
    <t>Субота Артем</t>
  </si>
  <si>
    <t>Броварський ліцей № 7</t>
  </si>
  <si>
    <t>Козлова Світлана Ігорівна</t>
  </si>
  <si>
    <t>ВФЧ/Ш/У/2163</t>
  </si>
  <si>
    <t>Чечотко Таїсія</t>
  </si>
  <si>
    <t>ВФЧ/Ш/У/2164</t>
  </si>
  <si>
    <t>Данилюк Катерина</t>
  </si>
  <si>
    <t>ВФЧ/Ш/У/2165</t>
  </si>
  <si>
    <t>Бєлік Данила</t>
  </si>
  <si>
    <t>ВФЧ/Ш/У/2166</t>
  </si>
  <si>
    <t>Дічковський Іван</t>
  </si>
  <si>
    <t>ВФЧ/Ш/У/2167</t>
  </si>
  <si>
    <t>Студіград Лук'ян</t>
  </si>
  <si>
    <t>ВФЧ/Ш/У/2168</t>
  </si>
  <si>
    <t>Придка Ярослав</t>
  </si>
  <si>
    <t>ВФЧ/Ш/У/2169</t>
  </si>
  <si>
    <t>Борщаєвський Костянтин</t>
  </si>
  <si>
    <t>ВФЧ/Ш/У/2170</t>
  </si>
  <si>
    <t>Мединська Єлизавета</t>
  </si>
  <si>
    <t>ВФЧ/Ш/У/2171</t>
  </si>
  <si>
    <t>Іскрук Максим</t>
  </si>
  <si>
    <t>ВФЧ/Ш/У/2172</t>
  </si>
  <si>
    <t>Корнійчук Ольга</t>
  </si>
  <si>
    <t>ВФЧ/Ш/У/2173</t>
  </si>
  <si>
    <t>Жежера Валерія</t>
  </si>
  <si>
    <t>ВФЧ/Ш/У/2174</t>
  </si>
  <si>
    <t>Круки Томара</t>
  </si>
  <si>
    <t>ВФЧ/Ш/У/2175</t>
  </si>
  <si>
    <t>Кравченко Анна</t>
  </si>
  <si>
    <t>ВФЧ/Ш/У/2176</t>
  </si>
  <si>
    <t>Лукша Поліна</t>
  </si>
  <si>
    <t>ВФЧ/Ш/У/2177</t>
  </si>
  <si>
    <t>Ніхаєнко Дар'я</t>
  </si>
  <si>
    <t>ВФЧ/Ш/У/2178</t>
  </si>
  <si>
    <t>Юкальчук Анастасія</t>
  </si>
  <si>
    <t>ВФЧ/Ш/У/2179</t>
  </si>
  <si>
    <t>Лисенко Діана</t>
  </si>
  <si>
    <t>ВФЧ/Ш/У/2180</t>
  </si>
  <si>
    <t>Мельниченко Софія</t>
  </si>
  <si>
    <t>ВФЧ/Ш/У/2181</t>
  </si>
  <si>
    <t>Дмитришин Станіслав Олександрович</t>
  </si>
  <si>
    <t>Новопразький ліцей №1 Новопразької селищної ради Олександрійського району Кіровоградської області</t>
  </si>
  <si>
    <t>Адаменко Анжела Миколаївна</t>
  </si>
  <si>
    <t>ВФЧ/Ш/У/2182</t>
  </si>
  <si>
    <t>Бабич Артем Юрійович</t>
  </si>
  <si>
    <t>ВФЧ/Ш/У/2183</t>
  </si>
  <si>
    <t>Литвин Дмитро Дмитрович</t>
  </si>
  <si>
    <t>ВФЧ/Ш/У/2184</t>
  </si>
  <si>
    <t>Паламаренко Роман</t>
  </si>
  <si>
    <t>Голованівський ліцей ім.Т.Г.Шевченка Голованівської селищної ради</t>
  </si>
  <si>
    <t>Безпалько Олена Володимирівна</t>
  </si>
  <si>
    <t>ВФЧ/Ш/У/2185</t>
  </si>
  <si>
    <t>Костенко Марія Олександрівна</t>
  </si>
  <si>
    <t>ВФЧ/Ш/У/2186</t>
  </si>
  <si>
    <t>Бирловський Андрій Андрійович</t>
  </si>
  <si>
    <t>ВФЧ/Ш/У/2187</t>
  </si>
  <si>
    <t>Маріяшко Марія Олегівна</t>
  </si>
  <si>
    <t>ВФЧ/Ш/У/2188</t>
  </si>
  <si>
    <t>Мазуренко Валерія</t>
  </si>
  <si>
    <t>ВФЧ/Ш/У/2189</t>
  </si>
  <si>
    <t>Семененко Яна Сергіївна</t>
  </si>
  <si>
    <t>ВФЧ/Ш/У/2190</t>
  </si>
  <si>
    <t>Кондратюк Роман Михайлович</t>
  </si>
  <si>
    <t>ВФЧ/Ш/У/2191</t>
  </si>
  <si>
    <t>Ковтун Максим Анатолійович</t>
  </si>
  <si>
    <t>ВФЧ/Ш/У/2192</t>
  </si>
  <si>
    <t>Глухенька Аріна Валеріївна</t>
  </si>
  <si>
    <t>ВФЧ/Ш/У/2193</t>
  </si>
  <si>
    <t>Маніта Марія Геннадіївна</t>
  </si>
  <si>
    <t>ВФЧ/Ш/У/2194</t>
  </si>
  <si>
    <t>Олійник Катерина Сергіївна</t>
  </si>
  <si>
    <t>ВФЧ/Ш/У/2195</t>
  </si>
  <si>
    <t>Задерей Діана Андріївна</t>
  </si>
  <si>
    <t>ВФЧ/Ш/У/2196</t>
  </si>
  <si>
    <t>Мартиновський Роман Антонович</t>
  </si>
  <si>
    <t>ВФЧ/Ш/У/2197</t>
  </si>
  <si>
    <t>Солощенко Дорофій Русланович</t>
  </si>
  <si>
    <t>ВФЧ/Ш/У/2198</t>
  </si>
  <si>
    <t>Наскрипняк Денис Олександрович</t>
  </si>
  <si>
    <t>ВФЧ/Ш/У/2199</t>
  </si>
  <si>
    <t>Никитюк Андрій Миколайович</t>
  </si>
  <si>
    <t>ВФЧ/Ш/У/2200</t>
  </si>
  <si>
    <t>Онищук Іван Олексійович</t>
  </si>
  <si>
    <t>ВФЧ/Ш/У/2201</t>
  </si>
  <si>
    <t>Федорчук Вікторія Юріївна</t>
  </si>
  <si>
    <t>ВФЧ/Ш/У/2202</t>
  </si>
  <si>
    <t>Дубасова Марія Олегівна</t>
  </si>
  <si>
    <t>ВФЧ/Ш/У/2203</t>
  </si>
  <si>
    <t>Підлубна Іванна Сергіївна</t>
  </si>
  <si>
    <t>ВФЧ/Ш/У/2204</t>
  </si>
  <si>
    <t>Дробуш Дарія Сергіївна</t>
  </si>
  <si>
    <t>ВФЧ/Ш/У/2205</t>
  </si>
  <si>
    <t>Довгопола Анна Олександрівна</t>
  </si>
  <si>
    <t>ВФЧ/Ш/У/2206</t>
  </si>
  <si>
    <t>Любінецька Аліна Максимівна</t>
  </si>
  <si>
    <t>ВФЧ/Ш/У/2207</t>
  </si>
  <si>
    <t>Олійник Іванна Михайлівна</t>
  </si>
  <si>
    <t>ВФЧ/Ш/У/2208</t>
  </si>
  <si>
    <t>Спиридонова Валерія Миколаївна</t>
  </si>
  <si>
    <t>ВФЧ/Ш/У/2209</t>
  </si>
  <si>
    <t>Оцабрик Валерія Олександрівна</t>
  </si>
  <si>
    <t>ВФЧ/Ш/У/2210</t>
  </si>
  <si>
    <t>Труфанова Лілія</t>
  </si>
  <si>
    <t>ВФЧ/Ш/У/2211</t>
  </si>
  <si>
    <t>Чекановська Катерина Віталіївна</t>
  </si>
  <si>
    <t>ВФЧ/Ш/У/2212</t>
  </si>
  <si>
    <t>Мостовик Катерина</t>
  </si>
  <si>
    <t>ВФЧ/Ш/У/2213</t>
  </si>
  <si>
    <t>Бахтіна Софія</t>
  </si>
  <si>
    <t>ВФЧ/Ш/У/2214</t>
  </si>
  <si>
    <t>Макаринський Андрій</t>
  </si>
  <si>
    <t>ВФЧ/Ш/У/2215</t>
  </si>
  <si>
    <t>Безлюдько Руслан Русланович</t>
  </si>
  <si>
    <t>ВФЧ/Ш/У/2216</t>
  </si>
  <si>
    <t>Дудар Іван Олегович</t>
  </si>
  <si>
    <t>ВФЧ/Ш/У/2217</t>
  </si>
  <si>
    <t>Глобенко Максим Олександрович</t>
  </si>
  <si>
    <t>ВФЧ/Ш/У/2218</t>
  </si>
  <si>
    <t>Собченко Ігор Анатолійович</t>
  </si>
  <si>
    <t>Комунальний заклад "Ліцей "Вікторія-П" Кропивницької міської ради"</t>
  </si>
  <si>
    <t>Левицька Олена Миколаївна</t>
  </si>
  <si>
    <t>ВФЧ/Ш/У/2219</t>
  </si>
  <si>
    <t>Пономаренко Михайло Сергійович</t>
  </si>
  <si>
    <t>ВФЧ/Ш/У/2220</t>
  </si>
  <si>
    <t>Переверзєва Варвара Валеріївна</t>
  </si>
  <si>
    <t>ВФЧ/Ш/У/2221</t>
  </si>
  <si>
    <t>Шабля Богдана Олександрівна</t>
  </si>
  <si>
    <t>ВФЧ/Ш/У/2222</t>
  </si>
  <si>
    <t>Черненко Софія Володимирівна</t>
  </si>
  <si>
    <t>ВФЧ/Ш/У/2223</t>
  </si>
  <si>
    <t>Іванюк Катерина Володимирівна</t>
  </si>
  <si>
    <t>ВФЧ/Ш/У/2224</t>
  </si>
  <si>
    <t>Лубенець Аліна Олегівна</t>
  </si>
  <si>
    <t>ВФЧ/Ш/У/2225</t>
  </si>
  <si>
    <t>Панасюк Поліна Андріївна</t>
  </si>
  <si>
    <t>ВФЧ/Ш/У/2226</t>
  </si>
  <si>
    <t>Кулик Марія Сергіївна</t>
  </si>
  <si>
    <t>ВФЧ/Ш/У/2227</t>
  </si>
  <si>
    <t>Єрьоменко Нікіта Олександрович</t>
  </si>
  <si>
    <t>ВФЧ/Ш/У/2228</t>
  </si>
  <si>
    <t>Дашковська Анна Миколаївна</t>
  </si>
  <si>
    <t>ВФЧ/Ш/У/2229</t>
  </si>
  <si>
    <t>Санжара Євангеліна Ігорівна</t>
  </si>
  <si>
    <t>ВФЧ/Ш/У/2230</t>
  </si>
  <si>
    <t>Сліпченко Максим Ігорович</t>
  </si>
  <si>
    <t>ВФЧ/Ш/У/2231</t>
  </si>
  <si>
    <t>Косянкова Поліна Миколаївна</t>
  </si>
  <si>
    <t>ВФЧ/Ш/У/2232</t>
  </si>
  <si>
    <t>Бородулін Святослав Дмитрович</t>
  </si>
  <si>
    <t>ВФЧ/Ш/У/2233</t>
  </si>
  <si>
    <t>Голубенко Михайло Юрійович</t>
  </si>
  <si>
    <t>ВФЧ/Ш/У/2234</t>
  </si>
  <si>
    <t>Кудінов Єгор Константинович</t>
  </si>
  <si>
    <t>ВФЧ/Ш/У/2235</t>
  </si>
  <si>
    <t>Гуслиста Ілона Сергіївна</t>
  </si>
  <si>
    <t>ВФЧ/Ш/У/2236</t>
  </si>
  <si>
    <t>Сліпченко Іван Сергійович</t>
  </si>
  <si>
    <t>ВФЧ/Ш/У/2237</t>
  </si>
  <si>
    <t>Кобик Артем Сергійович</t>
  </si>
  <si>
    <t>ВФЧ/Ш/У/2238</t>
  </si>
  <si>
    <t>Цапенко Єгор Володимирович</t>
  </si>
  <si>
    <t>ВФЧ/Ш/У/2239</t>
  </si>
  <si>
    <t>Бочарова Вероніка Олегівна</t>
  </si>
  <si>
    <t>ВФЧ/Ш/У/2240</t>
  </si>
  <si>
    <t>Сенчіло Олеся Владиславівна</t>
  </si>
  <si>
    <t>ВФЧ/Ш/У/2241</t>
  </si>
  <si>
    <t>Цибіна Олександра Максимівна</t>
  </si>
  <si>
    <t>ВФЧ/Ш/У/2242</t>
  </si>
  <si>
    <t>Жажко Ізабела Олександрівна</t>
  </si>
  <si>
    <t>ВФЧ/Ш/У/2243</t>
  </si>
  <si>
    <t>Райчук Вікторія Олексіївна</t>
  </si>
  <si>
    <t>ВФЧ/Ш/У/2244</t>
  </si>
  <si>
    <t>Валерія Семенкова</t>
  </si>
  <si>
    <t>Гуманітарний ліцей Олександрійської міської ради</t>
  </si>
  <si>
    <t>Дериземля Тетяна Олександрівна</t>
  </si>
  <si>
    <t>ВФЧ/Ш/У/2245</t>
  </si>
  <si>
    <t>Єва Єдзоєва</t>
  </si>
  <si>
    <t>ВФЧ/Ш/У/2246</t>
  </si>
  <si>
    <t>Анна Міхненко</t>
  </si>
  <si>
    <t>ВФЧ/Ш/У/2247</t>
  </si>
  <si>
    <t>Анна Паламарчук</t>
  </si>
  <si>
    <t>ВФЧ/Ш/У/2248</t>
  </si>
  <si>
    <t>Аміна Головко</t>
  </si>
  <si>
    <t>ВФЧ/Ш/У/2249</t>
  </si>
  <si>
    <t>Захар Кравченко</t>
  </si>
  <si>
    <t>ВФЧ/Ш/У/2250</t>
  </si>
  <si>
    <t>Максим Пославський</t>
  </si>
  <si>
    <t>ВФЧ/Ш/У/2251</t>
  </si>
  <si>
    <t>Єлизавета Юха</t>
  </si>
  <si>
    <t>ВФЧ/Ш/У/2252</t>
  </si>
  <si>
    <t>Анастасія Бірко</t>
  </si>
  <si>
    <t>ВФЧ/Ш/У/2253</t>
  </si>
  <si>
    <t>Софія Держакова</t>
  </si>
  <si>
    <t>ВФЧ/Ш/У/2254</t>
  </si>
  <si>
    <t>Валерія Козюбердіна</t>
  </si>
  <si>
    <t>ВФЧ/Ш/У/2255</t>
  </si>
  <si>
    <t>Назар Матвєєв</t>
  </si>
  <si>
    <t>ВФЧ/Ш/У/2256</t>
  </si>
  <si>
    <t>Ірина Ярощук</t>
  </si>
  <si>
    <t>ВФЧ/Ш/У/2257</t>
  </si>
  <si>
    <t>Валерія Гриценко</t>
  </si>
  <si>
    <t>ВФЧ/Ш/У/2258</t>
  </si>
  <si>
    <t>Марія Завгородська</t>
  </si>
  <si>
    <t>ВФЧ/Ш/У/2259</t>
  </si>
  <si>
    <t>Єва Єфіменко</t>
  </si>
  <si>
    <t>ВФЧ/Ш/У/2260</t>
  </si>
  <si>
    <t>Каміла Касаткіна</t>
  </si>
  <si>
    <t>ВФЧ/Ш/У/2261</t>
  </si>
  <si>
    <t>Поліна Іванова</t>
  </si>
  <si>
    <t>ВФЧ/Ш/У/2262</t>
  </si>
  <si>
    <t>Єва Бабенко</t>
  </si>
  <si>
    <t>ВФЧ/Ш/У/2263</t>
  </si>
  <si>
    <t>Діана Дон</t>
  </si>
  <si>
    <t>ВФЧ/Ш/У/2264</t>
  </si>
  <si>
    <t>Ксенія Шелюх</t>
  </si>
  <si>
    <t>ВФЧ/Ш/У/2265</t>
  </si>
  <si>
    <t>Валерія Алексєєва</t>
  </si>
  <si>
    <t>ВФЧ/Ш/У/2266</t>
  </si>
  <si>
    <t>Максим Ляхович</t>
  </si>
  <si>
    <t>ВФЧ/Ш/У/2267</t>
  </si>
  <si>
    <t>Ангеліна Перова</t>
  </si>
  <si>
    <t>ВФЧ/Ш/У/2268</t>
  </si>
  <si>
    <t>Данило Часник</t>
  </si>
  <si>
    <t>ВФЧ/Ш/У/2269</t>
  </si>
  <si>
    <t>Богдан Кіцул</t>
  </si>
  <si>
    <t>ВФЧ/Ш/У/2270</t>
  </si>
  <si>
    <t>Анастасія Самусєва</t>
  </si>
  <si>
    <t>ВФЧ/Ш/У/2271</t>
  </si>
  <si>
    <t>Анастасія Голубенко</t>
  </si>
  <si>
    <t>ВФЧ/Ш/У/2272</t>
  </si>
  <si>
    <t>Давид Золотарьов</t>
  </si>
  <si>
    <t>ВФЧ/Ш/У/2273</t>
  </si>
  <si>
    <t>Нііта Бобров</t>
  </si>
  <si>
    <t>ВФЧ/Ш/У/2274</t>
  </si>
  <si>
    <t>Тимофій Герасім</t>
  </si>
  <si>
    <t>ВФЧ/Ш/У/2275</t>
  </si>
  <si>
    <t>Діана Коваль</t>
  </si>
  <si>
    <t>ВФЧ/Ш/У/2276</t>
  </si>
  <si>
    <t>Софія Левкович</t>
  </si>
  <si>
    <t>ВФЧ/Ш/У/2277</t>
  </si>
  <si>
    <t>Поліна Донцова</t>
  </si>
  <si>
    <t>ВФЧ/Ш/У/2278</t>
  </si>
  <si>
    <t>Сніжана Тімінська</t>
  </si>
  <si>
    <t>ВФЧ/Ш/У/2279</t>
  </si>
  <si>
    <t>Денис Ангелов</t>
  </si>
  <si>
    <t>ВФЧ/Ш/У/2280</t>
  </si>
  <si>
    <t>Даніл Мамка</t>
  </si>
  <si>
    <t>ВФЧ/Ш/У/2281</t>
  </si>
  <si>
    <t>Сагайдак Ангеліна</t>
  </si>
  <si>
    <t>Опорний заклад "Ліцей №1 ім. Героя України Березняка Є.С."</t>
  </si>
  <si>
    <t>Сазіна Оксана Анатоліївна</t>
  </si>
  <si>
    <t>ВФЧ/Ш/У/2282</t>
  </si>
  <si>
    <t>Юденко Владислав</t>
  </si>
  <si>
    <t>ВФЧ/Ш/У/2283</t>
  </si>
  <si>
    <t>Тендюк Дмитро</t>
  </si>
  <si>
    <t>ВФЧ/Ш/У/2284</t>
  </si>
  <si>
    <t>Бортнікова Альона</t>
  </si>
  <si>
    <t>ВФЧ/Ш/У/2285</t>
  </si>
  <si>
    <t>Гриценко Ілля</t>
  </si>
  <si>
    <t>ВФЧ/Ш/У/2286</t>
  </si>
  <si>
    <t>Дугар Дмитро</t>
  </si>
  <si>
    <t>ВФЧ/Ш/У/2287</t>
  </si>
  <si>
    <t>Сульженко Анна</t>
  </si>
  <si>
    <t>ВФЧ/Ш/У/2288</t>
  </si>
  <si>
    <t>Денисенко Тимофій</t>
  </si>
  <si>
    <t>ВФЧ/Ш/У/2289</t>
  </si>
  <si>
    <t>Куроп'ятник Олександр</t>
  </si>
  <si>
    <t>ВФЧ/Ш/У/2290</t>
  </si>
  <si>
    <t>Коноваленко Микола</t>
  </si>
  <si>
    <t>ВФЧ/Ш/У/2291</t>
  </si>
  <si>
    <t>Тарасенко Дар'я</t>
  </si>
  <si>
    <t>ВФЧ/Ш/У/2292</t>
  </si>
  <si>
    <t>Гулько Дмитро</t>
  </si>
  <si>
    <t>ВФЧ/Ш/У/2293</t>
  </si>
  <si>
    <t>Єрмаков Роман</t>
  </si>
  <si>
    <t>ВФЧ/Ш/У/2294</t>
  </si>
  <si>
    <t>Чолпан Яна</t>
  </si>
  <si>
    <t>ВФЧ/Ш/У/2295</t>
  </si>
  <si>
    <t>Новіков Михайло</t>
  </si>
  <si>
    <t>ВФЧ/Ш/У/2296</t>
  </si>
  <si>
    <t>Бойко Поліна</t>
  </si>
  <si>
    <t>ВФЧ/Ш/У/2297</t>
  </si>
  <si>
    <t>Кравченко Станіслав</t>
  </si>
  <si>
    <t>ВФЧ/Ш/У/2298</t>
  </si>
  <si>
    <t>Катранюк Софія</t>
  </si>
  <si>
    <t>ВФЧ/Ш/У/2299</t>
  </si>
  <si>
    <t>Сохіна Дар'я</t>
  </si>
  <si>
    <t>ВФЧ/Ш/У/2300</t>
  </si>
  <si>
    <t>Богач Наталія</t>
  </si>
  <si>
    <t>ВФЧ/Ш/У/2301</t>
  </si>
  <si>
    <t>Чепляка Данило</t>
  </si>
  <si>
    <t>ВФЧ/Ш/У/2302</t>
  </si>
  <si>
    <t>Набоченко Рєнат</t>
  </si>
  <si>
    <t>ВФЧ/Ш/У/2303</t>
  </si>
  <si>
    <t>Мошенська Софія</t>
  </si>
  <si>
    <t>ВФЧ/Ш/У/2304</t>
  </si>
  <si>
    <t>Сухий Павло</t>
  </si>
  <si>
    <t>ВФЧ/Ш/У/2305</t>
  </si>
  <si>
    <t>Колос Леся</t>
  </si>
  <si>
    <t>ВФЧ/Ш/У/2306</t>
  </si>
  <si>
    <t>Панченко Богдан</t>
  </si>
  <si>
    <t>ВФЧ/Ш/У/2307</t>
  </si>
  <si>
    <t>Бирилова Анастасія Олексіївна</t>
  </si>
  <si>
    <t>Комунальний заклад "Ліцей сучасної освіти "Інтелект" Світловодської міської ради"</t>
  </si>
  <si>
    <t>Єрмолаєва Віра Василівна</t>
  </si>
  <si>
    <t>ВФЧ/Ш/У/2308</t>
  </si>
  <si>
    <t>Вінніков Єгор Євгенович</t>
  </si>
  <si>
    <t>ВФЧ/Ш/У/2309</t>
  </si>
  <si>
    <t>Калініченко Катерина Олексіївна</t>
  </si>
  <si>
    <t>ВФЧ/Ш/У/2310</t>
  </si>
  <si>
    <t>Ліненко Олександра Юріївна</t>
  </si>
  <si>
    <t>ВФЧ/Ш/У/2311</t>
  </si>
  <si>
    <t>Молчанов Дмитро Романович</t>
  </si>
  <si>
    <t>ВФЧ/Ш/У/2312</t>
  </si>
  <si>
    <t>Новікова Софія Богданівна</t>
  </si>
  <si>
    <t>ВФЧ/Ш/У/2313</t>
  </si>
  <si>
    <t>Погрібна Поліна Юріївна</t>
  </si>
  <si>
    <t>ВФЧ/Ш/У/2314</t>
  </si>
  <si>
    <t>Рибалка Іван Григорович</t>
  </si>
  <si>
    <t>ВФЧ/Ш/У/2315</t>
  </si>
  <si>
    <t>Сичевський Іван Миколайович</t>
  </si>
  <si>
    <t>ВФЧ/Ш/У/2316</t>
  </si>
  <si>
    <t>Усенко Артем Володимирович</t>
  </si>
  <si>
    <t>ВФЧ/Ш/У/2317</t>
  </si>
  <si>
    <t>Алієва Поліна Анатоліївна</t>
  </si>
  <si>
    <t>ВФЧ/Ш/У/2318</t>
  </si>
  <si>
    <t>Бігас Тимофій Андрійович</t>
  </si>
  <si>
    <t>ВФЧ/Ш/У/2319</t>
  </si>
  <si>
    <t>Гончаров Іван Олександрович</t>
  </si>
  <si>
    <t>ВФЧ/Ш/У/2320</t>
  </si>
  <si>
    <t>Горіславець НікітаОлександрович</t>
  </si>
  <si>
    <t>ВФЧ/Ш/У/2321</t>
  </si>
  <si>
    <t>Залюбовська Владлєна Вадимівна</t>
  </si>
  <si>
    <t>ВФЧ/Ш/У/2322</t>
  </si>
  <si>
    <t>Ігнатенко Аріна Юріївна</t>
  </si>
  <si>
    <t>ВФЧ/Ш/У/2323</t>
  </si>
  <si>
    <t>Кайлов Матвій Сергійович</t>
  </si>
  <si>
    <t>ВФЧ/Ш/У/2324</t>
  </si>
  <si>
    <t>Кукса Софія Віталіївна</t>
  </si>
  <si>
    <t>ВФЧ/Ш/У/2325</t>
  </si>
  <si>
    <t>Місечко Владислав Олександрович</t>
  </si>
  <si>
    <t>ВФЧ/Ш/У/2326</t>
  </si>
  <si>
    <t>Нечипільська Катерина Володимирівна</t>
  </si>
  <si>
    <t>ВФЧ/Ш/У/2327</t>
  </si>
  <si>
    <t>Хлівна Маргарита Олегівна</t>
  </si>
  <si>
    <t>ВФЧ/Ш/У/2328</t>
  </si>
  <si>
    <t>Шевченко Аліна Вадимівна</t>
  </si>
  <si>
    <t>ВФЧ/Ш/У/2329</t>
  </si>
  <si>
    <t>Левадна Софія Олександрівна</t>
  </si>
  <si>
    <t>Центральноукраїнський науковий ліцей Кіровоградської обласної ради</t>
  </si>
  <si>
    <t>Шапран Вікторія Степанівна, Самойленко Аліса Олександрівна</t>
  </si>
  <si>
    <t>ВФЧ/Ш/У/2330</t>
  </si>
  <si>
    <t>Костенко Дарина Миколаївна</t>
  </si>
  <si>
    <t>ВФЧ/Ш/У/2331</t>
  </si>
  <si>
    <t>Пивонос Дарина Олександрівна</t>
  </si>
  <si>
    <t>ВФЧ/Ш/У/2332</t>
  </si>
  <si>
    <t>Редькіна Сніжана Олегівна</t>
  </si>
  <si>
    <t>ВФЧ/Ш/У/2333</t>
  </si>
  <si>
    <t>Малафей Анастасія Дмитрівна</t>
  </si>
  <si>
    <t>ВФЧ/Ш/У/2334</t>
  </si>
  <si>
    <t>Телих Олександра Олександрівна</t>
  </si>
  <si>
    <t>ВФЧ/Ш/У/2335</t>
  </si>
  <si>
    <t>Клочай Анастасія Віталіївна</t>
  </si>
  <si>
    <t>ВФЧ/Ш/У/2336</t>
  </si>
  <si>
    <t>Дробот Влада Павлівна</t>
  </si>
  <si>
    <t>ВФЧ/Ш/У/2337</t>
  </si>
  <si>
    <t>Самофалова Анна Миколаївна</t>
  </si>
  <si>
    <t>ВФЧ/Ш/У/2338</t>
  </si>
  <si>
    <t>Черноус Максим Русланович</t>
  </si>
  <si>
    <t>ВФЧ/Ш/У/2339</t>
  </si>
  <si>
    <t>Кондаков Данило Олексійович</t>
  </si>
  <si>
    <t>ВФЧ/Ш/У/2340</t>
  </si>
  <si>
    <t>Дорош Каріна Ігорівна</t>
  </si>
  <si>
    <t>ВФЧ/Ш/У/2341</t>
  </si>
  <si>
    <t>Гончарова Ілона Юріївна</t>
  </si>
  <si>
    <t>ВФЧ/Ш/У/2342</t>
  </si>
  <si>
    <t>Андрущенко Ліза Сергіївна</t>
  </si>
  <si>
    <t>ВФЧ/Ш/У/2343</t>
  </si>
  <si>
    <t>Задорожня Валентина Русланівна</t>
  </si>
  <si>
    <t>ВФЧ/Ш/У/2344</t>
  </si>
  <si>
    <t>Большакова Ангеліна Сергіївна</t>
  </si>
  <si>
    <t>ВФЧ/Ш/У/2345</t>
  </si>
  <si>
    <t>Циба Маргарита Олександрівна</t>
  </si>
  <si>
    <t>ВФЧ/Ш/У/2346</t>
  </si>
  <si>
    <t>Стеценко Владислава Геннадіївна</t>
  </si>
  <si>
    <t>ВФЧ/Ш/У/2347</t>
  </si>
  <si>
    <t>Тихий Денис Олегович</t>
  </si>
  <si>
    <t>ВФЧ/Ш/У/2348</t>
  </si>
  <si>
    <t>Вознюк Анна Андріївна</t>
  </si>
  <si>
    <t>ВФЧ/Ш/У/2349</t>
  </si>
  <si>
    <t>Коржик Яна Максимівна</t>
  </si>
  <si>
    <t>ВФЧ/Ш/У/2350</t>
  </si>
  <si>
    <t>Жирний Тимур Віталійович</t>
  </si>
  <si>
    <t>ВФЧ/Ш/У/2351</t>
  </si>
  <si>
    <t>Данилюк Ян Юрійович</t>
  </si>
  <si>
    <t>ВФЧ/Ш/У/2352</t>
  </si>
  <si>
    <t>Жмирьова Кароліна Алімівна</t>
  </si>
  <si>
    <t>ВФЧ/Ш/У/2353</t>
  </si>
  <si>
    <t>Степурська Поліна Олегівна</t>
  </si>
  <si>
    <t>ВФЧ/Ш/У/2354</t>
  </si>
  <si>
    <t>Кузан Ангеліна Євгенівна</t>
  </si>
  <si>
    <t>ВФЧ/Ш/У/2355</t>
  </si>
  <si>
    <t>Третяк Катерина Михайлівна</t>
  </si>
  <si>
    <t>ВФЧ/Ш/У/2356</t>
  </si>
  <si>
    <t>Красовський Назар Олександрович</t>
  </si>
  <si>
    <t>ВФЧ/Ш/У/2357</t>
  </si>
  <si>
    <t>Маленко Дар'я В'ячеславівна</t>
  </si>
  <si>
    <t>ВФЧ/Ш/У/2358</t>
  </si>
  <si>
    <t>Ганусовська Анна Дмитрівна</t>
  </si>
  <si>
    <t>ВФЧ/Ш/У/2359</t>
  </si>
  <si>
    <t>Солтик Вероніка Олексіївна</t>
  </si>
  <si>
    <t>ВФЧ/Ш/У/2360</t>
  </si>
  <si>
    <t>Герасименко Маргарита Сергіївна</t>
  </si>
  <si>
    <t>ВФЧ/Ш/У/2361</t>
  </si>
  <si>
    <t>Онуфрак Дар'я Миколаївна</t>
  </si>
  <si>
    <t>ВФЧ/Ш/У/2362</t>
  </si>
  <si>
    <t>Самофалова Анастасія Миколаївна</t>
  </si>
  <si>
    <t>ВФЧ/Ш/У/2363</t>
  </si>
  <si>
    <t>Шульга Анна Миколаївна</t>
  </si>
  <si>
    <t>ВФЧ/Ш/У/2364</t>
  </si>
  <si>
    <t>Шпенюк Ольга Олександрівна</t>
  </si>
  <si>
    <t>ВФЧ/Ш/У/2365</t>
  </si>
  <si>
    <t>Місюна Вікторія Максимівна</t>
  </si>
  <si>
    <t>ВФЧ/Ш/У/2366</t>
  </si>
  <si>
    <t>Коваленко Михайло Русланович</t>
  </si>
  <si>
    <t>ВФЧ/Ш/У/2367</t>
  </si>
  <si>
    <t>Кравченко Анастасія Сергіївна</t>
  </si>
  <si>
    <t>ВФЧ/Ш/У/2368</t>
  </si>
  <si>
    <t>Нікітенко Софія Віталіївна</t>
  </si>
  <si>
    <t>ВФЧ/Ш/У/2369</t>
  </si>
  <si>
    <t>Тюпа Заріна Андріївна</t>
  </si>
  <si>
    <t>ВФЧ/Ш/У/2370</t>
  </si>
  <si>
    <t>Левчук Анастасія Андріївна</t>
  </si>
  <si>
    <t>ВФЧ/Ш/У/2371</t>
  </si>
  <si>
    <t>Івашина Анастасія Олексіївна</t>
  </si>
  <si>
    <t>ВФЧ/Ш/У/2372</t>
  </si>
  <si>
    <t>Скляренко Єлизавета Андріївна</t>
  </si>
  <si>
    <t>ВФЧ/Ш/У/2373</t>
  </si>
  <si>
    <t>Жуганов Антон Володимирович</t>
  </si>
  <si>
    <t>ВФЧ/Ш/У/2374</t>
  </si>
  <si>
    <t>Ладоненко Дар'я Олександрівна</t>
  </si>
  <si>
    <t>ВФЧ/Ш/У/2375</t>
  </si>
  <si>
    <t>Роман Марія Віталіївна</t>
  </si>
  <si>
    <t>ВФЧ/Ш/У/2376</t>
  </si>
  <si>
    <t>Паніотов Роман Ігорович</t>
  </si>
  <si>
    <t>ВФЧ/Ш/У/2377</t>
  </si>
  <si>
    <t>Ревва Анастасія Олександрівна</t>
  </si>
  <si>
    <t>ВФЧ/Ш/У/2378</t>
  </si>
  <si>
    <t>Гегамян Мурат Гагікович</t>
  </si>
  <si>
    <t>ВФЧ/Ш/У/2379</t>
  </si>
  <si>
    <t>Савіна Софія Віталіївна</t>
  </si>
  <si>
    <t>ВФЧ/Ш/У/2380</t>
  </si>
  <si>
    <t>Іванюк Анна Сергіївна</t>
  </si>
  <si>
    <t>ВФЧ/Ш/У/2381</t>
  </si>
  <si>
    <t>Кривінська Тетяна Павлівна</t>
  </si>
  <si>
    <t>ВФЧ/Ш/У/2382</t>
  </si>
  <si>
    <t>Боднарчук Софія Віталіївна</t>
  </si>
  <si>
    <t>ВФЧ/Ш/У/2383</t>
  </si>
  <si>
    <t>Жадан Вікторія Вікторівна</t>
  </si>
  <si>
    <t>ВФЧ/Ш/У/2384</t>
  </si>
  <si>
    <t>Левко Микита Миколайович</t>
  </si>
  <si>
    <t>ВФЧ/Ш/У/2385</t>
  </si>
  <si>
    <t>Довгаленко Матвій Дмитрович</t>
  </si>
  <si>
    <t>ВФЧ/Ш/У/2386</t>
  </si>
  <si>
    <t>Мирян Марина Володимирівна</t>
  </si>
  <si>
    <t>ВФЧ/Ш/У/2387</t>
  </si>
  <si>
    <t>Кондратьєва Вікторія Сергіївна</t>
  </si>
  <si>
    <t>ВФЧ/Ш/У/2388</t>
  </si>
  <si>
    <t>Білоголовий Максим Михайлович</t>
  </si>
  <si>
    <t>ВФЧ/Ш/У/2389</t>
  </si>
  <si>
    <t>Савенко Денис Андрійович</t>
  </si>
  <si>
    <t>ВФЧ/Ш/У/2390</t>
  </si>
  <si>
    <t>Фоменко Поліна Сергіївна</t>
  </si>
  <si>
    <t>ВФЧ/Ш/У/2391</t>
  </si>
  <si>
    <t>Майданик Еріка</t>
  </si>
  <si>
    <t>ВФЧ/Ш/У/2392</t>
  </si>
  <si>
    <t>Савіна Єва Віталіївна</t>
  </si>
  <si>
    <t>ВФЧ/Ш/У/2393</t>
  </si>
  <si>
    <t>Корж Гліб Сергійович</t>
  </si>
  <si>
    <t>ВФЧ/Ш/У/2394</t>
  </si>
  <si>
    <t>Коломієць Анастасія Олександрівна</t>
  </si>
  <si>
    <t>ВФЧ/Ш/У/2395</t>
  </si>
  <si>
    <t>Ведмідь Анна Олександрівна</t>
  </si>
  <si>
    <t>ВФЧ/Ш/У/2396</t>
  </si>
  <si>
    <t>Надольна Анастасія Русланівна</t>
  </si>
  <si>
    <t>ВФЧ/Ш/У/2397</t>
  </si>
  <si>
    <t>Сисак Дмитро Олександрович</t>
  </si>
  <si>
    <t>ВФЧ/Ш/У/2398</t>
  </si>
  <si>
    <t>Ільїних Олена Володимирівна</t>
  </si>
  <si>
    <t>ВФЧ/Ш/У/2399</t>
  </si>
  <si>
    <t>Мартовіцька Дар'я Сергіївна</t>
  </si>
  <si>
    <t>ВФЧ/Ш/У/2400</t>
  </si>
  <si>
    <t>Ліщинський Дмитрій Валерійович</t>
  </si>
  <si>
    <t>ВФЧ/Ш/У/2401</t>
  </si>
  <si>
    <t>Гануковська Анна Дмитрівна</t>
  </si>
  <si>
    <t>ВФЧ/Ш/У/2402</t>
  </si>
  <si>
    <t>Жмирьова Кароліна Олександрівна</t>
  </si>
  <si>
    <t>ВФЧ/Ш/У/2403</t>
  </si>
  <si>
    <t>Малков Ілля Вадимович</t>
  </si>
  <si>
    <t>ВФЧ/Ш/У/2404</t>
  </si>
  <si>
    <t>Кабанцева Марія Сергіївна</t>
  </si>
  <si>
    <t>ВФЧ/Ш/У/2405</t>
  </si>
  <si>
    <t>Біліченко Валерія Валеріївна</t>
  </si>
  <si>
    <t>ВФЧ/Ш/У/2406</t>
  </si>
  <si>
    <t>Луньов Даниїл Віталійович</t>
  </si>
  <si>
    <t>ВФЧ/Ш/У/2407</t>
  </si>
  <si>
    <t>Горденко Данило Олексійович</t>
  </si>
  <si>
    <t>ВФЧ/Ш/У/2408</t>
  </si>
  <si>
    <t>Сакара Софія Олександрівна</t>
  </si>
  <si>
    <t>ВФЧ/Ш/У/2409</t>
  </si>
  <si>
    <t>Єлфіміва Злата Олександрівна</t>
  </si>
  <si>
    <t>ВФЧ/Ш/У/2410</t>
  </si>
  <si>
    <t>Цветік Олег Миколайович</t>
  </si>
  <si>
    <t>ВФЧ/Ш/У/2411</t>
  </si>
  <si>
    <t>Адаменко Анастасія Олександрівна</t>
  </si>
  <si>
    <t>ВФЧ/Ш/У/2412</t>
  </si>
  <si>
    <t>Бабіч Антоніна Сергіївна</t>
  </si>
  <si>
    <t>ВФЧ/Ш/У/2413</t>
  </si>
  <si>
    <t>Бадюлько Тимур Дмитрович</t>
  </si>
  <si>
    <t>ВФЧ/Ш/У/2414</t>
  </si>
  <si>
    <t>Бискуб Поліна Віталіївна</t>
  </si>
  <si>
    <t>ВФЧ/Ш/У/2415</t>
  </si>
  <si>
    <t>Боцюн Іванна Євгенівна</t>
  </si>
  <si>
    <t>ВФЧ/Ш/У/2416</t>
  </si>
  <si>
    <t>Буртовий Іван Володимирович</t>
  </si>
  <si>
    <t>ВФЧ/Ш/У/2417</t>
  </si>
  <si>
    <t>Бурханов Максим Ігорович</t>
  </si>
  <si>
    <t>ВФЧ/Ш/У/2418</t>
  </si>
  <si>
    <t>Галузо Марія Дмитрівна</t>
  </si>
  <si>
    <t>ВФЧ/Ш/У/2419</t>
  </si>
  <si>
    <t>Голуб Марія Василівна</t>
  </si>
  <si>
    <t>ВФЧ/Ш/У/2420</t>
  </si>
  <si>
    <t>Гулевич Данило Максимович</t>
  </si>
  <si>
    <t>ВФЧ/Ш/У/2421</t>
  </si>
  <si>
    <t>Дзерин Микола Миколайович</t>
  </si>
  <si>
    <t>ВФЧ/Ш/У/2422</t>
  </si>
  <si>
    <t>Доценко Даря Володимирівна</t>
  </si>
  <si>
    <t>ВФЧ/Ш/У/2423</t>
  </si>
  <si>
    <t>Дубина Евеліна Юріївна</t>
  </si>
  <si>
    <t>ВФЧ/Ш/У/2424</t>
  </si>
  <si>
    <t>Ємельянова Наталія Миколаївна</t>
  </si>
  <si>
    <t>ВФЧ/Ш/У/2425</t>
  </si>
  <si>
    <t>Ємченко Сергій Сергійович</t>
  </si>
  <si>
    <t>ВФЧ/Ш/У/2426</t>
  </si>
  <si>
    <t>Єнакє Таїсія Дмитрівна</t>
  </si>
  <si>
    <t>ВФЧ/Ш/У/2427</t>
  </si>
  <si>
    <t>Заудальська Вікторія</t>
  </si>
  <si>
    <t>ВФЧ/Ш/У/2428</t>
  </si>
  <si>
    <t>Коваль Ксенія Дмитрівна</t>
  </si>
  <si>
    <t>ВФЧ/Ш/У/2429</t>
  </si>
  <si>
    <t>Козубський Олексій Миколайович</t>
  </si>
  <si>
    <t>ВФЧ/Ш/У/2430</t>
  </si>
  <si>
    <t>Кохно Дарина Олександрівна</t>
  </si>
  <si>
    <t>ВФЧ/Ш/У/2431</t>
  </si>
  <si>
    <t>Кошман Поліна Олегівна</t>
  </si>
  <si>
    <t>ВФЧ/Ш/У/2432</t>
  </si>
  <si>
    <t>Левченко Валерія Володимирівна</t>
  </si>
  <si>
    <t>ВФЧ/Ш/У/2433</t>
  </si>
  <si>
    <t>Лихошерст Андрій Олександрович</t>
  </si>
  <si>
    <t>ВФЧ/Ш/У/2434</t>
  </si>
  <si>
    <t>Лихошерст Дар'я Олександрівна</t>
  </si>
  <si>
    <t>ВФЧ/Ш/У/2435</t>
  </si>
  <si>
    <t>Низола АлевтинаЄвгеніївна</t>
  </si>
  <si>
    <t>ВФЧ/Ш/У/2436</t>
  </si>
  <si>
    <t>Оранський Максим Олександрович</t>
  </si>
  <si>
    <t>ВФЧ/Ш/У/2437</t>
  </si>
  <si>
    <t>Пащенко Аріна Русланівна</t>
  </si>
  <si>
    <t>ВФЧ/Ш/У/2438</t>
  </si>
  <si>
    <t>Перевізняк Богдан Віталійович</t>
  </si>
  <si>
    <t>ВФЧ/Ш/У/2439</t>
  </si>
  <si>
    <t>Приймакова Валерія Володимирівна</t>
  </si>
  <si>
    <t>ВФЧ/Ш/У/2440</t>
  </si>
  <si>
    <t>Пшенична Мирослава Олександрівна</t>
  </si>
  <si>
    <t>ВФЧ/Ш/У/2441</t>
  </si>
  <si>
    <t>Рекечинська Марія Олександрівна</t>
  </si>
  <si>
    <t>ВФЧ/Ш/У/2442</t>
  </si>
  <si>
    <t>Ротару Поліна Сергіївна</t>
  </si>
  <si>
    <t>ВФЧ/Ш/У/2443</t>
  </si>
  <si>
    <t>Скосар Андрій Костянтинович</t>
  </si>
  <si>
    <t>ВФЧ/Ш/У/2444</t>
  </si>
  <si>
    <t>Солошенко Валерія Олександрівна</t>
  </si>
  <si>
    <t>ВФЧ/Ш/У/2445</t>
  </si>
  <si>
    <t>Талпа Максим Романович</t>
  </si>
  <si>
    <t>ВФЧ/Ш/У/2446</t>
  </si>
  <si>
    <t>Тарасенко Анна Олександрівна</t>
  </si>
  <si>
    <t>ВФЧ/Ш/У/2447</t>
  </si>
  <si>
    <t>Тертишна Єлизавета Павлівна</t>
  </si>
  <si>
    <t>ВФЧ/Ш/У/2448</t>
  </si>
  <si>
    <t>Тетаренко Дарія Русланівна</t>
  </si>
  <si>
    <t>ВФЧ/Ш/У/2449</t>
  </si>
  <si>
    <t>Угринчук Марія Іванівна</t>
  </si>
  <si>
    <t>ВФЧ/Ш/У/2450</t>
  </si>
  <si>
    <t>Франько Андрій Андрійович</t>
  </si>
  <si>
    <t>ВФЧ/Ш/У/2451</t>
  </si>
  <si>
    <t>Хоренженко Даря Сергіївна</t>
  </si>
  <si>
    <t>ВФЧ/Ш/У/2452</t>
  </si>
  <si>
    <t>Ципуринда Анна Ігорівна</t>
  </si>
  <si>
    <t>ВФЧ/Ш/У/2453</t>
  </si>
  <si>
    <t>Чернієнко Віталій Іванович</t>
  </si>
  <si>
    <t>ВФЧ/Ш/У/2454</t>
  </si>
  <si>
    <t>Шнякін Трофім Олександрович</t>
  </si>
  <si>
    <t>ВФЧ/Ш/У/2455</t>
  </si>
  <si>
    <t>Шпеньович Нікаліна Миколаївна</t>
  </si>
  <si>
    <t>ВФЧ/Ш/У/2456</t>
  </si>
  <si>
    <t>Юрец Данило Дмитрович</t>
  </si>
  <si>
    <t>ВФЧ/Ш/У/2457</t>
  </si>
  <si>
    <t>Горбаткіна Марія</t>
  </si>
  <si>
    <t>ВФЧ/Ш/У/2458</t>
  </si>
  <si>
    <t>Кучугура Софія</t>
  </si>
  <si>
    <t>Аджамський ліцей</t>
  </si>
  <si>
    <t>Миркало Анастасія Володимирівна</t>
  </si>
  <si>
    <t>ВФЧ/Ш/У/2459</t>
  </si>
  <si>
    <t>Колісник Діана</t>
  </si>
  <si>
    <t>ВФЧ/Ш/У/2460</t>
  </si>
  <si>
    <t>Яновська Анна Андріївна</t>
  </si>
  <si>
    <t>КЗ Ліцей "Лідер"</t>
  </si>
  <si>
    <t>Іванова Ірина Вячеславівна</t>
  </si>
  <si>
    <t>ВФЧ/Ш/У/2461</t>
  </si>
  <si>
    <t>Сєвєрова Олександра Сергіївна</t>
  </si>
  <si>
    <t>ВФЧ/Ш/У/2462</t>
  </si>
  <si>
    <t>Кутова Анастасія Володимирівна</t>
  </si>
  <si>
    <t>ВФЧ/Ш/У/2463</t>
  </si>
  <si>
    <t>Чиж Софія Аркадіївна</t>
  </si>
  <si>
    <t>ВФЧ/Ш/У/2464</t>
  </si>
  <si>
    <t>Скіпа Софія Олександрівна</t>
  </si>
  <si>
    <t>ВФЧ/Ш/У/2465</t>
  </si>
  <si>
    <t>Хуторнюк В’ячеслав Артурович</t>
  </si>
  <si>
    <t>ВФЧ/Ш/У/2466</t>
  </si>
  <si>
    <t>Кучеренко Артем Станиславович</t>
  </si>
  <si>
    <t>ВФЧ/Ш/У/2467</t>
  </si>
  <si>
    <t>Скібінський Євген</t>
  </si>
  <si>
    <t>ВФЧ/Ш/У/2468</t>
  </si>
  <si>
    <t>Мікос Максим Еміль</t>
  </si>
  <si>
    <t>ВФЧ/Ш/У/2469</t>
  </si>
  <si>
    <t>Шадурський Роман</t>
  </si>
  <si>
    <t>ВФЧ/Ш/У/2470</t>
  </si>
  <si>
    <t>Нейман Влада Дмитрівна</t>
  </si>
  <si>
    <t>Попаснянський ліцей №25 Попаснянської міської територіальної громади Сіверськодонецького району Луганської області</t>
  </si>
  <si>
    <t>Безрук Катерина Олександрівна</t>
  </si>
  <si>
    <t>ВФЧ/Ш/У/2471</t>
  </si>
  <si>
    <t>Портянко Матвій Романович</t>
  </si>
  <si>
    <t>ВФЧ/Ш/У/2472</t>
  </si>
  <si>
    <t>Ляхова Еліна Олександрівна</t>
  </si>
  <si>
    <t>ВФЧ/Ш/У/2473</t>
  </si>
  <si>
    <t>Фролов Сергій Сергійович</t>
  </si>
  <si>
    <t>ВФЧ/Ш/У/2474</t>
  </si>
  <si>
    <t>Шестаков Артур Артемович</t>
  </si>
  <si>
    <t>ВФЧ/Ш/У/2475</t>
  </si>
  <si>
    <t>Гречина Дар'я Миколаївна</t>
  </si>
  <si>
    <t>Ліцей "ЮВЕНЕС" міста Сіверськодонецька Луганської області</t>
  </si>
  <si>
    <t>Комарницька Ірина Валеріївна</t>
  </si>
  <si>
    <t>ВФЧ/Ш/У/2476</t>
  </si>
  <si>
    <t>Іщенко Михайло Максимович</t>
  </si>
  <si>
    <t>ВФЧ/Ш/У/2477</t>
  </si>
  <si>
    <t>Трощій Антон Костянтинович</t>
  </si>
  <si>
    <t>Ліцей Інітіум міста Сіверськодонецька Луганської області</t>
  </si>
  <si>
    <t>Будрик Оксана Ігорівна</t>
  </si>
  <si>
    <t>ВФЧ/Ш/У/2478</t>
  </si>
  <si>
    <t>Чорний Давид Васильович</t>
  </si>
  <si>
    <t>ВФЧ/Ш/У/2479</t>
  </si>
  <si>
    <t>Ярощук Владислава Денисівна</t>
  </si>
  <si>
    <t>ВФЧ/Ш/У/2480</t>
  </si>
  <si>
    <t>Глушкова Юлія В'ячиславівна</t>
  </si>
  <si>
    <t>ВФЧ/Ш/У/2481</t>
  </si>
  <si>
    <t>Кобець Дмитро Сергійович</t>
  </si>
  <si>
    <t>ВФЧ/Ш/У/2482</t>
  </si>
  <si>
    <t>Павленко Богдан Андрійович</t>
  </si>
  <si>
    <t>ВФЧ/Ш/У/2483</t>
  </si>
  <si>
    <t>Приходько Евген Володимирович</t>
  </si>
  <si>
    <t>ВФЧ/Ш/У/2484</t>
  </si>
  <si>
    <t>Баришок Еліна Ігорівна</t>
  </si>
  <si>
    <t>ВФЧ/Ш/У/2485</t>
  </si>
  <si>
    <t>Водінова Віолета Дмитровна</t>
  </si>
  <si>
    <t>ВФЧ/Ш/У/2486</t>
  </si>
  <si>
    <t>Грушевський Віктор Сергійович</t>
  </si>
  <si>
    <t>ВФЧ/Ш/У/2487</t>
  </si>
  <si>
    <t>Єремєєнко Данііл Сергійович</t>
  </si>
  <si>
    <t>ВФЧ/Ш/У/2488</t>
  </si>
  <si>
    <t>Гриньків Юлія</t>
  </si>
  <si>
    <t>Мокротинський заклад загальної середньої освіти І-ІІІ ступенів</t>
  </si>
  <si>
    <t>Скіра Тетяна Миколаївна</t>
  </si>
  <si>
    <t>ВФЧ/Ш/У/2489</t>
  </si>
  <si>
    <t>Дільна Ірина</t>
  </si>
  <si>
    <t>ВФЧ/Ш/У/2490</t>
  </si>
  <si>
    <t>Копин Павло</t>
  </si>
  <si>
    <t>ВФЧ/Ш/У/2491</t>
  </si>
  <si>
    <t>Карпов Ярослав</t>
  </si>
  <si>
    <t>ВФЧ/Ш/У/2492</t>
  </si>
  <si>
    <t>Лотошинський Остап</t>
  </si>
  <si>
    <t>ВФЧ/Ш/У/2493</t>
  </si>
  <si>
    <t>Огірок Ігор</t>
  </si>
  <si>
    <t>ВФЧ/Ш/У/2494</t>
  </si>
  <si>
    <t>Скіп Христина</t>
  </si>
  <si>
    <t>ВФЧ/Ш/У/2495</t>
  </si>
  <si>
    <t>Плахотнюк Вероніка</t>
  </si>
  <si>
    <t>ВФЧ/Ш/У/2496</t>
  </si>
  <si>
    <t>Попадюк Вікторія Михайлівна</t>
  </si>
  <si>
    <t>Ліцей №18 ЛМР</t>
  </si>
  <si>
    <t>Горішний Тарас Іванович</t>
  </si>
  <si>
    <t>ВФЧ/Ш/У/2497</t>
  </si>
  <si>
    <t>Федик Мар'ян Володимирович</t>
  </si>
  <si>
    <t>ВФЧ/Ш/У/2498</t>
  </si>
  <si>
    <t>Кхалдун Денис Назарович</t>
  </si>
  <si>
    <t>ВФЧ/Ш/У/2499</t>
  </si>
  <si>
    <t>Хоминець Данило Васильович</t>
  </si>
  <si>
    <t>ВФЧ/Ш/У/2500</t>
  </si>
  <si>
    <t>Вега Олександр Олегович</t>
  </si>
  <si>
    <t>ВФЧ/Ш/У/2501</t>
  </si>
  <si>
    <t>Паньків Зоряна Олегівна</t>
  </si>
  <si>
    <t>ВФЧ/Ш/У/2502</t>
  </si>
  <si>
    <t>Янковська Надія Романівна</t>
  </si>
  <si>
    <t>ВФЧ/Ш/У/2503</t>
  </si>
  <si>
    <t>Сало Софія Андріївна</t>
  </si>
  <si>
    <t>ВФЧ/Ш/У/2504</t>
  </si>
  <si>
    <t>Будний Юрій Богданович</t>
  </si>
  <si>
    <t>ВФЧ/Ш/У/2505</t>
  </si>
  <si>
    <t>Бучацький Павло Романович</t>
  </si>
  <si>
    <t>ВФЧ/Ш/У/2506</t>
  </si>
  <si>
    <t>Слобода Катерина Сергіївна</t>
  </si>
  <si>
    <t>ВФЧ/Ш/У/2507</t>
  </si>
  <si>
    <t>Цірекідзе Денис Валерійович</t>
  </si>
  <si>
    <t>ВФЧ/Ш/У/2508</t>
  </si>
  <si>
    <t>Гордон Данило Святославович</t>
  </si>
  <si>
    <t>ВФЧ/Ш/У/2509</t>
  </si>
  <si>
    <t>Пасірський Ярослав Назарович</t>
  </si>
  <si>
    <t>ВФЧ/Ш/У/2510</t>
  </si>
  <si>
    <t>Боруцька Тетяна Вікторівна</t>
  </si>
  <si>
    <t>Лопатинський ліцей Лопатинської селищної ради</t>
  </si>
  <si>
    <t>Марціновська Мар'яна Іванівна, Східницька Галина Володимирівна</t>
  </si>
  <si>
    <t>ВФЧ/Ш/У/2511</t>
  </si>
  <si>
    <t>Семенюк Ангеліна Володимирівна</t>
  </si>
  <si>
    <t>ВФЧ/Ш/У/2512</t>
  </si>
  <si>
    <t>Біловус Олександр Ігорович</t>
  </si>
  <si>
    <t>ВФЧ/Ш/У/2513</t>
  </si>
  <si>
    <t>Шушкевич Вікторія Ярославівна</t>
  </si>
  <si>
    <t>ВФЧ/Ш/У/2514</t>
  </si>
  <si>
    <t>Левусь Юліана Ігорівна</t>
  </si>
  <si>
    <t>ВФЧ/Ш/У/2515</t>
  </si>
  <si>
    <t>Кухта Віталій Петрович</t>
  </si>
  <si>
    <t>ВФЧ/Ш/У/2516</t>
  </si>
  <si>
    <t>Шумський Іван Орестович</t>
  </si>
  <si>
    <t>ВФЧ/Ш/У/2517</t>
  </si>
  <si>
    <t>Віслінський Іван Максимович</t>
  </si>
  <si>
    <t>ПРИВАТНИЙ НАВЧАЛЬНО-ВИХОВНИЙ КОМПЛЕКС "Садок-школа-ліцей "ЕКОЛЕНД"</t>
  </si>
  <si>
    <t>Одрибец Наталія Олегівна</t>
  </si>
  <si>
    <t>ВФЧ/Ш/У/2518</t>
  </si>
  <si>
    <t>Стельмах Маркіян Олексович</t>
  </si>
  <si>
    <t>ВФЧ/Ш/У/2519</t>
  </si>
  <si>
    <t>Тхір Владислав Андрійович</t>
  </si>
  <si>
    <t>ВФЧ/Ш/У/2520</t>
  </si>
  <si>
    <t>Ковтуненко Андрій Сергійович</t>
  </si>
  <si>
    <t>ВФЧ/Ш/У/2521</t>
  </si>
  <si>
    <t>Дунаєв-Пріцак Денис Ігорович</t>
  </si>
  <si>
    <t>ВФЧ/Ш/У/2522</t>
  </si>
  <si>
    <t>Масний Богдан Юрійович</t>
  </si>
  <si>
    <t>ВФЧ/Ш/У/2523</t>
  </si>
  <si>
    <t>Ришко Вікторія Тарасівна</t>
  </si>
  <si>
    <t>Зубрянський ліцей Солонківської сільської ради</t>
  </si>
  <si>
    <t>Партем Катерина Михайліна</t>
  </si>
  <si>
    <t>ВФЧ/Ш/У/2524</t>
  </si>
  <si>
    <t>Коблюк Олена Петрівна</t>
  </si>
  <si>
    <t>ВФЧ/Ш/У/2525</t>
  </si>
  <si>
    <t>Качмар Северин Максимович</t>
  </si>
  <si>
    <t>ВФЧ/Ш/У/2526</t>
  </si>
  <si>
    <t>Ровецький Остап Ігорович</t>
  </si>
  <si>
    <t>ВФЧ/Ш/У/2527</t>
  </si>
  <si>
    <t>Горбач Діана Павлівна</t>
  </si>
  <si>
    <t>ВФЧ/Ш/У/2528</t>
  </si>
  <si>
    <t>Гриник Михайло Ігорович</t>
  </si>
  <si>
    <t>ВФЧ/Ш/У/2529</t>
  </si>
  <si>
    <t>Писарчик Олег Михайлович</t>
  </si>
  <si>
    <t>ВФЧ/Ш/У/2530</t>
  </si>
  <si>
    <t>Піхур Роксолана Романівна</t>
  </si>
  <si>
    <t>ВФЧ/Ш/У/2531</t>
  </si>
  <si>
    <t>Черкас Роман Русланович</t>
  </si>
  <si>
    <t>ВФЧ/Ш/У/2532</t>
  </si>
  <si>
    <t>Сухолова Юстина Ярославівна</t>
  </si>
  <si>
    <t>ВФЧ/Ш/У/2533</t>
  </si>
  <si>
    <t>Домашовець Назарій Миколайович</t>
  </si>
  <si>
    <t>ВФЧ/Ш/У/2534</t>
  </si>
  <si>
    <t>Городечний Олег Андрійович</t>
  </si>
  <si>
    <t>ВФЧ/Ш/У/2535</t>
  </si>
  <si>
    <t>Улинець Володимир Петрович</t>
  </si>
  <si>
    <t>ВФЧ/Ш/У/2536</t>
  </si>
  <si>
    <t>Куцір Дем'ян Тарасович</t>
  </si>
  <si>
    <t>ВФЧ/Ш/У/2537</t>
  </si>
  <si>
    <t>Стецький Любомир Ігорович</t>
  </si>
  <si>
    <t>ВФЧ/Ш/У/2538</t>
  </si>
  <si>
    <t>Новосільський Андрій Михайлович</t>
  </si>
  <si>
    <t>ВФЧ/Ш/У/2539</t>
  </si>
  <si>
    <t>Гавриляк Христина Іванівна</t>
  </si>
  <si>
    <t>ВФЧ/Ш/У/2540</t>
  </si>
  <si>
    <t>Кузик Остап Тарасович</t>
  </si>
  <si>
    <t>ВФЧ/Ш/У/2541</t>
  </si>
  <si>
    <t>Бала Христина</t>
  </si>
  <si>
    <t>Львівська гімназія "Євшан"</t>
  </si>
  <si>
    <t>Рудник Вікторія Віталіївна</t>
  </si>
  <si>
    <t>ВФЧ/Ш/У/2542</t>
  </si>
  <si>
    <t>Бегей Дем’ян</t>
  </si>
  <si>
    <t>ВФЧ/Ш/У/2543</t>
  </si>
  <si>
    <t>Войтович Анастасія</t>
  </si>
  <si>
    <t>ВФЧ/Ш/У/2544</t>
  </si>
  <si>
    <t>Гімон Данило</t>
  </si>
  <si>
    <t>ВФЧ/Ш/У/2545</t>
  </si>
  <si>
    <t>Гімон Ольга</t>
  </si>
  <si>
    <t>ВФЧ/Ш/У/2546</t>
  </si>
  <si>
    <t>Гнатів Марко</t>
  </si>
  <si>
    <t>ВФЧ/Ш/У/2547</t>
  </si>
  <si>
    <t>Гонтова Яна</t>
  </si>
  <si>
    <t>ВФЧ/Ш/У/2548</t>
  </si>
  <si>
    <t>Гуцал Рома</t>
  </si>
  <si>
    <t>ВФЧ/Ш/У/2549</t>
  </si>
  <si>
    <t>Єфімов Михайло</t>
  </si>
  <si>
    <t>ВФЧ/Ш/У/2550</t>
  </si>
  <si>
    <t>Коваль Вікторія</t>
  </si>
  <si>
    <t>ВФЧ/Ш/У/2551</t>
  </si>
  <si>
    <t>Копитчак Максим</t>
  </si>
  <si>
    <t>ВФЧ/Ш/У/2552</t>
  </si>
  <si>
    <t>Куцик Олена</t>
  </si>
  <si>
    <t>ВФЧ/Ш/У/2553</t>
  </si>
  <si>
    <t>Магиревич Вікторія</t>
  </si>
  <si>
    <t>ВФЧ/Ш/У/2554</t>
  </si>
  <si>
    <t>Мазур Діана</t>
  </si>
  <si>
    <t>ВФЧ/Ш/У/2555</t>
  </si>
  <si>
    <t>Мерза Роман</t>
  </si>
  <si>
    <t>ВФЧ/Ш/У/2556</t>
  </si>
  <si>
    <t>Ошуст Марко</t>
  </si>
  <si>
    <t>ВФЧ/Ш/У/2557</t>
  </si>
  <si>
    <t>Пенкальський Андрій</t>
  </si>
  <si>
    <t>ВФЧ/Ш/У/2558</t>
  </si>
  <si>
    <t>Процайло Соломія</t>
  </si>
  <si>
    <t>ВФЧ/Ш/У/2559</t>
  </si>
  <si>
    <t>Синельникова Ульяна</t>
  </si>
  <si>
    <t>ВФЧ/Ш/У/2560</t>
  </si>
  <si>
    <t>Тарас Остап</t>
  </si>
  <si>
    <t>ВФЧ/Ш/У/2561</t>
  </si>
  <si>
    <t>Токар Андрій</t>
  </si>
  <si>
    <t>ВФЧ/Ш/У/2562</t>
  </si>
  <si>
    <t>Федорчук Марія</t>
  </si>
  <si>
    <t>ВФЧ/Ш/У/2563</t>
  </si>
  <si>
    <t>Цепінь Софія</t>
  </si>
  <si>
    <t>ВФЧ/Ш/У/2564</t>
  </si>
  <si>
    <t>Шарпатий Максим</t>
  </si>
  <si>
    <t>ВФЧ/Ш/У/2565</t>
  </si>
  <si>
    <t>Шестак Юстина</t>
  </si>
  <si>
    <t>ВФЧ/Ш/У/2566</t>
  </si>
  <si>
    <t>Андруник Ярослав</t>
  </si>
  <si>
    <t>ВФЧ/Ш/У/2567</t>
  </si>
  <si>
    <t>Голобородько Єлизавета</t>
  </si>
  <si>
    <t>ВФЧ/Ш/У/2568</t>
  </si>
  <si>
    <t>Голубко Юрій</t>
  </si>
  <si>
    <t>ВФЧ/Ш/У/2569</t>
  </si>
  <si>
    <t>Гулієва Саліма</t>
  </si>
  <si>
    <t>ВФЧ/Ш/У/2570</t>
  </si>
  <si>
    <t>Дольницький Данило</t>
  </si>
  <si>
    <t>ВФЧ/Ш/У/2571</t>
  </si>
  <si>
    <t>Карпинець Ярина</t>
  </si>
  <si>
    <t>ВФЧ/Ш/У/2572</t>
  </si>
  <si>
    <t>Кіндій Лев</t>
  </si>
  <si>
    <t>ВФЧ/Ш/У/2573</t>
  </si>
  <si>
    <t>Костів Софія</t>
  </si>
  <si>
    <t>ВФЧ/Ш/У/2574</t>
  </si>
  <si>
    <t>Котляревська Олександра</t>
  </si>
  <si>
    <t>ВФЧ/Ш/У/2575</t>
  </si>
  <si>
    <t>Кравчук Віталіна</t>
  </si>
  <si>
    <t>ВФЧ/Ш/У/2576</t>
  </si>
  <si>
    <t>Кріль Роман</t>
  </si>
  <si>
    <t>ВФЧ/Ш/У/2577</t>
  </si>
  <si>
    <t>Осадчий Ярослав</t>
  </si>
  <si>
    <t>ВФЧ/Ш/У/2578</t>
  </si>
  <si>
    <t>Пелех Дем’ян</t>
  </si>
  <si>
    <t>ВФЧ/Ш/У/2579</t>
  </si>
  <si>
    <t>Роса Кирило</t>
  </si>
  <si>
    <t>ВФЧ/Ш/У/2580</t>
  </si>
  <si>
    <t>Саварин Давид</t>
  </si>
  <si>
    <t>ВФЧ/Ш/У/2581</t>
  </si>
  <si>
    <t>Ставицька Анастасія</t>
  </si>
  <si>
    <t>ВФЧ/Ш/У/2582</t>
  </si>
  <si>
    <t>Сусол Вероніка</t>
  </si>
  <si>
    <t>ВФЧ/Ш/У/2583</t>
  </si>
  <si>
    <t>Сухоняк Наталія</t>
  </si>
  <si>
    <t>ВФЧ/Ш/У/2584</t>
  </si>
  <si>
    <t>Чернявська Анастасія</t>
  </si>
  <si>
    <t>ВФЧ/Ш/У/2585</t>
  </si>
  <si>
    <t>Щерба Максим</t>
  </si>
  <si>
    <t>ВФЧ/Ш/У/2586</t>
  </si>
  <si>
    <t>Батіг Андріана Андріївна</t>
  </si>
  <si>
    <t>Ліцей №46 ім.В.Чорновола Львівської міської ради</t>
  </si>
  <si>
    <t>Кирильчук Оксана Іванівна</t>
  </si>
  <si>
    <t>ВФЧ/Ш/У/2587</t>
  </si>
  <si>
    <t>Боднар Софія Андріївна</t>
  </si>
  <si>
    <t>ВФЧ/Ш/У/2588</t>
  </si>
  <si>
    <t>Бурда Каріна Юріївна</t>
  </si>
  <si>
    <t>ВФЧ/Ш/У/2589</t>
  </si>
  <si>
    <t>Гетьман Вікторія Ярославівна</t>
  </si>
  <si>
    <t>ВФЧ/Ш/У/2590</t>
  </si>
  <si>
    <t>Гордон Ілона Павлівна</t>
  </si>
  <si>
    <t>ВФЧ/Ш/У/2591</t>
  </si>
  <si>
    <t>Євдокімова Анна Олегівна</t>
  </si>
  <si>
    <t>ВФЧ/Ш/У/2592</t>
  </si>
  <si>
    <t>Єфіменко Назар Вікторович</t>
  </si>
  <si>
    <t>ВФЧ/Ш/У/2593</t>
  </si>
  <si>
    <t>Зайченко Вікторія Русланівна</t>
  </si>
  <si>
    <t>ВФЧ/Ш/У/2594</t>
  </si>
  <si>
    <t>Кізима Вероніка Євгенівна</t>
  </si>
  <si>
    <t>ВФЧ/Ш/У/2595</t>
  </si>
  <si>
    <t>Кравець Вікторія Русланівна</t>
  </si>
  <si>
    <t>ВФЧ/Ш/У/2596</t>
  </si>
  <si>
    <t>Макаренко Леся Миколаївна</t>
  </si>
  <si>
    <t>ВФЧ/Ш/У/2597</t>
  </si>
  <si>
    <t>Нагорна Яна Тарасівна</t>
  </si>
  <si>
    <t>ВФЧ/Ш/У/2598</t>
  </si>
  <si>
    <t>Семчишин Дмитро Олегович</t>
  </si>
  <si>
    <t>ВФЧ/Ш/У/2599</t>
  </si>
  <si>
    <t>Сологуб Любомир Ярославович</t>
  </si>
  <si>
    <t>ВФЧ/Ш/У/2600</t>
  </si>
  <si>
    <t>Сорока Юлія Владиславівна</t>
  </si>
  <si>
    <t>ВФЧ/Ш/У/2601</t>
  </si>
  <si>
    <t>Станович Артем Іванович</t>
  </si>
  <si>
    <t>ВФЧ/Ш/У/2602</t>
  </si>
  <si>
    <t>Стогул Роксолана Артемівна</t>
  </si>
  <si>
    <t>ВФЧ/Ш/У/2603</t>
  </si>
  <si>
    <t>Талатура Ярина Володимирівна</t>
  </si>
  <si>
    <t>ВФЧ/Ш/У/2604</t>
  </si>
  <si>
    <t>Торська Тереза Назарівна</t>
  </si>
  <si>
    <t>ВФЧ/Ш/У/2605</t>
  </si>
  <si>
    <t>Хом'як Маркіян Васильович</t>
  </si>
  <si>
    <t>ВФЧ/Ш/У/2606</t>
  </si>
  <si>
    <t>Яцура Микола Романович</t>
  </si>
  <si>
    <t>ВФЧ/Ш/У/2607</t>
  </si>
  <si>
    <t>Бескидевич Евеліна Сергіївна</t>
  </si>
  <si>
    <t>ВФЧ/Ш/У/2608</t>
  </si>
  <si>
    <t>Галан Діана Вікторівна</t>
  </si>
  <si>
    <t>ВФЧ/Ш/У/2609</t>
  </si>
  <si>
    <t>Зінчук Софія Миколаївна</t>
  </si>
  <si>
    <t>ВФЧ/Ш/У/2610</t>
  </si>
  <si>
    <t>Зінь Дана Василівна</t>
  </si>
  <si>
    <t>ВФЧ/Ш/У/2611</t>
  </si>
  <si>
    <t>Крижовський Марк Юрійович</t>
  </si>
  <si>
    <t>ВФЧ/Ш/У/2612</t>
  </si>
  <si>
    <t>Лань Павло Петрович</t>
  </si>
  <si>
    <t>ВФЧ/Ш/У/2613</t>
  </si>
  <si>
    <t>Малиневський Любомир Романович</t>
  </si>
  <si>
    <t>ВФЧ/Ш/У/2614</t>
  </si>
  <si>
    <t>Пристацька Кароліна Остапівна</t>
  </si>
  <si>
    <t>ВФЧ/Ш/У/2615</t>
  </si>
  <si>
    <t>Скалій Ростислав Андрійович</t>
  </si>
  <si>
    <t>ВФЧ/Ш/У/2616</t>
  </si>
  <si>
    <t>Шеремета Віталій Андрійович</t>
  </si>
  <si>
    <t>ВФЧ/Ш/У/2617</t>
  </si>
  <si>
    <t>Харів Володимир Володимирович</t>
  </si>
  <si>
    <t>ВФЧ/Ш/У/2618</t>
  </si>
  <si>
    <t>Щипель Павло Дмитрович</t>
  </si>
  <si>
    <t>Ліцей №94 Львівської міської ради</t>
  </si>
  <si>
    <t>Микитин Олексій Валерійович</t>
  </si>
  <si>
    <t>ВФЧ/Ш/У/2619</t>
  </si>
  <si>
    <t>Дейнека Роман Євгенович</t>
  </si>
  <si>
    <t>ВФЧ/Ш/У/2620</t>
  </si>
  <si>
    <t>Бухонок Тарас Петрович</t>
  </si>
  <si>
    <t>ВФЧ/Ш/У/2621</t>
  </si>
  <si>
    <t>Шалина Олена Сергіївна</t>
  </si>
  <si>
    <t>ВФЧ/Ш/У/2622</t>
  </si>
  <si>
    <t>Кобрін Володимир Романович</t>
  </si>
  <si>
    <t>ВФЧ/Ш/У/2623</t>
  </si>
  <si>
    <t>Похиленко Артем Дмитрович</t>
  </si>
  <si>
    <t>ВФЧ/Ш/У/2624</t>
  </si>
  <si>
    <t>Грабова Олександра Миколаївна</t>
  </si>
  <si>
    <t>Середня загальноосвітня школа №1 м. Львова</t>
  </si>
  <si>
    <t>Перечепа Наталя Василівна</t>
  </si>
  <si>
    <t>ВФЧ/Ш/У/2625</t>
  </si>
  <si>
    <t>Котів Вікторія Володимирівна</t>
  </si>
  <si>
    <t>ВФЧ/Ш/У/2626</t>
  </si>
  <si>
    <t>Гец Остап Володимирович</t>
  </si>
  <si>
    <t>ВФЧ/Ш/У/2627</t>
  </si>
  <si>
    <t>Глухий Максим Тарасович</t>
  </si>
  <si>
    <t>ВФЧ/Ш/У/2628</t>
  </si>
  <si>
    <t>Козар Мар'ян Тарасович</t>
  </si>
  <si>
    <t>ВФЧ/Ш/У/2629</t>
  </si>
  <si>
    <t>Балицька Олександра Володимирівна</t>
  </si>
  <si>
    <t>КЗ ЛОР "Обласний науковий ліцей"</t>
  </si>
  <si>
    <t>Марущак Іван Михайлович</t>
  </si>
  <si>
    <t>ВФЧ/Ш/У/2630</t>
  </si>
  <si>
    <t>Бреньо Тетяна Олегівна</t>
  </si>
  <si>
    <t>ВФЧ/Ш/У/2631</t>
  </si>
  <si>
    <t>Верещак Вікторія Андріївна</t>
  </si>
  <si>
    <t>ВФЧ/Ш/У/2632</t>
  </si>
  <si>
    <t>Гаргай Марта Юріївна</t>
  </si>
  <si>
    <t>ВФЧ/Ш/У/2633</t>
  </si>
  <si>
    <t>Герій Зорян Ростиславович</t>
  </si>
  <si>
    <t>ВФЧ/Ш/У/2634</t>
  </si>
  <si>
    <t>Гирчак Вероніка Миколаївна</t>
  </si>
  <si>
    <t>ВФЧ/Ш/У/2635</t>
  </si>
  <si>
    <t>Грицків Анастасія Русланівна</t>
  </si>
  <si>
    <t>ВФЧ/Ш/У/2636</t>
  </si>
  <si>
    <t>Даниляк Андріана Андріївна</t>
  </si>
  <si>
    <t>ВФЧ/Ш/У/2637</t>
  </si>
  <si>
    <t>Данчівська Вікторія Степанівна</t>
  </si>
  <si>
    <t>ВФЧ/Ш/У/2638</t>
  </si>
  <si>
    <t>Данчівська Діана Степанівна</t>
  </si>
  <si>
    <t>ВФЧ/Ш/У/2639</t>
  </si>
  <si>
    <t>Дудник Евеліна Ростиславівна</t>
  </si>
  <si>
    <t>ВФЧ/Ш/У/2640</t>
  </si>
  <si>
    <t>Кавалець Анастасія Василівна</t>
  </si>
  <si>
    <t>ВФЧ/Ш/У/2641</t>
  </si>
  <si>
    <t>Калічак Анна Андріївна</t>
  </si>
  <si>
    <t>ВФЧ/Ш/У/2642</t>
  </si>
  <si>
    <t>Кінаш Ангеліна Романівна</t>
  </si>
  <si>
    <t>ВФЧ/Ш/У/2643</t>
  </si>
  <si>
    <t>Кіт Вікторія Ігорівна</t>
  </si>
  <si>
    <t>ВФЧ/Ш/У/2644</t>
  </si>
  <si>
    <t>Кубай Соломія Андріївна</t>
  </si>
  <si>
    <t>ВФЧ/Ш/У/2645</t>
  </si>
  <si>
    <t>Наріжний Дмитро Іванович</t>
  </si>
  <si>
    <t>ВФЧ/Ш/У/2646</t>
  </si>
  <si>
    <t>Онисько Ольга Михайлівна</t>
  </si>
  <si>
    <t>ВФЧ/Ш/У/2647</t>
  </si>
  <si>
    <t>Онишків Агнеса Тарасівна</t>
  </si>
  <si>
    <t>ВФЧ/Ш/У/2648</t>
  </si>
  <si>
    <t>Осередчук Софія Володимирівна</t>
  </si>
  <si>
    <t>ВФЧ/Ш/У/2649</t>
  </si>
  <si>
    <t>Пастернак Вадим Андрійович</t>
  </si>
  <si>
    <t>ВФЧ/Ш/У/2650</t>
  </si>
  <si>
    <t>Свірк Наталія Ярославівна</t>
  </si>
  <si>
    <t>ВФЧ/Ш/У/2651</t>
  </si>
  <si>
    <t>Смутна Мар’яна Вікторівна</t>
  </si>
  <si>
    <t>ВФЧ/Ш/У/2652</t>
  </si>
  <si>
    <t>Собко Остап Володимирович</t>
  </si>
  <si>
    <t>ВФЧ/Ш/У/2653</t>
  </si>
  <si>
    <t>Татаревич Андрій Ігорович</t>
  </si>
  <si>
    <t>ВФЧ/Ш/У/2654</t>
  </si>
  <si>
    <t>Татаревич Віталій Ігорович</t>
  </si>
  <si>
    <t>ВФЧ/Ш/У/2655</t>
  </si>
  <si>
    <t>Хомин Марія Федорівна</t>
  </si>
  <si>
    <t>ВФЧ/Ш/У/2656</t>
  </si>
  <si>
    <t>Чапля Христина Анатоліївна</t>
  </si>
  <si>
    <t>ВФЧ/Ш/У/2657</t>
  </si>
  <si>
    <t>Шумський Максим Мар’янович</t>
  </si>
  <si>
    <t>ВФЧ/Ш/У/2658</t>
  </si>
  <si>
    <t>Яворська Андріана Василівна</t>
  </si>
  <si>
    <t>ВФЧ/Ш/У/2659</t>
  </si>
  <si>
    <t>Бац Софія Іванівна</t>
  </si>
  <si>
    <t>ЗЗСО І-ІІІ ст.-ліцей імені Владики Івана Хоми м.Хирів</t>
  </si>
  <si>
    <t>Павловська Оксана Степанівна</t>
  </si>
  <si>
    <t>ВФЧ/Ш/У/2660</t>
  </si>
  <si>
    <t>Березовська Анастасія Ігорівна</t>
  </si>
  <si>
    <t>ВФЧ/Ш/У/2661</t>
  </si>
  <si>
    <t>Валькович Микола Юрійович</t>
  </si>
  <si>
    <t>ВФЧ/Ш/У/2662</t>
  </si>
  <si>
    <t>Ірчак Марія Юріївна</t>
  </si>
  <si>
    <t>ВФЧ/Ш/У/2663</t>
  </si>
  <si>
    <t>Козак Артем Віталійович</t>
  </si>
  <si>
    <t>ВФЧ/Ш/У/2664</t>
  </si>
  <si>
    <t>Лесик Ростислав Андрійович</t>
  </si>
  <si>
    <t>ВФЧ/Ш/У/2665</t>
  </si>
  <si>
    <t>Лишак Михайло Михайлович</t>
  </si>
  <si>
    <t>ВФЧ/Ш/У/2666</t>
  </si>
  <si>
    <t>Лютик Василина Василівна</t>
  </si>
  <si>
    <t>ВФЧ/Ш/У/2667</t>
  </si>
  <si>
    <t>Опалінська Вероніка Русланівна</t>
  </si>
  <si>
    <t>ВФЧ/Ш/У/2668</t>
  </si>
  <si>
    <t>Стець Степан Андрійович</t>
  </si>
  <si>
    <t>ВФЧ/Ш/У/2669</t>
  </si>
  <si>
    <t>Якошевька Вероніка Михайлівна</t>
  </si>
  <si>
    <t>ВФЧ/Ш/У/2670</t>
  </si>
  <si>
    <t>Ярошевич Вадим Олегович</t>
  </si>
  <si>
    <t>ВФЧ/Ш/У/2671</t>
  </si>
  <si>
    <t>Смик Анастасія Русланівна</t>
  </si>
  <si>
    <t>Пониковицький заклад загальної середньої освіти І-ІІІ ступенів</t>
  </si>
  <si>
    <t>Іванчук Леся Богданівна</t>
  </si>
  <si>
    <t>ВФЧ/Ш/У/2672</t>
  </si>
  <si>
    <t>Андрейко Захар Юрійович</t>
  </si>
  <si>
    <t>СЗШ №77 з поглибленим вивченням економіки та управлінської діяльності</t>
  </si>
  <si>
    <t>Горішна Марта Олександрівна</t>
  </si>
  <si>
    <t>ВФЧ/Ш/У/2673</t>
  </si>
  <si>
    <t>Погорєлов Владислав Дмитрович</t>
  </si>
  <si>
    <t>ВФЧ/Ш/У/2674</t>
  </si>
  <si>
    <t>Скрут Володимир Володимирович</t>
  </si>
  <si>
    <t>ВФЧ/Ш/У/2675</t>
  </si>
  <si>
    <t>Бень Юрій Андрійович</t>
  </si>
  <si>
    <t>ВФЧ/Ш/У/2676</t>
  </si>
  <si>
    <t>Рубаха Юрій Володимирович</t>
  </si>
  <si>
    <t>ВФЧ/Ш/У/2677</t>
  </si>
  <si>
    <t>Мицкан Христина Володимирівна</t>
  </si>
  <si>
    <t>ВФЧ/Ш/У/2678</t>
  </si>
  <si>
    <t>Гай Анастасія Анатоліївна</t>
  </si>
  <si>
    <t>ВФЧ/Ш/У/2679</t>
  </si>
  <si>
    <t>Гаврилів Юлія Петрівна</t>
  </si>
  <si>
    <t>ВФЧ/Ш/У/2680</t>
  </si>
  <si>
    <t>Горалевська Анастасія Тарасівна</t>
  </si>
  <si>
    <t>ВФЧ/Ш/У/2681</t>
  </si>
  <si>
    <t>Бабій Юрій Андрійович</t>
  </si>
  <si>
    <t>ВФЧ/Ш/У/2682</t>
  </si>
  <si>
    <t>Волос Анастасія Андріївна</t>
  </si>
  <si>
    <t>ВФЧ/Ш/У/2683</t>
  </si>
  <si>
    <t>Войтюк Максим Андрійович</t>
  </si>
  <si>
    <t>ВФЧ/Ш/У/2684</t>
  </si>
  <si>
    <t>Микитів Дмитро Іванович</t>
  </si>
  <si>
    <t>ВФЧ/Ш/У/2685</t>
  </si>
  <si>
    <t>Москаль Перто Володимирович</t>
  </si>
  <si>
    <t>ВФЧ/Ш/У/2686</t>
  </si>
  <si>
    <t>Петрів Уляна Богданівна</t>
  </si>
  <si>
    <t>ВФЧ/Ш/У/2687</t>
  </si>
  <si>
    <t>Ноджак Тарас Володимирович</t>
  </si>
  <si>
    <t>Заклад загальної середньої освіти І-ІІІ ступенів смт Нижанковичі</t>
  </si>
  <si>
    <t>Ноджак Мар'яна Миколаївна</t>
  </si>
  <si>
    <t>ВФЧ/Ш/У/2688</t>
  </si>
  <si>
    <t>Неофіта Олеся Іванівна</t>
  </si>
  <si>
    <t>ВФЧ/Ш/У/2689</t>
  </si>
  <si>
    <t>Мельник Жанна Анатоліївна</t>
  </si>
  <si>
    <t>ВФЧ/Ш/У/2690</t>
  </si>
  <si>
    <t>Загорбенська Андріана Андріївна</t>
  </si>
  <si>
    <t>ВФЧ/Ш/У/2691</t>
  </si>
  <si>
    <t>Віщук Соломія Степанівна</t>
  </si>
  <si>
    <t>ВФЧ/Ш/У/2692</t>
  </si>
  <si>
    <t>Марченко Софії Олегівна</t>
  </si>
  <si>
    <t>ВФЧ/Ш/У/2693</t>
  </si>
  <si>
    <t>Воробець Дарія Зіновіївна</t>
  </si>
  <si>
    <t>Заклад загальної середньої освіти І - ІІІ ступенів Сокальський ліцей № 1 імені Олега Романіва Сокальської міської ради Львівської області</t>
  </si>
  <si>
    <t>Бендзяк Христина Степанівна</t>
  </si>
  <si>
    <t>ВФЧ/Ш/У/2694</t>
  </si>
  <si>
    <t>Зінько Катерина Василівна</t>
  </si>
  <si>
    <t>ВФЧ/Ш/У/2695</t>
  </si>
  <si>
    <t>Козакевич Аліна Андріївна</t>
  </si>
  <si>
    <t>ВФЧ/Ш/У/2696</t>
  </si>
  <si>
    <t>Кузик Михайло Романович</t>
  </si>
  <si>
    <t>ВФЧ/Ш/У/2697</t>
  </si>
  <si>
    <t>Липа Євгеній Романович</t>
  </si>
  <si>
    <t>ВФЧ/Ш/У/2698</t>
  </si>
  <si>
    <t>Нідзельська Діана Олександрівна</t>
  </si>
  <si>
    <t>ВФЧ/Ш/У/2699</t>
  </si>
  <si>
    <t>Піддубчишин Маркіян Олегович</t>
  </si>
  <si>
    <t>ВФЧ/Ш/У/2700</t>
  </si>
  <si>
    <t>Сущенко Денис Олегович</t>
  </si>
  <si>
    <t>ВФЧ/Ш/У/2701</t>
  </si>
  <si>
    <t>Федащук Соломія Володимирівна</t>
  </si>
  <si>
    <t>ВФЧ/Ш/У/2702</t>
  </si>
  <si>
    <t>Філяс Анжеліка Володимирівна</t>
  </si>
  <si>
    <t>ВФЧ/Ш/У/2703</t>
  </si>
  <si>
    <t>Чикирка Данило Павлович</t>
  </si>
  <si>
    <t>ВФЧ/Ш/У/2704</t>
  </si>
  <si>
    <t>Щур Софія Сергіївна</t>
  </si>
  <si>
    <t>ВФЧ/Ш/У/2705</t>
  </si>
  <si>
    <t>Ковальчук Оксана Іванівна</t>
  </si>
  <si>
    <t>ВФЧ/Ш/У/2706</t>
  </si>
  <si>
    <t>Бойко Лідія Василівна</t>
  </si>
  <si>
    <t>ВФЧ/Ш/У/2707</t>
  </si>
  <si>
    <t>Герасимчук Матвій Ігорович</t>
  </si>
  <si>
    <t>ВФЧ/Ш/У/2708</t>
  </si>
  <si>
    <t>Босак Матвій Романович</t>
  </si>
  <si>
    <t>СЗШ 99 м. Львів</t>
  </si>
  <si>
    <t>Савенець Наталія Миколаївна</t>
  </si>
  <si>
    <t>ВФЧ/Ш/У/2709</t>
  </si>
  <si>
    <t>Винник Олександр Миколайович</t>
  </si>
  <si>
    <t>ВФЧ/Ш/У/2710</t>
  </si>
  <si>
    <t>Горун Максиміліан Романович</t>
  </si>
  <si>
    <t>ВФЧ/Ш/У/2711</t>
  </si>
  <si>
    <t>Думський Денис Вадимович</t>
  </si>
  <si>
    <t>ВФЧ/Ш/У/2712</t>
  </si>
  <si>
    <t>Жадан Матвій Вікторович</t>
  </si>
  <si>
    <t>ВФЧ/Ш/У/2713</t>
  </si>
  <si>
    <t>Жадан Назар Вікторович</t>
  </si>
  <si>
    <t>ВФЧ/Ш/У/2714</t>
  </si>
  <si>
    <t>Загайський Віталій Юрійович</t>
  </si>
  <si>
    <t>ВФЧ/Ш/У/2715</t>
  </si>
  <si>
    <t>Здибель Анна Мирославівна</t>
  </si>
  <si>
    <t>ВФЧ/Ш/У/2716</t>
  </si>
  <si>
    <t>Кричковський Марко Тарасович</t>
  </si>
  <si>
    <t>ВФЧ/Ш/У/2717</t>
  </si>
  <si>
    <t>Лемик Каріна Володимирівна</t>
  </si>
  <si>
    <t>ВФЧ/Ш/У/2718</t>
  </si>
  <si>
    <t>Малиновська Марта Ігорівна</t>
  </si>
  <si>
    <t>ВФЧ/Ш/У/2719</t>
  </si>
  <si>
    <t>Микитинський Василь Орестович</t>
  </si>
  <si>
    <t>ВФЧ/Ш/У/2720</t>
  </si>
  <si>
    <t>Найло Анастасія Ігорівна</t>
  </si>
  <si>
    <t>ВФЧ/Ш/У/2721</t>
  </si>
  <si>
    <t>Петрів Аліна Юріівна</t>
  </si>
  <si>
    <t>ВФЧ/Ш/У/2722</t>
  </si>
  <si>
    <t>Притула Дмитро Васильович</t>
  </si>
  <si>
    <t>ВФЧ/Ш/У/2723</t>
  </si>
  <si>
    <t>Тімофєєв Євген Андрійович</t>
  </si>
  <si>
    <t>ВФЧ/Ш/У/2724</t>
  </si>
  <si>
    <t>Тріска Михайло Андрійович</t>
  </si>
  <si>
    <t>ВФЧ/Ш/У/2725</t>
  </si>
  <si>
    <t>Трухан Олексій Андрійович</t>
  </si>
  <si>
    <t>ВФЧ/Ш/У/2726</t>
  </si>
  <si>
    <t>Мариняк Мар'яна Романівна</t>
  </si>
  <si>
    <t>Жовківський ЗЗСО І-ІІІ ст. № 3</t>
  </si>
  <si>
    <t>Лозинська Галина Романівна</t>
  </si>
  <si>
    <t>ВФЧ/Ш/У/2727</t>
  </si>
  <si>
    <t>Голуб Тетяна Ігорівна</t>
  </si>
  <si>
    <t>ВФЧ/Ш/У/2728</t>
  </si>
  <si>
    <t>Дзьобас Олена Миколаївна</t>
  </si>
  <si>
    <t>ВФЧ/Ш/У/2729</t>
  </si>
  <si>
    <t>Зінчук Анна-Марія Ростиславівна</t>
  </si>
  <si>
    <t>ВФЧ/Ш/У/2730</t>
  </si>
  <si>
    <t>Арзютов Артем Сергійович</t>
  </si>
  <si>
    <t>ВФЧ/Ш/У/2731</t>
  </si>
  <si>
    <t>Борис Денис Олегович</t>
  </si>
  <si>
    <t>ВФЧ/Ш/У/2732</t>
  </si>
  <si>
    <t>Павліна Христина Андріївна</t>
  </si>
  <si>
    <t>ВФЧ/Ш/У/2733</t>
  </si>
  <si>
    <t>Козакевич Софія Романівна</t>
  </si>
  <si>
    <t>ВФЧ/Ш/У/2734</t>
  </si>
  <si>
    <t>Марко Вероніка Євгенівна</t>
  </si>
  <si>
    <t>ВФЧ/Ш/У/2735</t>
  </si>
  <si>
    <t>Білінський Святослав Володимирович</t>
  </si>
  <si>
    <t>Липівський заклад загальної середньої освіти І-ІІІ ступенів</t>
  </si>
  <si>
    <t>Добушовська Оксана Миколаївна</t>
  </si>
  <si>
    <t>ВФЧ/Ш/У/2736</t>
  </si>
  <si>
    <t>Бринь Дмитро Андрійович</t>
  </si>
  <si>
    <t>ВФЧ/Ш/У/2737</t>
  </si>
  <si>
    <t>Вовк Ярина Миколаївна</t>
  </si>
  <si>
    <t>ВФЧ/Ш/У/2738</t>
  </si>
  <si>
    <t>Гайзлер Тетяна Романівна</t>
  </si>
  <si>
    <t>ВФЧ/Ш/У/2739</t>
  </si>
  <si>
    <t>Кос Марта Василівна</t>
  </si>
  <si>
    <t>ВФЧ/Ш/У/2740</t>
  </si>
  <si>
    <t>Матущак Андріана Володимирівна</t>
  </si>
  <si>
    <t>ВФЧ/Ш/У/2741</t>
  </si>
  <si>
    <t>Михайлів Марта Костянтинівна</t>
  </si>
  <si>
    <t>ВФЧ/Ш/У/2742</t>
  </si>
  <si>
    <t>Николишин Максим Олегович</t>
  </si>
  <si>
    <t>ВФЧ/Ш/У/2743</t>
  </si>
  <si>
    <t>Тимчишин Вероніка Назарівна</t>
  </si>
  <si>
    <t>ВФЧ/Ш/У/2744</t>
  </si>
  <si>
    <t>Пушкар Максим</t>
  </si>
  <si>
    <t>Середня Загальноосвітня школа І-ІІІ ст. № 49</t>
  </si>
  <si>
    <t>Грамоліна Уляна Ярославівна</t>
  </si>
  <si>
    <t>ВФЧ/Ш/У/2745</t>
  </si>
  <si>
    <t>Єфремов Іван</t>
  </si>
  <si>
    <t>ВФЧ/Ш/У/2746</t>
  </si>
  <si>
    <t>Мурашева Вікторія</t>
  </si>
  <si>
    <t>ВФЧ/Ш/У/2747</t>
  </si>
  <si>
    <t>Мороз Соломія</t>
  </si>
  <si>
    <t>ВФЧ/Ш/У/2748</t>
  </si>
  <si>
    <t>Кознюк Євген</t>
  </si>
  <si>
    <t>ВФЧ/Ш/У/2749</t>
  </si>
  <si>
    <t>Гаджала Станіслав</t>
  </si>
  <si>
    <t>ВФЧ/Ш/У/2750</t>
  </si>
  <si>
    <t>Матвіїшин Владислав</t>
  </si>
  <si>
    <t>ВФЧ/Ш/У/2751</t>
  </si>
  <si>
    <t>Рогуля Святослав</t>
  </si>
  <si>
    <t>ВФЧ/Ш/У/2752</t>
  </si>
  <si>
    <t>Чепіль Роман</t>
  </si>
  <si>
    <t>ВФЧ/Ш/У/2753</t>
  </si>
  <si>
    <t>Шваюк Дмитро</t>
  </si>
  <si>
    <t>ВФЧ/Ш/У/2754</t>
  </si>
  <si>
    <t>Кулібаба Олександр</t>
  </si>
  <si>
    <t>ВФЧ/Ш/У/2755</t>
  </si>
  <si>
    <t>Луб Вікторія</t>
  </si>
  <si>
    <t>ВФЧ/Ш/У/2756</t>
  </si>
  <si>
    <t>Хіміч Кароліна</t>
  </si>
  <si>
    <t>ВФЧ/Ш/У/2757</t>
  </si>
  <si>
    <t>Коваль Тарас</t>
  </si>
  <si>
    <t>ВФЧ/Ш/У/2758</t>
  </si>
  <si>
    <t>Кулагіна Аліса Олександрівна</t>
  </si>
  <si>
    <t>Львівська українська гуманітарна гімназія ім. О. Степанів</t>
  </si>
  <si>
    <t>Кузій Маркіян Романович</t>
  </si>
  <si>
    <t>ВФЧ/Ш/У/2759</t>
  </si>
  <si>
    <t>Мацьків Евеліна Анатоліївна</t>
  </si>
  <si>
    <t>ОЗО"Сколівська академічна гімназія"</t>
  </si>
  <si>
    <t>Михайлишин Олена Дмитрівна</t>
  </si>
  <si>
    <t>ВФЧ/Ш/У/2760</t>
  </si>
  <si>
    <t>Приндак Софія Василівна</t>
  </si>
  <si>
    <t>ВФЧ/Ш/У/2761</t>
  </si>
  <si>
    <t>Руссу Вікторія Євгеніївна</t>
  </si>
  <si>
    <t>ВФЧ/Ш/У/2762</t>
  </si>
  <si>
    <t>Пінкевич Лілія Назарівна</t>
  </si>
  <si>
    <t>ВФЧ/Ш/У/2763</t>
  </si>
  <si>
    <t>Джула Анна-Марія</t>
  </si>
  <si>
    <t>ліцей "Сихівський" ЛМР</t>
  </si>
  <si>
    <t>Шило Наталія Іванівна</t>
  </si>
  <si>
    <t>ВФЧ/Ш/У/2764</t>
  </si>
  <si>
    <t>Матяшук Арсен</t>
  </si>
  <si>
    <t>ВФЧ/Ш/У/2765</t>
  </si>
  <si>
    <t>Ельяшевський Василь</t>
  </si>
  <si>
    <t>ВФЧ/Ш/У/2766</t>
  </si>
  <si>
    <t>Консевич Данило</t>
  </si>
  <si>
    <t>ВФЧ/Ш/У/2767</t>
  </si>
  <si>
    <t>Головачук Злата</t>
  </si>
  <si>
    <t>ВФЧ/Ш/У/2768</t>
  </si>
  <si>
    <t>Адамик Ксенія</t>
  </si>
  <si>
    <t>ВФЧ/Ш/У/2769</t>
  </si>
  <si>
    <t>Николишин Ліна</t>
  </si>
  <si>
    <t>ВФЧ/Ш/У/2770</t>
  </si>
  <si>
    <t>Шеремета Максим</t>
  </si>
  <si>
    <t>ВФЧ/Ш/У/2771</t>
  </si>
  <si>
    <t>Міщук Максим</t>
  </si>
  <si>
    <t>ВФЧ/Ш/У/2772</t>
  </si>
  <si>
    <t>Босий Максим</t>
  </si>
  <si>
    <t>ВФЧ/Ш/У/2773</t>
  </si>
  <si>
    <t>Карвацька Марія</t>
  </si>
  <si>
    <t>ВФЧ/Ш/У/2774</t>
  </si>
  <si>
    <t>Гураль Марія</t>
  </si>
  <si>
    <t>ВФЧ/Ш/У/2775</t>
  </si>
  <si>
    <t>Прокопечко Наталія</t>
  </si>
  <si>
    <t>ВФЧ/Ш/У/2776</t>
  </si>
  <si>
    <t>Рожак Олександр</t>
  </si>
  <si>
    <t>ВФЧ/Ш/У/2777</t>
  </si>
  <si>
    <t>Лазірко Роксолана</t>
  </si>
  <si>
    <t>ВФЧ/Ш/У/2778</t>
  </si>
  <si>
    <t>Оліярник Роман</t>
  </si>
  <si>
    <t>ВФЧ/Ш/У/2779</t>
  </si>
  <si>
    <t>Дворянин Роман</t>
  </si>
  <si>
    <t>ВФЧ/Ш/У/2780</t>
  </si>
  <si>
    <t>Возний Роман</t>
  </si>
  <si>
    <t>ВФЧ/Ш/У/2781</t>
  </si>
  <si>
    <t>ВФЧ/Ш/У/2782</t>
  </si>
  <si>
    <t>Доскач Христина</t>
  </si>
  <si>
    <t>ВФЧ/Ш/У/2783</t>
  </si>
  <si>
    <t>Губик Юстина</t>
  </si>
  <si>
    <t>ВФЧ/Ш/У/2784</t>
  </si>
  <si>
    <t>Заремба Ярина</t>
  </si>
  <si>
    <t>ВФЧ/Ш/У/2785</t>
  </si>
  <si>
    <t>Максимець Ярина - Софія</t>
  </si>
  <si>
    <t>ВФЧ/Ш/У/2786</t>
  </si>
  <si>
    <t>Дендерис Євген</t>
  </si>
  <si>
    <t>ВФЧ/Ш/У/2787</t>
  </si>
  <si>
    <t>Вань Анастасія</t>
  </si>
  <si>
    <t>ВФЧ/Ш/У/2788</t>
  </si>
  <si>
    <t>Байло Анастасія</t>
  </si>
  <si>
    <t>ВФЧ/Ш/У/2789</t>
  </si>
  <si>
    <t>Шведяк Анастасія</t>
  </si>
  <si>
    <t>ВФЧ/Ш/У/2790</t>
  </si>
  <si>
    <t>Буковський Богдан</t>
  </si>
  <si>
    <t>ВФЧ/Ш/У/2791</t>
  </si>
  <si>
    <t>Ільченко В'ячеслав</t>
  </si>
  <si>
    <t>ВФЧ/Ш/У/2792</t>
  </si>
  <si>
    <t>Гулько Вероніка</t>
  </si>
  <si>
    <t>ВФЧ/Ш/У/2793</t>
  </si>
  <si>
    <t>Купецька Вікторія</t>
  </si>
  <si>
    <t>ВФЧ/Ш/У/2794</t>
  </si>
  <si>
    <t>Лабінська Дарія</t>
  </si>
  <si>
    <t>ВФЧ/Ш/У/2795</t>
  </si>
  <si>
    <t>Федина Дем'ян</t>
  </si>
  <si>
    <t>ВФЧ/Ш/У/2796</t>
  </si>
  <si>
    <t>Даниленко Костянтин</t>
  </si>
  <si>
    <t>ВФЧ/Ш/У/2797</t>
  </si>
  <si>
    <t>Навроцький Максим</t>
  </si>
  <si>
    <t>ВФЧ/Ш/У/2798</t>
  </si>
  <si>
    <t>Гнатик Остап</t>
  </si>
  <si>
    <t>ВФЧ/Ш/У/2799</t>
  </si>
  <si>
    <t>Гринців Роман</t>
  </si>
  <si>
    <t>ВФЧ/Ш/У/2800</t>
  </si>
  <si>
    <t>Борщ Роман</t>
  </si>
  <si>
    <t>ВФЧ/Ш/У/2801</t>
  </si>
  <si>
    <t>Гулько Соломія</t>
  </si>
  <si>
    <t>ВФЧ/Ш/У/2802</t>
  </si>
  <si>
    <t>Якимчук Юлія</t>
  </si>
  <si>
    <t>ВФЧ/Ш/У/2803</t>
  </si>
  <si>
    <t>Кузан Юстина</t>
  </si>
  <si>
    <t>ВФЧ/Ш/У/2804</t>
  </si>
  <si>
    <t>Гуменчук Андрій</t>
  </si>
  <si>
    <t>ВФЧ/Ш/У/2805</t>
  </si>
  <si>
    <t>Ригель Анна</t>
  </si>
  <si>
    <t>ВФЧ/Ш/У/2806</t>
  </si>
  <si>
    <t>Тищенко Вероніка</t>
  </si>
  <si>
    <t>ВФЧ/Ш/У/2807</t>
  </si>
  <si>
    <t>Гобозов Григорій</t>
  </si>
  <si>
    <t>ВФЧ/Ш/У/2808</t>
  </si>
  <si>
    <t>ВФЧ/Ш/У/2809</t>
  </si>
  <si>
    <t>Головчак Лук'ян</t>
  </si>
  <si>
    <t>ВФЧ/Ш/У/2810</t>
  </si>
  <si>
    <t>Ольхович Максим</t>
  </si>
  <si>
    <t>ВФЧ/Ш/У/2811</t>
  </si>
  <si>
    <t>Колич Маркіян</t>
  </si>
  <si>
    <t>ВФЧ/Ш/У/2812</t>
  </si>
  <si>
    <t>Змій Марта</t>
  </si>
  <si>
    <t>ВФЧ/Ш/У/2813</t>
  </si>
  <si>
    <t>Бельо Марія</t>
  </si>
  <si>
    <t>ВФЧ/Ш/У/2814</t>
  </si>
  <si>
    <t>Квасниця Марія-Софія</t>
  </si>
  <si>
    <t>ВФЧ/Ш/У/2815</t>
  </si>
  <si>
    <t>Врига Наталія</t>
  </si>
  <si>
    <t>ВФЧ/Ш/У/2816</t>
  </si>
  <si>
    <t>Заремба Софія</t>
  </si>
  <si>
    <t>ВФЧ/Ш/У/2817</t>
  </si>
  <si>
    <t>Петрик Софія</t>
  </si>
  <si>
    <t>ВФЧ/Ш/У/2818</t>
  </si>
  <si>
    <t>Войтович Юлія</t>
  </si>
  <si>
    <t>ВФЧ/Ш/У/2819</t>
  </si>
  <si>
    <t>Карпінець Юлія</t>
  </si>
  <si>
    <t>ВФЧ/Ш/У/2820</t>
  </si>
  <si>
    <t>Білик Юрій</t>
  </si>
  <si>
    <t>ВФЧ/Ш/У/2821</t>
  </si>
  <si>
    <t>Александрович Андрій</t>
  </si>
  <si>
    <t>ВФЧ/Ш/У/2822</t>
  </si>
  <si>
    <t>Харук Антоніна</t>
  </si>
  <si>
    <t>ВФЧ/Ш/У/2823</t>
  </si>
  <si>
    <t>Горбатий В'ячеслав</t>
  </si>
  <si>
    <t>ВФЧ/Ш/У/2824</t>
  </si>
  <si>
    <t>Сікачовський Віталій</t>
  </si>
  <si>
    <t>ВФЧ/Ш/У/2825</t>
  </si>
  <si>
    <t>Хромчак Дмитро</t>
  </si>
  <si>
    <t>ВФЧ/Ш/У/2826</t>
  </si>
  <si>
    <t>Винницька Діана</t>
  </si>
  <si>
    <t>ВФЧ/Ш/У/2827</t>
  </si>
  <si>
    <t>Ціканчук Мар'яна</t>
  </si>
  <si>
    <t>ВФЧ/Ш/У/2828</t>
  </si>
  <si>
    <t>Моравська Марта-Божена</t>
  </si>
  <si>
    <t>ВФЧ/Ш/У/2829</t>
  </si>
  <si>
    <t>Хіцяк Марія</t>
  </si>
  <si>
    <t>ВФЧ/Ш/У/2830</t>
  </si>
  <si>
    <t>Корпало Назарій</t>
  </si>
  <si>
    <t>ВФЧ/Ш/У/2831</t>
  </si>
  <si>
    <t>Беспятко Олексій</t>
  </si>
  <si>
    <t>ВФЧ/Ш/У/2832</t>
  </si>
  <si>
    <t>Баласюк Роман</t>
  </si>
  <si>
    <t>ВФЧ/Ш/У/2833</t>
  </si>
  <si>
    <t>Колєсніков Роман</t>
  </si>
  <si>
    <t>ВФЧ/Ш/У/2834</t>
  </si>
  <si>
    <t>Андрусишин Софія</t>
  </si>
  <si>
    <t>ВФЧ/Ш/У/2835</t>
  </si>
  <si>
    <t>Петренко Станіслав</t>
  </si>
  <si>
    <t>ВФЧ/Ш/У/2836</t>
  </si>
  <si>
    <t>Пилип'як Христина</t>
  </si>
  <si>
    <t>ВФЧ/Ш/У/2837</t>
  </si>
  <si>
    <t>Вербовська Юлія</t>
  </si>
  <si>
    <t>ВФЧ/Ш/У/2838</t>
  </si>
  <si>
    <t>Процик Ярина</t>
  </si>
  <si>
    <t>ВФЧ/Ш/У/2839</t>
  </si>
  <si>
    <t>Асаула Анастасія Степанівна</t>
  </si>
  <si>
    <t>Середня загальноосвітня школа І-ІІІ ступеня № 20 м. Львова</t>
  </si>
  <si>
    <t>Гнатишин Галина Іванівна</t>
  </si>
  <si>
    <t>ВФЧ/Ш/У/2840</t>
  </si>
  <si>
    <t>Головецький Маркіян Ігорович</t>
  </si>
  <si>
    <t>ВФЧ/Ш/У/2841</t>
  </si>
  <si>
    <t>Іванець Дарія Віталіївна</t>
  </si>
  <si>
    <t>ВФЧ/Ш/У/2842</t>
  </si>
  <si>
    <t>Корючкін Костянтин Олександрович</t>
  </si>
  <si>
    <t>ВФЧ/Ш/У/2843</t>
  </si>
  <si>
    <t>Мороз Владислав Петрович</t>
  </si>
  <si>
    <t>ВФЧ/Ш/У/2844</t>
  </si>
  <si>
    <t>Прядка Анастасія Сергіївна</t>
  </si>
  <si>
    <t>ВФЧ/Ш/У/2845</t>
  </si>
  <si>
    <t>Стожук Владислав Володимирович</t>
  </si>
  <si>
    <t>ВФЧ/Ш/У/2846</t>
  </si>
  <si>
    <t>Шумський Олексій Віталійович</t>
  </si>
  <si>
    <t>ВФЧ/Ш/У/2847</t>
  </si>
  <si>
    <t>Михайліченко Дмитро Артемович</t>
  </si>
  <si>
    <t>Середня загальносвітня школа І-ІІІ ступенів №29 м. Львова</t>
  </si>
  <si>
    <t>Климко Ярина Миронівна</t>
  </si>
  <si>
    <t>ВФЧ/Ш/У/2848</t>
  </si>
  <si>
    <t>Процах Данило Тарасович</t>
  </si>
  <si>
    <t>ВФЧ/Ш/У/2849</t>
  </si>
  <si>
    <t>Мриглод Роман</t>
  </si>
  <si>
    <t>ВФЧ/Ш/У/2850</t>
  </si>
  <si>
    <t>Верлан Каріна Анатоліївна</t>
  </si>
  <si>
    <t>ВФЧ/Ш/У/2851</t>
  </si>
  <si>
    <t>Васильків Назар Володимиррович</t>
  </si>
  <si>
    <t>ВФЧ/Ш/У/2852</t>
  </si>
  <si>
    <t>Лобанова Вікторія Юріївна</t>
  </si>
  <si>
    <t>ВФЧ/Ш/У/2853</t>
  </si>
  <si>
    <t>Шиманська Дарина Богданівна</t>
  </si>
  <si>
    <t>ВФЧ/Ш/У/2854</t>
  </si>
  <si>
    <t>Шапоренко Ігор Олександрович</t>
  </si>
  <si>
    <t>ВФЧ/Ш/У/2855</t>
  </si>
  <si>
    <t>Процах Устим Тарасович</t>
  </si>
  <si>
    <t>ВФЧ/Ш/У/2856</t>
  </si>
  <si>
    <t>Патько Анастасія Миколаївна</t>
  </si>
  <si>
    <t>ВФЧ/Ш/У/2857</t>
  </si>
  <si>
    <t>Коменський Орест Миколайович</t>
  </si>
  <si>
    <t>ВФЧ/Ш/У/2858</t>
  </si>
  <si>
    <t>Голевич Ілона</t>
  </si>
  <si>
    <t>ВФЧ/Ш/У/2859</t>
  </si>
  <si>
    <t>Гнатюк Анна Василівна</t>
  </si>
  <si>
    <t>ВФЧ/Ш/У/2860</t>
  </si>
  <si>
    <t>Вівчарська Софія Тарасівна</t>
  </si>
  <si>
    <t>ВФЧ/Ш/У/2861</t>
  </si>
  <si>
    <t>Тинкалюк Роксолана Олексіївна</t>
  </si>
  <si>
    <t>ВФЧ/Ш/У/2862</t>
  </si>
  <si>
    <t>Медвідь Юлія Володимирівна</t>
  </si>
  <si>
    <t>ВФЧ/Ш/У/2863</t>
  </si>
  <si>
    <t>Клепар Ганна Богданівна</t>
  </si>
  <si>
    <t>ВФЧ/Ш/У/2864</t>
  </si>
  <si>
    <t>Андрушко Дарій Тарасович</t>
  </si>
  <si>
    <t>ВФЧ/Ш/У/2865</t>
  </si>
  <si>
    <t>Цапик Марта Тарасівна</t>
  </si>
  <si>
    <t>ВФЧ/Ш/У/2866</t>
  </si>
  <si>
    <t>Фредина Максим Володимирович</t>
  </si>
  <si>
    <t>ВФЧ/Ш/У/2867</t>
  </si>
  <si>
    <t>Москалик Віра</t>
  </si>
  <si>
    <t>ВФЧ/Ш/У/2868</t>
  </si>
  <si>
    <t>Леськів Анастасія Любомирівна</t>
  </si>
  <si>
    <t>ВФЧ/Ш/У/2869</t>
  </si>
  <si>
    <t>Загребаєв Максим Дмитрович</t>
  </si>
  <si>
    <t>ВФЧ/Ш/У/2870</t>
  </si>
  <si>
    <t>Баран Тетяна Петрівна</t>
  </si>
  <si>
    <t>ВФЧ/Ш/У/2871</t>
  </si>
  <si>
    <t>Щабленко Яна</t>
  </si>
  <si>
    <t>ВФЧ/Ш/У/2872</t>
  </si>
  <si>
    <t>Іваськів Марта Ігорівна</t>
  </si>
  <si>
    <t>ВФЧ/Ш/У/2873</t>
  </si>
  <si>
    <t>Колесник Анна-Марія Віталіївна</t>
  </si>
  <si>
    <t>ВФЧ/Ш/У/2874</t>
  </si>
  <si>
    <t>Віхоть Максим Тарасович</t>
  </si>
  <si>
    <t>ВФЧ/Ш/У/2875</t>
  </si>
  <si>
    <t>Марухняк Маркіян Ярославович</t>
  </si>
  <si>
    <t>ВФЧ/Ш/У/2876</t>
  </si>
  <si>
    <t>Щербяк Анастасія Володимирівна</t>
  </si>
  <si>
    <t>ВФЧ/Ш/У/2877</t>
  </si>
  <si>
    <t>Фуртик Роксолана Володимирівна</t>
  </si>
  <si>
    <t>ВФЧ/Ш/У/2878</t>
  </si>
  <si>
    <t>Кутєпова Аліна Андріївна</t>
  </si>
  <si>
    <t>ВФЧ/Ш/У/2879</t>
  </si>
  <si>
    <t>Боднар Максим Ігорович</t>
  </si>
  <si>
    <t>ВФЧ/Ш/У/2880</t>
  </si>
  <si>
    <t>Козій Владислав Сергійович</t>
  </si>
  <si>
    <t>ВФЧ/Ш/У/2881</t>
  </si>
  <si>
    <t>Гамула Тарас Романович</t>
  </si>
  <si>
    <t>ВФЧ/Ш/У/2882</t>
  </si>
  <si>
    <t>Демян Богдан Віталійович demanbogdan566@gmail/com</t>
  </si>
  <si>
    <t>Сколівський заклад загальної середньої освіти І-ІІІ ступенів #2 імені Стефанії Вітрук Сколівськоі міської ради</t>
  </si>
  <si>
    <t>Дмитрух Олександра Денисівна, Гаврилів Марія Миколаївна</t>
  </si>
  <si>
    <t>ВФЧ/Ш/У/2883</t>
  </si>
  <si>
    <t>Волос Михайло Юрійович</t>
  </si>
  <si>
    <t>ВФЧ/Ш/У/2884</t>
  </si>
  <si>
    <t>Корягіна АнеліяОлександрівна</t>
  </si>
  <si>
    <t>ВФЧ/Ш/У/2885</t>
  </si>
  <si>
    <t>Марчук Дмитро Віталійович</t>
  </si>
  <si>
    <t>ВФЧ/Ш/У/2886</t>
  </si>
  <si>
    <t>Щуревич Максим Володимирович</t>
  </si>
  <si>
    <t>ВФЧ/Ш/У/2887</t>
  </si>
  <si>
    <t>Равлінко Юрій Тарасович</t>
  </si>
  <si>
    <t>ВФЧ/Ш/У/2888</t>
  </si>
  <si>
    <t>Решітник Юстина Остапівна</t>
  </si>
  <si>
    <t>Середня загальноосвітня школа №90 м.Львова</t>
  </si>
  <si>
    <t>Терен Тетяна Василівна</t>
  </si>
  <si>
    <t>ВФЧ/Ш/У/2889</t>
  </si>
  <si>
    <t>Іздебський Владислав Володимирович</t>
  </si>
  <si>
    <t>ВФЧ/Ш/У/2890</t>
  </si>
  <si>
    <t>Сороківський Олег Андрійович</t>
  </si>
  <si>
    <t>ВФЧ/Ш/У/2891</t>
  </si>
  <si>
    <t>Шнайдер Святослав Орестович</t>
  </si>
  <si>
    <t>ВФЧ/Ш/У/2892</t>
  </si>
  <si>
    <t>Гапій Ольга Василівна</t>
  </si>
  <si>
    <t>ВФЧ/Ш/У/2893</t>
  </si>
  <si>
    <t>Крижанівська Єлизавета Романівна</t>
  </si>
  <si>
    <t>ВФЧ/Ш/У/2894</t>
  </si>
  <si>
    <t>Лісовінов Орест Юрійович</t>
  </si>
  <si>
    <t>ВФЧ/Ш/У/2895</t>
  </si>
  <si>
    <t>Логін Ангеліна Віталіївна</t>
  </si>
  <si>
    <t>ВФЧ/Ш/У/2896</t>
  </si>
  <si>
    <t>Надєєв Андрій Русланович</t>
  </si>
  <si>
    <t>ВФЧ/Ш/У/2897</t>
  </si>
  <si>
    <t>Шамара Тимофій Глібович</t>
  </si>
  <si>
    <t>ВФЧ/Ш/У/2898</t>
  </si>
  <si>
    <t>Чікуліна Аліна Артурівна</t>
  </si>
  <si>
    <t>ВФЧ/Ш/У/2899</t>
  </si>
  <si>
    <t>Кульчицький Володимир</t>
  </si>
  <si>
    <t>Ліцей "Галицький" ЛМР</t>
  </si>
  <si>
    <t>Коваль Степан Юрійович</t>
  </si>
  <si>
    <t>ВФЧ/Ш/У/2900</t>
  </si>
  <si>
    <t>Горбацьо Юстина</t>
  </si>
  <si>
    <t>ВФЧ/Ш/У/2901</t>
  </si>
  <si>
    <t>Кіх Ірина</t>
  </si>
  <si>
    <t>ВФЧ/Ш/У/2902</t>
  </si>
  <si>
    <t>Плахова Маша</t>
  </si>
  <si>
    <t>ВФЧ/Ш/У/2903</t>
  </si>
  <si>
    <t>Магас Олександр</t>
  </si>
  <si>
    <t>ВФЧ/Ш/У/2904</t>
  </si>
  <si>
    <t>Мочурад Андрій</t>
  </si>
  <si>
    <t>ВФЧ/Ш/У/2905</t>
  </si>
  <si>
    <t>Стасишин Остап</t>
  </si>
  <si>
    <t>ВФЧ/Ш/У/2906</t>
  </si>
  <si>
    <t>Лучишин Володимир</t>
  </si>
  <si>
    <t>ВФЧ/Ш/У/2907</t>
  </si>
  <si>
    <t>Скоропад Марко</t>
  </si>
  <si>
    <t>ВФЧ/Ш/У/2908</t>
  </si>
  <si>
    <t>Шкутяк Софія Андріївна</t>
  </si>
  <si>
    <t>Навчально-виховний комплекс "Інженерно-економічна школа – Львівський економічний ліцей"</t>
  </si>
  <si>
    <t>Кравчук Оксана Ярославівна</t>
  </si>
  <si>
    <t>ВФЧ/Ш/У/2909</t>
  </si>
  <si>
    <t>Блавацька Марта Юріївна</t>
  </si>
  <si>
    <t>ВФЧ/Ш/У/2910</t>
  </si>
  <si>
    <t>Кутний Владислав Богданович</t>
  </si>
  <si>
    <t>ВФЧ/Ш/У/2911</t>
  </si>
  <si>
    <t>Ульгурський Ярослав Юрійович</t>
  </si>
  <si>
    <t>ВФЧ/Ш/У/2912</t>
  </si>
  <si>
    <t>Кальніченко Костянтин Віталійович</t>
  </si>
  <si>
    <t>ВФЧ/Ш/У/2913</t>
  </si>
  <si>
    <t>Адарма Емілія Василівна</t>
  </si>
  <si>
    <t>ВФЧ/Ш/У/2914</t>
  </si>
  <si>
    <t>Береза Софія Олегівна</t>
  </si>
  <si>
    <t>ВФЧ/Ш/У/2915</t>
  </si>
  <si>
    <t>Богаєць Юрій Романович</t>
  </si>
  <si>
    <t>ВФЧ/Ш/У/2916</t>
  </si>
  <si>
    <t>Семененко Яна Юріївна</t>
  </si>
  <si>
    <t>ВФЧ/Ш/У/2917</t>
  </si>
  <si>
    <t>Качмар Софія Юріївна</t>
  </si>
  <si>
    <t>ВФЧ/Ш/У/2918</t>
  </si>
  <si>
    <t>Кухар Марко-Іван Петрович</t>
  </si>
  <si>
    <t>ВФЧ/Ш/У/2919</t>
  </si>
  <si>
    <t>Паливода Максим Юрійович</t>
  </si>
  <si>
    <t>ВФЧ/Ш/У/2920</t>
  </si>
  <si>
    <t>Андрусишин Ярина Романівна</t>
  </si>
  <si>
    <t>ВФЧ/Ш/У/2921</t>
  </si>
  <si>
    <t>Блащак Андрій Михайлович</t>
  </si>
  <si>
    <t>ВФЧ/Ш/У/2922</t>
  </si>
  <si>
    <t>Герасемняк Анна Петрівна</t>
  </si>
  <si>
    <t>ВФЧ/Ш/У/2923</t>
  </si>
  <si>
    <t>Грицевич Данило Богданович</t>
  </si>
  <si>
    <t>ВФЧ/Ш/У/2924</t>
  </si>
  <si>
    <t>Коваль Юрій Андрійович</t>
  </si>
  <si>
    <t>ВФЧ/Ш/У/2925</t>
  </si>
  <si>
    <t>Колодій Анастасія Миколаївна</t>
  </si>
  <si>
    <t>ВФЧ/Ш/У/2926</t>
  </si>
  <si>
    <t>Лабінський Максим Романович</t>
  </si>
  <si>
    <t>ВФЧ/Ш/У/2927</t>
  </si>
  <si>
    <t>Лубенченко Кирило Павлович</t>
  </si>
  <si>
    <t>ВФЧ/Ш/У/2928</t>
  </si>
  <si>
    <t>Манющак Олег Андрійович</t>
  </si>
  <si>
    <t>ВФЧ/Ш/У/2929</t>
  </si>
  <si>
    <t>Нарепеха Христина Романівна</t>
  </si>
  <si>
    <t>ВФЧ/Ш/У/2930</t>
  </si>
  <si>
    <t>Оліховська Евеліна Володимирівна</t>
  </si>
  <si>
    <t>ВФЧ/Ш/У/2931</t>
  </si>
  <si>
    <t>Скаско Софія Олегівна</t>
  </si>
  <si>
    <t>ВФЧ/Ш/У/2932</t>
  </si>
  <si>
    <t>Стасюк Ярослав Романович</t>
  </si>
  <si>
    <t>ВФЧ/Ш/У/2933</t>
  </si>
  <si>
    <t>Товкач Назар Олегович</t>
  </si>
  <si>
    <t>ВФЧ/Ш/У/2934</t>
  </si>
  <si>
    <t>Троць Анастасія Андріївна</t>
  </si>
  <si>
    <t>ВФЧ/Ш/У/2935</t>
  </si>
  <si>
    <t>Федина Вікторія Ярославівна</t>
  </si>
  <si>
    <t>ВФЧ/Ш/У/2936</t>
  </si>
  <si>
    <t>Циган Максим Юрійович</t>
  </si>
  <si>
    <t>ВФЧ/Ш/У/2937</t>
  </si>
  <si>
    <t>Черній Олексій Сергійович</t>
  </si>
  <si>
    <t>ВФЧ/Ш/У/2938</t>
  </si>
  <si>
    <t>Шиян Денис Ярославович</t>
  </si>
  <si>
    <t>ВФЧ/Ш/У/2939</t>
  </si>
  <si>
    <t>Тарас Софія Романівна</t>
  </si>
  <si>
    <t>Великомостівський ліцей</t>
  </si>
  <si>
    <t>Волощук Мар'яна Павлівна</t>
  </si>
  <si>
    <t>ВФЧ/Ш/У/2940</t>
  </si>
  <si>
    <t>Дмитраш Ірина Романівна</t>
  </si>
  <si>
    <t>ВФЧ/Ш/У/2941</t>
  </si>
  <si>
    <t>Березюк Ірина Романівна</t>
  </si>
  <si>
    <t>ВФЧ/Ш/У/2942</t>
  </si>
  <si>
    <t>Данилюк Анна Михайлівна</t>
  </si>
  <si>
    <t>ВФЧ/Ш/У/2943</t>
  </si>
  <si>
    <t>Козимко Юлія Павлівна</t>
  </si>
  <si>
    <t>ВФЧ/Ш/У/2944</t>
  </si>
  <si>
    <t>Леткий Остап</t>
  </si>
  <si>
    <t>СЗШ №34 ім. М. Шашкевича</t>
  </si>
  <si>
    <t>Місінська Світлана Михайлівна</t>
  </si>
  <si>
    <t>ВФЧ/Ш/У/2945</t>
  </si>
  <si>
    <t>Лепнухов Максим</t>
  </si>
  <si>
    <t>ВФЧ/Ш/У/2946</t>
  </si>
  <si>
    <t>Цибульський Ілля</t>
  </si>
  <si>
    <t>ВФЧ/Ш/У/2947</t>
  </si>
  <si>
    <t>Пономарьов Назар</t>
  </si>
  <si>
    <t>ВФЧ/Ш/У/2948</t>
  </si>
  <si>
    <t>Домінюк Олег</t>
  </si>
  <si>
    <t>ВФЧ/Ш/У/2949</t>
  </si>
  <si>
    <t>Морський Денис</t>
  </si>
  <si>
    <t>ВФЧ/Ш/У/2950</t>
  </si>
  <si>
    <t>Малиновський Микита</t>
  </si>
  <si>
    <t>ВФЧ/Ш/У/2951</t>
  </si>
  <si>
    <t>Тарас Юлія</t>
  </si>
  <si>
    <t>ВФЧ/Ш/У/2952</t>
  </si>
  <si>
    <t>Гац Христина</t>
  </si>
  <si>
    <t>ВФЧ/Ш/У/2953</t>
  </si>
  <si>
    <t>Пришляк Дмитро</t>
  </si>
  <si>
    <t>ВФЧ/Ш/У/2954</t>
  </si>
  <si>
    <t>Кудлак Вероніка</t>
  </si>
  <si>
    <t>ВФЧ/Ш/У/2955</t>
  </si>
  <si>
    <t>Кальмук Олег</t>
  </si>
  <si>
    <t>ВФЧ/Ш/У/2956</t>
  </si>
  <si>
    <t>Маїк Олександр</t>
  </si>
  <si>
    <t>ВФЧ/Ш/У/2957</t>
  </si>
  <si>
    <t>Гринько Данило</t>
  </si>
  <si>
    <t>ВФЧ/Ш/У/2958</t>
  </si>
  <si>
    <t>Романик Наталія</t>
  </si>
  <si>
    <t>ВФЧ/Ш/У/2959</t>
  </si>
  <si>
    <t>Ятчишин Діана</t>
  </si>
  <si>
    <t>ВФЧ/Ш/У/2960</t>
  </si>
  <si>
    <t>Кречко Тетяна Юріївна</t>
  </si>
  <si>
    <t>Мостівський ліцей</t>
  </si>
  <si>
    <t>Онищак Вікторія Семенівна</t>
  </si>
  <si>
    <t>ВФЧ/Ш/У/2961</t>
  </si>
  <si>
    <t>Топор Анастасія</t>
  </si>
  <si>
    <t>Дорошівський ліцей</t>
  </si>
  <si>
    <t>Сумрук Катерина Миколаївна</t>
  </si>
  <si>
    <t>ВФЧ/Ш/У/2962</t>
  </si>
  <si>
    <t>Свірьопкіна Олена Сергіївна</t>
  </si>
  <si>
    <t>ВФЧ/Ш/У/2963</t>
  </si>
  <si>
    <t>Михальченко Ірина Віталіївна</t>
  </si>
  <si>
    <t>ВФЧ/Ш/У/2964</t>
  </si>
  <si>
    <t>Сербулова Катерина Володимирівна</t>
  </si>
  <si>
    <t>ВФЧ/Ш/У/2965</t>
  </si>
  <si>
    <t>Бондаренко Вікторія Едуардівна</t>
  </si>
  <si>
    <t>ВФЧ/Ш/У/2966</t>
  </si>
  <si>
    <t>Крецу Світлана Михайлівна</t>
  </si>
  <si>
    <t>ВФЧ/Ш/У/2967</t>
  </si>
  <si>
    <t>Машкін Яна Сергіївна</t>
  </si>
  <si>
    <t>ВФЧ/Ш/У/2968</t>
  </si>
  <si>
    <t>Нягу Владислав Олексійович</t>
  </si>
  <si>
    <t>ВФЧ/Ш/У/2969</t>
  </si>
  <si>
    <t>Берко Ольга Володимирівна</t>
  </si>
  <si>
    <t>ВФЧ/Ш/У/2970</t>
  </si>
  <si>
    <t>Тягій Максим Максимович</t>
  </si>
  <si>
    <t>ВФЧ/Ш/У/2971</t>
  </si>
  <si>
    <t>Беднарський Олександр Васильович</t>
  </si>
  <si>
    <t>ВФЧ/Ш/У/2972</t>
  </si>
  <si>
    <t>Ратушняк Дар'я Олегівна</t>
  </si>
  <si>
    <t>Коблівський ліцей Коблівської сільської ради</t>
  </si>
  <si>
    <t>Духань Оксана Олександрівна</t>
  </si>
  <si>
    <t>ВФЧ/Ш/У/2973</t>
  </si>
  <si>
    <t>Сокирко Ірина Дмитрівна</t>
  </si>
  <si>
    <t>ВФЧ/Ш/У/2974</t>
  </si>
  <si>
    <t>Голота Данило Сергійович</t>
  </si>
  <si>
    <t>ВФЧ/Ш/У/2975</t>
  </si>
  <si>
    <t>Крикунов Станіслав Володимирович</t>
  </si>
  <si>
    <t>ВФЧ/Ш/У/2976</t>
  </si>
  <si>
    <t>Таран Кирил Максимович</t>
  </si>
  <si>
    <t>ВФЧ/Ш/У/2977</t>
  </si>
  <si>
    <t>Домбровський Ілля Денисович</t>
  </si>
  <si>
    <t>ВФЧ/Ш/У/2978</t>
  </si>
  <si>
    <t>П'ятков Владислав Костянтинович</t>
  </si>
  <si>
    <t>ВФЧ/Ш/У/2979</t>
  </si>
  <si>
    <t>Вервика Кирило Олександрович</t>
  </si>
  <si>
    <t>ВФЧ/Ш/У/2980</t>
  </si>
  <si>
    <t>Казакова Вікторія Геннадіївна</t>
  </si>
  <si>
    <t>ВФЧ/Ш/У/2981</t>
  </si>
  <si>
    <t>Бендера Даря Ігорівна</t>
  </si>
  <si>
    <t>ВФЧ/Ш/У/2982</t>
  </si>
  <si>
    <t>Криворученко Дар'я Олександрівна</t>
  </si>
  <si>
    <t>ВФЧ/Ш/У/2983</t>
  </si>
  <si>
    <t>Павлуненко Катерина Олексіївна</t>
  </si>
  <si>
    <t>ВФЧ/Ш/У/2984</t>
  </si>
  <si>
    <t>Агаяров Самір Тарієльович</t>
  </si>
  <si>
    <t>ВФЧ/Ш/У/2985</t>
  </si>
  <si>
    <t>Александров Олександр Володимирович</t>
  </si>
  <si>
    <t>Новоодеський ліцей № 4</t>
  </si>
  <si>
    <t>Крайнюк Алла Володимирівна</t>
  </si>
  <si>
    <t>ВФЧ/Ш/У/2986</t>
  </si>
  <si>
    <t>Андрусенко Софія Ігорівна</t>
  </si>
  <si>
    <t>ВФЧ/Ш/У/2987</t>
  </si>
  <si>
    <t>Варша Єгор Вікторович</t>
  </si>
  <si>
    <t>ВФЧ/Ш/У/2988</t>
  </si>
  <si>
    <t>Вон Артем Антонович</t>
  </si>
  <si>
    <t>ВФЧ/Ш/У/2989</t>
  </si>
  <si>
    <t>Горобченко Денис Володимирович</t>
  </si>
  <si>
    <t>ВФЧ/Ш/У/2990</t>
  </si>
  <si>
    <t>Демчук Сергій Сергійович</t>
  </si>
  <si>
    <t>ВФЧ/Ш/У/2991</t>
  </si>
  <si>
    <t>Діденко Діана Сергіївна</t>
  </si>
  <si>
    <t>ВФЧ/Ш/У/2992</t>
  </si>
  <si>
    <t>Діскант Маргарита Михайлівна</t>
  </si>
  <si>
    <t>ВФЧ/Ш/У/2993</t>
  </si>
  <si>
    <t>Доценко Єгор Олександрович</t>
  </si>
  <si>
    <t>ВФЧ/Ш/У/2994</t>
  </si>
  <si>
    <t>Карпов Олександр Олександрович</t>
  </si>
  <si>
    <t>ВФЧ/Ш/У/2995</t>
  </si>
  <si>
    <t>Латій Анастасія Сергіївна</t>
  </si>
  <si>
    <t>ВФЧ/Ш/У/2996</t>
  </si>
  <si>
    <t>Літвінчук Максим Дмитрович</t>
  </si>
  <si>
    <t>ВФЧ/Ш/У/2997</t>
  </si>
  <si>
    <t>Майбородюк Владислав Дмитрович</t>
  </si>
  <si>
    <t>ВФЧ/Ш/У/2998</t>
  </si>
  <si>
    <t>Панасюк Аліна Анатоліївна</t>
  </si>
  <si>
    <t>ВФЧ/Ш/У/2999</t>
  </si>
  <si>
    <t>Пацура Аліна Олександрівна</t>
  </si>
  <si>
    <t>ВФЧ/Ш/У/3000</t>
  </si>
  <si>
    <t>Плєхов Данило Іванович</t>
  </si>
  <si>
    <t>ВФЧ/Ш/У/3001</t>
  </si>
  <si>
    <t>Притула Микола Миколайович</t>
  </si>
  <si>
    <t>ВФЧ/Ш/У/3002</t>
  </si>
  <si>
    <t>Савич Єлизавета Юріївна</t>
  </si>
  <si>
    <t>ВФЧ/Ш/У/3003</t>
  </si>
  <si>
    <t>Соколов Платон Михайлович</t>
  </si>
  <si>
    <t>ВФЧ/Ш/У/3004</t>
  </si>
  <si>
    <t>Цисарь Марія Сергіївна</t>
  </si>
  <si>
    <t>ВФЧ/Ш/У/3005</t>
  </si>
  <si>
    <t>Чернявська Дарина Олександрівна</t>
  </si>
  <si>
    <t>ВФЧ/Ш/У/3006</t>
  </si>
  <si>
    <t>Шершон Софія Володимирівна</t>
  </si>
  <si>
    <t>ВФЧ/Ш/У/3007</t>
  </si>
  <si>
    <t>Шумілов Олександр Олександрович</t>
  </si>
  <si>
    <t>ВФЧ/Ш/У/3008</t>
  </si>
  <si>
    <t>Бавіцька Надія Вікторівна</t>
  </si>
  <si>
    <t>Тузлівський ліцей</t>
  </si>
  <si>
    <t>Карпенко Інна Володимирівна</t>
  </si>
  <si>
    <t>ВФЧ/Ш/У/3009</t>
  </si>
  <si>
    <t>Боровик Карина Семенівна</t>
  </si>
  <si>
    <t>ВФЧ/Ш/У/3010</t>
  </si>
  <si>
    <t>Василевська Анастасія Станіславівна</t>
  </si>
  <si>
    <t>ВФЧ/Ш/У/3011</t>
  </si>
  <si>
    <t>Грабан Данило Віталійович</t>
  </si>
  <si>
    <t>ВФЧ/Ш/У/3012</t>
  </si>
  <si>
    <t>Древаль Дмитро Віталійович</t>
  </si>
  <si>
    <t>ВФЧ/Ш/У/3013</t>
  </si>
  <si>
    <t>Калиновська Віолета Олегівна</t>
  </si>
  <si>
    <t>ВФЧ/Ш/У/3014</t>
  </si>
  <si>
    <t>Капацина Єлизавета Василівна</t>
  </si>
  <si>
    <t>ВФЧ/Ш/У/3015</t>
  </si>
  <si>
    <t>Капацина Олеся Василівна</t>
  </si>
  <si>
    <t>ВФЧ/Ш/У/3016</t>
  </si>
  <si>
    <t>Козлов Тимур Анатолійович</t>
  </si>
  <si>
    <t>ВФЧ/Ш/У/3017</t>
  </si>
  <si>
    <t>Колотинський Михайло Віталійович</t>
  </si>
  <si>
    <t>ВФЧ/Ш/У/3018</t>
  </si>
  <si>
    <t>Крицький Максим Іванович</t>
  </si>
  <si>
    <t>ВФЧ/Ш/У/3019</t>
  </si>
  <si>
    <t>Половенко Аліна Михайлівна</t>
  </si>
  <si>
    <t>ВФЧ/Ш/У/3020</t>
  </si>
  <si>
    <t>Ротай Олександр Ігорович</t>
  </si>
  <si>
    <t>ВФЧ/Ш/У/3021</t>
  </si>
  <si>
    <t>Александрова Дар‘я Олегівна</t>
  </si>
  <si>
    <t>Одеський ліцей №63 Одеської міської ради</t>
  </si>
  <si>
    <t>Сакун Ганна Олександрівна</t>
  </si>
  <si>
    <t>ВФЧ/Ш/У/3022</t>
  </si>
  <si>
    <t>Бєлова Анна Денисівна</t>
  </si>
  <si>
    <t>ВФЧ/Ш/У/3023</t>
  </si>
  <si>
    <t>Бєлова Валерія Євгенівна</t>
  </si>
  <si>
    <t>ВФЧ/Ш/У/3024</t>
  </si>
  <si>
    <t>Дергунова Анастасія Віталїївни</t>
  </si>
  <si>
    <t>ВФЧ/Ш/У/3025</t>
  </si>
  <si>
    <t>Ільчак Владислава Сергіївна</t>
  </si>
  <si>
    <t>ВФЧ/Ш/У/3026</t>
  </si>
  <si>
    <t>Конарьова Кіра Андріївна</t>
  </si>
  <si>
    <t>ВФЧ/Ш/У/3027</t>
  </si>
  <si>
    <t>Красільнікова Марія Олександрівна</t>
  </si>
  <si>
    <t>ВФЧ/Ш/У/3028</t>
  </si>
  <si>
    <t>Овчаренко Валерія Станіславівна</t>
  </si>
  <si>
    <t>ВФЧ/Ш/У/3029</t>
  </si>
  <si>
    <t>Прокоф’єв Іван Вікторович</t>
  </si>
  <si>
    <t>ВФЧ/Ш/У/3030</t>
  </si>
  <si>
    <t>Ткач Зеновій Петрович</t>
  </si>
  <si>
    <t>ВФЧ/Ш/У/3031</t>
  </si>
  <si>
    <t>Тюрін Кирило Ігорович</t>
  </si>
  <si>
    <t>ВФЧ/Ш/У/3032</t>
  </si>
  <si>
    <t>Унтілова Анастасія Олександрівна</t>
  </si>
  <si>
    <t>ВФЧ/Ш/У/3033</t>
  </si>
  <si>
    <t>Чикін Святослав Володимирович</t>
  </si>
  <si>
    <t>ВФЧ/Ш/У/3034</t>
  </si>
  <si>
    <t>Яремич Ілля Олександрович</t>
  </si>
  <si>
    <t>ВФЧ/Ш/У/3035</t>
  </si>
  <si>
    <t>Крутенко Назар Григорович</t>
  </si>
  <si>
    <t>ВФЧ/Ш/У/3036</t>
  </si>
  <si>
    <t>Котова Діана Олексіївна</t>
  </si>
  <si>
    <t>ВФЧ/Ш/У/3037</t>
  </si>
  <si>
    <t>Нагорний Владислав Вікторович</t>
  </si>
  <si>
    <t>ВФЧ/Ш/У/3038</t>
  </si>
  <si>
    <t>Ромашкевич Олеся Михайлівна</t>
  </si>
  <si>
    <t>ВФЧ/Ш/У/3039</t>
  </si>
  <si>
    <t>Астанова Айна Азізаговна</t>
  </si>
  <si>
    <t>ВФЧ/Ш/У/3040</t>
  </si>
  <si>
    <t>Базан Іван Олександрович</t>
  </si>
  <si>
    <t>ВФЧ/Ш/У/3041</t>
  </si>
  <si>
    <t>Галанюк Карина Русланівна</t>
  </si>
  <si>
    <t>ВФЧ/Ш/У/3042</t>
  </si>
  <si>
    <t>Калмиков Максим Дмитрович</t>
  </si>
  <si>
    <t>ВФЧ/Ш/У/3043</t>
  </si>
  <si>
    <t>Лабунець Соф‘я Юріївна</t>
  </si>
  <si>
    <t>ВФЧ/Ш/У/3044</t>
  </si>
  <si>
    <t>Пилипенко Костянтин Дмитрович</t>
  </si>
  <si>
    <t>ВФЧ/Ш/У/3045</t>
  </si>
  <si>
    <t>Русєв Олександр Дмитрович</t>
  </si>
  <si>
    <t>ВФЧ/Ш/У/3046</t>
  </si>
  <si>
    <t>Снігач Антон Олександрович</t>
  </si>
  <si>
    <t>ВФЧ/Ш/У/3047</t>
  </si>
  <si>
    <t>Куляк Азіза Анатоліївна</t>
  </si>
  <si>
    <t>ВФЧ/Ш/У/3048</t>
  </si>
  <si>
    <t>Леонов Савелій Олексійович</t>
  </si>
  <si>
    <t>ВФЧ/Ш/У/3049</t>
  </si>
  <si>
    <t>Герщук Анастасія Миколаївна</t>
  </si>
  <si>
    <t>ВФЧ/Ш/У/3050</t>
  </si>
  <si>
    <t>Штиб Олександр Русланович</t>
  </si>
  <si>
    <t>ВФЧ/Ш/У/3051</t>
  </si>
  <si>
    <t>Коваль Микита Віталійович</t>
  </si>
  <si>
    <t>ОДЕСЬКИЙ ЛІЦЕЙ № 7 ОДЕСЬКОЇ МІСЬКОЇ РАДИ</t>
  </si>
  <si>
    <t>Озарінська Тетяна Станіславівна</t>
  </si>
  <si>
    <t>ВФЧ/Ш/У/3052</t>
  </si>
  <si>
    <t>Весніовський Олексій Андрійович</t>
  </si>
  <si>
    <t>ВФЧ/Ш/У/3053</t>
  </si>
  <si>
    <t>Андреєв Олександр Андрійович</t>
  </si>
  <si>
    <t>ВФЧ/Ш/У/3054</t>
  </si>
  <si>
    <t>Баланюк Кирило Сергійович</t>
  </si>
  <si>
    <t>ВФЧ/Ш/У/3055</t>
  </si>
  <si>
    <t>Будік Владислав Сергійович</t>
  </si>
  <si>
    <t>ВФЧ/Ш/У/3056</t>
  </si>
  <si>
    <t>Гончаренко Нікіта Олексійович</t>
  </si>
  <si>
    <t>ВФЧ/Ш/У/3057</t>
  </si>
  <si>
    <t>Гончарук Анна Вадимівна</t>
  </si>
  <si>
    <t>ВФЧ/Ш/У/3058</t>
  </si>
  <si>
    <t>Двинський Алексей Артемович</t>
  </si>
  <si>
    <t>ВФЧ/Ш/У/3059</t>
  </si>
  <si>
    <t>Дімітрашко Андрій Костянтинович</t>
  </si>
  <si>
    <t>ВФЧ/Ш/У/3060</t>
  </si>
  <si>
    <t>Житар Анна Едуардівна</t>
  </si>
  <si>
    <t>ВФЧ/Ш/У/3061</t>
  </si>
  <si>
    <t>Колесник Ксенія Олександрівна</t>
  </si>
  <si>
    <t>ВФЧ/Ш/У/3062</t>
  </si>
  <si>
    <t>Компан Дмитро Володимирович</t>
  </si>
  <si>
    <t>ВФЧ/Ш/У/3063</t>
  </si>
  <si>
    <t>Кудрявцева Софія Денисівна</t>
  </si>
  <si>
    <t>ВФЧ/Ш/У/3064</t>
  </si>
  <si>
    <t>Лавров Антон Володимирович</t>
  </si>
  <si>
    <t>ВФЧ/Ш/У/3065</t>
  </si>
  <si>
    <t>Лаврова Катерина Володимирівна</t>
  </si>
  <si>
    <t>ВФЧ/Ш/У/3066</t>
  </si>
  <si>
    <t>Лещенко Мілана Дмитрівна</t>
  </si>
  <si>
    <t>ВФЧ/Ш/У/3067</t>
  </si>
  <si>
    <t>Льовкін Георгій Андрійович</t>
  </si>
  <si>
    <t>ВФЧ/Ш/У/3068</t>
  </si>
  <si>
    <t>Марцюга Євген Степанович</t>
  </si>
  <si>
    <t>ВФЧ/Ш/У/3069</t>
  </si>
  <si>
    <t>Порожнюк Ірина Іванівна</t>
  </si>
  <si>
    <t>ВФЧ/Ш/У/3070</t>
  </si>
  <si>
    <t>Россінська Дар’я Олегівна</t>
  </si>
  <si>
    <t>ВФЧ/Ш/У/3071</t>
  </si>
  <si>
    <t>Стекольникова Діана Юріївна</t>
  </si>
  <si>
    <t>ВФЧ/Ш/У/3072</t>
  </si>
  <si>
    <t>Тюхтій Софія Максимівна</t>
  </si>
  <si>
    <t>ВФЧ/Ш/У/3073</t>
  </si>
  <si>
    <t>Усатова Софія Олександрівна</t>
  </si>
  <si>
    <t>ВФЧ/Ш/У/3074</t>
  </si>
  <si>
    <t>Фатенков Артем Євгенійович</t>
  </si>
  <si>
    <t>ВФЧ/Ш/У/3075</t>
  </si>
  <si>
    <t>Авдєєва Дар"я</t>
  </si>
  <si>
    <t>Ліцей "Лідер" м.Білгорода-Дністровського</t>
  </si>
  <si>
    <t>Гайнулліна Олена Миколаївна</t>
  </si>
  <si>
    <t>ВФЧ/Ш/У/3076</t>
  </si>
  <si>
    <t>Андреєв Ярослав</t>
  </si>
  <si>
    <t>ВФЧ/Ш/У/3077</t>
  </si>
  <si>
    <t>Баталін Олександр</t>
  </si>
  <si>
    <t>ВФЧ/Ш/У/3078</t>
  </si>
  <si>
    <t>Бєла Маргарита</t>
  </si>
  <si>
    <t>ВФЧ/Ш/У/3079</t>
  </si>
  <si>
    <t>Бикова Катерина</t>
  </si>
  <si>
    <t>ВФЧ/Ш/У/3080</t>
  </si>
  <si>
    <t>Биковська Вікторія</t>
  </si>
  <si>
    <t>ВФЧ/Ш/У/3081</t>
  </si>
  <si>
    <t>Георгиев Артем</t>
  </si>
  <si>
    <t>ВФЧ/Ш/У/3082</t>
  </si>
  <si>
    <t>Горикін В"ячеслав</t>
  </si>
  <si>
    <t>ВФЧ/Ш/У/3083</t>
  </si>
  <si>
    <t>Грасовский Владислав</t>
  </si>
  <si>
    <t>ВФЧ/Ш/У/3084</t>
  </si>
  <si>
    <t>Григорян Елеонора</t>
  </si>
  <si>
    <t>ВФЧ/Ш/У/3085</t>
  </si>
  <si>
    <t>Данилік Дар"я</t>
  </si>
  <si>
    <t>ВФЧ/Ш/У/3086</t>
  </si>
  <si>
    <t>Деде Софія</t>
  </si>
  <si>
    <t>ВФЧ/Ш/У/3087</t>
  </si>
  <si>
    <t>Дудник Євгеній</t>
  </si>
  <si>
    <t>ВФЧ/Ш/У/3088</t>
  </si>
  <si>
    <t>Жосан Уляна</t>
  </si>
  <si>
    <t>ВФЧ/Ш/У/3089</t>
  </si>
  <si>
    <t>Заганич Ульяна</t>
  </si>
  <si>
    <t>ВФЧ/Ш/У/3090</t>
  </si>
  <si>
    <t>Ігошина Аліна</t>
  </si>
  <si>
    <t>ВФЧ/Ш/У/3091</t>
  </si>
  <si>
    <t>Канджа Назар</t>
  </si>
  <si>
    <t>ВФЧ/Ш/У/3092</t>
  </si>
  <si>
    <t>Карєва Марія</t>
  </si>
  <si>
    <t>ВФЧ/Ш/У/3093</t>
  </si>
  <si>
    <t>Касьянова Ніколь</t>
  </si>
  <si>
    <t>ВФЧ/Ш/У/3094</t>
  </si>
  <si>
    <t>Кахчі Іван</t>
  </si>
  <si>
    <t>ВФЧ/Ш/У/3095</t>
  </si>
  <si>
    <t>Качанюк Дар"я</t>
  </si>
  <si>
    <t>ВФЧ/Ш/У/3096</t>
  </si>
  <si>
    <t>Кіоссе Катерина</t>
  </si>
  <si>
    <t>ВФЧ/Ш/У/3097</t>
  </si>
  <si>
    <t>Кобба Вікторія</t>
  </si>
  <si>
    <t>ВФЧ/Ш/У/3098</t>
  </si>
  <si>
    <t>Коваленко Юлія</t>
  </si>
  <si>
    <t>ВФЧ/Ш/У/3099</t>
  </si>
  <si>
    <t>Кокшаров Леонід</t>
  </si>
  <si>
    <t>ВФЧ/Ш/У/3100</t>
  </si>
  <si>
    <t>Копайгора Єлизавета</t>
  </si>
  <si>
    <t>ВФЧ/Ш/У/3101</t>
  </si>
  <si>
    <t>Копайгора Кіра</t>
  </si>
  <si>
    <t>ВФЧ/Ш/У/3102</t>
  </si>
  <si>
    <t>Корженко Дарія</t>
  </si>
  <si>
    <t>ВФЧ/Ш/У/3103</t>
  </si>
  <si>
    <t>Корольов Нікіта</t>
  </si>
  <si>
    <t>ВФЧ/Ш/У/3104</t>
  </si>
  <si>
    <t>Костроміцький Тарас</t>
  </si>
  <si>
    <t>ВФЧ/Ш/У/3105</t>
  </si>
  <si>
    <t>Крицька Уляна</t>
  </si>
  <si>
    <t>ВФЧ/Ш/У/3106</t>
  </si>
  <si>
    <t>Куркіна Любов</t>
  </si>
  <si>
    <t>ВФЧ/Ш/У/3107</t>
  </si>
  <si>
    <t>Кухарська Лілія</t>
  </si>
  <si>
    <t>ВФЧ/Ш/У/3108</t>
  </si>
  <si>
    <t>Ліщинська Кіра</t>
  </si>
  <si>
    <t>ВФЧ/Ш/У/3109</t>
  </si>
  <si>
    <t>Марченко Марія</t>
  </si>
  <si>
    <t>ВФЧ/Ш/У/3110</t>
  </si>
  <si>
    <t>Матюшенко Максим</t>
  </si>
  <si>
    <t>ВФЧ/Ш/У/3111</t>
  </si>
  <si>
    <t>Мирзоян Карине</t>
  </si>
  <si>
    <t>ВФЧ/Ш/У/3112</t>
  </si>
  <si>
    <t>Мікоткіна Дар"я</t>
  </si>
  <si>
    <t>ВФЧ/Ш/У/3113</t>
  </si>
  <si>
    <t>Мудряк Діана</t>
  </si>
  <si>
    <t>ВФЧ/Ш/У/3114</t>
  </si>
  <si>
    <t>Музиченко Анна</t>
  </si>
  <si>
    <t>ВФЧ/Ш/У/3115</t>
  </si>
  <si>
    <t>Новаковська Валерія</t>
  </si>
  <si>
    <t>ВФЧ/Ш/У/3116</t>
  </si>
  <si>
    <t>Пархомчук Ксенія</t>
  </si>
  <si>
    <t>ВФЧ/Ш/У/3117</t>
  </si>
  <si>
    <t>Петухова Євгенія</t>
  </si>
  <si>
    <t>ВФЧ/Ш/У/3118</t>
  </si>
  <si>
    <t>Пікалова Марія</t>
  </si>
  <si>
    <t>ВФЧ/Ш/У/3119</t>
  </si>
  <si>
    <t>Попова Ліза</t>
  </si>
  <si>
    <t>ВФЧ/Ш/У/3120</t>
  </si>
  <si>
    <t>Романенко Артем</t>
  </si>
  <si>
    <t>ВФЧ/Ш/У/3121</t>
  </si>
  <si>
    <t>Романенко Діана</t>
  </si>
  <si>
    <t>ВФЧ/Ш/У/3122</t>
  </si>
  <si>
    <t>Савченко Варвара</t>
  </si>
  <si>
    <t>ВФЧ/Ш/У/3123</t>
  </si>
  <si>
    <t>Саксін Андрій</t>
  </si>
  <si>
    <t>ВФЧ/Ш/У/3124</t>
  </si>
  <si>
    <t>Сергєєва Софія</t>
  </si>
  <si>
    <t>ВФЧ/Ш/У/3125</t>
  </si>
  <si>
    <t>Середа Роман</t>
  </si>
  <si>
    <t>ВФЧ/Ш/У/3126</t>
  </si>
  <si>
    <t>Скрипник Євгенія</t>
  </si>
  <si>
    <t>ВФЧ/Ш/У/3127</t>
  </si>
  <si>
    <t>Ставицький Михайло</t>
  </si>
  <si>
    <t>ВФЧ/Ш/У/3128</t>
  </si>
  <si>
    <t>Сулаков Іван</t>
  </si>
  <si>
    <t>ВФЧ/Ш/У/3129</t>
  </si>
  <si>
    <t>Томіліна Кароліна</t>
  </si>
  <si>
    <t>ВФЧ/Ш/У/3130</t>
  </si>
  <si>
    <t>Торбінський Єгор</t>
  </si>
  <si>
    <t>ВФЧ/Ш/У/3131</t>
  </si>
  <si>
    <t>Чапир Самуїл</t>
  </si>
  <si>
    <t>ВФЧ/Ш/У/3132</t>
  </si>
  <si>
    <t>Чередниченко Арина</t>
  </si>
  <si>
    <t>ВФЧ/Ш/У/3133</t>
  </si>
  <si>
    <t>Чернова Вікторія</t>
  </si>
  <si>
    <t>ВФЧ/Ш/У/3134</t>
  </si>
  <si>
    <t>Чумаченко Софія</t>
  </si>
  <si>
    <t>ВФЧ/Ш/У/3135</t>
  </si>
  <si>
    <t>Шахова Інна</t>
  </si>
  <si>
    <t>ВФЧ/Ш/У/3136</t>
  </si>
  <si>
    <t>Шевченко Ілля</t>
  </si>
  <si>
    <t>ВФЧ/Ш/У/3137</t>
  </si>
  <si>
    <t>Шефер Антоніна</t>
  </si>
  <si>
    <t>ВФЧ/Ш/У/3138</t>
  </si>
  <si>
    <t>Шмігельська Яна</t>
  </si>
  <si>
    <t>ВФЧ/Ш/У/3139</t>
  </si>
  <si>
    <t>Шпачинський Максим</t>
  </si>
  <si>
    <t>ВФЧ/Ш/У/3140</t>
  </si>
  <si>
    <t>Шульга Георгій</t>
  </si>
  <si>
    <t>ВФЧ/Ш/У/3141</t>
  </si>
  <si>
    <t>Ярошенко Дмитро</t>
  </si>
  <si>
    <t>ВФЧ/Ш/У/3142</t>
  </si>
  <si>
    <t>Яценко Поліна</t>
  </si>
  <si>
    <t>ВФЧ/Ш/У/3143</t>
  </si>
  <si>
    <t>Хомин Єлизовета Сергіївна</t>
  </si>
  <si>
    <t>Миколаївський ліцей</t>
  </si>
  <si>
    <t>Воробйова Тетяна Сергіївна</t>
  </si>
  <si>
    <t>ВФЧ/Ш/У/3144</t>
  </si>
  <si>
    <t>Біла Богдана Сергіївна</t>
  </si>
  <si>
    <t>ВФЧ/Ш/У/3145</t>
  </si>
  <si>
    <t>Колісник Микола Євгенович</t>
  </si>
  <si>
    <t>ВФЧ/Ш/У/3146</t>
  </si>
  <si>
    <t>Жук Ольга Олегівна</t>
  </si>
  <si>
    <t>ВФЧ/Ш/У/3147</t>
  </si>
  <si>
    <t>Байдацька Катерина Олександрівна</t>
  </si>
  <si>
    <t>Одеський ліцей №13</t>
  </si>
  <si>
    <t>Бедікян Надія Іванівна</t>
  </si>
  <si>
    <t>ВФЧ/Ш/У/3148</t>
  </si>
  <si>
    <t>Богатирьов Владислав Олександрович</t>
  </si>
  <si>
    <t>ВФЧ/Ш/У/3149</t>
  </si>
  <si>
    <t>Бойко Сергій Вікторович</t>
  </si>
  <si>
    <t>ВФЧ/Ш/У/3150</t>
  </si>
  <si>
    <t>Гушпіт Даніїл Петрович</t>
  </si>
  <si>
    <t>ВФЧ/Ш/У/3151</t>
  </si>
  <si>
    <t>Давидов Микита Андрійович</t>
  </si>
  <si>
    <t>ВФЧ/Ш/У/3152</t>
  </si>
  <si>
    <t>Дутчин Олександр Васильович</t>
  </si>
  <si>
    <t>ВФЧ/Ш/У/3153</t>
  </si>
  <si>
    <t>Заморіна Анастасія Ігорівна</t>
  </si>
  <si>
    <t>ВФЧ/Ш/У/3154</t>
  </si>
  <si>
    <t>Ковальчук Володимир Артемович</t>
  </si>
  <si>
    <t>ВФЧ/Ш/У/3155</t>
  </si>
  <si>
    <t>Костроміцька Каміла Євгенівна</t>
  </si>
  <si>
    <t>ВФЧ/Ш/У/3156</t>
  </si>
  <si>
    <t>Медведєв Олександр Михайлович</t>
  </si>
  <si>
    <t>ВФЧ/Ш/У/3157</t>
  </si>
  <si>
    <t>Нікольська Ілона Олександрівна</t>
  </si>
  <si>
    <t>ВФЧ/Ш/У/3158</t>
  </si>
  <si>
    <t>Пікалов Олександр Володимирович</t>
  </si>
  <si>
    <t>ВФЧ/Ш/У/3159</t>
  </si>
  <si>
    <t>Прокопенко Єлизавета Андріївна</t>
  </si>
  <si>
    <t>ВФЧ/Ш/У/3160</t>
  </si>
  <si>
    <t>Ткаченко Дмитро Володимирович</t>
  </si>
  <si>
    <t>ВФЧ/Ш/У/3161</t>
  </si>
  <si>
    <t>Тягленко Нікіта Сергійович</t>
  </si>
  <si>
    <t>ВФЧ/Ш/У/3162</t>
  </si>
  <si>
    <t>Федорова Марія Євгенівна</t>
  </si>
  <si>
    <t>ВФЧ/Ш/У/3163</t>
  </si>
  <si>
    <t>Щогольова Марія Сергіївна</t>
  </si>
  <si>
    <t>ВФЧ/Ш/У/3164</t>
  </si>
  <si>
    <t>Акопов Микола Олексійович</t>
  </si>
  <si>
    <t>Міжнародна академічна школа "Одеса"</t>
  </si>
  <si>
    <t>Козак Ганна Олександрівна</t>
  </si>
  <si>
    <t>ВФЧ/Ш/У/3165</t>
  </si>
  <si>
    <t>Бойчун Віталіна Олексіївна</t>
  </si>
  <si>
    <t>ВФЧ/Ш/У/3166</t>
  </si>
  <si>
    <t>Грицик Іван Віталійович</t>
  </si>
  <si>
    <t>ВФЧ/Ш/У/3167</t>
  </si>
  <si>
    <t>Дімова Серафима Вячеславівна</t>
  </si>
  <si>
    <t>ВФЧ/Ш/У/3168</t>
  </si>
  <si>
    <t>Добрянський Артур Денисович</t>
  </si>
  <si>
    <t>ВФЧ/Ш/У/3169</t>
  </si>
  <si>
    <t>Іллящук Аріна Денисівна</t>
  </si>
  <si>
    <t>ВФЧ/Ш/У/3170</t>
  </si>
  <si>
    <t>Наливанна Аліна Олегівна</t>
  </si>
  <si>
    <t>ВФЧ/Ш/У/3171</t>
  </si>
  <si>
    <t>Притиковська Ксенія Віталіївна</t>
  </si>
  <si>
    <t>ВФЧ/Ш/У/3172</t>
  </si>
  <si>
    <t>Разумов Валентин Віталійович</t>
  </si>
  <si>
    <t>ВФЧ/Ш/У/3173</t>
  </si>
  <si>
    <t>Руміліатісь Артур Олександрович</t>
  </si>
  <si>
    <t>ВФЧ/Ш/У/3174</t>
  </si>
  <si>
    <t>Садіков Станіслав Олександрович</t>
  </si>
  <si>
    <t>ВФЧ/Ш/У/3175</t>
  </si>
  <si>
    <t>Химченко Марат Олексійович</t>
  </si>
  <si>
    <t>ВФЧ/Ш/У/3176</t>
  </si>
  <si>
    <t>Чечельницька Анна Сергіївна</t>
  </si>
  <si>
    <t>ВФЧ/Ш/У/3177</t>
  </si>
  <si>
    <t>Шейх Мохамед Сузан Яхья</t>
  </si>
  <si>
    <t>ВФЧ/Ш/У/3178</t>
  </si>
  <si>
    <t>Ші Імен</t>
  </si>
  <si>
    <t>ВФЧ/Ш/У/3179</t>
  </si>
  <si>
    <t>Шубартовська Катерина Олексіївна</t>
  </si>
  <si>
    <t>ВФЧ/Ш/У/3180</t>
  </si>
  <si>
    <t>Юркевич Михайло Ігорович</t>
  </si>
  <si>
    <t>ВФЧ/Ш/У/3181</t>
  </si>
  <si>
    <t>Ярова Софія Олегівна</t>
  </si>
  <si>
    <t>ВФЧ/Ш/У/3182</t>
  </si>
  <si>
    <t>Янюк Маргарита Олександрівна</t>
  </si>
  <si>
    <t>ВФЧ/Ш/У/3183</t>
  </si>
  <si>
    <t>Кірєва Софія Віталіївна</t>
  </si>
  <si>
    <t>САРАТСЬКИЙ ЛІЦЕЙ САРАТСЬКОЇ СЕЛИЩНОЇ РАДИ БІЛГОРОД-ДНІСТРОВСЬКОГО РАЙОНУ ОДЕСЬКОЇ ОБЛАСТІ</t>
  </si>
  <si>
    <t>Ковшик Ліана Григорівна</t>
  </si>
  <si>
    <t>ВФЧ/Ш/У/3184</t>
  </si>
  <si>
    <t>Москаленко Єлизавета Анатоліївна</t>
  </si>
  <si>
    <t>ВФЧ/Ш/У/3185</t>
  </si>
  <si>
    <t>Пєлін Анна Олегівна</t>
  </si>
  <si>
    <t>ВФЧ/Ш/У/3186</t>
  </si>
  <si>
    <t>Такой Єва Валеріївна</t>
  </si>
  <si>
    <t>ВФЧ/Ш/У/3187</t>
  </si>
  <si>
    <t>Монах Ніколетта Миколаївна</t>
  </si>
  <si>
    <t>ВФЧ/Ш/У/3188</t>
  </si>
  <si>
    <t>Кожухар Микита Михайлович</t>
  </si>
  <si>
    <t>ВФЧ/Ш/У/3189</t>
  </si>
  <si>
    <t>Георгієв Артем Олександрович</t>
  </si>
  <si>
    <t>ВФЧ/Ш/У/3190</t>
  </si>
  <si>
    <t>Марар Єгор Юрійович</t>
  </si>
  <si>
    <t>ВФЧ/Ш/У/3191</t>
  </si>
  <si>
    <t>Калмик Валерія Дінувна</t>
  </si>
  <si>
    <t>ВФЧ/Ш/У/3192</t>
  </si>
  <si>
    <t>Глушкова Ганна Дмитрівна</t>
  </si>
  <si>
    <t>ВФЧ/Ш/У/3193</t>
  </si>
  <si>
    <t>Бузук Станіслав Геннадійович</t>
  </si>
  <si>
    <t>ВФЧ/Ш/У/3194</t>
  </si>
  <si>
    <t>Тодоров Олександр Михайлович</t>
  </si>
  <si>
    <t>ВФЧ/Ш/У/3195</t>
  </si>
  <si>
    <t>Тодоров Олексій Михайлович</t>
  </si>
  <si>
    <t>ВФЧ/Ш/У/3196</t>
  </si>
  <si>
    <t>Нежиборська Анна Олександрівна</t>
  </si>
  <si>
    <t>ВФЧ/Ш/У/3197</t>
  </si>
  <si>
    <t>Григор'єва Олександра Юріївна</t>
  </si>
  <si>
    <t>ВФЧ/Ш/У/3198</t>
  </si>
  <si>
    <t>Георгієва Ксенія Сергіївна</t>
  </si>
  <si>
    <t>ВФЧ/Ш/У/3199</t>
  </si>
  <si>
    <t>Коваль Дмитро Олександрович</t>
  </si>
  <si>
    <t>ВФЧ/Ш/У/3200</t>
  </si>
  <si>
    <t>Федорова Евеліна Сергіївна</t>
  </si>
  <si>
    <t>ВФЧ/Ш/У/3201</t>
  </si>
  <si>
    <t>Римська Емілія Володимирівна</t>
  </si>
  <si>
    <t>ВФЧ/Ш/У/3202</t>
  </si>
  <si>
    <t>Бондаренко Маргарита Михайлівна</t>
  </si>
  <si>
    <t>ВФЧ/Ш/У/3203</t>
  </si>
  <si>
    <t>Бузук Єлізавета Геннадіївна</t>
  </si>
  <si>
    <t>ВФЧ/Ш/У/3204</t>
  </si>
  <si>
    <t>Драган Феміда Федорівна</t>
  </si>
  <si>
    <t>ВФЧ/Ш/У/3205</t>
  </si>
  <si>
    <t>Даскал Каріна Віталіївна</t>
  </si>
  <si>
    <t>ВФЧ/Ш/У/3206</t>
  </si>
  <si>
    <t>Скрипник Максим Олександрович</t>
  </si>
  <si>
    <t>ОДЕСЬКИЙ ЛІЦЕЙ №28</t>
  </si>
  <si>
    <t>Веліченко Дмитро Святославович</t>
  </si>
  <si>
    <t>ВФЧ/Ш/У/3207</t>
  </si>
  <si>
    <t>Зеленков Владислав Олександрович</t>
  </si>
  <si>
    <t>ВФЧ/Ш/У/3208</t>
  </si>
  <si>
    <t>Бугаєнко Сергій Володимирович</t>
  </si>
  <si>
    <t>ВФЧ/Ш/У/3209</t>
  </si>
  <si>
    <t>Врадій Дмитро Сергійович</t>
  </si>
  <si>
    <t>ВФЧ/Ш/У/3210</t>
  </si>
  <si>
    <t>Бойко Станіслав Кирилович</t>
  </si>
  <si>
    <t>ВФЧ/Ш/У/3211</t>
  </si>
  <si>
    <t>Цушко Валерія Василівна</t>
  </si>
  <si>
    <t>ВФЧ/Ш/У/3212</t>
  </si>
  <si>
    <t>Лавренко Єва Євгенівна</t>
  </si>
  <si>
    <t>ВФЧ/Ш/У/3213</t>
  </si>
  <si>
    <t>Ткач Аліна Володимирівна</t>
  </si>
  <si>
    <t>ВФЧ/Ш/У/3214</t>
  </si>
  <si>
    <t>Трепак Анастасія Олексіївна</t>
  </si>
  <si>
    <t>ВФЧ/Ш/У/3215</t>
  </si>
  <si>
    <t>Пакулова Олена Ігорівна</t>
  </si>
  <si>
    <t>ВФЧ/Ш/У/3216</t>
  </si>
  <si>
    <t>Дзівінська Ангеліна Костянтинівна</t>
  </si>
  <si>
    <t>ВФЧ/Ш/У/3217</t>
  </si>
  <si>
    <t>Ткач Юлія Володимирівна</t>
  </si>
  <si>
    <t>ВФЧ/Ш/У/3218</t>
  </si>
  <si>
    <t>Реброва Елеонора Денисівна</t>
  </si>
  <si>
    <t>ВФЧ/Ш/У/3219</t>
  </si>
  <si>
    <t>Комарова Поліна Віталіївна</t>
  </si>
  <si>
    <t>ВФЧ/Ш/У/3220</t>
  </si>
  <si>
    <t>Менчій Гліб Сергійович</t>
  </si>
  <si>
    <t>ВФЧ/Ш/У/3221</t>
  </si>
  <si>
    <t>Гірник Костянтин Віталійович</t>
  </si>
  <si>
    <t>ВФЧ/Ш/У/3222</t>
  </si>
  <si>
    <t>Бекіров Нікіта Рустемович</t>
  </si>
  <si>
    <t>ВФЧ/Ш/У/3223</t>
  </si>
  <si>
    <t>Дмитренко Іван Вікторович</t>
  </si>
  <si>
    <t>ВФЧ/Ш/У/3224</t>
  </si>
  <si>
    <t>Синиця Світослава Олександрівна</t>
  </si>
  <si>
    <t>ВФЧ/Ш/У/3225</t>
  </si>
  <si>
    <t>Сокиринський Дмитро Васильович</t>
  </si>
  <si>
    <t>ВФЧ/Ш/У/3226</t>
  </si>
  <si>
    <t>Гошуренко Владислав Олександрович</t>
  </si>
  <si>
    <t>ВФЧ/Ш/У/3227</t>
  </si>
  <si>
    <t>Перетятий Вадим Сергійович</t>
  </si>
  <si>
    <t>ВФЧ/Ш/У/3228</t>
  </si>
  <si>
    <t>Снєсарь Костянтин Олександрович</t>
  </si>
  <si>
    <t>ВФЧ/Ш/У/3229</t>
  </si>
  <si>
    <t>Сарафіновська Ангеліна Сергіївна</t>
  </si>
  <si>
    <t>ВФЧ/Ш/У/3230</t>
  </si>
  <si>
    <t>Дрожжін Михайло Миколайович</t>
  </si>
  <si>
    <t>ВФЧ/Ш/У/3231</t>
  </si>
  <si>
    <t>Заболотний Андрій Олексійович</t>
  </si>
  <si>
    <t>ВФЧ/Ш/У/3232</t>
  </si>
  <si>
    <t>Гейдарова Елеонора</t>
  </si>
  <si>
    <t>ВФЧ/Ш/У/3233</t>
  </si>
  <si>
    <t>Авраменко Єва Володимирівна</t>
  </si>
  <si>
    <t>ВФЧ/Ш/У/3234</t>
  </si>
  <si>
    <t>Цішенко Анастасія Сергіївна</t>
  </si>
  <si>
    <t>ВФЧ/Ш/У/3235</t>
  </si>
  <si>
    <t>Пивовар Віра Володимирівна</t>
  </si>
  <si>
    <t>ВФЧ/Ш/У/3236</t>
  </si>
  <si>
    <t>Бікєтова Анастасія</t>
  </si>
  <si>
    <t>Арцизький ліцей №5 з початковою школою та гімназією Арцизької міської ради</t>
  </si>
  <si>
    <t>Шолька Сергій Миколайович</t>
  </si>
  <si>
    <t>ВФЧ/Ш/У/3237</t>
  </si>
  <si>
    <t>Сурєва Анастасія</t>
  </si>
  <si>
    <t>ВФЧ/Ш/У/3238</t>
  </si>
  <si>
    <t>Моток Андрій</t>
  </si>
  <si>
    <t>ВФЧ/Ш/У/3239</t>
  </si>
  <si>
    <t>Сухопаренко Вадим</t>
  </si>
  <si>
    <t>ВФЧ/Ш/У/3240</t>
  </si>
  <si>
    <t>Ляшенко Вікторія</t>
  </si>
  <si>
    <t>ВФЧ/Ш/У/3241</t>
  </si>
  <si>
    <t>Ворникова Вікторія</t>
  </si>
  <si>
    <t>ВФЧ/Ш/У/3242</t>
  </si>
  <si>
    <t>Клак Віолетта</t>
  </si>
  <si>
    <t>ВФЧ/Ш/У/3243</t>
  </si>
  <si>
    <t>Бузила Даніель</t>
  </si>
  <si>
    <t>ВФЧ/Ш/У/3244</t>
  </si>
  <si>
    <t>Торішня Катерина</t>
  </si>
  <si>
    <t>ВФЧ/Ш/У/3245</t>
  </si>
  <si>
    <t>Зайченко Кіра</t>
  </si>
  <si>
    <t>ВФЧ/Ш/У/3246</t>
  </si>
  <si>
    <t>Мазур Любов</t>
  </si>
  <si>
    <t>ВФЧ/Ш/У/3247</t>
  </si>
  <si>
    <t>Албур Людмила</t>
  </si>
  <si>
    <t>ВФЧ/Ш/У/3248</t>
  </si>
  <si>
    <t>Пазиченко Максим</t>
  </si>
  <si>
    <t>ВФЧ/Ш/У/3249</t>
  </si>
  <si>
    <t>Клімов Нікіта</t>
  </si>
  <si>
    <t>ВФЧ/Ш/У/3250</t>
  </si>
  <si>
    <t>Панов Олександр</t>
  </si>
  <si>
    <t>ВФЧ/Ш/У/3251</t>
  </si>
  <si>
    <t>Дермен Ольга</t>
  </si>
  <si>
    <t>ВФЧ/Ш/У/3252</t>
  </si>
  <si>
    <t>Расенко Регіна</t>
  </si>
  <si>
    <t>ВФЧ/Ш/У/3253</t>
  </si>
  <si>
    <t>Гроховецький Ярослав</t>
  </si>
  <si>
    <t>ВФЧ/Ш/У/3254</t>
  </si>
  <si>
    <t>Береговська Ірина</t>
  </si>
  <si>
    <t>ВФЧ/Ш/У/3255</t>
  </si>
  <si>
    <t>Лєфтєр Анастасія</t>
  </si>
  <si>
    <t>ВФЧ/Ш/У/3256</t>
  </si>
  <si>
    <t>Радукан Андрій</t>
  </si>
  <si>
    <t>ВФЧ/Ш/У/3257</t>
  </si>
  <si>
    <t>Галушков Артем</t>
  </si>
  <si>
    <t>ВФЧ/Ш/У/3258</t>
  </si>
  <si>
    <t>Нікова Валентина</t>
  </si>
  <si>
    <t>ВФЧ/Ш/У/3259</t>
  </si>
  <si>
    <t>Павлова Дарія</t>
  </si>
  <si>
    <t>ВФЧ/Ш/У/3260</t>
  </si>
  <si>
    <t>Чумаков Денис</t>
  </si>
  <si>
    <t>ВФЧ/Ш/У/3261</t>
  </si>
  <si>
    <t>Карпов Кирило</t>
  </si>
  <si>
    <t>ВФЧ/Ш/У/3262</t>
  </si>
  <si>
    <t>Драганов Максим</t>
  </si>
  <si>
    <t>ВФЧ/Ш/У/3263</t>
  </si>
  <si>
    <t>Терзі Михайло</t>
  </si>
  <si>
    <t>ВФЧ/Ш/У/3264</t>
  </si>
  <si>
    <t>Тукусер Наталія</t>
  </si>
  <si>
    <t>ВФЧ/Ш/У/3265</t>
  </si>
  <si>
    <t>Покиньчереда Олександра</t>
  </si>
  <si>
    <t>ВФЧ/Ш/У/3266</t>
  </si>
  <si>
    <t>Буркіна Олександра</t>
  </si>
  <si>
    <t>ВФЧ/Ш/У/3267</t>
  </si>
  <si>
    <t>Руденко Регіна</t>
  </si>
  <si>
    <t>ВФЧ/Ш/У/3268</t>
  </si>
  <si>
    <t>Аітов Станіслав</t>
  </si>
  <si>
    <t>ВФЧ/Ш/У/3269</t>
  </si>
  <si>
    <t>Міхнєв Станіслав</t>
  </si>
  <si>
    <t>ВФЧ/Ш/У/3270</t>
  </si>
  <si>
    <t>Захарєєва Юлія</t>
  </si>
  <si>
    <t>ВФЧ/Ш/У/3271</t>
  </si>
  <si>
    <t>Стоянова Юлія</t>
  </si>
  <si>
    <t>ВФЧ/Ш/У/3272</t>
  </si>
  <si>
    <t>Мут Ірина</t>
  </si>
  <si>
    <t>ВФЧ/Ш/У/3273</t>
  </si>
  <si>
    <t>Ташева Аліна</t>
  </si>
  <si>
    <t>ВФЧ/Ш/У/3274</t>
  </si>
  <si>
    <t>Павлик Анастасія</t>
  </si>
  <si>
    <t>ВФЧ/Ш/У/3275</t>
  </si>
  <si>
    <t>Апостолова Варвара</t>
  </si>
  <si>
    <t>ВФЧ/Ш/У/3276</t>
  </si>
  <si>
    <t>Буравченко Вероніка</t>
  </si>
  <si>
    <t>ВФЧ/Ш/У/3277</t>
  </si>
  <si>
    <t>Кобиленко Владислав</t>
  </si>
  <si>
    <t>ВФЧ/Ш/У/3278</t>
  </si>
  <si>
    <t>Паращенко Володимир</t>
  </si>
  <si>
    <t>ВФЧ/Ш/У/3279</t>
  </si>
  <si>
    <t>Боднар Вікторія</t>
  </si>
  <si>
    <t>ВФЧ/Ш/У/3280</t>
  </si>
  <si>
    <t>Куртєв Кирило</t>
  </si>
  <si>
    <t>ВФЧ/Ш/У/3281</t>
  </si>
  <si>
    <t>Запорожан Максим</t>
  </si>
  <si>
    <t>ВФЧ/Ш/У/3282</t>
  </si>
  <si>
    <t>Павлов Матвій</t>
  </si>
  <si>
    <t>ВФЧ/Ш/У/3283</t>
  </si>
  <si>
    <t>Ващук Нікіта</t>
  </si>
  <si>
    <t>ВФЧ/Ш/У/3284</t>
  </si>
  <si>
    <t>Пєнова Олександра</t>
  </si>
  <si>
    <t>ВФЧ/Ш/У/3285</t>
  </si>
  <si>
    <t>Байло Петро</t>
  </si>
  <si>
    <t>ВФЧ/Ш/У/3286</t>
  </si>
  <si>
    <t>Чигиринський Сергій</t>
  </si>
  <si>
    <t>ВФЧ/Ш/У/3287</t>
  </si>
  <si>
    <t>Христюк Софія</t>
  </si>
  <si>
    <t>ВФЧ/Ш/У/3288</t>
  </si>
  <si>
    <t>Николишина Софія</t>
  </si>
  <si>
    <t>ВФЧ/Ш/У/3289</t>
  </si>
  <si>
    <t>Чіканчи Ігор</t>
  </si>
  <si>
    <t>ВФЧ/Ш/У/3290</t>
  </si>
  <si>
    <t>Кісіолар Ілля</t>
  </si>
  <si>
    <t>ВФЧ/Ш/У/3291</t>
  </si>
  <si>
    <t>Михайличенко Ірина</t>
  </si>
  <si>
    <t>ВФЧ/Ш/У/3292</t>
  </si>
  <si>
    <t>Павлова Надія</t>
  </si>
  <si>
    <t>ВФЧ/Ш/У/3293</t>
  </si>
  <si>
    <t>Буз Віктор</t>
  </si>
  <si>
    <t>ЗЗСО "Авангардівський ліцей" Авангардівської селищної ради</t>
  </si>
  <si>
    <t>Жуковська Олена Миколаївна</t>
  </si>
  <si>
    <t>ВФЧ/Ш/У/3294</t>
  </si>
  <si>
    <t>Полтович Микола</t>
  </si>
  <si>
    <t>ВФЧ/Ш/У/3295</t>
  </si>
  <si>
    <t>Бондарь Володимир</t>
  </si>
  <si>
    <t>ВФЧ/Ш/У/3296</t>
  </si>
  <si>
    <t>Грігорьєв Захарій Вячеславович</t>
  </si>
  <si>
    <t>ОДЕСЬКИЙ ЕКОНОМІЧНИЙ ЛІЦЕЙ ОДЕСЬКОЇ МІСЬКОЇ РАДИ</t>
  </si>
  <si>
    <t>Харитонова Бела Григорівна</t>
  </si>
  <si>
    <t>ВФЧ/Ш/У/3297</t>
  </si>
  <si>
    <t>Климова Маргарита Богданівна</t>
  </si>
  <si>
    <t>ВФЧ/Ш/У/3298</t>
  </si>
  <si>
    <t>Міхова Олександра Валеріївна</t>
  </si>
  <si>
    <t>ВФЧ/Ш/У/3299</t>
  </si>
  <si>
    <t>Пасічник Артем Валерійович</t>
  </si>
  <si>
    <t>ВФЧ/Ш/У/3300</t>
  </si>
  <si>
    <t>Субботін Михайло Іванович</t>
  </si>
  <si>
    <t>ВФЧ/Ш/У/3301</t>
  </si>
  <si>
    <t>Єфімов Володимир Володимирович</t>
  </si>
  <si>
    <t>ВФЧ/Ш/У/3302</t>
  </si>
  <si>
    <t>Сулімов Тимур Вадимович</t>
  </si>
  <si>
    <t>Одеський ліцей №17 ОДЕСЬКОЇ МІСЬКОЇ РАДИ</t>
  </si>
  <si>
    <t>Васильєва Наталія Володимирівна</t>
  </si>
  <si>
    <t>ВФЧ/Ш/У/3303</t>
  </si>
  <si>
    <t>Кузан Ерік Олегович</t>
  </si>
  <si>
    <t>КЗ "Роздільнянський міський ліцей №3 Роздільнянської міської ради Одеської області"</t>
  </si>
  <si>
    <t>Мунтян Надія Іванівна</t>
  </si>
  <si>
    <t>ВФЧ/Ш/У/3304</t>
  </si>
  <si>
    <t>Корчаченко Михайло Миколайович</t>
  </si>
  <si>
    <t>ВФЧ/Ш/У/3305</t>
  </si>
  <si>
    <t>Варішкін Євген Олександрович</t>
  </si>
  <si>
    <t>ВФЧ/Ш/У/3306</t>
  </si>
  <si>
    <t>Большаков Єгор Юрійович</t>
  </si>
  <si>
    <t>ВФЧ/Ш/У/3307</t>
  </si>
  <si>
    <t>Чорна Яна Віталіївна</t>
  </si>
  <si>
    <t>ВФЧ/Ш/У/3308</t>
  </si>
  <si>
    <t>Соборова Лілія Олександрівна</t>
  </si>
  <si>
    <t>ВФЧ/Ш/У/3309</t>
  </si>
  <si>
    <t>Додул Анастасія Олександрівна</t>
  </si>
  <si>
    <t>ВФЧ/Ш/У/3310</t>
  </si>
  <si>
    <t>Фортова Юлія Вікторівна</t>
  </si>
  <si>
    <t>ВФЧ/Ш/У/3311</t>
  </si>
  <si>
    <t>Ніфонтов Георгій</t>
  </si>
  <si>
    <t>Одеський ліцей 14 Одеської міської ради</t>
  </si>
  <si>
    <t>Кімак Оксана Романівна</t>
  </si>
  <si>
    <t>ВФЧ/Ш/У/3312</t>
  </si>
  <si>
    <t>Отрадних Михайло</t>
  </si>
  <si>
    <t>ВФЧ/Ш/У/3313</t>
  </si>
  <si>
    <t>Мостова Маргарита</t>
  </si>
  <si>
    <t>ВФЧ/Ш/У/3314</t>
  </si>
  <si>
    <t>Боярська Валерія Денисівна</t>
  </si>
  <si>
    <t>ОДЕСЬКИЙ ЛІЦЕЙ №43 ОДЕСЬКОЇ МІСЬКОЇ РАДИ</t>
  </si>
  <si>
    <t>Коноваленко Анна Віталіївна</t>
  </si>
  <si>
    <t>ВФЧ/Ш/У/3315</t>
  </si>
  <si>
    <t>Цап Марія Артурівна</t>
  </si>
  <si>
    <t>ВФЧ/Ш/У/3316</t>
  </si>
  <si>
    <t>Барна Анна Артемівна</t>
  </si>
  <si>
    <t>Щербанівський ліцей Щербанівської сільської ради Полтавського району Полтавського району Полтавської області</t>
  </si>
  <si>
    <t>Гордієвський Дмитро Євгенович</t>
  </si>
  <si>
    <t>ВФЧ/Ш/У/3317</t>
  </si>
  <si>
    <t>Бігдан Єлизавета Вікторівна</t>
  </si>
  <si>
    <t>ВФЧ/Ш/У/3318</t>
  </si>
  <si>
    <t>Головко Марія Олександрівна</t>
  </si>
  <si>
    <t>ВФЧ/Ш/У/3319</t>
  </si>
  <si>
    <t>Денисенко Єлизавета Борисівна</t>
  </si>
  <si>
    <t>ВФЧ/Ш/У/3320</t>
  </si>
  <si>
    <t>Деркач Максим Олександрович</t>
  </si>
  <si>
    <t>ВФЧ/Ш/У/3321</t>
  </si>
  <si>
    <t>Зінченко Дар'я Павлівна</t>
  </si>
  <si>
    <t>ВФЧ/Ш/У/3322</t>
  </si>
  <si>
    <t>Каблучко Максим В'ячеславович</t>
  </si>
  <si>
    <t>ВФЧ/Ш/У/3323</t>
  </si>
  <si>
    <t>Каменцева Олександра Анатоліївна</t>
  </si>
  <si>
    <t>ВФЧ/Ш/У/3324</t>
  </si>
  <si>
    <t>Карпова Сніжана Анатоліївна</t>
  </si>
  <si>
    <t>ВФЧ/Ш/У/3325</t>
  </si>
  <si>
    <t>Кориткіна Аліна Юріївна</t>
  </si>
  <si>
    <t>ВФЧ/Ш/У/3326</t>
  </si>
  <si>
    <t>Кульпанова Дар'я Геннадіївна</t>
  </si>
  <si>
    <t>ВФЧ/Ш/У/3327</t>
  </si>
  <si>
    <t>Лазоренко Максим Ігорович</t>
  </si>
  <si>
    <t>ВФЧ/Ш/У/3328</t>
  </si>
  <si>
    <t>Левченко Ярослав Дмитрович</t>
  </si>
  <si>
    <t>ВФЧ/Ш/У/3329</t>
  </si>
  <si>
    <t>Левченко Ярослава Дмитрівна</t>
  </si>
  <si>
    <t>ВФЧ/Ш/У/3330</t>
  </si>
  <si>
    <t>Максименко Артем Сергійович</t>
  </si>
  <si>
    <t>ВФЧ/Ш/У/3331</t>
  </si>
  <si>
    <t>Назаренко Владислава Євгенівна</t>
  </si>
  <si>
    <t>ВФЧ/Ш/У/3332</t>
  </si>
  <si>
    <t>Низовий Тимур Віталійович</t>
  </si>
  <si>
    <t>ВФЧ/Ш/У/3333</t>
  </si>
  <si>
    <t>Олейнікова Злата Олександрівна</t>
  </si>
  <si>
    <t>ВФЧ/Ш/У/3334</t>
  </si>
  <si>
    <t>Олексенко Олександр Вадимович</t>
  </si>
  <si>
    <t>ВФЧ/Ш/У/3335</t>
  </si>
  <si>
    <t>Пащенко Анастасія Сергііївна</t>
  </si>
  <si>
    <t>ВФЧ/Ш/У/3336</t>
  </si>
  <si>
    <t>Просяник Станіслав Сергійович</t>
  </si>
  <si>
    <t>ВФЧ/Ш/У/3337</t>
  </si>
  <si>
    <t>Рубан Тимур Олександрович</t>
  </si>
  <si>
    <t>ВФЧ/Ш/У/3338</t>
  </si>
  <si>
    <t>Садовий Степан Сергійович</t>
  </si>
  <si>
    <t>ВФЧ/Ш/У/3339</t>
  </si>
  <si>
    <t>Суярков Данііл Павлович</t>
  </si>
  <si>
    <t>ВФЧ/Ш/У/3340</t>
  </si>
  <si>
    <t>Суярков Денис Павлович</t>
  </si>
  <si>
    <t>ВФЧ/Ш/У/3341</t>
  </si>
  <si>
    <t>Телюкова Олександра Сергіївна</t>
  </si>
  <si>
    <t>ВФЧ/Ш/У/3342</t>
  </si>
  <si>
    <t>Ножніцев Іван Володимирович</t>
  </si>
  <si>
    <t>Полтавський ліцей з посиленою військово-фізичною підгоовкою імені Віталія Грицієнка</t>
  </si>
  <si>
    <t>Зима Ірина Геннадіївна</t>
  </si>
  <si>
    <t>ВФЧ/Ш/У/3343</t>
  </si>
  <si>
    <t>Панченко Богдан Віталійович</t>
  </si>
  <si>
    <t>ВФЧ/Ш/У/3344</t>
  </si>
  <si>
    <t>Середа Назарій Геннадійович</t>
  </si>
  <si>
    <t>ВФЧ/Ш/У/3345</t>
  </si>
  <si>
    <t>Таран Аліна Іванівна</t>
  </si>
  <si>
    <t>ВФЧ/Ш/У/3346</t>
  </si>
  <si>
    <t>Байдуж Денис Вадимович</t>
  </si>
  <si>
    <t>Науковий ліцей 3 Полтавської міської ради</t>
  </si>
  <si>
    <t>Харченко Наталія Вікторівна</t>
  </si>
  <si>
    <t>ВФЧ/Ш/У/3347</t>
  </si>
  <si>
    <t>Білоус Ілля Сергійович</t>
  </si>
  <si>
    <t>ВФЧ/Ш/У/3348</t>
  </si>
  <si>
    <t>Борсук Мирослава Максимівна</t>
  </si>
  <si>
    <t>ВФЧ/Ш/У/3349</t>
  </si>
  <si>
    <t>Веденкіна Марина Олександрівна</t>
  </si>
  <si>
    <t>ВФЧ/Ш/У/3350</t>
  </si>
  <si>
    <t>Висоцька Софія Едуардівна</t>
  </si>
  <si>
    <t>ВФЧ/Ш/У/3351</t>
  </si>
  <si>
    <t>Ворошилов Мирон Андрійович</t>
  </si>
  <si>
    <t>ВФЧ/Ш/У/3352</t>
  </si>
  <si>
    <t>Дмитрюк Валерія Романівна</t>
  </si>
  <si>
    <t>ВФЧ/Ш/У/3353</t>
  </si>
  <si>
    <t>Дудник Кіра Романівна</t>
  </si>
  <si>
    <t>ВФЧ/Ш/У/3354</t>
  </si>
  <si>
    <t>Заєць Віра Михайлівна</t>
  </si>
  <si>
    <t>ВФЧ/Ш/У/3355</t>
  </si>
  <si>
    <t>Кадучка Владислав Андрійович</t>
  </si>
  <si>
    <t>ВФЧ/Ш/У/3356</t>
  </si>
  <si>
    <t>Китриш Софія Сергіївна</t>
  </si>
  <si>
    <t>ВФЧ/Ш/У/3357</t>
  </si>
  <si>
    <t>Колесник Єлизавета Павлівна</t>
  </si>
  <si>
    <t>ВФЧ/Ш/У/3358</t>
  </si>
  <si>
    <t>Коліщак Вероніка Іванівна</t>
  </si>
  <si>
    <t>ВФЧ/Ш/У/3359</t>
  </si>
  <si>
    <t>Коломоєць Анна Андріївна</t>
  </si>
  <si>
    <t>ВФЧ/Ш/У/3360</t>
  </si>
  <si>
    <t>Корнієнко Дана Дмитрівна</t>
  </si>
  <si>
    <t>ВФЧ/Ш/У/3361</t>
  </si>
  <si>
    <t>Кухтин Таїсія Назарівна</t>
  </si>
  <si>
    <t>ВФЧ/Ш/У/3362</t>
  </si>
  <si>
    <t>Кучерова Вікторія Валентинівна</t>
  </si>
  <si>
    <t>ВФЧ/Ш/У/3363</t>
  </si>
  <si>
    <t>Манюк Марія Ігорівна</t>
  </si>
  <si>
    <t>ВФЧ/Ш/У/3364</t>
  </si>
  <si>
    <t>Марусич Вероніка Артемівна</t>
  </si>
  <si>
    <t>ВФЧ/Ш/У/3365</t>
  </si>
  <si>
    <t>Махно Катерина Сергіївна</t>
  </si>
  <si>
    <t>ВФЧ/Ш/У/3366</t>
  </si>
  <si>
    <t>Миронюк Антон Олександрович</t>
  </si>
  <si>
    <t>ВФЧ/Ш/У/3367</t>
  </si>
  <si>
    <t>Михайленко Вероніка Андріївна</t>
  </si>
  <si>
    <t>ВФЧ/Ш/У/3368</t>
  </si>
  <si>
    <t>Нужна Емілія Олегівна</t>
  </si>
  <si>
    <t>ВФЧ/Ш/У/3369</t>
  </si>
  <si>
    <t>Перетятько Святослав Володимирович</t>
  </si>
  <si>
    <t>ВФЧ/Ш/У/3370</t>
  </si>
  <si>
    <t>Постольник Євгенія Олегівна</t>
  </si>
  <si>
    <t>ВФЧ/Ш/У/3371</t>
  </si>
  <si>
    <t>Сергєєв Ілля Сергійович</t>
  </si>
  <si>
    <t>ВФЧ/Ш/У/3372</t>
  </si>
  <si>
    <t>Трегуб Мілана Олексіївна</t>
  </si>
  <si>
    <t>ВФЧ/Ш/У/3373</t>
  </si>
  <si>
    <t>Чернишова Олександра Денисівна</t>
  </si>
  <si>
    <t>ВФЧ/Ш/У/3374</t>
  </si>
  <si>
    <t>Мазоха Дмитро Владиславович</t>
  </si>
  <si>
    <t>Дібрівська гімназія Миргородської міської ради Полтавської області</t>
  </si>
  <si>
    <t>Девенець Альона Володимирівна</t>
  </si>
  <si>
    <t>ВФЧ/Ш/У/3375</t>
  </si>
  <si>
    <t>Лазарєва Лілія Андріївна</t>
  </si>
  <si>
    <t>ВФЧ/Ш/У/3376</t>
  </si>
  <si>
    <t>Панченко Анна Євгеніївна</t>
  </si>
  <si>
    <t>ВФЧ/Ш/У/3377</t>
  </si>
  <si>
    <t>Назаренко Максим Олександрович</t>
  </si>
  <si>
    <t>ВФЧ/Ш/У/3378</t>
  </si>
  <si>
    <t>Зірка Артем Олександрович</t>
  </si>
  <si>
    <t>ВФЧ/Ш/У/3379</t>
  </si>
  <si>
    <t>Регеда Олександр Сергіїйович</t>
  </si>
  <si>
    <t>ВФЧ/Ш/У/3380</t>
  </si>
  <si>
    <t>Чечель Поліна Вячеславівна</t>
  </si>
  <si>
    <t>ВФЧ/Ш/У/3381</t>
  </si>
  <si>
    <t>Павліченко Анастасія Юріївна</t>
  </si>
  <si>
    <t>Ліцей № 14 "Здоров'я" Полтавської міської ради</t>
  </si>
  <si>
    <t>Федій Олександр Анатолійович</t>
  </si>
  <si>
    <t>ВФЧ/Ш/У/3382</t>
  </si>
  <si>
    <t>ВФЧ/Ш/У/3383</t>
  </si>
  <si>
    <t>Нікітюк Максим Геннадійович</t>
  </si>
  <si>
    <t>ВФЧ/Ш/У/3384</t>
  </si>
  <si>
    <t>Нікітюк Олег Геннадійович</t>
  </si>
  <si>
    <t>ВФЧ/Ш/У/3385</t>
  </si>
  <si>
    <t>Гаврус-Ткаченко Максим Романович</t>
  </si>
  <si>
    <t>ВФЧ/Ш/У/3386</t>
  </si>
  <si>
    <t>Іванченко Марк Альбертович</t>
  </si>
  <si>
    <t>ВФЧ/Ш/У/3387</t>
  </si>
  <si>
    <t>Шеремета Поліна Янівна</t>
  </si>
  <si>
    <t>ВФЧ/Ш/У/3388</t>
  </si>
  <si>
    <t>Глазунова Діана Олексіївна</t>
  </si>
  <si>
    <t>ВФЧ/Ш/У/3389</t>
  </si>
  <si>
    <t>Бойко Валерія Валеріївна</t>
  </si>
  <si>
    <t>Заводський ліцей №1 Заводської міської ради Миргородського району Полтавської області</t>
  </si>
  <si>
    <t>Ющенко Ірина Володимирівна</t>
  </si>
  <si>
    <t>ВФЧ/Ш/У/3390</t>
  </si>
  <si>
    <t>Гончар Анна Сергіївна</t>
  </si>
  <si>
    <t>ВФЧ/Ш/У/3391</t>
  </si>
  <si>
    <t>Дуб'яга Аріна Андріївна</t>
  </si>
  <si>
    <t>ВФЧ/Ш/У/3392</t>
  </si>
  <si>
    <t>Ісенко Валерія Сергіївна</t>
  </si>
  <si>
    <t>ВФЧ/Ш/У/3393</t>
  </si>
  <si>
    <t>Катіба Ольга Сергіївна</t>
  </si>
  <si>
    <t>ВФЧ/Ш/У/3394</t>
  </si>
  <si>
    <t>Колос Вікторія Сергіївна</t>
  </si>
  <si>
    <t>ВФЧ/Ш/У/3395</t>
  </si>
  <si>
    <t>Остапенко Тетяна Михайлівна</t>
  </si>
  <si>
    <t>ВФЧ/Ш/У/3396</t>
  </si>
  <si>
    <t>Решетнікова Катерина Олександрівна</t>
  </si>
  <si>
    <t>ВФЧ/Ш/У/3397</t>
  </si>
  <si>
    <t>Скибін Назар Олегович</t>
  </si>
  <si>
    <t>ВФЧ/Ш/У/3398</t>
  </si>
  <si>
    <t>Цись Альона Володимирівна</t>
  </si>
  <si>
    <t>ВФЧ/Ш/У/3399</t>
  </si>
  <si>
    <t>Панасенко Євген Олександрович</t>
  </si>
  <si>
    <t>Гребінківсська гімназія Гребінківської міської ради Полтавської області</t>
  </si>
  <si>
    <t>Шевченко Світлана Олексіївна</t>
  </si>
  <si>
    <t>ВФЧ/Ш/У/3400</t>
  </si>
  <si>
    <t>Головко Анастасія Григорівна</t>
  </si>
  <si>
    <t>ВФЧ/Ш/У/3401</t>
  </si>
  <si>
    <t>Шпурик Ксенія Ігорівна</t>
  </si>
  <si>
    <t>ВФЧ/Ш/У/3402</t>
  </si>
  <si>
    <t>Куцевол Андрій Ігорович</t>
  </si>
  <si>
    <t>ВФЧ/Ш/У/3403</t>
  </si>
  <si>
    <t>Акулініна Анастасія Андріївна</t>
  </si>
  <si>
    <t>ВФЧ/Ш/У/3404</t>
  </si>
  <si>
    <t>Коршак Євген Петрович</t>
  </si>
  <si>
    <t>ВФЧ/Ш/У/3405</t>
  </si>
  <si>
    <t>Романенко Даніїл Ігорович</t>
  </si>
  <si>
    <t>ВФЧ/Ш/У/3406</t>
  </si>
  <si>
    <t>Ібрагімов Іван Олегович</t>
  </si>
  <si>
    <t>ВФЧ/Ш/У/3407</t>
  </si>
  <si>
    <t>Грушова Анна Євгенієвна</t>
  </si>
  <si>
    <t>ВФЧ/Ш/У/3408</t>
  </si>
  <si>
    <t>Бугар Станіслав Сергійович</t>
  </si>
  <si>
    <t>ВФЧ/Ш/У/3409</t>
  </si>
  <si>
    <t>Ваценко Олександр</t>
  </si>
  <si>
    <t>Петрівський ліцей Скороходівської селищної ради</t>
  </si>
  <si>
    <t>Чернобай Надія Володимирівна</t>
  </si>
  <si>
    <t>ВФЧ/Ш/У/3410</t>
  </si>
  <si>
    <t>Верхогляд Богдан</t>
  </si>
  <si>
    <t>ВФЧ/Ш/У/3411</t>
  </si>
  <si>
    <t>Гриб Марія</t>
  </si>
  <si>
    <t>ВФЧ/Ш/У/3412</t>
  </si>
  <si>
    <t>Іванков Денис</t>
  </si>
  <si>
    <t>ВФЧ/Ш/У/3413</t>
  </si>
  <si>
    <t>Карпенко Ярослав</t>
  </si>
  <si>
    <t>ВФЧ/Ш/У/3414</t>
  </si>
  <si>
    <t>Куземенський Максим</t>
  </si>
  <si>
    <t>ВФЧ/Ш/У/3415</t>
  </si>
  <si>
    <t>Лимар Каріна</t>
  </si>
  <si>
    <t>ВФЧ/Ш/У/3416</t>
  </si>
  <si>
    <t>Лифар Максим</t>
  </si>
  <si>
    <t>ВФЧ/Ш/У/3417</t>
  </si>
  <si>
    <t>Луценко Олена</t>
  </si>
  <si>
    <t>ВФЧ/Ш/У/3418</t>
  </si>
  <si>
    <t>Малахов Іван</t>
  </si>
  <si>
    <t>ВФЧ/Ш/У/3419</t>
  </si>
  <si>
    <t>Максименко Валентина</t>
  </si>
  <si>
    <t>ВФЧ/Ш/У/3420</t>
  </si>
  <si>
    <t>Марчук Дмитро</t>
  </si>
  <si>
    <t>ВФЧ/Ш/У/3421</t>
  </si>
  <si>
    <t>Мирошник Ярослав</t>
  </si>
  <si>
    <t>ВФЧ/Ш/У/3422</t>
  </si>
  <si>
    <t>Плугатар Катерина</t>
  </si>
  <si>
    <t>ВФЧ/Ш/У/3423</t>
  </si>
  <si>
    <t>Пушкарьов Віталій</t>
  </si>
  <si>
    <t>ВФЧ/Ш/У/3424</t>
  </si>
  <si>
    <t>Столяр Іван</t>
  </si>
  <si>
    <t>ВФЧ/Ш/У/3425</t>
  </si>
  <si>
    <t>Таран Кіра</t>
  </si>
  <si>
    <t>ВФЧ/Ш/У/3426</t>
  </si>
  <si>
    <t>Третьяков Владислав</t>
  </si>
  <si>
    <t>ВФЧ/Ш/У/3427</t>
  </si>
  <si>
    <t>Турчак Станіслав</t>
  </si>
  <si>
    <t>ВФЧ/Ш/У/3428</t>
  </si>
  <si>
    <t>Челядінов Іван</t>
  </si>
  <si>
    <t>ВФЧ/Ш/У/3429</t>
  </si>
  <si>
    <t>Воловик Марія</t>
  </si>
  <si>
    <t>Академічний ліцей імені братів Шеметів Лубенської міської ради Лубенського району Полтавської області</t>
  </si>
  <si>
    <t>Семенова Ірина Василівна</t>
  </si>
  <si>
    <t>ВФЧ/Ш/У/3430</t>
  </si>
  <si>
    <t>Головко Дар'я</t>
  </si>
  <si>
    <t>ВФЧ/Ш/У/3431</t>
  </si>
  <si>
    <t>Марченко Анна</t>
  </si>
  <si>
    <t>ВФЧ/Ш/У/3432</t>
  </si>
  <si>
    <t>Купрій Вікторія</t>
  </si>
  <si>
    <t>ВФЧ/Ш/У/3433</t>
  </si>
  <si>
    <t>Почома Аріна</t>
  </si>
  <si>
    <t>ВФЧ/Ш/У/3434</t>
  </si>
  <si>
    <t>Брулевич Максим</t>
  </si>
  <si>
    <t>ВФЧ/Ш/У/3435</t>
  </si>
  <si>
    <t>Снігірьов Ростислав</t>
  </si>
  <si>
    <t>ВФЧ/Ш/У/3436</t>
  </si>
  <si>
    <t>Вітер Дар'я</t>
  </si>
  <si>
    <t>ВФЧ/Ш/У/3437</t>
  </si>
  <si>
    <t>Левін Максим</t>
  </si>
  <si>
    <t>ВФЧ/Ш/У/3438</t>
  </si>
  <si>
    <t>Бубир Ярослав</t>
  </si>
  <si>
    <t>ВФЧ/Ш/У/3439</t>
  </si>
  <si>
    <t>Левченко Андрій</t>
  </si>
  <si>
    <t>ВФЧ/Ш/У/3440</t>
  </si>
  <si>
    <t>Осаулко Владислава</t>
  </si>
  <si>
    <t>ВФЧ/Ш/У/3441</t>
  </si>
  <si>
    <t>Донець Альбіна</t>
  </si>
  <si>
    <t>ВФЧ/Ш/У/3442</t>
  </si>
  <si>
    <t>Загинайло Артур</t>
  </si>
  <si>
    <t>ВФЧ/Ш/У/3443</t>
  </si>
  <si>
    <t>Скрипник Богдан</t>
  </si>
  <si>
    <t>ВФЧ/Ш/У/3444</t>
  </si>
  <si>
    <t>Луневич Оксана</t>
  </si>
  <si>
    <t>ВФЧ/Ш/У/3445</t>
  </si>
  <si>
    <t>Нікітченко Максим</t>
  </si>
  <si>
    <t>ВФЧ/Ш/У/3446</t>
  </si>
  <si>
    <t>Примін Олексій</t>
  </si>
  <si>
    <t>ВФЧ/Ш/У/3447</t>
  </si>
  <si>
    <t>Галкін Антон</t>
  </si>
  <si>
    <t>ВФЧ/Ш/У/3448</t>
  </si>
  <si>
    <t>Поздняков Назар</t>
  </si>
  <si>
    <t>ВФЧ/Ш/У/3449</t>
  </si>
  <si>
    <t>Анічкін Денис</t>
  </si>
  <si>
    <t>ВФЧ/Ш/У/3450</t>
  </si>
  <si>
    <t>Дєдова Маргарита Миколаївна</t>
  </si>
  <si>
    <t>Кобеляцький ліцей Полтавської обласної ради</t>
  </si>
  <si>
    <t>Татушенко Віталій Миколайович</t>
  </si>
  <si>
    <t>ВФЧ/Ш/У/3451</t>
  </si>
  <si>
    <t>Матяш Марія Вікторівна</t>
  </si>
  <si>
    <t>ВФЧ/Ш/У/3452</t>
  </si>
  <si>
    <t>Біломаз Владислав Вікторович</t>
  </si>
  <si>
    <t>Гадяцький ліцей №1 імені Олени Пчілки Гадяцької міської ради</t>
  </si>
  <si>
    <t>Гарнага Світлана Іванівна</t>
  </si>
  <si>
    <t>ВФЧ/Ш/У/3453</t>
  </si>
  <si>
    <t>Верещака Дмитро Віталійович</t>
  </si>
  <si>
    <t>ВФЧ/Ш/У/3454</t>
  </si>
  <si>
    <t>Гайдабура Вадим Юрійович</t>
  </si>
  <si>
    <t>ВФЧ/Ш/У/3455</t>
  </si>
  <si>
    <t>Гнатенко Анастасія Віталіївна</t>
  </si>
  <si>
    <t>ВФЧ/Ш/У/3456</t>
  </si>
  <si>
    <t>Гнатенко Валерія Сергіївна</t>
  </si>
  <si>
    <t>ВФЧ/Ш/У/3457</t>
  </si>
  <si>
    <t>Долгіх Марія Олександрівна</t>
  </si>
  <si>
    <t>ВФЧ/Ш/У/3458</t>
  </si>
  <si>
    <t>Йосипенко Анна Сергіївна</t>
  </si>
  <si>
    <t>ВФЧ/Ш/У/3459</t>
  </si>
  <si>
    <t>Куненко Дмитро Вадимович</t>
  </si>
  <si>
    <t>ВФЧ/Ш/У/3460</t>
  </si>
  <si>
    <t>Марченко Артур Олександрович</t>
  </si>
  <si>
    <t>ВФЧ/Ш/У/3461</t>
  </si>
  <si>
    <t>Носач Давид Олегович</t>
  </si>
  <si>
    <t>ВФЧ/Ш/У/3462</t>
  </si>
  <si>
    <t>Омельчук Вероніка Миколаївна</t>
  </si>
  <si>
    <t>ВФЧ/Ш/У/3463</t>
  </si>
  <si>
    <t>Пасюта Валерія Ігорівна</t>
  </si>
  <si>
    <t>ВФЧ/Ш/У/3464</t>
  </si>
  <si>
    <t>Ралко Анастасія Русланівна</t>
  </si>
  <si>
    <t>ВФЧ/Ш/У/3465</t>
  </si>
  <si>
    <t>Русанівська Ілона Олександрівна</t>
  </si>
  <si>
    <t>ВФЧ/Ш/У/3466</t>
  </si>
  <si>
    <t>Савченко Каміла Аліївна</t>
  </si>
  <si>
    <t>ВФЧ/Ш/У/3467</t>
  </si>
  <si>
    <t>Скляр Максим Олексійович</t>
  </si>
  <si>
    <t>ВФЧ/Ш/У/3468</t>
  </si>
  <si>
    <t>Тимошенко Дмитро Сергійович</t>
  </si>
  <si>
    <t>ВФЧ/Ш/У/3469</t>
  </si>
  <si>
    <t>Яцун Денис Олегович</t>
  </si>
  <si>
    <t>ВФЧ/Ш/У/3470</t>
  </si>
  <si>
    <t>Ткач Неля Михайлівна</t>
  </si>
  <si>
    <t>Ліцей #2 " Подільський"</t>
  </si>
  <si>
    <t>Климович Яна Валеріївна</t>
  </si>
  <si>
    <t>ВФЧ/Ш/У/3471</t>
  </si>
  <si>
    <t>Хомич Михайло Петрович</t>
  </si>
  <si>
    <t>Березівський ліцей Березівської сільської ради Сарненського району Рівненської області</t>
  </si>
  <si>
    <t>Баланович Олександр В'ячеславович</t>
  </si>
  <si>
    <t>ВФЧ/Ш/У/3472</t>
  </si>
  <si>
    <t>Наумович Соломія Русланівна</t>
  </si>
  <si>
    <t>ВФЧ/Ш/У/3473</t>
  </si>
  <si>
    <t>Хомич Юлія Вікторівна</t>
  </si>
  <si>
    <t>Тріскинський ліцей Сарненської міської ради Сарненського району Рівненської області</t>
  </si>
  <si>
    <t>Гурінчук Леся Сергіївна</t>
  </si>
  <si>
    <t>ВФЧ/Ш/У/3474</t>
  </si>
  <si>
    <t>Антоніч Олександр Васильович</t>
  </si>
  <si>
    <t>ВФЧ/Ш/У/3475</t>
  </si>
  <si>
    <t>Шульга Максим Сергійович</t>
  </si>
  <si>
    <t>ВФЧ/Ш/У/3476</t>
  </si>
  <si>
    <t>Прозапас Артем Миколайович</t>
  </si>
  <si>
    <t>ВФЧ/Ш/У/3477</t>
  </si>
  <si>
    <t>Жученя Ілля Сергійович</t>
  </si>
  <si>
    <t>ВФЧ/Ш/У/3478</t>
  </si>
  <si>
    <t>Колоїз Вʼячеслав Миколайович</t>
  </si>
  <si>
    <t>ВФЧ/Ш/У/3479</t>
  </si>
  <si>
    <t>Сергійчук Віталій Миколайович</t>
  </si>
  <si>
    <t>ВФЧ/Ш/У/3480</t>
  </si>
  <si>
    <t>Прозапас Петро Петрович</t>
  </si>
  <si>
    <t>ВФЧ/Ш/У/3481</t>
  </si>
  <si>
    <t>Павлюк Олена Олександрівна</t>
  </si>
  <si>
    <t>Опорий заклад освіти "Корецький ліцей" Корецької міської ради</t>
  </si>
  <si>
    <t>Миколайчук Ірина Борисівна</t>
  </si>
  <si>
    <t>ВФЧ/Ш/У/3482</t>
  </si>
  <si>
    <t>Оніщук Софія Володимирівна</t>
  </si>
  <si>
    <t>ВФЧ/Ш/У/3483</t>
  </si>
  <si>
    <t>Власюк Олександра Олександрівна</t>
  </si>
  <si>
    <t>ВФЧ/Ш/У/3484</t>
  </si>
  <si>
    <t>Зінькевич Валерія Володимирівна</t>
  </si>
  <si>
    <t>ВФЧ/Ш/У/3485</t>
  </si>
  <si>
    <t>Павловська Вікторія Петрівна</t>
  </si>
  <si>
    <t>ВФЧ/Ш/У/3486</t>
  </si>
  <si>
    <t>Власюк Максим Романович</t>
  </si>
  <si>
    <t>ВФЧ/Ш/У/3487</t>
  </si>
  <si>
    <t>Жерендюк Олександр Васильович</t>
  </si>
  <si>
    <t>ВФЧ/Ш/У/3488</t>
  </si>
  <si>
    <t>Кочерга Данило Олексійович</t>
  </si>
  <si>
    <t>ВФЧ/Ш/У/3489</t>
  </si>
  <si>
    <t>Плисюк Анастасія Павлівна</t>
  </si>
  <si>
    <t>ВФЧ/Ш/У/3490</t>
  </si>
  <si>
    <t>Власюк Лілія Романівна</t>
  </si>
  <si>
    <t>ВФЧ/Ш/У/3491</t>
  </si>
  <si>
    <t>Годун Ангеліна Іванівна</t>
  </si>
  <si>
    <t>ВФЧ/Ш/У/3492</t>
  </si>
  <si>
    <t>Маркевич Андрій Володимирович</t>
  </si>
  <si>
    <t>ВФЧ/Ш/У/3493</t>
  </si>
  <si>
    <t>Бондарець Олександр Володимирович</t>
  </si>
  <si>
    <t>ВФЧ/Ш/У/3494</t>
  </si>
  <si>
    <t>Ярмолюк Анастасія Сергіївна</t>
  </si>
  <si>
    <t>ВФЧ/Ш/У/3495</t>
  </si>
  <si>
    <t>Хімін Іван Ігорович</t>
  </si>
  <si>
    <t>ВФЧ/Ш/У/3496</t>
  </si>
  <si>
    <t>Савчук Матвій Сергійович</t>
  </si>
  <si>
    <t>ВФЧ/Ш/У/3497</t>
  </si>
  <si>
    <t>Мухаровець Максим Богданович</t>
  </si>
  <si>
    <t>ВФЧ/Ш/У/3498</t>
  </si>
  <si>
    <t>Жук Анастасія Олександрівна</t>
  </si>
  <si>
    <t>ВФЧ/Ш/У/3499</t>
  </si>
  <si>
    <t>Залепа Андрій Валерійович</t>
  </si>
  <si>
    <t>ВФЧ/Ш/У/3500</t>
  </si>
  <si>
    <t>Сенчук Микола Дмитрович</t>
  </si>
  <si>
    <t>ВФЧ/Ш/У/3501</t>
  </si>
  <si>
    <t>Сенчук Максим Петрович</t>
  </si>
  <si>
    <t>ВФЧ/Ш/У/3502</t>
  </si>
  <si>
    <t>Стасюк Дмитро Олександрович</t>
  </si>
  <si>
    <t>ВФЧ/Ш/У/3503</t>
  </si>
  <si>
    <t>Лутак Марія Ігорівна</t>
  </si>
  <si>
    <t>ВФЧ/Ш/У/3504</t>
  </si>
  <si>
    <t>Кравчук Ірина Михайлівна</t>
  </si>
  <si>
    <t>ВФЧ/Ш/У/3505</t>
  </si>
  <si>
    <t>Браценюк Ганна Юріївна</t>
  </si>
  <si>
    <t>ВФЧ/Ш/У/3506</t>
  </si>
  <si>
    <t>Заводовська Дарина Генадіївна</t>
  </si>
  <si>
    <t>ВФЧ/Ш/У/3507</t>
  </si>
  <si>
    <t>Копель Петро Петрович</t>
  </si>
  <si>
    <t>ВФЧ/Ш/У/3508</t>
  </si>
  <si>
    <t>Шумейко Денис Сергійович</t>
  </si>
  <si>
    <t>ВФЧ/Ш/У/3509</t>
  </si>
  <si>
    <t>Грабовський Артем Олександрович</t>
  </si>
  <si>
    <t>ВФЧ/Ш/У/3510</t>
  </si>
  <si>
    <t>Поліщук Ярослав Віталійович</t>
  </si>
  <si>
    <t>ВФЧ/Ш/У/3511</t>
  </si>
  <si>
    <t>Рябченюк Богдан Олександрович</t>
  </si>
  <si>
    <t>ВФЧ/Ш/У/3512</t>
  </si>
  <si>
    <t>Літвінчук Софія Тарасівна</t>
  </si>
  <si>
    <t>ВФЧ/Ш/У/3513</t>
  </si>
  <si>
    <t>Зінькова Ірина Віталіївна</t>
  </si>
  <si>
    <t>ВФЧ/Ш/У/3514</t>
  </si>
  <si>
    <t>Броневицька Олександра Олександрівна</t>
  </si>
  <si>
    <t>ВФЧ/Ш/У/3515</t>
  </si>
  <si>
    <t>Якубець Роман Андрійович</t>
  </si>
  <si>
    <t>ВФЧ/Ш/У/3516</t>
  </si>
  <si>
    <t>Бондар Андрій Олександрович</t>
  </si>
  <si>
    <t>ВФЧ/Ш/У/3517</t>
  </si>
  <si>
    <t>Бобровська Марина Юріївна</t>
  </si>
  <si>
    <t>ВФЧ/Ш/У/3518</t>
  </si>
  <si>
    <t>Дереженець Софія Андріївна</t>
  </si>
  <si>
    <t>ВФЧ/Ш/У/3519</t>
  </si>
  <si>
    <t>Шкадь Олена Романівна</t>
  </si>
  <si>
    <t>ВФЧ/Ш/У/3520</t>
  </si>
  <si>
    <t>Дубровець Максим Сергійович</t>
  </si>
  <si>
    <t>ВФЧ/Ш/У/3521</t>
  </si>
  <si>
    <t>Галушко Ангеліна Василівна</t>
  </si>
  <si>
    <t>ВФЧ/Ш/У/3522</t>
  </si>
  <si>
    <t>Алексійчук Агнеса Романівна</t>
  </si>
  <si>
    <t>Рівненський ліцей "Український"</t>
  </si>
  <si>
    <t>Невірковець Вікторія Анатоліївна</t>
  </si>
  <si>
    <t>ВФЧ/Ш/У/3523</t>
  </si>
  <si>
    <t>Бувальцева Марія Петрівна</t>
  </si>
  <si>
    <t>ВФЧ/Ш/У/3524</t>
  </si>
  <si>
    <t>Гайбура Елеонора Олегівна</t>
  </si>
  <si>
    <t>ВФЧ/Ш/У/3525</t>
  </si>
  <si>
    <t>Дидик - Полінко Олександр Віталійович</t>
  </si>
  <si>
    <t>ВФЧ/Ш/У/3526</t>
  </si>
  <si>
    <t>Єгорова Злата Олегівна</t>
  </si>
  <si>
    <t>ВФЧ/Ш/У/3527</t>
  </si>
  <si>
    <t>Каба Денис Ігорович</t>
  </si>
  <si>
    <t>ВФЧ/Ш/У/3528</t>
  </si>
  <si>
    <t>Кваснецька Поліна Дмитрівна</t>
  </si>
  <si>
    <t>ВФЧ/Ш/У/3529</t>
  </si>
  <si>
    <t>Макогон Ілля Русланович</t>
  </si>
  <si>
    <t>ВФЧ/Ш/У/3530</t>
  </si>
  <si>
    <t>Марчук Артем Володимирович</t>
  </si>
  <si>
    <t>ВФЧ/Ш/У/3531</t>
  </si>
  <si>
    <t>Матвійчук Вікторія Сергіївна</t>
  </si>
  <si>
    <t>ВФЧ/Ш/У/3532</t>
  </si>
  <si>
    <t>Мірошник Діана Дмитрівна</t>
  </si>
  <si>
    <t>ВФЧ/Ш/У/3533</t>
  </si>
  <si>
    <t>Печенюк Вероніка Сергіївна</t>
  </si>
  <si>
    <t>ВФЧ/Ш/У/3534</t>
  </si>
  <si>
    <t>Романчук Вікторія Сергіївна</t>
  </si>
  <si>
    <t>ВФЧ/Ш/У/3535</t>
  </si>
  <si>
    <t>Рудакова Маргарита Павлівна</t>
  </si>
  <si>
    <t>ВФЧ/Ш/У/3536</t>
  </si>
  <si>
    <t>Самчук Остап Олександрович</t>
  </si>
  <si>
    <t>ВФЧ/Ш/У/3537</t>
  </si>
  <si>
    <t>Шкляренко Єгор Олексійович</t>
  </si>
  <si>
    <t>ВФЧ/Ш/У/3538</t>
  </si>
  <si>
    <t>Штрімайтіс Тімур Станіславович</t>
  </si>
  <si>
    <t>ВФЧ/Ш/У/3539</t>
  </si>
  <si>
    <t>Паламарчук Артур Михайлович</t>
  </si>
  <si>
    <t>ВФЧ/Ш/У/3540</t>
  </si>
  <si>
    <t>Зозюк Анастасія Олегівна</t>
  </si>
  <si>
    <t>Сарненський ліцей 5 Сарненської міської ради Сарненського району Рівненської області</t>
  </si>
  <si>
    <t>Абрамчук Ольга Вікторівна</t>
  </si>
  <si>
    <t>ВФЧ/Ш/У/3541</t>
  </si>
  <si>
    <t>Балабушка Ульяна Іванівна</t>
  </si>
  <si>
    <t>ВФЧ/Ш/У/3542</t>
  </si>
  <si>
    <t>Скрипнюк Кирило Сергійович</t>
  </si>
  <si>
    <t>Рівненський ліцей 27</t>
  </si>
  <si>
    <t>Якимчук Оксана Віталіївна</t>
  </si>
  <si>
    <t>ВФЧ/Ш/У/3543</t>
  </si>
  <si>
    <t>Грищук Олександра Олександрівна</t>
  </si>
  <si>
    <t>Рівненський ліцей 28</t>
  </si>
  <si>
    <t>ВФЧ/Ш/У/3544</t>
  </si>
  <si>
    <t>Пришва Валерія Віталіївна</t>
  </si>
  <si>
    <t>Рівненський ліцей 29</t>
  </si>
  <si>
    <t>ВФЧ/Ш/У/3545</t>
  </si>
  <si>
    <t>Мацарська Анастасія Євгенівна</t>
  </si>
  <si>
    <t>Рівненський ліцей 30</t>
  </si>
  <si>
    <t>ВФЧ/Ш/У/3546</t>
  </si>
  <si>
    <t>Тищенко Дарина Романівна</t>
  </si>
  <si>
    <t>Рівненський ліцей 31</t>
  </si>
  <si>
    <t>ВФЧ/Ш/У/3547</t>
  </si>
  <si>
    <t>Прончук Ангеліна Петрівна</t>
  </si>
  <si>
    <t>Рівненський ліцей 32</t>
  </si>
  <si>
    <t>ВФЧ/Ш/У/3548</t>
  </si>
  <si>
    <t>Плахотнюк Дар'я Ігорівна</t>
  </si>
  <si>
    <t>Рівненський ліцей 33</t>
  </si>
  <si>
    <t>ВФЧ/Ш/У/3549</t>
  </si>
  <si>
    <t>Амеліна Світлана Борисівна</t>
  </si>
  <si>
    <t>Рівненський ліцей 34</t>
  </si>
  <si>
    <t>ВФЧ/Ш/У/3550</t>
  </si>
  <si>
    <t>Кашпер Дарія Василівна</t>
  </si>
  <si>
    <t>Рівненський ліцей 35</t>
  </si>
  <si>
    <t>ВФЧ/Ш/У/3551</t>
  </si>
  <si>
    <t>Ярмолка Микола</t>
  </si>
  <si>
    <t>Березнівський економіко-гуманітарний ліцей</t>
  </si>
  <si>
    <t>Давидюк Валентина Сергіївна</t>
  </si>
  <si>
    <t>ВФЧ/Ш/У/3552</t>
  </si>
  <si>
    <t>Сульжик Олеся</t>
  </si>
  <si>
    <t>ВФЧ/Ш/У/3553</t>
  </si>
  <si>
    <t>Кравчук Роман</t>
  </si>
  <si>
    <t>ВФЧ/Ш/У/3554</t>
  </si>
  <si>
    <t>Харчук Артур</t>
  </si>
  <si>
    <t>ВФЧ/Ш/У/3555</t>
  </si>
  <si>
    <t>Нисинець Вероніка</t>
  </si>
  <si>
    <t>ВФЧ/Ш/У/3556</t>
  </si>
  <si>
    <t>Оніщук Діана</t>
  </si>
  <si>
    <t>ВФЧ/Ш/У/3557</t>
  </si>
  <si>
    <t>Приндюк Артем</t>
  </si>
  <si>
    <t>ВФЧ/Ш/У/3558</t>
  </si>
  <si>
    <t>Бондар Анастасія</t>
  </si>
  <si>
    <t>ВФЧ/Ш/У/3559</t>
  </si>
  <si>
    <t>Калужняк Ірина</t>
  </si>
  <si>
    <t>ВФЧ/Ш/У/3560</t>
  </si>
  <si>
    <t>Шафранський Валерій</t>
  </si>
  <si>
    <t>ВФЧ/Ш/У/3561</t>
  </si>
  <si>
    <t>Євтушок Валерія</t>
  </si>
  <si>
    <t>ВФЧ/Ш/У/3562</t>
  </si>
  <si>
    <t>Шершень Микита</t>
  </si>
  <si>
    <t>ВФЧ/Ш/У/3563</t>
  </si>
  <si>
    <t>Матвійчук Тимофій Васильович</t>
  </si>
  <si>
    <t>Обласний науковий ліцей в м. Рівне Рівненської обласної ради</t>
  </si>
  <si>
    <t>Вашай Юлія Володимирівна</t>
  </si>
  <si>
    <t>ВФЧ/Ш/У/3564</t>
  </si>
  <si>
    <t>Сіранчук Ганна Валеріївна</t>
  </si>
  <si>
    <t>ВФЧ/Ш/У/3565</t>
  </si>
  <si>
    <t>Дмитрієва Вероніка Андріївна</t>
  </si>
  <si>
    <t>ВФЧ/Ш/У/3566</t>
  </si>
  <si>
    <t>Рибак Марія Олександрівна</t>
  </si>
  <si>
    <t>ВФЧ/Ш/У/3567</t>
  </si>
  <si>
    <t>Босик Анастасія Анатоліївна</t>
  </si>
  <si>
    <t>ВФЧ/Ш/У/3568</t>
  </si>
  <si>
    <t>Семеренко Назарій Віталійович</t>
  </si>
  <si>
    <t>ВФЧ/Ш/У/3569</t>
  </si>
  <si>
    <t>Сльоза Уляна Андріївна</t>
  </si>
  <si>
    <t>ВФЧ/Ш/У/3570</t>
  </si>
  <si>
    <t>Поцелуйко Артем Павлович</t>
  </si>
  <si>
    <t>ВФЧ/Ш/У/3571</t>
  </si>
  <si>
    <t>Калабська Анна Юріївна</t>
  </si>
  <si>
    <t>ВФЧ/Ш/У/3572</t>
  </si>
  <si>
    <t>Єпік Михайло Юрійович</t>
  </si>
  <si>
    <t>ВФЧ/Ш/У/3573</t>
  </si>
  <si>
    <t>Гончарук Єлизавета Миколаївна</t>
  </si>
  <si>
    <t>ВФЧ/Ш/У/3574</t>
  </si>
  <si>
    <t>Кіселик Антон Олександрович</t>
  </si>
  <si>
    <t>ВФЧ/Ш/У/3575</t>
  </si>
  <si>
    <t>Онопа Павло Юрійович</t>
  </si>
  <si>
    <t>ВФЧ/Ш/У/3576</t>
  </si>
  <si>
    <t>Марченко Володимир Мирославович</t>
  </si>
  <si>
    <t>ВФЧ/Ш/У/3577</t>
  </si>
  <si>
    <t>Горбачевська Юлія Василівна</t>
  </si>
  <si>
    <t>ВФЧ/Ш/У/3578</t>
  </si>
  <si>
    <t>Подлевський Ярослав Андрійович</t>
  </si>
  <si>
    <t>ВФЧ/Ш/У/3579</t>
  </si>
  <si>
    <t>Мельник Іван Юрійович</t>
  </si>
  <si>
    <t>ВФЧ/Ш/У/3580</t>
  </si>
  <si>
    <t>Майса Богдан Юрійович</t>
  </si>
  <si>
    <t>ВФЧ/Ш/У/3581</t>
  </si>
  <si>
    <t>Кіткайло Софія Володимирівна</t>
  </si>
  <si>
    <t>ВФЧ/Ш/У/3582</t>
  </si>
  <si>
    <t>Яськевич Анастасія Олександрівна</t>
  </si>
  <si>
    <t>ВФЧ/Ш/У/3583</t>
  </si>
  <si>
    <t>Малафей Анастасія Русланівна</t>
  </si>
  <si>
    <t>ВФЧ/Ш/У/3584</t>
  </si>
  <si>
    <t>Чигировський Станіслав Сергійович</t>
  </si>
  <si>
    <t>ВФЧ/Ш/У/3585</t>
  </si>
  <si>
    <t>Семенюк Ілля Сергійович</t>
  </si>
  <si>
    <t>ВФЧ/Ш/У/3586</t>
  </si>
  <si>
    <t>Берлінець Юрій Михайлович</t>
  </si>
  <si>
    <t>ВФЧ/Ш/У/3587</t>
  </si>
  <si>
    <t>Гудич Поліна Олексіївна</t>
  </si>
  <si>
    <t>ВФЧ/Ш/У/3588</t>
  </si>
  <si>
    <t>Пончук Маргарита Володимирівна</t>
  </si>
  <si>
    <t>ВФЧ/Ш/У/3589</t>
  </si>
  <si>
    <t>Якимчук Володимир Володимирович</t>
  </si>
  <si>
    <t>ВФЧ/Ш/У/3590</t>
  </si>
  <si>
    <t>Шутько Мирослава Олександрівна</t>
  </si>
  <si>
    <t>ВФЧ/Ш/У/3591</t>
  </si>
  <si>
    <t>Ягодка Надія Тарасівна</t>
  </si>
  <si>
    <t>ВФЧ/Ш/У/3592</t>
  </si>
  <si>
    <t>Ліщук Максим Романович</t>
  </si>
  <si>
    <t>ВФЧ/Ш/У/3593</t>
  </si>
  <si>
    <t>Дубенюк Максим Сергійович</t>
  </si>
  <si>
    <t>ВФЧ/Ш/У/3594</t>
  </si>
  <si>
    <t>Андрощук Софія Вікторівна</t>
  </si>
  <si>
    <t>ВФЧ/Ш/У/3595</t>
  </si>
  <si>
    <t>Іценко Вероніка Сергіївна</t>
  </si>
  <si>
    <t>ВФЧ/Ш/У/3596</t>
  </si>
  <si>
    <t>Мельничук Данило Русланович</t>
  </si>
  <si>
    <t>ВФЧ/Ш/У/3597</t>
  </si>
  <si>
    <t>Яковчук Георгій Юрійович</t>
  </si>
  <si>
    <t>ВФЧ/Ш/У/3598</t>
  </si>
  <si>
    <t>Бабчук Марія Сергіївна</t>
  </si>
  <si>
    <t>ВФЧ/Ш/У/3599</t>
  </si>
  <si>
    <t>Краченко Анастасія Ігорівна</t>
  </si>
  <si>
    <t>ВФЧ/Ш/У/3600</t>
  </si>
  <si>
    <t>Дятлик Анастасія Петрівна</t>
  </si>
  <si>
    <t>ВФЧ/Ш/У/3601</t>
  </si>
  <si>
    <t>Стадійчук Олеся Віталіївна</t>
  </si>
  <si>
    <t>ВФЧ/Ш/У/3602</t>
  </si>
  <si>
    <t>Цапяк Вікторія Романівна</t>
  </si>
  <si>
    <t>ВФЧ/Ш/У/3603</t>
  </si>
  <si>
    <t>Сорока Ганна Юріївна</t>
  </si>
  <si>
    <t>ВФЧ/Ш/У/3604</t>
  </si>
  <si>
    <t>Манзик Дарина Валентинівна</t>
  </si>
  <si>
    <t>ВФЧ/Ш/У/3605</t>
  </si>
  <si>
    <t>Земляний Ілля Андрійович</t>
  </si>
  <si>
    <t>ВФЧ/Ш/У/3606</t>
  </si>
  <si>
    <t>Яремчук Аліна Володимирівна</t>
  </si>
  <si>
    <t>ВФЧ/Ш/У/3607</t>
  </si>
  <si>
    <t>Петролюк Станіслав Михайлович</t>
  </si>
  <si>
    <t>ВФЧ/Ш/У/3608</t>
  </si>
  <si>
    <t>Вознюк Даниїл Михайлович</t>
  </si>
  <si>
    <t>ВФЧ/Ш/У/3609</t>
  </si>
  <si>
    <t>Закладна Антоніна Андріївна</t>
  </si>
  <si>
    <t>ВФЧ/Ш/У/3610</t>
  </si>
  <si>
    <t>Процюк Максим Андрійович</t>
  </si>
  <si>
    <t>ВФЧ/Ш/У/3611</t>
  </si>
  <si>
    <t>Мельников Артем Анатолійович</t>
  </si>
  <si>
    <t>ВФЧ/Ш/У/3612</t>
  </si>
  <si>
    <t>Криницький Юрій Сергійович</t>
  </si>
  <si>
    <t>ВФЧ/Ш/У/3613</t>
  </si>
  <si>
    <t>Бойко Євген Васильович</t>
  </si>
  <si>
    <t>ВФЧ/Ш/У/3614</t>
  </si>
  <si>
    <t>Сорока Мирон Олександрович</t>
  </si>
  <si>
    <t>ВФЧ/Ш/У/3615</t>
  </si>
  <si>
    <t>Криволисов Михайло Володимирович</t>
  </si>
  <si>
    <t>ВФЧ/Ш/У/3616</t>
  </si>
  <si>
    <t>Спічак Олександр Васильович</t>
  </si>
  <si>
    <t>ВФЧ/Ш/У/3617</t>
  </si>
  <si>
    <t>Скороходько Євгенія Борисівна</t>
  </si>
  <si>
    <t>ВФЧ/Ш/У/3618</t>
  </si>
  <si>
    <t>Подунай Софія Олександрівна</t>
  </si>
  <si>
    <t>ВФЧ/Ш/У/3619</t>
  </si>
  <si>
    <t>Солдатенкова Анастасія Олександрівна</t>
  </si>
  <si>
    <t>ВФЧ/Ш/У/3620</t>
  </si>
  <si>
    <t>Шепелюк Владислава Дмитрівна</t>
  </si>
  <si>
    <t>ВФЧ/Ш/У/3621</t>
  </si>
  <si>
    <t>Шевчук Сергій Олександрович</t>
  </si>
  <si>
    <t>ВФЧ/Ш/У/3622</t>
  </si>
  <si>
    <t>Дячук Тетяна Сергіївна</t>
  </si>
  <si>
    <t>ВФЧ/Ш/У/3623</t>
  </si>
  <si>
    <t>Янчук Анастасія Ігорівна</t>
  </si>
  <si>
    <t>ВФЧ/Ш/У/3624</t>
  </si>
  <si>
    <t>Бортнік Олексій Ігорович</t>
  </si>
  <si>
    <t>ВФЧ/Ш/У/3625</t>
  </si>
  <si>
    <t>Якименко Поліна Євгенівна</t>
  </si>
  <si>
    <t>ВФЧ/Ш/У/3626</t>
  </si>
  <si>
    <t>Заречнюк Дана Вікторівна</t>
  </si>
  <si>
    <t>ВФЧ/Ш/У/3627</t>
  </si>
  <si>
    <t>Михалюк Анна Віталіївна</t>
  </si>
  <si>
    <t>ВФЧ/Ш/У/3628</t>
  </si>
  <si>
    <t>Матвійчук Вадим Олександрович</t>
  </si>
  <si>
    <t>ВФЧ/Ш/У/3629</t>
  </si>
  <si>
    <t>Парейко Дмитро Юрійович</t>
  </si>
  <si>
    <t>ВФЧ/Ш/У/3630</t>
  </si>
  <si>
    <t>Муха Вікторія Юріївна</t>
  </si>
  <si>
    <t>ВФЧ/Ш/У/3631</t>
  </si>
  <si>
    <t>Осипів Єлизавета Сергіївна</t>
  </si>
  <si>
    <t>ВФЧ/Ш/У/3632</t>
  </si>
  <si>
    <t>Оверчук Андрій Олександрович</t>
  </si>
  <si>
    <t>ВФЧ/Ш/У/3633</t>
  </si>
  <si>
    <t>Мартинюк Владислава Юріївна</t>
  </si>
  <si>
    <t>ВФЧ/Ш/У/3634</t>
  </si>
  <si>
    <t>Кучерук Марія Миколаївна</t>
  </si>
  <si>
    <t>ВФЧ/Ш/У/3635</t>
  </si>
  <si>
    <t>Троцька Анна Андріївна</t>
  </si>
  <si>
    <t>ВФЧ/Ш/У/3636</t>
  </si>
  <si>
    <t>Якимчук Павло Вікторович</t>
  </si>
  <si>
    <t>ВФЧ/Ш/У/3637</t>
  </si>
  <si>
    <t>Курілович Вікторія Валеріївна</t>
  </si>
  <si>
    <t>ВФЧ/Ш/У/3638</t>
  </si>
  <si>
    <t>Якубова Валерія Сергіївна</t>
  </si>
  <si>
    <t>ВФЧ/Ш/У/3639</t>
  </si>
  <si>
    <t>Дядюсь Вікторія Миколаївна</t>
  </si>
  <si>
    <t>ВФЧ/Ш/У/3640</t>
  </si>
  <si>
    <t>Потайчук Марія Ігорівна</t>
  </si>
  <si>
    <t>ВФЧ/Ш/У/3641</t>
  </si>
  <si>
    <t>Шийка Ілона Василівна</t>
  </si>
  <si>
    <t>ВФЧ/Ш/У/3642</t>
  </si>
  <si>
    <t>Брошук Євгенія Ігорівна</t>
  </si>
  <si>
    <t>ВФЧ/Ш/У/3643</t>
  </si>
  <si>
    <t>Стрибулевич Іванна Сергіївна</t>
  </si>
  <si>
    <t>ВФЧ/Ш/У/3644</t>
  </si>
  <si>
    <t>Семенюк Христина Сергіївна</t>
  </si>
  <si>
    <t>ВФЧ/Ш/У/3645</t>
  </si>
  <si>
    <t>Грицюк Антоніна Сергіївна</t>
  </si>
  <si>
    <t>ВФЧ/Ш/У/3646</t>
  </si>
  <si>
    <t>Виговська Ірина Ігорівна</t>
  </si>
  <si>
    <t>ВФЧ/Ш/У/3647</t>
  </si>
  <si>
    <t>Мельничук Дмитро Олегович</t>
  </si>
  <si>
    <t>ВФЧ/Ш/У/3648</t>
  </si>
  <si>
    <t>Кузло Михайло Сергійович</t>
  </si>
  <si>
    <t>ВФЧ/Ш/У/3649</t>
  </si>
  <si>
    <t>Гуменюк Ірина Миколаївна</t>
  </si>
  <si>
    <t>ВФЧ/Ш/У/3650</t>
  </si>
  <si>
    <t>Багінська Юлія Павлівна</t>
  </si>
  <si>
    <t>ВФЧ/Ш/У/3651</t>
  </si>
  <si>
    <t>Куліковська Христина Ярославівна</t>
  </si>
  <si>
    <t>ВФЧ/Ш/У/3652</t>
  </si>
  <si>
    <t>Ковтонюк Аніта Юріївна</t>
  </si>
  <si>
    <t>ВФЧ/Ш/У/3653</t>
  </si>
  <si>
    <t>Стрій Анастасія Сергіївна</t>
  </si>
  <si>
    <t>ВФЧ/Ш/У/3654</t>
  </si>
  <si>
    <t>Аліксійчук Михайло Олександрович</t>
  </si>
  <si>
    <t>ВФЧ/Ш/У/3655</t>
  </si>
  <si>
    <t>Бальчаровська Богдана Олександрівна</t>
  </si>
  <si>
    <t>ВФЧ/Ш/У/3656</t>
  </si>
  <si>
    <t>Барабанюк Ірина Миколаївна</t>
  </si>
  <si>
    <t>ВФЧ/Ш/У/3657</t>
  </si>
  <si>
    <t>Блащук Анна Вікторівна</t>
  </si>
  <si>
    <t>ВФЧ/Ш/У/3658</t>
  </si>
  <si>
    <t>Брагіна Вікторія Олександрівна</t>
  </si>
  <si>
    <t>ВФЧ/Ш/У/3659</t>
  </si>
  <si>
    <t>Віднік Богдан Андрійович</t>
  </si>
  <si>
    <t>ВФЧ/Ш/У/3660</t>
  </si>
  <si>
    <t>Ворощук Аліна Андріївна</t>
  </si>
  <si>
    <t>ВФЧ/Ш/У/3661</t>
  </si>
  <si>
    <t>Ворощук Діана Андріївна</t>
  </si>
  <si>
    <t>ВФЧ/Ш/У/3662</t>
  </si>
  <si>
    <t>Гарбарук Павло Васильович</t>
  </si>
  <si>
    <t>ВФЧ/Ш/У/3663</t>
  </si>
  <si>
    <t>Годун Анастасія Олександрівна</t>
  </si>
  <si>
    <t>ВФЧ/Ш/У/3664</t>
  </si>
  <si>
    <t>Голуб Артем Миколайович</t>
  </si>
  <si>
    <t>ВФЧ/Ш/У/3665</t>
  </si>
  <si>
    <t>Грабік Анна Володимирівна</t>
  </si>
  <si>
    <t>ВФЧ/Ш/У/3666</t>
  </si>
  <si>
    <t>Денькович Соломія Любомирівна</t>
  </si>
  <si>
    <t>ВФЧ/Ш/У/3667</t>
  </si>
  <si>
    <t>Дікало Анастасія Олександрівна</t>
  </si>
  <si>
    <t>ВФЧ/Ш/У/3668</t>
  </si>
  <si>
    <t>Зелінська Антоніна Олегівна</t>
  </si>
  <si>
    <t>ВФЧ/Ш/У/3669</t>
  </si>
  <si>
    <t>Зінь Анастасія Федорівна</t>
  </si>
  <si>
    <t>ВФЧ/Ш/У/3670</t>
  </si>
  <si>
    <t>Змієвська Катерина Анатоліївна</t>
  </si>
  <si>
    <t>ВФЧ/Ш/У/3671</t>
  </si>
  <si>
    <t>Калабська Юлія Валеріївна</t>
  </si>
  <si>
    <t>ВФЧ/Ш/У/3672</t>
  </si>
  <si>
    <t>Киселюк Злата Віталіївна</t>
  </si>
  <si>
    <t>ВФЧ/Ш/У/3673</t>
  </si>
  <si>
    <t>Кудряшова Єлизавета Ігорівна</t>
  </si>
  <si>
    <t>ВФЧ/Ш/У/3674</t>
  </si>
  <si>
    <t>Луцик Софія Олександрівна</t>
  </si>
  <si>
    <t>ВФЧ/Ш/У/3675</t>
  </si>
  <si>
    <t>Обоїста Маргарита Тарасівна</t>
  </si>
  <si>
    <t>ВФЧ/Ш/У/3676</t>
  </si>
  <si>
    <t>Онопрійчук Каріна Володимирівна</t>
  </si>
  <si>
    <t>ВФЧ/Ш/У/3677</t>
  </si>
  <si>
    <t>Ревко Валерія Вікторівна</t>
  </si>
  <si>
    <t>ВФЧ/Ш/У/3678</t>
  </si>
  <si>
    <t>Ретьман Вероніка Олександрівна</t>
  </si>
  <si>
    <t>ВФЧ/Ш/У/3679</t>
  </si>
  <si>
    <t>Савущик Андріан Олексійович</t>
  </si>
  <si>
    <t>ВФЧ/Ш/У/3680</t>
  </si>
  <si>
    <t>Селецька Віталіна Віталіївна</t>
  </si>
  <si>
    <t>ВФЧ/Ш/У/3681</t>
  </si>
  <si>
    <t>Солтис Ольга Ігорівна</t>
  </si>
  <si>
    <t>ВФЧ/Ш/У/3682</t>
  </si>
  <si>
    <t>Старко Анастасія Сергіївна</t>
  </si>
  <si>
    <t>ВФЧ/Ш/У/3683</t>
  </si>
  <si>
    <t>Ткачук Вікторія Олександрівна</t>
  </si>
  <si>
    <t>ВФЧ/Ш/У/3684</t>
  </si>
  <si>
    <t>Філюс Даря Дар'я Олександрівна</t>
  </si>
  <si>
    <t>ВФЧ/Ш/У/3685</t>
  </si>
  <si>
    <t>Шевчук Даніела Олегівна</t>
  </si>
  <si>
    <t>ВФЧ/Ш/У/3686</t>
  </si>
  <si>
    <t>Троцюк Максим Едуардович</t>
  </si>
  <si>
    <t>Вараський ліцей №6 Вараської міської ради</t>
  </si>
  <si>
    <t>Бутрим Лідія Петрівна</t>
  </si>
  <si>
    <t>ВФЧ/Ш/У/3687</t>
  </si>
  <si>
    <t>Коноваленко Віталій Олегович</t>
  </si>
  <si>
    <t>ВФЧ/Ш/У/3688</t>
  </si>
  <si>
    <t>Матковський Станіслав Вадимович</t>
  </si>
  <si>
    <t>ВФЧ/Ш/У/3689</t>
  </si>
  <si>
    <t>Прокопчук Макар Олегович</t>
  </si>
  <si>
    <t>ВФЧ/Ш/У/3690</t>
  </si>
  <si>
    <t>Кречик Владислав Володимирович</t>
  </si>
  <si>
    <t>ВФЧ/Ш/У/3691</t>
  </si>
  <si>
    <t>Мордас Максим Юрійович</t>
  </si>
  <si>
    <t>ВФЧ/Ш/У/3692</t>
  </si>
  <si>
    <t>Сніжко Євгеній Володимирович</t>
  </si>
  <si>
    <t>ВФЧ/Ш/У/3693</t>
  </si>
  <si>
    <t>Шуляк Роман Петрович</t>
  </si>
  <si>
    <t>ВФЧ/Ш/У/3694</t>
  </si>
  <si>
    <t>Чистяков Максим Олексійович</t>
  </si>
  <si>
    <t>ВФЧ/Ш/У/3695</t>
  </si>
  <si>
    <t>Коцюбайло Вікторія Андріївна</t>
  </si>
  <si>
    <t>ВФЧ/Ш/У/3696</t>
  </si>
  <si>
    <t>Волейчук Назар Тарасович</t>
  </si>
  <si>
    <t>ВФЧ/Ш/У/3697</t>
  </si>
  <si>
    <t>Сидорчик Аміна Олександрівна</t>
  </si>
  <si>
    <t>ВФЧ/Ш/У/3698</t>
  </si>
  <si>
    <t>Красовська Каріна Олегівна</t>
  </si>
  <si>
    <t>ВФЧ/Ш/У/3699</t>
  </si>
  <si>
    <t>Мороз Софія Михайлівна</t>
  </si>
  <si>
    <t>ВФЧ/Ш/У/3700</t>
  </si>
  <si>
    <t>Кньовець Антоніна Ярославівна</t>
  </si>
  <si>
    <t>ВФЧ/Ш/У/3701</t>
  </si>
  <si>
    <t>Кньовець Дарина Ярославівна</t>
  </si>
  <si>
    <t>ВФЧ/Ш/У/3702</t>
  </si>
  <si>
    <t>Молчанова Маргарита Станіславівна</t>
  </si>
  <si>
    <t>ВФЧ/Ш/У/3703</t>
  </si>
  <si>
    <t>Кибукевич Зристина Сергіївна</t>
  </si>
  <si>
    <t>ВФЧ/Ш/У/3704</t>
  </si>
  <si>
    <t>Боришкевич Максим Олегович</t>
  </si>
  <si>
    <t>ВФЧ/Ш/У/3705</t>
  </si>
  <si>
    <t>Волошин Орест Сергійович</t>
  </si>
  <si>
    <t>ВФЧ/Ш/У/3706</t>
  </si>
  <si>
    <t>Щур Крістіна Віталіївна</t>
  </si>
  <si>
    <t>ВФЧ/Ш/У/3707</t>
  </si>
  <si>
    <t>Полуйко Захар Анатолійович</t>
  </si>
  <si>
    <t>ВФЧ/Ш/У/3708</t>
  </si>
  <si>
    <t>Кізко Марія Сергіївна</t>
  </si>
  <si>
    <t>ВФЧ/Ш/У/3709</t>
  </si>
  <si>
    <t>Смолянський Давид Олексійович</t>
  </si>
  <si>
    <t>ВФЧ/Ш/У/3710</t>
  </si>
  <si>
    <t>Соловйова Аліса Артемівна</t>
  </si>
  <si>
    <t>ВФЧ/Ш/У/3711</t>
  </si>
  <si>
    <t>Яринич Костянтин Павлович</t>
  </si>
  <si>
    <t>ВФЧ/Ш/У/3712</t>
  </si>
  <si>
    <t>Семеніхін Олексій Юрійович</t>
  </si>
  <si>
    <t>ВФЧ/Ш/У/3713</t>
  </si>
  <si>
    <t>Радчишин Максим Миколайович</t>
  </si>
  <si>
    <t>ВФЧ/Ш/У/3714</t>
  </si>
  <si>
    <t>Каращук Іван Валерійович</t>
  </si>
  <si>
    <t>ВФЧ/Ш/У/3715</t>
  </si>
  <si>
    <t>Чернова Поліна Олексіївна</t>
  </si>
  <si>
    <t>ВФЧ/Ш/У/3716</t>
  </si>
  <si>
    <t>Гребіневич Діана Григорівна</t>
  </si>
  <si>
    <t>ВФЧ/Ш/У/3717</t>
  </si>
  <si>
    <t>Щербина Максим Денисович</t>
  </si>
  <si>
    <t>ВФЧ/Ш/У/3718</t>
  </si>
  <si>
    <t>Радчук Роман Віталійович</t>
  </si>
  <si>
    <t>ВФЧ/Ш/У/3719</t>
  </si>
  <si>
    <t>Шрамович Крістіна Юріївна</t>
  </si>
  <si>
    <t>ВФЧ/Ш/У/3720</t>
  </si>
  <si>
    <t>Маслянко Анна Костянтинівна</t>
  </si>
  <si>
    <t>ВФЧ/Ш/У/3721</t>
  </si>
  <si>
    <t>Данилюк Ілля Олександрович</t>
  </si>
  <si>
    <t>ВФЧ/Ш/У/3722</t>
  </si>
  <si>
    <t>Павлюк Павло Миколайович</t>
  </si>
  <si>
    <t>ВФЧ/Ш/У/3723</t>
  </si>
  <si>
    <t>Кратік Єва Олександрівна</t>
  </si>
  <si>
    <t>ВФЧ/Ш/У/3724</t>
  </si>
  <si>
    <t>Коломієць Поліна Олександрівна</t>
  </si>
  <si>
    <t>Людинський ліцей Висоцької сільської ради Сарненського району Рівненської області</t>
  </si>
  <si>
    <t>Приходько Мирослава Михайлівна</t>
  </si>
  <si>
    <t>ВФЧ/Ш/У/3725</t>
  </si>
  <si>
    <t>Мисько Станіслав Олександрович</t>
  </si>
  <si>
    <t>ВФЧ/Ш/У/3726</t>
  </si>
  <si>
    <t>Мойсак Владислав Іванович</t>
  </si>
  <si>
    <t>ВФЧ/Ш/У/3727</t>
  </si>
  <si>
    <t>Пашкевич Віталій Сергійович</t>
  </si>
  <si>
    <t>ВФЧ/Ш/У/3728</t>
  </si>
  <si>
    <t>Петрушко Макар Валентинович</t>
  </si>
  <si>
    <t>ВФЧ/Ш/У/3729</t>
  </si>
  <si>
    <t>Полюхович Андрій Віталійович</t>
  </si>
  <si>
    <t>ВФЧ/Ш/У/3730</t>
  </si>
  <si>
    <t>Приходько Анна Валеріївна</t>
  </si>
  <si>
    <t>ВФЧ/Ш/У/3731</t>
  </si>
  <si>
    <t>Удод Артем Олексійович</t>
  </si>
  <si>
    <t>ВФЧ/Ш/У/3732</t>
  </si>
  <si>
    <t>Щур Устим Леонідович</t>
  </si>
  <si>
    <t>ВФЧ/Ш/У/3733</t>
  </si>
  <si>
    <t>Янковська Валентина Миколаївна</t>
  </si>
  <si>
    <t>ВФЧ/Ш/У/3734</t>
  </si>
  <si>
    <t>Омельчук Олексій Олегович</t>
  </si>
  <si>
    <t>Студянський ліцей Смизької селищної ради</t>
  </si>
  <si>
    <t>Кулібаба Тетяна Юріївна</t>
  </si>
  <si>
    <t>ВФЧ/Ш/У/3735</t>
  </si>
  <si>
    <t>Марчак Назарій Андрійович</t>
  </si>
  <si>
    <t>ВФЧ/Ш/У/3736</t>
  </si>
  <si>
    <t>Пасічник Станіслав Анатолійович</t>
  </si>
  <si>
    <t>ВФЧ/Ш/У/3737</t>
  </si>
  <si>
    <t>Аксьонова Альбіна Володимирівна</t>
  </si>
  <si>
    <t>Недригайлівський ліцей Недригайлівської селищної ради</t>
  </si>
  <si>
    <t>Конотоп Павло Миколайович</t>
  </si>
  <si>
    <t>ВФЧ/Ш/У/3738</t>
  </si>
  <si>
    <t>Боровик Кіріл Іванович</t>
  </si>
  <si>
    <t>ВФЧ/Ш/У/3739</t>
  </si>
  <si>
    <t>Гордієнко Назарій Вікторович</t>
  </si>
  <si>
    <t>ВФЧ/Ш/У/3740</t>
  </si>
  <si>
    <t>Гриценко Мілана Андріївна</t>
  </si>
  <si>
    <t>ВФЧ/Ш/У/3741</t>
  </si>
  <si>
    <t>Ковальчук Артур Андрійович</t>
  </si>
  <si>
    <t>ВФЧ/Ш/У/3742</t>
  </si>
  <si>
    <t>Нємцева Діана Сергіївна</t>
  </si>
  <si>
    <t>ВФЧ/Ш/У/3743</t>
  </si>
  <si>
    <t>Панасенко Софія Анатоліївна</t>
  </si>
  <si>
    <t>ВФЧ/Ш/У/3744</t>
  </si>
  <si>
    <t>Стетюха Анастасія Віталіївна</t>
  </si>
  <si>
    <t>ВФЧ/Ш/У/3745</t>
  </si>
  <si>
    <t>Терещенко Вадим Олегович</t>
  </si>
  <si>
    <t>ВФЧ/Ш/У/3746</t>
  </si>
  <si>
    <t>Тимошенко Анастасія Олександрівна</t>
  </si>
  <si>
    <t>ВФЧ/Ш/У/3747</t>
  </si>
  <si>
    <t>Щербак Олексій Олександрович</t>
  </si>
  <si>
    <t>ВФЧ/Ш/У/3748</t>
  </si>
  <si>
    <t>Яценко Поліна Олегівна</t>
  </si>
  <si>
    <t>ВФЧ/Ш/У/3749</t>
  </si>
  <si>
    <t>Горбась Артем Сергійович</t>
  </si>
  <si>
    <t>Нижньосироватський ліцей імені Бориса Грінченка Нижньосироватської сільської ради Сумського району Сумської області</t>
  </si>
  <si>
    <t>Гиренко Наталія Сергіївна</t>
  </si>
  <si>
    <t>ВФЧ/Ш/У/3750</t>
  </si>
  <si>
    <t>Губар Аліса Андріївна</t>
  </si>
  <si>
    <t>ВФЧ/Ш/У/3751</t>
  </si>
  <si>
    <t>Івах Давид Миколайович</t>
  </si>
  <si>
    <t>ВФЧ/Ш/У/3752</t>
  </si>
  <si>
    <t>Кириллова Аріна Михайлівна</t>
  </si>
  <si>
    <t>ВФЧ/Ш/У/3753</t>
  </si>
  <si>
    <t>Кравченко Катерина Сергіївна</t>
  </si>
  <si>
    <t>ВФЧ/Ш/У/3754</t>
  </si>
  <si>
    <t>Кубішина Вікторія Олександрівна</t>
  </si>
  <si>
    <t>ВФЧ/Ш/У/3755</t>
  </si>
  <si>
    <t>Молчанов Данило Сергійович</t>
  </si>
  <si>
    <t>ВФЧ/Ш/У/3756</t>
  </si>
  <si>
    <t>Резніченко Ангеліна Віталіївна</t>
  </si>
  <si>
    <t>ВФЧ/Ш/У/3757</t>
  </si>
  <si>
    <t>Буряк Артур Миколайович</t>
  </si>
  <si>
    <t>Погожокриницький ліцей Роменської міської ради Сумської області</t>
  </si>
  <si>
    <t>Бабак Юлія Василівна</t>
  </si>
  <si>
    <t>ВФЧ/Ш/У/3758</t>
  </si>
  <si>
    <t>Лаврик Артем Юрійович</t>
  </si>
  <si>
    <t>ВФЧ/Ш/У/3759</t>
  </si>
  <si>
    <t>Сорокопенець Максим Олегович</t>
  </si>
  <si>
    <t>ВФЧ/Ш/У/3760</t>
  </si>
  <si>
    <t>Литвиненко Анастасія Вадимівна</t>
  </si>
  <si>
    <t>ВФЧ/Ш/У/3761</t>
  </si>
  <si>
    <t>Кононенко Захар Тарасович</t>
  </si>
  <si>
    <t>Конотопський ліцей №3 Конотопської міської ради Сумської області</t>
  </si>
  <si>
    <t>Олех Анатолій Петрович</t>
  </si>
  <si>
    <t>ВФЧ/Ш/У/3762</t>
  </si>
  <si>
    <t>Коломійченко Віталіна Олегівна</t>
  </si>
  <si>
    <t>ВФЧ/Ш/У/3763</t>
  </si>
  <si>
    <t>Міщенко Юлія Євгеніївна</t>
  </si>
  <si>
    <t>ВФЧ/Ш/У/3764</t>
  </si>
  <si>
    <t>Дементьєв Ілля Володимирович</t>
  </si>
  <si>
    <t>Комунальний заклад Сумської обласної ради - Конотопський обласний академічний ліцей "Лідер"</t>
  </si>
  <si>
    <t>ВФЧ/Ш/У/3765</t>
  </si>
  <si>
    <t>Салій Богдан Олександрович</t>
  </si>
  <si>
    <t>ВФЧ/Ш/У/3766</t>
  </si>
  <si>
    <t>Трофименко Даніїл Олексвйович</t>
  </si>
  <si>
    <t>ВФЧ/Ш/У/3767</t>
  </si>
  <si>
    <t>Гриненко Захар Олександрович</t>
  </si>
  <si>
    <t>Комунальна установа Сумська спеціалізована школа І-ІІІ ступенів №17, м. Суми, Сумської області</t>
  </si>
  <si>
    <t>Філатова Світлана Юріївна</t>
  </si>
  <si>
    <t>ВФЧ/Ш/У/3768</t>
  </si>
  <si>
    <t>Яковенко Кирило Євгенович</t>
  </si>
  <si>
    <t>ВФЧ/Ш/У/3769</t>
  </si>
  <si>
    <t>Петах Максим Дмитрович</t>
  </si>
  <si>
    <t>ВФЧ/Ш/У/3770</t>
  </si>
  <si>
    <t>Дерезюк Андрій Русланович</t>
  </si>
  <si>
    <t>ВФЧ/Ш/У/3771</t>
  </si>
  <si>
    <t>Коплик Анастасія Олександрівна</t>
  </si>
  <si>
    <t>ВФЧ/Ш/У/3772</t>
  </si>
  <si>
    <t>Половинка Володимир Віталійович</t>
  </si>
  <si>
    <t>ВФЧ/Ш/У/3773</t>
  </si>
  <si>
    <t>Раскосова Дарія Миколаївна</t>
  </si>
  <si>
    <t>ВФЧ/Ш/У/3774</t>
  </si>
  <si>
    <t>Аушев Нікіта Ігорович</t>
  </si>
  <si>
    <t>ВФЧ/Ш/У/3775</t>
  </si>
  <si>
    <t>Мірошниченко Ярослав Віталійович</t>
  </si>
  <si>
    <t>ВФЧ/Ш/У/3776</t>
  </si>
  <si>
    <t>Кібенко Руслан Юрійович</t>
  </si>
  <si>
    <t>ВФЧ/Ш/У/3777</t>
  </si>
  <si>
    <t>Гончарова Анна Павлівна</t>
  </si>
  <si>
    <t>ВФЧ/Ш/У/3778</t>
  </si>
  <si>
    <t>Гаврась Ілья Ігорович</t>
  </si>
  <si>
    <t>ВФЧ/Ш/У/3779</t>
  </si>
  <si>
    <t>Білецька Аріна Станіславівна</t>
  </si>
  <si>
    <t>ВФЧ/Ш/У/3780</t>
  </si>
  <si>
    <t>Краснопольський Тимофій Олександрович</t>
  </si>
  <si>
    <t>ВФЧ/Ш/У/3781</t>
  </si>
  <si>
    <t>Красуля Денис Ігорович</t>
  </si>
  <si>
    <t>ВФЧ/Ш/У/3782</t>
  </si>
  <si>
    <t>Ярош Олег Олексійович</t>
  </si>
  <si>
    <t>ВФЧ/Ш/У/3783</t>
  </si>
  <si>
    <t>Криводуб Софія Геннадіївна</t>
  </si>
  <si>
    <t>ВФЧ/Ш/У/3784</t>
  </si>
  <si>
    <t>Бурсов Олександр Едуардович</t>
  </si>
  <si>
    <t>ВФЧ/Ш/У/3785</t>
  </si>
  <si>
    <t>Московченко Даніїл Андрійович</t>
  </si>
  <si>
    <t>ВФЧ/Ш/У/3786</t>
  </si>
  <si>
    <t>Шатрук Анна Сергіївна</t>
  </si>
  <si>
    <t>ВФЧ/Ш/У/3787</t>
  </si>
  <si>
    <t>Багіров Амір Рамінович</t>
  </si>
  <si>
    <t>ВФЧ/Ш/У/3788</t>
  </si>
  <si>
    <t>Петренко Лілія Олександрівна</t>
  </si>
  <si>
    <t>ВФЧ/Ш/У/3789</t>
  </si>
  <si>
    <t>Котенко Дамір Михайлович</t>
  </si>
  <si>
    <t>ВФЧ/Ш/У/3790</t>
  </si>
  <si>
    <t>Горяйстова Катерина Олександрівна</t>
  </si>
  <si>
    <t>ВФЧ/Ш/У/3791</t>
  </si>
  <si>
    <t>Омельченко Ілля Олександрович</t>
  </si>
  <si>
    <t>ВФЧ/Ш/У/3792</t>
  </si>
  <si>
    <t>Глазиріна Софія Владиславівна</t>
  </si>
  <si>
    <t>ВФЧ/Ш/У/3793</t>
  </si>
  <si>
    <t>Шапаренко Ксенія Михайлівна</t>
  </si>
  <si>
    <t>ВФЧ/Ш/У/3794</t>
  </si>
  <si>
    <t>Шаповал Іван Олександрович</t>
  </si>
  <si>
    <t>ВФЧ/Ш/У/3795</t>
  </si>
  <si>
    <t>Возна Діана Богданівна</t>
  </si>
  <si>
    <t>ВФЧ/Ш/У/3796</t>
  </si>
  <si>
    <t>Антончук Кирил Вікторович</t>
  </si>
  <si>
    <t>ВФЧ/Ш/У/3797</t>
  </si>
  <si>
    <t>Чміль Єлізавета Романівна</t>
  </si>
  <si>
    <t>ВФЧ/Ш/У/3798</t>
  </si>
  <si>
    <t>Розгон Данііл Віталійович</t>
  </si>
  <si>
    <t>ВФЧ/Ш/У/3799</t>
  </si>
  <si>
    <t>Білан Поліна Сергіївна</t>
  </si>
  <si>
    <t>ВФЧ/Ш/У/3800</t>
  </si>
  <si>
    <t>Москальова Маргарита Валеріївна</t>
  </si>
  <si>
    <t>ВФЧ/Ш/У/3801</t>
  </si>
  <si>
    <t>Михайлик Ангеліна Володимирівна</t>
  </si>
  <si>
    <t>ВФЧ/Ш/У/3802</t>
  </si>
  <si>
    <t>Базіль Кирило Романович</t>
  </si>
  <si>
    <t>ВФЧ/Ш/У/3803</t>
  </si>
  <si>
    <t>Мартіян Ярослав Юрійович</t>
  </si>
  <si>
    <t>ВФЧ/Ш/У/3804</t>
  </si>
  <si>
    <t>Некрасова Поліна Дмитрівна</t>
  </si>
  <si>
    <t>ВФЧ/Ш/У/3805</t>
  </si>
  <si>
    <t>Брюхов Олексій Михайлович</t>
  </si>
  <si>
    <t>ВФЧ/Ш/У/3806</t>
  </si>
  <si>
    <t>Середа Артем Русланович</t>
  </si>
  <si>
    <t>ВФЧ/Ш/У/3807</t>
  </si>
  <si>
    <t>Малишко Ольга Олексіївна</t>
  </si>
  <si>
    <t>ВФЧ/Ш/У/3808</t>
  </si>
  <si>
    <t>Абакум Софія Ігорівна</t>
  </si>
  <si>
    <t>ВФЧ/Ш/У/3809</t>
  </si>
  <si>
    <t>Губач Софія Вячеславівна</t>
  </si>
  <si>
    <t>ВФЧ/Ш/У/3810</t>
  </si>
  <si>
    <t>Стоцька Альбіна Русланівна</t>
  </si>
  <si>
    <t>ВФЧ/Ш/У/3811</t>
  </si>
  <si>
    <t>Шапошников Іван Олексійович</t>
  </si>
  <si>
    <t>ВФЧ/Ш/У/3812</t>
  </si>
  <si>
    <t>Карнаушенко Каміла Олегівна</t>
  </si>
  <si>
    <t>ВФЧ/Ш/У/3813</t>
  </si>
  <si>
    <t>Жидченко Поліна Андріївна</t>
  </si>
  <si>
    <t>ВФЧ/Ш/У/3814</t>
  </si>
  <si>
    <t>Темченко Поліна Олександрівна</t>
  </si>
  <si>
    <t>ВФЧ/Ш/У/3815</t>
  </si>
  <si>
    <t>Марченко Єва Русланівна</t>
  </si>
  <si>
    <t>ВФЧ/Ш/У/3816</t>
  </si>
  <si>
    <t>Тіпухова Дар’я Юріївна</t>
  </si>
  <si>
    <t>ВФЧ/Ш/У/3817</t>
  </si>
  <si>
    <t>Губська Анастасія Олександрівна</t>
  </si>
  <si>
    <t>ВФЧ/Ш/У/3818</t>
  </si>
  <si>
    <t>Лілянова Катерина Олександрівна</t>
  </si>
  <si>
    <t>Тростянецька філія Ліцею N 1 Тростянецької міської ради</t>
  </si>
  <si>
    <t>Пуховська Валентина Василівна</t>
  </si>
  <si>
    <t>ВФЧ/Ш/У/3819</t>
  </si>
  <si>
    <t>Лілянова Наталія Олександрівна</t>
  </si>
  <si>
    <t>ВФЧ/Ш/У/3820</t>
  </si>
  <si>
    <t>Мурадян Крістіна Романівна</t>
  </si>
  <si>
    <t>ВФЧ/Ш/У/3821</t>
  </si>
  <si>
    <t>Кошель Данііл Олексійович</t>
  </si>
  <si>
    <t>ВФЧ/Ш/У/3822</t>
  </si>
  <si>
    <t>Сергієнко Валерія Костянтинівна</t>
  </si>
  <si>
    <t>ВФЧ/Ш/У/3823</t>
  </si>
  <si>
    <t>Шереверя Максим Сергійович</t>
  </si>
  <si>
    <t>ВФЧ/Ш/У/3824</t>
  </si>
  <si>
    <t>Коршок Дмитро Максимович</t>
  </si>
  <si>
    <t>Ямпільський ліцей №2 Ямпільської селищної ради Сумської області</t>
  </si>
  <si>
    <t>Кривошап Наталія Олексіївна</t>
  </si>
  <si>
    <t>ВФЧ/Ш/У/3825</t>
  </si>
  <si>
    <t>Тригубченко Дар'я Едуардівна</t>
  </si>
  <si>
    <t>ВФЧ/Ш/У/3826</t>
  </si>
  <si>
    <t>Сєдіна Олена Олегівна</t>
  </si>
  <si>
    <t>ВФЧ/Ш/У/3827</t>
  </si>
  <si>
    <t>Ольховик Єлизавета Володимирівна</t>
  </si>
  <si>
    <t>ВФЧ/Ш/У/3828</t>
  </si>
  <si>
    <t>Мороз Владислав Миколайович</t>
  </si>
  <si>
    <t>ВФЧ/Ш/У/3829</t>
  </si>
  <si>
    <t>Ганага Дарина Володимирівна</t>
  </si>
  <si>
    <t>ВФЧ/Ш/У/3830</t>
  </si>
  <si>
    <t>Синьогуб Марія Олександрівна</t>
  </si>
  <si>
    <t>ВФЧ/Ш/У/3831</t>
  </si>
  <si>
    <t>Куліш Аліна Олегівна</t>
  </si>
  <si>
    <t>ВФЧ/Ш/У/3832</t>
  </si>
  <si>
    <t>Злиденний Кирило Віталійович</t>
  </si>
  <si>
    <t>ВФЧ/Ш/У/3833</t>
  </si>
  <si>
    <t>Кривошап Сергій Валерійович</t>
  </si>
  <si>
    <t>ВФЧ/Ш/У/3834</t>
  </si>
  <si>
    <t>Заболотна Валерія Олександрівна</t>
  </si>
  <si>
    <t>ВФЧ/Ш/У/3835</t>
  </si>
  <si>
    <t>Міщенко Марія Артемівна</t>
  </si>
  <si>
    <t>ВФЧ/Ш/У/3836</t>
  </si>
  <si>
    <t>Терентьєва Валерія Сергіївна</t>
  </si>
  <si>
    <t>ВФЧ/Ш/У/3837</t>
  </si>
  <si>
    <t>Антіпіна Анастасія Максимівна</t>
  </si>
  <si>
    <t>Конотопський ліцей №9 Конотопської міської ради Сумської області</t>
  </si>
  <si>
    <t>Леоненко Юлія Григорівна</t>
  </si>
  <si>
    <t>ВФЧ/Ш/У/3838</t>
  </si>
  <si>
    <t>Бабич Валерія Олександрівна</t>
  </si>
  <si>
    <t>ВФЧ/Ш/У/3839</t>
  </si>
  <si>
    <t>Бардаченко Роман Олександрович</t>
  </si>
  <si>
    <t>ВФЧ/Ш/У/3840</t>
  </si>
  <si>
    <t>Бережко Артем Юрійович</t>
  </si>
  <si>
    <t>ВФЧ/Ш/У/3841</t>
  </si>
  <si>
    <t>Берендюгіна Дар’я Русланівна</t>
  </si>
  <si>
    <t>ВФЧ/Ш/У/3842</t>
  </si>
  <si>
    <t>Бондаренко Софія Сергіївна</t>
  </si>
  <si>
    <t>ВФЧ/Ш/У/3843</t>
  </si>
  <si>
    <t>Гордієнко Дмитро Сергійович</t>
  </si>
  <si>
    <t>ВФЧ/Ш/У/3844</t>
  </si>
  <si>
    <t>Гуденко Анна Сергіївна</t>
  </si>
  <si>
    <t>ВФЧ/Ш/У/3845</t>
  </si>
  <si>
    <t>Данилець Вікторія Володимирівна</t>
  </si>
  <si>
    <t>ВФЧ/Ш/У/3846</t>
  </si>
  <si>
    <t>Єресько Даніїл Сергійович</t>
  </si>
  <si>
    <t>ВФЧ/Ш/У/3847</t>
  </si>
  <si>
    <t>Калашник Назар Олександрович</t>
  </si>
  <si>
    <t>ВФЧ/Ш/У/3848</t>
  </si>
  <si>
    <t>Кішка Владислав Віталійович</t>
  </si>
  <si>
    <t>ВФЧ/Ш/У/3849</t>
  </si>
  <si>
    <t>Коцубенко Єлизавета Андріївна</t>
  </si>
  <si>
    <t>ВФЧ/Ш/У/3850</t>
  </si>
  <si>
    <t>Матвєєва Поліна Сергіївна</t>
  </si>
  <si>
    <t>ВФЧ/Ш/У/3851</t>
  </si>
  <si>
    <t>Москаленко Владислава Олегівна</t>
  </si>
  <si>
    <t>ВФЧ/Ш/У/3852</t>
  </si>
  <si>
    <t>Нікачало Юлія Олександрівна</t>
  </si>
  <si>
    <t>ВФЧ/Ш/У/3853</t>
  </si>
  <si>
    <t>Павленко Назар Андрійович</t>
  </si>
  <si>
    <t>ВФЧ/Ш/У/3854</t>
  </si>
  <si>
    <t>Сердюк Владислав Олександрович</t>
  </si>
  <si>
    <t>ВФЧ/Ш/У/3855</t>
  </si>
  <si>
    <t>Соловей Валерія Петрівна</t>
  </si>
  <si>
    <t>ВФЧ/Ш/У/3856</t>
  </si>
  <si>
    <t>Суходуб Андрій Дмитрович</t>
  </si>
  <si>
    <t>ВФЧ/Ш/У/3857</t>
  </si>
  <si>
    <t>Башлай Христина</t>
  </si>
  <si>
    <t>Ліцей №1 Тростянецької міської ради Сумської оюласті</t>
  </si>
  <si>
    <t>Слєдзєвська Оксана Сергіївна</t>
  </si>
  <si>
    <t>ВФЧ/Ш/У/3858</t>
  </si>
  <si>
    <t>Зуєва Карина</t>
  </si>
  <si>
    <t>ВФЧ/Ш/У/3859</t>
  </si>
  <si>
    <t>Косовська Христина</t>
  </si>
  <si>
    <t>ВФЧ/Ш/У/3860</t>
  </si>
  <si>
    <t>Куценко Назарій</t>
  </si>
  <si>
    <t>ВФЧ/Ш/У/3861</t>
  </si>
  <si>
    <t>Мірошніченко Костянтин</t>
  </si>
  <si>
    <t>ВФЧ/Ш/У/3862</t>
  </si>
  <si>
    <t>Міщенко Максим</t>
  </si>
  <si>
    <t>ВФЧ/Ш/У/3863</t>
  </si>
  <si>
    <t>Новопашин Артем</t>
  </si>
  <si>
    <t>ВФЧ/Ш/У/3864</t>
  </si>
  <si>
    <t>Нужненко Тимофій</t>
  </si>
  <si>
    <t>ВФЧ/Ш/У/3865</t>
  </si>
  <si>
    <t>Убійкінь Альона</t>
  </si>
  <si>
    <t>ВФЧ/Ш/У/3866</t>
  </si>
  <si>
    <t>Шевцова Анна</t>
  </si>
  <si>
    <t>ВФЧ/Ш/У/3867</t>
  </si>
  <si>
    <t>Афанасьєв Ярослав</t>
  </si>
  <si>
    <t>ВФЧ/Ш/У/3868</t>
  </si>
  <si>
    <t>Бондаренко Єлізавєта</t>
  </si>
  <si>
    <t>ВФЧ/Ш/У/3869</t>
  </si>
  <si>
    <t>Бондаренко Софія</t>
  </si>
  <si>
    <t>ВФЧ/Ш/У/3870</t>
  </si>
  <si>
    <t>Гладченко Данііл</t>
  </si>
  <si>
    <t>ВФЧ/Ш/У/3871</t>
  </si>
  <si>
    <t>Кулібаба Нікіта</t>
  </si>
  <si>
    <t>ВФЧ/Ш/У/3872</t>
  </si>
  <si>
    <t>Міхно Поліна</t>
  </si>
  <si>
    <t>ВФЧ/Ш/У/3873</t>
  </si>
  <si>
    <t>Літо Тимофій</t>
  </si>
  <si>
    <t>ВФЧ/Ш/У/3874</t>
  </si>
  <si>
    <t>Пахненко Поліна</t>
  </si>
  <si>
    <t>ВФЧ/Ш/У/3875</t>
  </si>
  <si>
    <t>Брайцара Діана</t>
  </si>
  <si>
    <t>ВФЧ/Ш/У/3876</t>
  </si>
  <si>
    <t>Загребельний Тимофій</t>
  </si>
  <si>
    <t>ВФЧ/Ш/У/3877</t>
  </si>
  <si>
    <t>Касьяненко Євгенія</t>
  </si>
  <si>
    <t>ВФЧ/Ш/У/3878</t>
  </si>
  <si>
    <t>Сергієнко Неллі</t>
  </si>
  <si>
    <t>ВФЧ/Ш/У/3879</t>
  </si>
  <si>
    <t>Сорока Артур</t>
  </si>
  <si>
    <t>ВФЧ/Ш/У/3880</t>
  </si>
  <si>
    <t>Ткаченко Назар</t>
  </si>
  <si>
    <t>ВФЧ/Ш/У/3881</t>
  </si>
  <si>
    <t>Семеліт Єлізавета</t>
  </si>
  <si>
    <t>Липоводолинський ліцей Липоводолинської селищної ради</t>
  </si>
  <si>
    <t>Тарценко Віталій Сергійович</t>
  </si>
  <si>
    <t>ВФЧ/Ш/У/3882</t>
  </si>
  <si>
    <t>Кіптенко Вікторія</t>
  </si>
  <si>
    <t>ВФЧ/Ш/У/3883</t>
  </si>
  <si>
    <t>Карпець Арсеній</t>
  </si>
  <si>
    <t>ВФЧ/Ш/У/3884</t>
  </si>
  <si>
    <t>Корнієнко Кіра</t>
  </si>
  <si>
    <t>ВФЧ/Ш/У/3885</t>
  </si>
  <si>
    <t>Литвинова Рената Андріївна</t>
  </si>
  <si>
    <t>Свеська спеціалізована школа І - ІІІ ступенів №1</t>
  </si>
  <si>
    <t>Дзюба Надія Віталіївна</t>
  </si>
  <si>
    <t>ВФЧ/Ш/У/3886</t>
  </si>
  <si>
    <t>Кислова Ксенія Сергіївна</t>
  </si>
  <si>
    <t>Свеська спеціалізована школа І - ІІІ ступенів №2</t>
  </si>
  <si>
    <t>ВФЧ/Ш/У/3887</t>
  </si>
  <si>
    <t>Діцдоренко Владислав Олегович</t>
  </si>
  <si>
    <t>Комунальна установа Сумська загальноосвітня школа I-III ступенів № 27, м. Суми, Сумської області</t>
  </si>
  <si>
    <t>Пильчук Мирослава Вікторівна</t>
  </si>
  <si>
    <t>ВФЧ/Ш/У/3888</t>
  </si>
  <si>
    <t>Іванченко Тімур Вікторович</t>
  </si>
  <si>
    <t>ВФЧ/Ш/У/3889</t>
  </si>
  <si>
    <t>Кунделенко Кіріл Андрійович</t>
  </si>
  <si>
    <t>ВФЧ/Ш/У/3890</t>
  </si>
  <si>
    <t>Ткаченко Софія Сергіївна</t>
  </si>
  <si>
    <t>ВФЧ/Ш/У/3891</t>
  </si>
  <si>
    <t>Логвин Даніїл</t>
  </si>
  <si>
    <t>ВФЧ/Ш/У/3892</t>
  </si>
  <si>
    <t>Буринченко Руслан Григорович</t>
  </si>
  <si>
    <t>ВФЧ/Ш/У/3893</t>
  </si>
  <si>
    <t>Лукаш Ярослав Захарович</t>
  </si>
  <si>
    <t>ВФЧ/Ш/У/3894</t>
  </si>
  <si>
    <t>Ткач Мирослава Павлівна</t>
  </si>
  <si>
    <t>ВФЧ/Ш/У/3895</t>
  </si>
  <si>
    <t>Нескоременко Михайло Олександрович</t>
  </si>
  <si>
    <t>ВФЧ/Ш/У/3896</t>
  </si>
  <si>
    <t>Васьова Олександра Юріївна</t>
  </si>
  <si>
    <t>ВФЧ/Ш/У/3897</t>
  </si>
  <si>
    <t>Тернівська Валерія Олександрівна</t>
  </si>
  <si>
    <t>ВФЧ/Ш/У/3898</t>
  </si>
  <si>
    <t>Луніка Тимофій Олегович</t>
  </si>
  <si>
    <t>ВФЧ/Ш/У/3899</t>
  </si>
  <si>
    <t>Ніколаєнко Софія Олександрівна</t>
  </si>
  <si>
    <t>ВФЧ/Ш/У/3900</t>
  </si>
  <si>
    <t>Свистюла Карина Романівна</t>
  </si>
  <si>
    <t>ВФЧ/Ш/У/3901</t>
  </si>
  <si>
    <t>Овсіньов Владислав Олегович</t>
  </si>
  <si>
    <t>ВФЧ/Ш/У/3902</t>
  </si>
  <si>
    <t>Забара Максим Петрович</t>
  </si>
  <si>
    <t>ВФЧ/Ш/У/3903</t>
  </si>
  <si>
    <t>Лобуренко Роман Артемович</t>
  </si>
  <si>
    <t>ВФЧ/Ш/У/3904</t>
  </si>
  <si>
    <t>Мазний Дмитро Олександрович</t>
  </si>
  <si>
    <t>ВФЧ/Ш/У/3905</t>
  </si>
  <si>
    <t>Вичівська Катерина Вікторівна</t>
  </si>
  <si>
    <t>Комунальний заклад Острівський ліцей Великоберезовицької селищної ради Тернопільської області</t>
  </si>
  <si>
    <t>Антимис Тетяна Петрівна</t>
  </si>
  <si>
    <t>ВФЧ/Ш/У/3906</t>
  </si>
  <si>
    <t>Ленко Валерія Олександрівна</t>
  </si>
  <si>
    <t>ВФЧ/Ш/У/3907</t>
  </si>
  <si>
    <t>Трач Анастасія Романівна</t>
  </si>
  <si>
    <t>ВФЧ/Ш/У/3908</t>
  </si>
  <si>
    <t>Семеха Марта Олександрівна</t>
  </si>
  <si>
    <t>ВФЧ/Ш/У/3909</t>
  </si>
  <si>
    <t>Шаблій Анна Євгенія Михайлівна</t>
  </si>
  <si>
    <t>ВФЧ/Ш/У/3910</t>
  </si>
  <si>
    <t>Бегар Інна</t>
  </si>
  <si>
    <t>Бережанський ліцей імені Віталія Скакуна</t>
  </si>
  <si>
    <t>Якимець Леся Василівна</t>
  </si>
  <si>
    <t>ВФЧ/Ш/У/3911</t>
  </si>
  <si>
    <t>Білик Олександра</t>
  </si>
  <si>
    <t>ВФЧ/Ш/У/3912</t>
  </si>
  <si>
    <t>Драган Олег</t>
  </si>
  <si>
    <t>ВФЧ/Ш/У/3913</t>
  </si>
  <si>
    <t>Стойко Олександра</t>
  </si>
  <si>
    <t>ВФЧ/Ш/У/3914</t>
  </si>
  <si>
    <t>Сеньків Остап</t>
  </si>
  <si>
    <t>ВФЧ/Ш/У/3915</t>
  </si>
  <si>
    <t>Яцик Артур</t>
  </si>
  <si>
    <t>ВФЧ/Ш/У/3916</t>
  </si>
  <si>
    <t>Сухарська Діана</t>
  </si>
  <si>
    <t>ВФЧ/Ш/У/3917</t>
  </si>
  <si>
    <t>Замах Христина</t>
  </si>
  <si>
    <t>ВФЧ/Ш/У/3918</t>
  </si>
  <si>
    <t>Котушко Христина</t>
  </si>
  <si>
    <t>ВФЧ/Ш/У/3919</t>
  </si>
  <si>
    <t>Курпіта Василь</t>
  </si>
  <si>
    <t>ВФЧ/Ш/У/3920</t>
  </si>
  <si>
    <t>Люшняк Сергій</t>
  </si>
  <si>
    <t>ВФЧ/Ш/У/3921</t>
  </si>
  <si>
    <t>Онишків Софія</t>
  </si>
  <si>
    <t>ВФЧ/Ш/У/3922</t>
  </si>
  <si>
    <t>Луців Соломія</t>
  </si>
  <si>
    <t>ВФЧ/Ш/У/3923</t>
  </si>
  <si>
    <t>Павловська Вікторія Андріївна</t>
  </si>
  <si>
    <t>Тернопільська загальноосвітня школа І-ІІІ ступенів № 24</t>
  </si>
  <si>
    <t>Синовець Олег Олександрович</t>
  </si>
  <si>
    <t>ВФЧ/Ш/У/3924</t>
  </si>
  <si>
    <t>Богоніс Олександр Володимирович</t>
  </si>
  <si>
    <t>Тернопільська загальноосвітня школа І-ІІІ ступенів № 25</t>
  </si>
  <si>
    <t>ВФЧ/Ш/У/3925</t>
  </si>
  <si>
    <t>Деркач Кароліна Сергіївна</t>
  </si>
  <si>
    <t>Тернопільський навчально-виховний комплекс "Загальноосвітні школа-економічний ліцей № 9 ім. Іванни Блажкевич"</t>
  </si>
  <si>
    <t>Водовіз Ольга Володимирівна, Водовіз Анна-Вікторія Іванівна</t>
  </si>
  <si>
    <t>ВФЧ/Ш/У/3926</t>
  </si>
  <si>
    <t>Капчур Маргарита Петрівна</t>
  </si>
  <si>
    <t>ВФЧ/Ш/У/3927</t>
  </si>
  <si>
    <t>Іваха Діана Ярославівна</t>
  </si>
  <si>
    <t>ВФЧ/Ш/У/3928</t>
  </si>
  <si>
    <t>Кос Єлизавета Андріївна</t>
  </si>
  <si>
    <t>ВФЧ/Ш/У/3929</t>
  </si>
  <si>
    <t>Мазур Павло Юрійович</t>
  </si>
  <si>
    <t>ВФЧ/Ш/У/3930</t>
  </si>
  <si>
    <t>Мартинюк Тетяна Романівна</t>
  </si>
  <si>
    <t>ВФЧ/Ш/У/3931</t>
  </si>
  <si>
    <t>Марціяш Софія Андріївна</t>
  </si>
  <si>
    <t>ВФЧ/Ш/У/3932</t>
  </si>
  <si>
    <t>Мельник Кароліна Романівна</t>
  </si>
  <si>
    <t>ВФЧ/Ш/У/3933</t>
  </si>
  <si>
    <t>Мінчук Ілія Юрійович</t>
  </si>
  <si>
    <t>ВФЧ/Ш/У/3934</t>
  </si>
  <si>
    <t>Пилипів Іванна Сергіївна</t>
  </si>
  <si>
    <t>ВФЧ/Ш/У/3935</t>
  </si>
  <si>
    <t>Попадюк Ігор Віталійович</t>
  </si>
  <si>
    <t>ВФЧ/Ш/У/3936</t>
  </si>
  <si>
    <t>Цонков Богдан Русланович</t>
  </si>
  <si>
    <t>ВФЧ/Ш/У/3937</t>
  </si>
  <si>
    <t>Яковишин Софія Миронівна</t>
  </si>
  <si>
    <t>ВФЧ/Ш/У/3938</t>
  </si>
  <si>
    <t>Вінцьор Аліна Петрівна</t>
  </si>
  <si>
    <t>ВФЧ/Ш/У/3939</t>
  </si>
  <si>
    <t>Гарбузюк Марта Віталіївна</t>
  </si>
  <si>
    <t>ВФЧ/Ш/У/3940</t>
  </si>
  <si>
    <t>Гевко Аліна Романівна</t>
  </si>
  <si>
    <t>ВФЧ/Ш/У/3941</t>
  </si>
  <si>
    <t>Глиняний Павло Ярославович</t>
  </si>
  <si>
    <t>ВФЧ/Ш/У/3942</t>
  </si>
  <si>
    <t>Ділай Віталій Володимирович</t>
  </si>
  <si>
    <t>ВФЧ/Ш/У/3943</t>
  </si>
  <si>
    <t>Жук Єгор Сергійович</t>
  </si>
  <si>
    <t>ВФЧ/Ш/У/3944</t>
  </si>
  <si>
    <t>Крук Анастасія Ярославівна</t>
  </si>
  <si>
    <t>ВФЧ/Ш/У/3945</t>
  </si>
  <si>
    <t>Купар Каріна миколаївна</t>
  </si>
  <si>
    <t>ВФЧ/Ш/У/3946</t>
  </si>
  <si>
    <t>Малащук Діана Петрівна</t>
  </si>
  <si>
    <t>ВФЧ/Ш/У/3947</t>
  </si>
  <si>
    <t>Стефанський Остап Олегович</t>
  </si>
  <si>
    <t>ВФЧ/Ш/У/3948</t>
  </si>
  <si>
    <t>Шпирук Костянтин Ігорович</t>
  </si>
  <si>
    <t>ВФЧ/Ш/У/3949</t>
  </si>
  <si>
    <t>Янушевська Вікторія Миколаївна</t>
  </si>
  <si>
    <t>ВФЧ/Ш/У/3950</t>
  </si>
  <si>
    <t>Ящишин Анастасія Володимирівна</t>
  </si>
  <si>
    <t>ВФЧ/Ш/У/3951</t>
  </si>
  <si>
    <t>Шарван Софія Іванівна</t>
  </si>
  <si>
    <t>ВФЧ/Ш/У/3952</t>
  </si>
  <si>
    <t>Дячишин Арсен Ігорович</t>
  </si>
  <si>
    <t>ВФЧ/Ш/У/3953</t>
  </si>
  <si>
    <t>Каліновський Станіслав Михайлович</t>
  </si>
  <si>
    <t>ВФЧ/Ш/У/3954</t>
  </si>
  <si>
    <t>Волошин Вікторія Василівна</t>
  </si>
  <si>
    <t>Тернопільська загальноосвітня школа І-ІІІ ступенів №23</t>
  </si>
  <si>
    <t>Кручак Сергій Ігорович</t>
  </si>
  <si>
    <t>ВФЧ/Ш/У/3955</t>
  </si>
  <si>
    <t>Грищишин Максим Вадимович</t>
  </si>
  <si>
    <t>Тернопільська загальноосвітня школа І-ІІІ ступенів №24</t>
  </si>
  <si>
    <t>ВФЧ/Ш/У/3956</t>
  </si>
  <si>
    <t>Доскоч Юрій Богданович</t>
  </si>
  <si>
    <t>Тернопільська загальноосвітня школа І-ІІІ ступенів №25</t>
  </si>
  <si>
    <t>ВФЧ/Ш/У/3957</t>
  </si>
  <si>
    <t>Мельник Роман Андрійович</t>
  </si>
  <si>
    <t>Тернопільська загальноосвітня школа І-ІІІ ступенів №26</t>
  </si>
  <si>
    <t>ВФЧ/Ш/У/3958</t>
  </si>
  <si>
    <t>Петрик Софія Дмитрівна</t>
  </si>
  <si>
    <t>Тернопільська загальноосвітня школа І-ІІІ ступенів №27</t>
  </si>
  <si>
    <t>ВФЧ/Ш/У/3959</t>
  </si>
  <si>
    <t>Подедворний Андрій Юрійович</t>
  </si>
  <si>
    <t>Тернопільська загальноосвітня школа І-ІІІ ступенів №28</t>
  </si>
  <si>
    <t>ВФЧ/Ш/У/3960</t>
  </si>
  <si>
    <t>Позовиков Олександр Миколайович</t>
  </si>
  <si>
    <t>Тернопільська загальноосвітня школа І-ІІІ ступенів №29</t>
  </si>
  <si>
    <t>ВФЧ/Ш/У/3961</t>
  </si>
  <si>
    <t>Сакало Христина Русланівна</t>
  </si>
  <si>
    <t>Тернопільська загальноосвітня школа І-ІІІ ступенів №30</t>
  </si>
  <si>
    <t>ВФЧ/Ш/У/3962</t>
  </si>
  <si>
    <t>Самійленко Микита Артемович</t>
  </si>
  <si>
    <t>Тернопільська загальноосвітня школа І-ІІІ ступенів №31</t>
  </si>
  <si>
    <t>ВФЧ/Ш/У/3963</t>
  </si>
  <si>
    <t>Стадник Софія Володимирівна</t>
  </si>
  <si>
    <t>Тернопільська загальноосвітня школа І-ІІІ ступенів №32</t>
  </si>
  <si>
    <t>ВФЧ/Ш/У/3964</t>
  </si>
  <si>
    <t>Столярчук Артем Андрійович</t>
  </si>
  <si>
    <t>Тернопільська загальноосвітня школа І-ІІІ ступенів №33</t>
  </si>
  <si>
    <t>ВФЧ/Ш/У/3965</t>
  </si>
  <si>
    <t>Чижевська Катерина Дмитрівна</t>
  </si>
  <si>
    <t>Тернопільська загальноосвітня школа І-ІІІ ступенів №34</t>
  </si>
  <si>
    <t>ВФЧ/Ш/У/3966</t>
  </si>
  <si>
    <t>Чудакевич Віра Іванівна</t>
  </si>
  <si>
    <t>Тернопільська загальноосвітня школа І-ІІІ ступенів №35</t>
  </si>
  <si>
    <t>ВФЧ/Ш/У/3967</t>
  </si>
  <si>
    <t>Шпільман Евеліна Андріївна</t>
  </si>
  <si>
    <t>Тернопільська загальноосвітня школа І-ІІІ ступенів №36</t>
  </si>
  <si>
    <t>ВФЧ/Ш/У/3968</t>
  </si>
  <si>
    <t>Атаманець Вероніка</t>
  </si>
  <si>
    <t>Тернопільський класичний ліцей Тернопільської міської ради</t>
  </si>
  <si>
    <t>Романишин Ольга Миколаївна</t>
  </si>
  <si>
    <t>ВФЧ/Ш/У/3969</t>
  </si>
  <si>
    <t>Дідик Арсен</t>
  </si>
  <si>
    <t>ВФЧ/Ш/У/3970</t>
  </si>
  <si>
    <t>Борис Ростислав</t>
  </si>
  <si>
    <t>ВФЧ/Ш/У/3971</t>
  </si>
  <si>
    <t>Василькевич Софія</t>
  </si>
  <si>
    <t>ВФЧ/Ш/У/3972</t>
  </si>
  <si>
    <t>Вітів Валерія</t>
  </si>
  <si>
    <t>ВФЧ/Ш/У/3973</t>
  </si>
  <si>
    <t>Заляско Евеліна</t>
  </si>
  <si>
    <t>ВФЧ/Ш/У/3974</t>
  </si>
  <si>
    <t>Кіб'юк Дарина</t>
  </si>
  <si>
    <t>ВФЧ/Ш/У/3975</t>
  </si>
  <si>
    <t>Кучма Анастасія</t>
  </si>
  <si>
    <t>ВФЧ/Ш/У/3976</t>
  </si>
  <si>
    <t>Міль Валентин</t>
  </si>
  <si>
    <t>ВФЧ/Ш/У/3977</t>
  </si>
  <si>
    <t>Нетреба Олександр</t>
  </si>
  <si>
    <t>ВФЧ/Ш/У/3978</t>
  </si>
  <si>
    <t>Поліщук Юрій</t>
  </si>
  <si>
    <t>ВФЧ/Ш/У/3979</t>
  </si>
  <si>
    <t>Салюк Мар'ян</t>
  </si>
  <si>
    <t>ВФЧ/Ш/У/3980</t>
  </si>
  <si>
    <t>Свірський Володимир</t>
  </si>
  <si>
    <t>ВФЧ/Ш/У/3981</t>
  </si>
  <si>
    <t>Семерез Софія</t>
  </si>
  <si>
    <t>ВФЧ/Ш/У/3982</t>
  </si>
  <si>
    <t>Ханас Владислав</t>
  </si>
  <si>
    <t>ВФЧ/Ш/У/3983</t>
  </si>
  <si>
    <t>Барабаш Віктор</t>
  </si>
  <si>
    <t>ВФЧ/Ш/У/3984</t>
  </si>
  <si>
    <t>Бартошів Анастасія</t>
  </si>
  <si>
    <t>ВФЧ/Ш/У/3985</t>
  </si>
  <si>
    <t>Богданова Дарія</t>
  </si>
  <si>
    <t>ВФЧ/Ш/У/3986</t>
  </si>
  <si>
    <t>Гоменюк Анастасія</t>
  </si>
  <si>
    <t>ВФЧ/Ш/У/3987</t>
  </si>
  <si>
    <t>Кінаш Поліна</t>
  </si>
  <si>
    <t>ВФЧ/Ш/У/3988</t>
  </si>
  <si>
    <t>Ковальчук Христина</t>
  </si>
  <si>
    <t>ВФЧ/Ш/У/3989</t>
  </si>
  <si>
    <t>Кузь Софія</t>
  </si>
  <si>
    <t>ВФЧ/Ш/У/3990</t>
  </si>
  <si>
    <t>Лайбіда Тетяна</t>
  </si>
  <si>
    <t>ВФЧ/Ш/У/3991</t>
  </si>
  <si>
    <t>Микитюк Олександр</t>
  </si>
  <si>
    <t>ВФЧ/Ш/У/3992</t>
  </si>
  <si>
    <t>Разіна Юлія</t>
  </si>
  <si>
    <t>ВФЧ/Ш/У/3993</t>
  </si>
  <si>
    <t>Репетівський Максим</t>
  </si>
  <si>
    <t>ВФЧ/Ш/У/3994</t>
  </si>
  <si>
    <t>Свербіцька Анастасія</t>
  </si>
  <si>
    <t>ВФЧ/Ш/У/3995</t>
  </si>
  <si>
    <t>Семак Андрій</t>
  </si>
  <si>
    <t>ВФЧ/Ш/У/3996</t>
  </si>
  <si>
    <t>Семенюк Анастасія</t>
  </si>
  <si>
    <t>ВФЧ/Ш/У/3997</t>
  </si>
  <si>
    <t>Тишковець Дмитро</t>
  </si>
  <si>
    <t>ВФЧ/Ш/У/3998</t>
  </si>
  <si>
    <t>Хомин Владислав</t>
  </si>
  <si>
    <t>ВФЧ/Ш/У/3999</t>
  </si>
  <si>
    <t>Круць Григорій Ігорович</t>
  </si>
  <si>
    <t>Ліцей №2 м. Копичинці Копичинецької міської ради</t>
  </si>
  <si>
    <t>Лемчик Наталія Василівна</t>
  </si>
  <si>
    <t>ВФЧ/Ш/У/4000</t>
  </si>
  <si>
    <t>Дмитрів Діана Василівна</t>
  </si>
  <si>
    <t>ВФЧ/Ш/У/4001</t>
  </si>
  <si>
    <t>Процишин Анастасія Ігорівна</t>
  </si>
  <si>
    <t>ВФЧ/Ш/У/4002</t>
  </si>
  <si>
    <t>Ліщинський Олексій Андрійович</t>
  </si>
  <si>
    <t>Тернопільська загальноосвітня школа І-ІІІ №14 ім.Б.Лепкого</t>
  </si>
  <si>
    <t>Пасєка Наталія Іванівна</t>
  </si>
  <si>
    <t>ВФЧ/Ш/У/4003</t>
  </si>
  <si>
    <t>Янків Станіслав Михайлович</t>
  </si>
  <si>
    <t>ВФЧ/Ш/У/4004</t>
  </si>
  <si>
    <t>Баран Костянтин Тарасович</t>
  </si>
  <si>
    <t>ВФЧ/Ш/У/4005</t>
  </si>
  <si>
    <t>Кудрик Євгеній Русланович</t>
  </si>
  <si>
    <t>ВФЧ/Ш/У/4006</t>
  </si>
  <si>
    <t>Беньковська Аліна Сергіївна</t>
  </si>
  <si>
    <t>ВФЧ/Ш/У/4007</t>
  </si>
  <si>
    <t>Горожанська Анастасія Віталіївна</t>
  </si>
  <si>
    <t>ВФЧ/Ш/У/4008</t>
  </si>
  <si>
    <t>Шмигун Анастасія Віталіївна</t>
  </si>
  <si>
    <t>ВФЧ/Ш/У/4009</t>
  </si>
  <si>
    <t>Мусій Анна Володимирівна</t>
  </si>
  <si>
    <t>ВФЧ/Ш/У/4010</t>
  </si>
  <si>
    <t>Бурдяк Максим Сергійович</t>
  </si>
  <si>
    <t>Вишнівецький ліцей Вишнівецької селищної ради Кременецького району Тернопільської області</t>
  </si>
  <si>
    <t>Волинський Валерій Миколайович</t>
  </si>
  <si>
    <t>ВФЧ/Ш/У/4011</t>
  </si>
  <si>
    <t>Волошин Андрій Олегович</t>
  </si>
  <si>
    <t>ВФЧ/Ш/У/4012</t>
  </si>
  <si>
    <t>Голубенко Тетяна Сергіївна</t>
  </si>
  <si>
    <t>ВФЧ/Ш/У/4013</t>
  </si>
  <si>
    <t>Козлов Петро Миколайович</t>
  </si>
  <si>
    <t>ВФЧ/Ш/У/4014</t>
  </si>
  <si>
    <t>Мирга Максим Олександрович</t>
  </si>
  <si>
    <t>ВФЧ/Ш/У/4015</t>
  </si>
  <si>
    <t>Панонько Богданна Володимирівна</t>
  </si>
  <si>
    <t>ВФЧ/Ш/У/4016</t>
  </si>
  <si>
    <t>Чернявка Олександр Олександрович</t>
  </si>
  <si>
    <t>ВФЧ/Ш/У/4017</t>
  </si>
  <si>
    <t>Сакара Андрій</t>
  </si>
  <si>
    <t>Опорний заклад Почаївська ЗОШ І-ІІІ ступенів</t>
  </si>
  <si>
    <t>Козак Людмила Миколаївна</t>
  </si>
  <si>
    <t>ВФЧ/Ш/У/4018</t>
  </si>
  <si>
    <t>Обезюк Назар</t>
  </si>
  <si>
    <t>ВФЧ/Ш/У/4019</t>
  </si>
  <si>
    <t>Двигайло Софія</t>
  </si>
  <si>
    <t>ВФЧ/Ш/У/4020</t>
  </si>
  <si>
    <t>Лівінюк Тарас</t>
  </si>
  <si>
    <t>ВФЧ/Ш/У/4021</t>
  </si>
  <si>
    <t>Голуб Іван</t>
  </si>
  <si>
    <t>ВФЧ/Ш/У/4022</t>
  </si>
  <si>
    <t>Зубкевич Валерій</t>
  </si>
  <si>
    <t>ВФЧ/Ш/У/4023</t>
  </si>
  <si>
    <t>Копач Марія</t>
  </si>
  <si>
    <t>ВФЧ/Ш/У/4024</t>
  </si>
  <si>
    <t>Копач Кирил</t>
  </si>
  <si>
    <t>ВФЧ/Ш/У/4025</t>
  </si>
  <si>
    <t>Валинець Аріадна</t>
  </si>
  <si>
    <t>ВФЧ/Ш/У/4026</t>
  </si>
  <si>
    <t>Сусло Дарія</t>
  </si>
  <si>
    <t>ВФЧ/Ш/У/4027</t>
  </si>
  <si>
    <t>Кудляк Арсеній</t>
  </si>
  <si>
    <t>ВФЧ/Ш/У/4028</t>
  </si>
  <si>
    <t>Кушнірова Христина</t>
  </si>
  <si>
    <t>ВФЧ/Ш/У/4029</t>
  </si>
  <si>
    <t>Стецюк Анастасія</t>
  </si>
  <si>
    <t>ВФЧ/Ш/У/4030</t>
  </si>
  <si>
    <t>Мисько Марк</t>
  </si>
  <si>
    <t>ВФЧ/Ш/У/4031</t>
  </si>
  <si>
    <t>Гур'єва Ніка</t>
  </si>
  <si>
    <t>ВФЧ/Ш/У/4032</t>
  </si>
  <si>
    <t>Мельничук Вероніка</t>
  </si>
  <si>
    <t>ВФЧ/Ш/У/4033</t>
  </si>
  <si>
    <t>Присяжнюк Адріана</t>
  </si>
  <si>
    <t>ВФЧ/Ш/У/4034</t>
  </si>
  <si>
    <t>Скиба Денис</t>
  </si>
  <si>
    <t>ВФЧ/Ш/У/4035</t>
  </si>
  <si>
    <t>Осієвська Єлизавета</t>
  </si>
  <si>
    <t>ВФЧ/Ш/У/4036</t>
  </si>
  <si>
    <t>Циганюк Єлизавета</t>
  </si>
  <si>
    <t>ВФЧ/Ш/У/4037</t>
  </si>
  <si>
    <t>Цапок Анастасія</t>
  </si>
  <si>
    <t>ВФЧ/Ш/У/4038</t>
  </si>
  <si>
    <t>Андрусишин Христина Олегівна</t>
  </si>
  <si>
    <t>Саранчуківський ліцей</t>
  </si>
  <si>
    <t>Скіп Василь Григорович</t>
  </si>
  <si>
    <t>ВФЧ/Ш/У/4039</t>
  </si>
  <si>
    <t>Бачинська Карина Михайлівна</t>
  </si>
  <si>
    <t>ВФЧ/Ш/У/4040</t>
  </si>
  <si>
    <t>Бобко Мар'яна Андріївна</t>
  </si>
  <si>
    <t>ВФЧ/Ш/У/4041</t>
  </si>
  <si>
    <t>Вернигора Анастасія Павлівна</t>
  </si>
  <si>
    <t>ВФЧ/Ш/У/4042</t>
  </si>
  <si>
    <t>Леськів Денис Володимирович</t>
  </si>
  <si>
    <t>ВФЧ/Ш/У/4043</t>
  </si>
  <si>
    <t>Олексюк Христина Михайлівна</t>
  </si>
  <si>
    <t>ВФЧ/Ш/У/4044</t>
  </si>
  <si>
    <t>Халупа Інна Володимирівна</t>
  </si>
  <si>
    <t>ВФЧ/Ш/У/4045</t>
  </si>
  <si>
    <t>Бондаренко Артем Вікторович</t>
  </si>
  <si>
    <t>Харківський приватний ліцей "Перша українська школа"</t>
  </si>
  <si>
    <t>Венгрин Дарʼя Володимирівна</t>
  </si>
  <si>
    <t>ВФЧ/Ш/У/4046</t>
  </si>
  <si>
    <t>Серягіна Вероніка Володимирівна</t>
  </si>
  <si>
    <t>ВФЧ/Ш/У/4047</t>
  </si>
  <si>
    <t>Шевченко Гліб Миколайович</t>
  </si>
  <si>
    <t>ВФЧ/Ш/У/4048</t>
  </si>
  <si>
    <t>Тітова Софія Олександрівна</t>
  </si>
  <si>
    <t>ВФЧ/Ш/У/4049</t>
  </si>
  <si>
    <t>Орєхова Марія Вʼячеславівна</t>
  </si>
  <si>
    <t>ВФЧ/Ш/У/4050</t>
  </si>
  <si>
    <t>Кухар Анастасія Олександрівна</t>
  </si>
  <si>
    <t>ВФЧ/Ш/У/4051</t>
  </si>
  <si>
    <t>Петров Платон Олексійович</t>
  </si>
  <si>
    <t>ВФЧ/Ш/У/4052</t>
  </si>
  <si>
    <t>Лебедєва Олександра</t>
  </si>
  <si>
    <t>ВФЧ/Ш/У/4053</t>
  </si>
  <si>
    <t>Дехтяр Всеволод Сергійович</t>
  </si>
  <si>
    <t>ВФЧ/Ш/У/4054</t>
  </si>
  <si>
    <t>Коваленко Єлизавета Павлівна</t>
  </si>
  <si>
    <t>ВФЧ/Ш/У/4055</t>
  </si>
  <si>
    <t>Кайдалова Єлизавета Романівна</t>
  </si>
  <si>
    <t>ВФЧ/Ш/У/4056</t>
  </si>
  <si>
    <t>Бескоровайний Артем Антонович</t>
  </si>
  <si>
    <t>ВФЧ/Ш/У/4057</t>
  </si>
  <si>
    <t>Мартинюк Єгор Сергійович</t>
  </si>
  <si>
    <t>ВФЧ/Ш/У/4058</t>
  </si>
  <si>
    <t>Донець Ігор Артемович</t>
  </si>
  <si>
    <t>ВФЧ/Ш/У/4059</t>
  </si>
  <si>
    <t>Бєляєва Марія Русланівна</t>
  </si>
  <si>
    <t>Комунальний заклад "Харківський ліцей № 107 Харківської міської ради"</t>
  </si>
  <si>
    <t>Буряк Юлія Леонідівна</t>
  </si>
  <si>
    <t>ВФЧ/Ш/У/4060</t>
  </si>
  <si>
    <t>Кисельов Даниіл Андрійович</t>
  </si>
  <si>
    <t>ВФЧ/Ш/У/4061</t>
  </si>
  <si>
    <t>Клеєвський Євгеній Русланович</t>
  </si>
  <si>
    <t>ВФЧ/Ш/У/4062</t>
  </si>
  <si>
    <t>Мудрагеля Андрій Максимович</t>
  </si>
  <si>
    <t>ВФЧ/Ш/У/4063</t>
  </si>
  <si>
    <t>Возняк Юлія Вікторівна</t>
  </si>
  <si>
    <t>ВФЧ/Ш/У/4064</t>
  </si>
  <si>
    <t>Сорокін Іван Євгенович</t>
  </si>
  <si>
    <t>ВФЧ/Ш/У/4065</t>
  </si>
  <si>
    <t>Сухопаров Максим Олегович</t>
  </si>
  <si>
    <t>ВФЧ/Ш/У/4066</t>
  </si>
  <si>
    <t>Помогаєва Олександра Ігорівна</t>
  </si>
  <si>
    <t>ВФЧ/Ш/У/4067</t>
  </si>
  <si>
    <t>Риженков Iлля</t>
  </si>
  <si>
    <t>Харківський фаховий коледж спорту</t>
  </si>
  <si>
    <t>Горбенко Ольга Борисівна</t>
  </si>
  <si>
    <t>ВФЧ/Ш/У/4068</t>
  </si>
  <si>
    <t>Тищенко Євгеній</t>
  </si>
  <si>
    <t>ВФЧ/Ш/У/4069</t>
  </si>
  <si>
    <t>Ломинога Єгор</t>
  </si>
  <si>
    <t>ВФЧ/Ш/У/4070</t>
  </si>
  <si>
    <t>Матвейченко Ілля</t>
  </si>
  <si>
    <t>ВФЧ/Ш/У/4071</t>
  </si>
  <si>
    <t>Мартиросян Артур</t>
  </si>
  <si>
    <t>ВФЧ/Ш/У/4072</t>
  </si>
  <si>
    <t>Іванов Гліб</t>
  </si>
  <si>
    <t>ВФЧ/Ш/У/4073</t>
  </si>
  <si>
    <t>Сметана Давид</t>
  </si>
  <si>
    <t>ВФЧ/Ш/У/4074</t>
  </si>
  <si>
    <t>Минка Костянтин</t>
  </si>
  <si>
    <t>ВФЧ/Ш/У/4075</t>
  </si>
  <si>
    <t>Лисенко Максим</t>
  </si>
  <si>
    <t>ВФЧ/Ш/У/4076</t>
  </si>
  <si>
    <t>Кравченко Матвій</t>
  </si>
  <si>
    <t>ВФЧ/Ш/У/4077</t>
  </si>
  <si>
    <t>Рибас Олег</t>
  </si>
  <si>
    <t>ВФЧ/Ш/У/4078</t>
  </si>
  <si>
    <t>Єременко Тимофій</t>
  </si>
  <si>
    <t>ВФЧ/Ш/У/4079</t>
  </si>
  <si>
    <t>Картавцева Поліна Павлівна</t>
  </si>
  <si>
    <t>Комунальний заклад "Харківський академічний ліцей N45 Харківської міської ради"</t>
  </si>
  <si>
    <t>Обод Маргарита Львівна</t>
  </si>
  <si>
    <t>ВФЧ/Ш/У/4080</t>
  </si>
  <si>
    <t>Фомін Даніїл Андрійович</t>
  </si>
  <si>
    <t>ВФЧ/Ш/У/4081</t>
  </si>
  <si>
    <t>Савран Михайло Антонович</t>
  </si>
  <si>
    <t>ВФЧ/Ш/У/4082</t>
  </si>
  <si>
    <t>Орловська Євгенія Сергіївна</t>
  </si>
  <si>
    <t>ВФЧ/Ш/У/4083</t>
  </si>
  <si>
    <t>Тимченко Марк Михайлович</t>
  </si>
  <si>
    <t>ВФЧ/Ш/У/4084</t>
  </si>
  <si>
    <t>Бережна Вероніка Аркадіївна</t>
  </si>
  <si>
    <t>ПРИВАТНИЙ ЗАКЛАД ЗАГАЛЬНОЇ СЕРЕДНЬОЇ ОСВІТИ "ХАРКІВСЬКИЙ ЛІЦЕЙ "ІТ СТЕП СКУЛ ХАРКІВ" ХАРКІВСЬКОЇ ОБЛАСТІ</t>
  </si>
  <si>
    <t>Зайцева Ірина Олександрівна</t>
  </si>
  <si>
    <t>ВФЧ/Ш/У/4085</t>
  </si>
  <si>
    <t>Гульчук Максіміліан Андрійович</t>
  </si>
  <si>
    <t>ВФЧ/Ш/У/4086</t>
  </si>
  <si>
    <t>Дудка Лев Антонович</t>
  </si>
  <si>
    <t>ВФЧ/Ш/У/4087</t>
  </si>
  <si>
    <t>Кірносов Назар Максимович</t>
  </si>
  <si>
    <t>ВФЧ/Ш/У/4088</t>
  </si>
  <si>
    <t>Когут Артем Петрович</t>
  </si>
  <si>
    <t>ВФЧ/Ш/У/4089</t>
  </si>
  <si>
    <t>Кучеренко Микита Олексійович</t>
  </si>
  <si>
    <t>ВФЧ/Ш/У/4090</t>
  </si>
  <si>
    <t>Липовий Ілля Євгенович</t>
  </si>
  <si>
    <t>ВФЧ/Ш/У/4091</t>
  </si>
  <si>
    <t>Литвинов Микита Владиславович</t>
  </si>
  <si>
    <t>ВФЧ/Ш/У/4092</t>
  </si>
  <si>
    <t>Любенко Олексій Олександрович</t>
  </si>
  <si>
    <t>ВФЧ/Ш/У/4093</t>
  </si>
  <si>
    <t>Маштабей Михайло Олексійович</t>
  </si>
  <si>
    <t>ВФЧ/Ш/У/4094</t>
  </si>
  <si>
    <t>Панасенко Володимир Владиславович</t>
  </si>
  <si>
    <t>ВФЧ/Ш/У/4095</t>
  </si>
  <si>
    <t>Писарук Марія Сергіївна</t>
  </si>
  <si>
    <t>ВФЧ/Ш/У/4096</t>
  </si>
  <si>
    <t>Радченко Родіон Русланович</t>
  </si>
  <si>
    <t>ВФЧ/Ш/У/4097</t>
  </si>
  <si>
    <t>Рибін Тимофій Денисович</t>
  </si>
  <si>
    <t>ВФЧ/Ш/У/4098</t>
  </si>
  <si>
    <t>Сакал Аріна Віталіївна</t>
  </si>
  <si>
    <t>ВФЧ/Ш/У/4099</t>
  </si>
  <si>
    <t>Січевий Кірілл Віталійович</t>
  </si>
  <si>
    <t>Комунальний заклад"Харківський ліцей №156 Харківської міської ради"</t>
  </si>
  <si>
    <t>Данілова Інна Олександрівна</t>
  </si>
  <si>
    <t>ВФЧ/Ш/У/4100</t>
  </si>
  <si>
    <t>Вільхова Анастасія Дмитрівна</t>
  </si>
  <si>
    <t>ВФЧ/Ш/У/4101</t>
  </si>
  <si>
    <t>Бєляєва Софія Володимирівна</t>
  </si>
  <si>
    <t>Комунальний заклад "Харківський ліцей №141 Харківської міської ради"</t>
  </si>
  <si>
    <t>Махамат Світлана Василівна</t>
  </si>
  <si>
    <t>ВФЧ/Ш/У/4102</t>
  </si>
  <si>
    <t>Кабанець Анастасія Віталіївна</t>
  </si>
  <si>
    <t>ВФЧ/Ш/У/4103</t>
  </si>
  <si>
    <t>Кочегарова Поліна Максимівна</t>
  </si>
  <si>
    <t>ВФЧ/Ш/У/4104</t>
  </si>
  <si>
    <t>Шамрицький Тимур Олександрович</t>
  </si>
  <si>
    <t>ВФЧ/Ш/У/4105</t>
  </si>
  <si>
    <t>Шаульська Валерія Олександрівна</t>
  </si>
  <si>
    <t>ВФЧ/Ш/У/4106</t>
  </si>
  <si>
    <t>Шейка Тимур Олександрович</t>
  </si>
  <si>
    <t>ВФЧ/Ш/У/4107</t>
  </si>
  <si>
    <t>Яремко Софія Романівна</t>
  </si>
  <si>
    <t>ВФЧ/Ш/У/4108</t>
  </si>
  <si>
    <t>Ярмольчик Василіса Сергіївна</t>
  </si>
  <si>
    <t>ВФЧ/Ш/У/4109</t>
  </si>
  <si>
    <t>Балясна Єлизавета Олександрівна</t>
  </si>
  <si>
    <t>ВФЧ/Ш/У/4110</t>
  </si>
  <si>
    <t>Бондар Владислав Сергійович</t>
  </si>
  <si>
    <t>ВФЧ/Ш/У/4111</t>
  </si>
  <si>
    <t>Варава Валерія Олександрівна</t>
  </si>
  <si>
    <t>ВФЧ/Ш/У/4112</t>
  </si>
  <si>
    <t>Кукленко Єлизавета Сергіївна</t>
  </si>
  <si>
    <t>ВФЧ/Ш/У/4113</t>
  </si>
  <si>
    <t>Назарько Платон Денисович</t>
  </si>
  <si>
    <t>ВФЧ/Ш/У/4114</t>
  </si>
  <si>
    <t>Захарєнкова Тетяна Євгенівна</t>
  </si>
  <si>
    <t>ВФЧ/Ш/У/4115</t>
  </si>
  <si>
    <t>Харін Арсеній Олександрович</t>
  </si>
  <si>
    <t>ВФЧ/Ш/У/4116</t>
  </si>
  <si>
    <t>Чеглаков Володимир Анатолійович</t>
  </si>
  <si>
    <t>ВФЧ/Ш/У/4117</t>
  </si>
  <si>
    <t>Фісунов Дмитро Ігорович</t>
  </si>
  <si>
    <t>ВФЧ/Ш/У/4118</t>
  </si>
  <si>
    <t>Башкатов Владислав Володимирович</t>
  </si>
  <si>
    <t>Берестинський ліцей №3</t>
  </si>
  <si>
    <t>Українець Марина Володимирівна</t>
  </si>
  <si>
    <t>ВФЧ/Ш/У/4119</t>
  </si>
  <si>
    <t>Власов Назар Віталійович</t>
  </si>
  <si>
    <t>ВФЧ/Ш/У/4120</t>
  </si>
  <si>
    <t>Клочко Маргарита Артемівна</t>
  </si>
  <si>
    <t>ВФЧ/Ш/У/4121</t>
  </si>
  <si>
    <t>Лунін Михайло Денисович</t>
  </si>
  <si>
    <t>ВФЧ/Ш/У/4122</t>
  </si>
  <si>
    <t>Михайлов Александр Олександрович</t>
  </si>
  <si>
    <t>ВФЧ/Ш/У/4123</t>
  </si>
  <si>
    <t>Мірошниченко Софія Вадимівна</t>
  </si>
  <si>
    <t>ВФЧ/Ш/У/4124</t>
  </si>
  <si>
    <t>Ошкукова Катерина Андріївна</t>
  </si>
  <si>
    <t>ВФЧ/Ш/У/4125</t>
  </si>
  <si>
    <t>Нарсіа Мілана Ігорівна</t>
  </si>
  <si>
    <t>ВФЧ/Ш/У/4126</t>
  </si>
  <si>
    <t>Перко Анастасія Костянтинівна</t>
  </si>
  <si>
    <t>ВФЧ/Ш/У/4127</t>
  </si>
  <si>
    <t>Соколова Крістіна Олександрівна</t>
  </si>
  <si>
    <t>ВФЧ/Ш/У/4128</t>
  </si>
  <si>
    <t>Черенков Дмитро Вячеславович</t>
  </si>
  <si>
    <t>ВФЧ/Ш/У/4129</t>
  </si>
  <si>
    <t>Шелевий Олексій Сергійович</t>
  </si>
  <si>
    <t>ВФЧ/Ш/У/4130</t>
  </si>
  <si>
    <t>Кущьова Владислава Євгеніївна</t>
  </si>
  <si>
    <t>ВФЧ/Ш/У/4131</t>
  </si>
  <si>
    <t>Сазонов Артем Дмитрович</t>
  </si>
  <si>
    <t>ВФЧ/Ш/У/4132</t>
  </si>
  <si>
    <t>Українець Анастасія Віталіївна</t>
  </si>
  <si>
    <t>ВФЧ/Ш/У/4133</t>
  </si>
  <si>
    <t>Лемехов Анатолій Вячеславович</t>
  </si>
  <si>
    <t>Комунальний заклад «Харківський ліцей №20 Харківської міської ради»</t>
  </si>
  <si>
    <t>Нечаєва-Носова Оксана Олександрівна</t>
  </si>
  <si>
    <t>ВФЧ/Ш/У/4134</t>
  </si>
  <si>
    <t>Портянко Марія Олексіївна</t>
  </si>
  <si>
    <t>ВФЧ/Ш/У/4135</t>
  </si>
  <si>
    <t>Клочкова Поліна Максимівна</t>
  </si>
  <si>
    <t>Комунальний заклад "Харківський ліцей №157 Харківської міської ради"</t>
  </si>
  <si>
    <t>Коваленко Тетяна Федорівна</t>
  </si>
  <si>
    <t>ВФЧ/Ш/У/4136</t>
  </si>
  <si>
    <t>Бубела Мирослав Миколайович</t>
  </si>
  <si>
    <t>ВФЧ/Ш/У/4137</t>
  </si>
  <si>
    <t>Захарова Поліна Вікторівна</t>
  </si>
  <si>
    <t>ВФЧ/Ш/У/4138</t>
  </si>
  <si>
    <t>Зозуля Владислав Сергійович</t>
  </si>
  <si>
    <t>Колонтаївський ліцей Краснокутської селищної ради Богодухівського району Харківської області</t>
  </si>
  <si>
    <t>Пономаренко Оксана Миколаївна</t>
  </si>
  <si>
    <t>ВФЧ/Ш/У/4139</t>
  </si>
  <si>
    <t>Козороз Дмитро Богданович</t>
  </si>
  <si>
    <t>Комунальний заклад "Харківський ліцей № 128 Харківської міської ради"</t>
  </si>
  <si>
    <t>Плеханова Анна Юріївна</t>
  </si>
  <si>
    <t>ВФЧ/Ш/У/4140</t>
  </si>
  <si>
    <t>Онацький Даніїл Олегович</t>
  </si>
  <si>
    <t>ВФЧ/Ш/У/4141</t>
  </si>
  <si>
    <t>Башкатова Анастасія Юріївна</t>
  </si>
  <si>
    <t>ВФЧ/Ш/У/4142</t>
  </si>
  <si>
    <t>Мартиненко Владислав Олегович</t>
  </si>
  <si>
    <t>ВФЧ/Ш/У/4143</t>
  </si>
  <si>
    <t>Єресько Гліб Едуардович</t>
  </si>
  <si>
    <t>Комунальний заклад "Люботинський мистецький ліцей "Дивосвіт"" Харківської обласної ради</t>
  </si>
  <si>
    <t>Бойко Катерина Вікторівна</t>
  </si>
  <si>
    <t>ВФЧ/Ш/У/4144</t>
  </si>
  <si>
    <t>Тур Давид Андрійович</t>
  </si>
  <si>
    <t>ВФЧ/Ш/У/4145</t>
  </si>
  <si>
    <t>Редванський Нікіта Сергійович</t>
  </si>
  <si>
    <t>ВФЧ/Ш/У/4146</t>
  </si>
  <si>
    <t>Євтушенко Тимур Олексійович</t>
  </si>
  <si>
    <t>ВФЧ/Ш/У/4147</t>
  </si>
  <si>
    <t>Бабін Дмітрій Володимирович</t>
  </si>
  <si>
    <t>ВФЧ/Ш/У/4148</t>
  </si>
  <si>
    <t>Брицький Давид Юрійович</t>
  </si>
  <si>
    <t>ВФЧ/Ш/У/4149</t>
  </si>
  <si>
    <t>Іванченко Софія Артемівна</t>
  </si>
  <si>
    <t>ВФЧ/Ш/У/4150</t>
  </si>
  <si>
    <t>Головко Альбіна Ігорівна</t>
  </si>
  <si>
    <t>Комунальний заклад "Харківський ліцей №139 Харківської міської ради"</t>
  </si>
  <si>
    <t>Никифорова Алла Вікторівна</t>
  </si>
  <si>
    <t>ВФЧ/Ш/У/4151</t>
  </si>
  <si>
    <t>Демків Тетяна Павлівна</t>
  </si>
  <si>
    <t>ВФЧ/Ш/У/4152</t>
  </si>
  <si>
    <t>Грабовський Станіслав Дмитрович</t>
  </si>
  <si>
    <t>ВФЧ/Ш/У/4153</t>
  </si>
  <si>
    <t>Макаренко Анна Андріївна</t>
  </si>
  <si>
    <t>ВФЧ/Ш/У/4154</t>
  </si>
  <si>
    <t>Половик Богдан Ігорович</t>
  </si>
  <si>
    <t>ВФЧ/Ш/У/4155</t>
  </si>
  <si>
    <t>Старченко Михайло Олександрович</t>
  </si>
  <si>
    <t>ВФЧ/Ш/У/4156</t>
  </si>
  <si>
    <t>Сукачов Михайло Максимович</t>
  </si>
  <si>
    <t>ВФЧ/Ш/У/4157</t>
  </si>
  <si>
    <t>Топольник Ярослав Володимирович</t>
  </si>
  <si>
    <t>ВФЧ/Ш/У/4158</t>
  </si>
  <si>
    <t>Хайло Кирило Дмитрович</t>
  </si>
  <si>
    <t>ВФЧ/Ш/У/4159</t>
  </si>
  <si>
    <t>Пархоменко Вероніка Іванівна</t>
  </si>
  <si>
    <t>Комунальний заклад "Харківський ліцей №143 Харківської міської ради"</t>
  </si>
  <si>
    <t>Джура Микола Сергійович</t>
  </si>
  <si>
    <t>ВФЧ/Ш/У/4160</t>
  </si>
  <si>
    <t>Меньшикова Маргарита Віталіївна</t>
  </si>
  <si>
    <t>ВФЧ/Ш/У/4161</t>
  </si>
  <si>
    <t>Власюк Юрій Ярославович</t>
  </si>
  <si>
    <t>ВФЧ/Ш/У/4162</t>
  </si>
  <si>
    <t>Горобець Анастасія Олексіївна</t>
  </si>
  <si>
    <t>ВФЧ/Ш/У/4163</t>
  </si>
  <si>
    <t>Хачатуров Давид Оганезович</t>
  </si>
  <si>
    <t>ВФЧ/Ш/У/4164</t>
  </si>
  <si>
    <t>Цібульська Катерина Андріївна</t>
  </si>
  <si>
    <t>ВФЧ/Ш/У/4165</t>
  </si>
  <si>
    <t>Завада Ян Максимович</t>
  </si>
  <si>
    <t>Комунальний заклад Слобожанський ліцей № 2 Слобожанської міської ради Чугуївського району Харківської області</t>
  </si>
  <si>
    <t>Степаненко Ірина Петрівна</t>
  </si>
  <si>
    <t>ВФЧ/Ш/У/4166</t>
  </si>
  <si>
    <t>Ільїна Маргарита Вадимівна</t>
  </si>
  <si>
    <t>ВФЧ/Ш/У/4167</t>
  </si>
  <si>
    <t>Кайгородцева Анастасія Валеріївна</t>
  </si>
  <si>
    <t>ВФЧ/Ш/У/4168</t>
  </si>
  <si>
    <t>Попов Єгор Дмитрович</t>
  </si>
  <si>
    <t>ВФЧ/Ш/У/4169</t>
  </si>
  <si>
    <t>Сапко Лана Ігорівна</t>
  </si>
  <si>
    <t>ВФЧ/Ш/У/4170</t>
  </si>
  <si>
    <t>Срібний Віталій Володимирович</t>
  </si>
  <si>
    <t>ВФЧ/Ш/У/4171</t>
  </si>
  <si>
    <t>Христосова Анастасія Сергіївна</t>
  </si>
  <si>
    <t>ВФЧ/Ш/У/4172</t>
  </si>
  <si>
    <t>Черкашина Даріна Михайлівна</t>
  </si>
  <si>
    <t>ВФЧ/Ш/У/4173</t>
  </si>
  <si>
    <t>Боднарчук Ярослав Васильович</t>
  </si>
  <si>
    <t>Комунальний заклад "Харківський ліцей № 64 Харківської міської ради"</t>
  </si>
  <si>
    <t>Ємельянова Лідія Іванівна</t>
  </si>
  <si>
    <t>ВФЧ/Ш/У/4174</t>
  </si>
  <si>
    <t>Глинський Олег Віталійович</t>
  </si>
  <si>
    <t>ВФЧ/Ш/У/4175</t>
  </si>
  <si>
    <t>Добровольський Єгор Віталійович</t>
  </si>
  <si>
    <t>ВФЧ/Ш/У/4176</t>
  </si>
  <si>
    <t>Дронова Альбіна Олександрівна</t>
  </si>
  <si>
    <t>ВФЧ/Ш/У/4177</t>
  </si>
  <si>
    <t>Іващенко Маріанна Юріївна</t>
  </si>
  <si>
    <t>ВФЧ/Ш/У/4178</t>
  </si>
  <si>
    <t>Камишан Марія Михайлівна</t>
  </si>
  <si>
    <t>ВФЧ/Ш/У/4179</t>
  </si>
  <si>
    <t>Клевацький Микита Максимович</t>
  </si>
  <si>
    <t>ВФЧ/Ш/У/4180</t>
  </si>
  <si>
    <t>Метик Ілля Олександрович</t>
  </si>
  <si>
    <t>ВФЧ/Ш/У/4181</t>
  </si>
  <si>
    <t>Попова Валерія Сергіївна</t>
  </si>
  <si>
    <t>ВФЧ/Ш/У/4182</t>
  </si>
  <si>
    <t>Горяйнова Діана Олександрівна</t>
  </si>
  <si>
    <t>Комунальний заклад "Харкіівський ліцей № 80 Харківської міської ради"</t>
  </si>
  <si>
    <t>Колосова Наталія Станіславівна</t>
  </si>
  <si>
    <t>ВФЧ/Ш/У/4183</t>
  </si>
  <si>
    <t>Груба Артем Олександрович</t>
  </si>
  <si>
    <t>ВФЧ/Ш/У/4184</t>
  </si>
  <si>
    <t>Засід Варвара Євгеніївна</t>
  </si>
  <si>
    <t>ВФЧ/Ш/У/4185</t>
  </si>
  <si>
    <t>Нечепоренко Аліна В'ячеславівна</t>
  </si>
  <si>
    <t>ВФЧ/Ш/У/4186</t>
  </si>
  <si>
    <t>Головчанська Марія Максимівна</t>
  </si>
  <si>
    <t>ВФЧ/Ш/У/4187</t>
  </si>
  <si>
    <t>Козуб Єгор Русланович</t>
  </si>
  <si>
    <t>ВФЧ/Ш/У/4188</t>
  </si>
  <si>
    <t>Мерінцова Софія Артемівна</t>
  </si>
  <si>
    <t>ВФЧ/Ш/У/4189</t>
  </si>
  <si>
    <t>Фоменко Аніта Юріївна</t>
  </si>
  <si>
    <t>ВФЧ/Ш/У/4190</t>
  </si>
  <si>
    <t>Морозова Поліна Михайлівна</t>
  </si>
  <si>
    <t>Комунальний заклад "Малороганський ліцей Вільхівської сільської ради Харківського району Харківської області"</t>
  </si>
  <si>
    <t>Фурсова Олена Вікторівна</t>
  </si>
  <si>
    <t>ВФЧ/Ш/У/4191</t>
  </si>
  <si>
    <t>Зіненко Андрій Сергійович</t>
  </si>
  <si>
    <t>ВФЧ/Ш/У/4192</t>
  </si>
  <si>
    <t>Стеніна Ганна Вікторівна</t>
  </si>
  <si>
    <t>ВФЧ/Ш/У/4193</t>
  </si>
  <si>
    <t>Юрко Назар Володимирович</t>
  </si>
  <si>
    <t>ВФЧ/Ш/У/4194</t>
  </si>
  <si>
    <t>Лубенцова Анастасія Андріївна</t>
  </si>
  <si>
    <t>ВФЧ/Ш/У/4195</t>
  </si>
  <si>
    <t>Лубенцова Катерина Андріївна</t>
  </si>
  <si>
    <t>ВФЧ/Ш/У/4196</t>
  </si>
  <si>
    <t>Дибольська Марія Олегівна</t>
  </si>
  <si>
    <t>ВФЧ/Ш/У/4197</t>
  </si>
  <si>
    <t>Конюхова Аліна Сергіївна</t>
  </si>
  <si>
    <t>ВФЧ/Ш/У/4198</t>
  </si>
  <si>
    <t>Зачепило Дмитро Костянтинович</t>
  </si>
  <si>
    <t>ВФЧ/Ш/У/4199</t>
  </si>
  <si>
    <t>Головань Микита Сергійович</t>
  </si>
  <si>
    <t>Комунальний заклад "Харківський ліцей №147 Харківської міської ради "</t>
  </si>
  <si>
    <t>Ляхівненко Людмила Володимирівна</t>
  </si>
  <si>
    <t>ВФЧ/Ш/У/4200</t>
  </si>
  <si>
    <t>Рекало Дар'я Сергіївна</t>
  </si>
  <si>
    <t>КЗ "Харківський академічний ліцей №9" Харківської обласної ради</t>
  </si>
  <si>
    <t>Журавель Ганна Григорівна</t>
  </si>
  <si>
    <t>ВФЧ/Ш/У/4201</t>
  </si>
  <si>
    <t>Журба Євген Богданович</t>
  </si>
  <si>
    <t>ВФЧ/Ш/У/4202</t>
  </si>
  <si>
    <t>Копійка Яна Олександрівна</t>
  </si>
  <si>
    <t>Комунальний заклад "Харківський ліцей № 56 Харківської міської ради"</t>
  </si>
  <si>
    <t>Кірєєва Анна Віталіївна</t>
  </si>
  <si>
    <t>ВФЧ/Ш/У/4203</t>
  </si>
  <si>
    <t>Лінник Матвій Євгенович</t>
  </si>
  <si>
    <t>Комунальний заклад "Харківський науковий ліцей "Обдарованість"" Харківської обласної ради</t>
  </si>
  <si>
    <t>Поливанний Валерій Сергійович</t>
  </si>
  <si>
    <t>ВФЧ/Ш/У/4204</t>
  </si>
  <si>
    <t>Пісклова Тетяна Іванівна</t>
  </si>
  <si>
    <t>ВФЧ/Ш/У/4205</t>
  </si>
  <si>
    <t>Мартовицький Єгор Юрійович</t>
  </si>
  <si>
    <t>ВФЧ/Ш/У/4206</t>
  </si>
  <si>
    <t>Рожков Данііл Леонідович</t>
  </si>
  <si>
    <t>ВФЧ/Ш/У/4207</t>
  </si>
  <si>
    <t>Воловик Тимур Андрійович</t>
  </si>
  <si>
    <t>ВФЧ/Ш/У/4208</t>
  </si>
  <si>
    <t>Мамай Артем Олександрович</t>
  </si>
  <si>
    <t>ВФЧ/Ш/У/4209</t>
  </si>
  <si>
    <t>Марич Владислав Жолтович</t>
  </si>
  <si>
    <t>ВФЧ/Ш/У/4210</t>
  </si>
  <si>
    <t>Карпеко Богдан Олексійович</t>
  </si>
  <si>
    <t>Комунальний заклад "Харківський ліцей № 4 Харківської міської ради"</t>
  </si>
  <si>
    <t>Бутко Ольга Володимирівна</t>
  </si>
  <si>
    <t>ВФЧ/Ш/У/4211</t>
  </si>
  <si>
    <t>Ляшко Матвій Олександрович</t>
  </si>
  <si>
    <t>ВФЧ/Ш/У/4212</t>
  </si>
  <si>
    <t>Півень Милана Андріївна</t>
  </si>
  <si>
    <t>ВФЧ/Ш/У/4213</t>
  </si>
  <si>
    <t>Ценін Всеволод Владиславович</t>
  </si>
  <si>
    <t>ВФЧ/Ш/У/4214</t>
  </si>
  <si>
    <t>Бріцин Микола Юрійович</t>
  </si>
  <si>
    <t>Комунальний заклад "Харківський ліцей № 93 ХМР"</t>
  </si>
  <si>
    <t>Бєлоусова Світлана Володимирівна</t>
  </si>
  <si>
    <t>ВФЧ/Ш/У/4215</t>
  </si>
  <si>
    <t>Ганцева Марія Юріївна</t>
  </si>
  <si>
    <t>ВФЧ/Ш/У/4216</t>
  </si>
  <si>
    <t>Дорожко Єгор Дмитрович</t>
  </si>
  <si>
    <t>ВФЧ/Ш/У/4217</t>
  </si>
  <si>
    <t>Кушнір Анастасія Віталіївна</t>
  </si>
  <si>
    <t>ВФЧ/Ш/У/4218</t>
  </si>
  <si>
    <t>Маліновська Євгенія Олексіївна</t>
  </si>
  <si>
    <t>ВФЧ/Ш/У/4219</t>
  </si>
  <si>
    <t>Меркулова Вероніка Вячеславіна</t>
  </si>
  <si>
    <t>ВФЧ/Ш/У/4220</t>
  </si>
  <si>
    <t>Надутий Кіріл Сергійович</t>
  </si>
  <si>
    <t>ВФЧ/Ш/У/4221</t>
  </si>
  <si>
    <t>Панченко Даніл Григорович</t>
  </si>
  <si>
    <t>ВФЧ/Ш/У/4222</t>
  </si>
  <si>
    <t>Римарчук Аліса Вікторівна</t>
  </si>
  <si>
    <t>ВФЧ/Ш/У/4223</t>
  </si>
  <si>
    <t>Самодєлов Максим Сергійович</t>
  </si>
  <si>
    <t>ВФЧ/Ш/У/4224</t>
  </si>
  <si>
    <t>Сиротенко Кирило Дмитрович</t>
  </si>
  <si>
    <t>ВФЧ/Ш/У/4225</t>
  </si>
  <si>
    <t>Тлєгуров Єгор Артемович</t>
  </si>
  <si>
    <t>ВФЧ/Ш/У/4226</t>
  </si>
  <si>
    <t>Черенов Ілля Сергійович</t>
  </si>
  <si>
    <t>ВФЧ/Ш/У/4227</t>
  </si>
  <si>
    <t>Шершак Станіслав Олексійович</t>
  </si>
  <si>
    <t>ВФЧ/Ш/У/4228</t>
  </si>
  <si>
    <t>Дашковська Валерія Віталіївна</t>
  </si>
  <si>
    <t>Тавричанський опорний комунальний заклад загальної середньої освіти імені О. Гатила</t>
  </si>
  <si>
    <t>Бажан Сергій Євгенович</t>
  </si>
  <si>
    <t>ВФЧ/Ш/У/4229</t>
  </si>
  <si>
    <t>Юрчук Олександра Олегівна</t>
  </si>
  <si>
    <t>Ліцей №3 Новокаховської міської ради</t>
  </si>
  <si>
    <t>Батрак Аліна Русланівна</t>
  </si>
  <si>
    <t>ВФЧ/Ш/У/4230</t>
  </si>
  <si>
    <t>Булан Поліна Миколаївна</t>
  </si>
  <si>
    <t>ВФЧ/Ш/У/4231</t>
  </si>
  <si>
    <t>Чупров Данило Михайлович</t>
  </si>
  <si>
    <t>ВФЧ/Ш/У/4232</t>
  </si>
  <si>
    <t>Кулик Софія Ігорівна</t>
  </si>
  <si>
    <t>ВФЧ/Ш/У/4233</t>
  </si>
  <si>
    <t>Коломієць Тимур Андрійович</t>
  </si>
  <si>
    <t>ВФЧ/Ш/У/4234</t>
  </si>
  <si>
    <t>Воловик Софія Русланівна</t>
  </si>
  <si>
    <t>Херсонська загальноосвітня школа І-ІІІ ступенів №46 Херсонської міської ради</t>
  </si>
  <si>
    <t>Ковалець Євгенія Іванівна</t>
  </si>
  <si>
    <t>ВФЧ/Ш/У/4235</t>
  </si>
  <si>
    <t>Дергачова Меланія Дмитрівна</t>
  </si>
  <si>
    <t>ВФЧ/Ш/У/4236</t>
  </si>
  <si>
    <t>Кислиця Денис Миколайович</t>
  </si>
  <si>
    <t>ВФЧ/Ш/У/4237</t>
  </si>
  <si>
    <t>Сусоєва Олександра Олександрівна</t>
  </si>
  <si>
    <t>ВФЧ/Ш/У/4238</t>
  </si>
  <si>
    <t>Крейнін Олександр Станіславович</t>
  </si>
  <si>
    <t>ВФЧ/Ш/У/4239</t>
  </si>
  <si>
    <t>Кульчі Роман Андрійович</t>
  </si>
  <si>
    <t>ВФЧ/Ш/У/4240</t>
  </si>
  <si>
    <t>Тяпкіна Діана Романівна</t>
  </si>
  <si>
    <t>ВФЧ/Ш/У/4241</t>
  </si>
  <si>
    <t>Кляус Вероніка Вячеславівна</t>
  </si>
  <si>
    <t>ВФЧ/Ш/У/4242</t>
  </si>
  <si>
    <t>Саприкіна Юліана Сергіївна</t>
  </si>
  <si>
    <t>ВФЧ/Ш/У/4243</t>
  </si>
  <si>
    <t>Садоха Кароліна Вікторівна</t>
  </si>
  <si>
    <t>ВФЧ/Ш/У/4244</t>
  </si>
  <si>
    <t>Ільницька Софія Ігорівна</t>
  </si>
  <si>
    <t>ВФЧ/Ш/У/4245</t>
  </si>
  <si>
    <t>Білецький Тимофій Андрійович</t>
  </si>
  <si>
    <t>ВФЧ/Ш/У/4246</t>
  </si>
  <si>
    <t>Радько Артем Ігорович</t>
  </si>
  <si>
    <t>ВФЧ/Ш/У/4247</t>
  </si>
  <si>
    <t>Заворотний Іван Дмитрович</t>
  </si>
  <si>
    <t>ВФЧ/Ш/У/4248</t>
  </si>
  <si>
    <t>Шкіль Анатолій Миколайович</t>
  </si>
  <si>
    <t>ВФЧ/Ш/У/4249</t>
  </si>
  <si>
    <t>Мерончук Юрій Валерійович</t>
  </si>
  <si>
    <t>ВФЧ/Ш/У/4250</t>
  </si>
  <si>
    <t>Літвін Тимур Артемович</t>
  </si>
  <si>
    <t>ВФЧ/Ш/У/4251</t>
  </si>
  <si>
    <t>Ластовляк Ярослав Андрійович</t>
  </si>
  <si>
    <t>ВФЧ/Ш/У/4252</t>
  </si>
  <si>
    <t>Пожаєва Софія Сергіївна</t>
  </si>
  <si>
    <t>ВФЧ/Ш/У/4253</t>
  </si>
  <si>
    <t>Перевозчиков Даніл Дмитрович</t>
  </si>
  <si>
    <t>ВФЧ/Ш/У/4254</t>
  </si>
  <si>
    <t>Пігіда Каріна Віталіївна</t>
  </si>
  <si>
    <t>ВФЧ/Ш/У/4255</t>
  </si>
  <si>
    <t>Федоренко Давид Миколайович</t>
  </si>
  <si>
    <t>ВФЧ/Ш/У/4256</t>
  </si>
  <si>
    <t>Подвигін Євген Васильович</t>
  </si>
  <si>
    <t>Херсонська багатопрофільна гімназія N20</t>
  </si>
  <si>
    <t>Зайцева Надія Георгіївна</t>
  </si>
  <si>
    <t>ВФЧ/Ш/У/4257</t>
  </si>
  <si>
    <t>Михайлик Максим Сергійович</t>
  </si>
  <si>
    <t>ВФЧ/Ш/У/4258</t>
  </si>
  <si>
    <t>Тахтай-Сорокин Владислав Володимирович</t>
  </si>
  <si>
    <t>ВФЧ/Ш/У/4259</t>
  </si>
  <si>
    <t>Краліч Костянтин Ігорович</t>
  </si>
  <si>
    <t>ВФЧ/Ш/У/4260</t>
  </si>
  <si>
    <t>Гуменна Маргарита Русланівна</t>
  </si>
  <si>
    <t>ВФЧ/Ш/У/4261</t>
  </si>
  <si>
    <t>Волкова Ірина Олександрівна</t>
  </si>
  <si>
    <t>Ліцей №1 Горностаївської селищної ради Каховського району Херсонської області</t>
  </si>
  <si>
    <t>Шарко Валентина Миколаївна</t>
  </si>
  <si>
    <t>ВФЧ/Ш/У/4262</t>
  </si>
  <si>
    <t>Ремига Євгеній Володимирович</t>
  </si>
  <si>
    <t>ВФЧ/Ш/У/4263</t>
  </si>
  <si>
    <t>Копилов Андрій Сергійович</t>
  </si>
  <si>
    <t>ВФЧ/Ш/У/4264</t>
  </si>
  <si>
    <t>Попова Людмила Володимирівна</t>
  </si>
  <si>
    <t>ВФЧ/Ш/У/4265</t>
  </si>
  <si>
    <t>Михайлов Євгеній Анатолійович</t>
  </si>
  <si>
    <t>ВФЧ/Ш/У/4266</t>
  </si>
  <si>
    <t>Ліснічук Єлизавета Едуардівна</t>
  </si>
  <si>
    <t>ВФЧ/Ш/У/4267</t>
  </si>
  <si>
    <t>Кузьмін Денис Миколайович</t>
  </si>
  <si>
    <t>ВФЧ/Ш/У/4268</t>
  </si>
  <si>
    <t>Мироненко Максим Олександрович</t>
  </si>
  <si>
    <t>ВФЧ/Ш/У/4269</t>
  </si>
  <si>
    <t>Біблів Артем Іванович</t>
  </si>
  <si>
    <t>ВФЧ/Ш/У/4270</t>
  </si>
  <si>
    <t>Буяневич Анна Віталіївна</t>
  </si>
  <si>
    <t>Херсонська загальноосвітня школа І-ІІІ ступенів №39 "Школа-родина" Херсонської міської ради</t>
  </si>
  <si>
    <t>Голобородько Микола Володимирович</t>
  </si>
  <si>
    <t>ВФЧ/Ш/У/4271</t>
  </si>
  <si>
    <t>Клецька Анастасія Віталіївна</t>
  </si>
  <si>
    <t>ВФЧ/Ш/У/4272</t>
  </si>
  <si>
    <t>Тільненко Софія Вікторівна</t>
  </si>
  <si>
    <t>ВФЧ/Ш/У/4273</t>
  </si>
  <si>
    <t>Фоміна Дар'я Юріївна</t>
  </si>
  <si>
    <t>ВФЧ/Ш/У/4274</t>
  </si>
  <si>
    <t>Баранов Ярослав Романович</t>
  </si>
  <si>
    <t>ВФЧ/Ш/У/4275</t>
  </si>
  <si>
    <t>Саніна Марія Михайлівна</t>
  </si>
  <si>
    <t>ВФЧ/Ш/У/4276</t>
  </si>
  <si>
    <t>Криворотко Єгор</t>
  </si>
  <si>
    <t>Олешківський академічний ліцей "ЕРУДИТ"</t>
  </si>
  <si>
    <t>Пішко Лариса Анатоліївна</t>
  </si>
  <si>
    <t>ВФЧ/Ш/У/4277</t>
  </si>
  <si>
    <t>Мошенський Олександр</t>
  </si>
  <si>
    <t>ВФЧ/Ш/У/4278</t>
  </si>
  <si>
    <t>Гараненко Валерія</t>
  </si>
  <si>
    <t>ВФЧ/Ш/У/4279</t>
  </si>
  <si>
    <t>Черніченко Ксенія</t>
  </si>
  <si>
    <t>ВФЧ/Ш/У/4280</t>
  </si>
  <si>
    <t>Мельник Софія</t>
  </si>
  <si>
    <t>ВФЧ/Ш/У/4281</t>
  </si>
  <si>
    <t>Лотохіна Вікторія</t>
  </si>
  <si>
    <t>ВФЧ/Ш/У/4282</t>
  </si>
  <si>
    <t>Малахова Анастасія</t>
  </si>
  <si>
    <t>ВФЧ/Ш/У/4283</t>
  </si>
  <si>
    <t>Петрова Валерія</t>
  </si>
  <si>
    <t>ВФЧ/Ш/У/4284</t>
  </si>
  <si>
    <t>Солдатов Олександр</t>
  </si>
  <si>
    <t>ВФЧ/Ш/У/4285</t>
  </si>
  <si>
    <t>Макуха Анастасія</t>
  </si>
  <si>
    <t>ВФЧ/Ш/У/4286</t>
  </si>
  <si>
    <t>Гуляєв Даніїл</t>
  </si>
  <si>
    <t>ВФЧ/Ш/У/4287</t>
  </si>
  <si>
    <t>Іванов Денис</t>
  </si>
  <si>
    <t>ВФЧ/Ш/У/4288</t>
  </si>
  <si>
    <t>Лазаренко Вячеслав</t>
  </si>
  <si>
    <t>ВФЧ/Ш/У/4289</t>
  </si>
  <si>
    <t>Кузнецова Діана</t>
  </si>
  <si>
    <t>ВФЧ/Ш/У/4290</t>
  </si>
  <si>
    <t>Новікова Маргарита Олександрівна</t>
  </si>
  <si>
    <t>Славутський ліцей Хмельницької обласної ради</t>
  </si>
  <si>
    <t>Семенюк Галина Миколаївна</t>
  </si>
  <si>
    <t>ВФЧ/Ш/У/4291</t>
  </si>
  <si>
    <t>Герасимчук Каріна Іванівна</t>
  </si>
  <si>
    <t>ВФЧ/Ш/У/4292</t>
  </si>
  <si>
    <t>Гаврилюк Дари на Володимирівна</t>
  </si>
  <si>
    <t>ВФЧ/Ш/У/4293</t>
  </si>
  <si>
    <t>Годованюк Дарина Юріївна</t>
  </si>
  <si>
    <t>ВФЧ/Ш/У/4294</t>
  </si>
  <si>
    <t>Задворна Дарія Русланівна</t>
  </si>
  <si>
    <t>ВФЧ/Ш/У/4295</t>
  </si>
  <si>
    <t>Криклива Катерина Олексіївна</t>
  </si>
  <si>
    <t>ВФЧ/Ш/У/4296</t>
  </si>
  <si>
    <t>Левчук Олександра Олександрівна</t>
  </si>
  <si>
    <t>ВФЧ/Ш/У/4297</t>
  </si>
  <si>
    <t>Літвінчук Максим Анатолійович</t>
  </si>
  <si>
    <t>ВФЧ/Ш/У/4298</t>
  </si>
  <si>
    <t>Мадемінов Ахмед Рейімбайович</t>
  </si>
  <si>
    <t>ВФЧ/Ш/У/4299</t>
  </si>
  <si>
    <t>Нечай Олександра Володимирівна</t>
  </si>
  <si>
    <t>ВФЧ/Ш/У/4300</t>
  </si>
  <si>
    <t>Сукач Анастасія Віталіївна</t>
  </si>
  <si>
    <t>ВФЧ/Ш/У/4301</t>
  </si>
  <si>
    <t>Юрчук Дарина Ігорівна</t>
  </si>
  <si>
    <t>ВФЧ/Ш/У/4302</t>
  </si>
  <si>
    <t>Грицаченко Олександра Василівна</t>
  </si>
  <si>
    <t>ВФЧ/Ш/У/4303</t>
  </si>
  <si>
    <t>Борщук Олексій Володимирович</t>
  </si>
  <si>
    <t>ВФЧ/Ш/У/4304</t>
  </si>
  <si>
    <t>Кравчук Дмитро Олегович</t>
  </si>
  <si>
    <t>ВФЧ/Ш/У/4305</t>
  </si>
  <si>
    <t>Міллер Олександр Сергійович</t>
  </si>
  <si>
    <t>ВФЧ/Ш/У/4306</t>
  </si>
  <si>
    <t>Андрійчук Анастасія Володимирівна</t>
  </si>
  <si>
    <t>Хмельницький ліцей Хмельницької обласної ради</t>
  </si>
  <si>
    <t>Колесніков Володимир Олександрович</t>
  </si>
  <si>
    <t>ВФЧ/Ш/У/4307</t>
  </si>
  <si>
    <t>Бабкова Анастасія Андріївна</t>
  </si>
  <si>
    <t>ВФЧ/Ш/У/4308</t>
  </si>
  <si>
    <t>Балагур Поліна Сергіївна</t>
  </si>
  <si>
    <t>ВФЧ/Ш/У/4309</t>
  </si>
  <si>
    <t>Біленький Сергій Сергійович</t>
  </si>
  <si>
    <t>ВФЧ/Ш/У/4310</t>
  </si>
  <si>
    <t>Галицький Тимур Олександрович</t>
  </si>
  <si>
    <t>ВФЧ/Ш/У/4311</t>
  </si>
  <si>
    <t>Гарник Вікторія Олегівна</t>
  </si>
  <si>
    <t>ВФЧ/Ш/У/4312</t>
  </si>
  <si>
    <t>Гриненко Вікторія Олександрівна</t>
  </si>
  <si>
    <t>ВФЧ/Ш/У/4313</t>
  </si>
  <si>
    <t>Денисюк Ольга Володимирівна</t>
  </si>
  <si>
    <t>ВФЧ/Ш/У/4314</t>
  </si>
  <si>
    <t>Іванюк Анжеліка Олексіївна</t>
  </si>
  <si>
    <t>ВФЧ/Ш/У/4315</t>
  </si>
  <si>
    <t>Іванюк Валерія Максимівна</t>
  </si>
  <si>
    <t>ВФЧ/Ш/У/4316</t>
  </si>
  <si>
    <t>Козачук Іванна Володимирівна</t>
  </si>
  <si>
    <t>ВФЧ/Ш/У/4317</t>
  </si>
  <si>
    <t>Панчук Валерія Олександрівна</t>
  </si>
  <si>
    <t>ВФЧ/Ш/У/4318</t>
  </si>
  <si>
    <t>Пістоляк Дмитро Іванович</t>
  </si>
  <si>
    <t>ВФЧ/Ш/У/4319</t>
  </si>
  <si>
    <t>Приймачук Каміла Олександрівна</t>
  </si>
  <si>
    <t>ВФЧ/Ш/У/4320</t>
  </si>
  <si>
    <t>Редик Назар Андрійович</t>
  </si>
  <si>
    <t>ВФЧ/Ш/У/4321</t>
  </si>
  <si>
    <t>Розізнаний Давид Олександрович</t>
  </si>
  <si>
    <t>ВФЧ/Ш/У/4322</t>
  </si>
  <si>
    <t>Романюк Дмитро Юрійович</t>
  </si>
  <si>
    <t>ВФЧ/Ш/У/4323</t>
  </si>
  <si>
    <t>Салко Аріна Віталіївна</t>
  </si>
  <si>
    <t>ВФЧ/Ш/У/4324</t>
  </si>
  <si>
    <t>Скапа Яна Андріївна</t>
  </si>
  <si>
    <t>ВФЧ/Ш/У/4325</t>
  </si>
  <si>
    <t>Слащук Володимир Юрійович</t>
  </si>
  <si>
    <t>ВФЧ/Ш/У/4326</t>
  </si>
  <si>
    <t>Терещенко Ольга Іванівна</t>
  </si>
  <si>
    <t>ВФЧ/Ш/У/4327</t>
  </si>
  <si>
    <t>Тищук Максим Миколайович</t>
  </si>
  <si>
    <t>ВФЧ/Ш/У/4328</t>
  </si>
  <si>
    <t>Хом'як Катерина Олексіївна</t>
  </si>
  <si>
    <t>ВФЧ/Ш/У/4329</t>
  </si>
  <si>
    <t>Шведова Ярина В'ячеславівна</t>
  </si>
  <si>
    <t>ВФЧ/Ш/У/4330</t>
  </si>
  <si>
    <t>Шпак Макар Олегович</t>
  </si>
  <si>
    <t>ВФЧ/Ш/У/4331</t>
  </si>
  <si>
    <t>Богуцький Андрій Володимирович</t>
  </si>
  <si>
    <t>Старокостянтинівський навчально-виховний комплекс "Спеціалізована школа І ступеня, гімназія" Старокостянтинівської міської ради Хмельницької області імені Героя України Сергія Михайловича Бондарчука</t>
  </si>
  <si>
    <t>Бєльська Тетяна Вікторівна</t>
  </si>
  <si>
    <t>ВФЧ/Ш/У/4332</t>
  </si>
  <si>
    <t>Голомах Діана Олександрівна</t>
  </si>
  <si>
    <t>ВФЧ/Ш/У/4333</t>
  </si>
  <si>
    <t>Могилевська Єва Олександрівна</t>
  </si>
  <si>
    <t>ВФЧ/Ш/У/4334</t>
  </si>
  <si>
    <t>Крупко Аріна Русланівна</t>
  </si>
  <si>
    <t>ВФЧ/Ш/У/4335</t>
  </si>
  <si>
    <t>Рогатин Ілля Олександрович</t>
  </si>
  <si>
    <t>ВФЧ/Ш/У/4336</t>
  </si>
  <si>
    <t>Марчук Софія Андріївна</t>
  </si>
  <si>
    <t>Михайлюцький ліцей Михайлюцької сільської ради Шепетівського району Хмельницької області</t>
  </si>
  <si>
    <t>Стремедловська Надія Володимирівна</t>
  </si>
  <si>
    <t>ВФЧ/Ш/У/4337</t>
  </si>
  <si>
    <t>Тараканов Владислав Сергійович</t>
  </si>
  <si>
    <t>ВФЧ/Ш/У/4338</t>
  </si>
  <si>
    <t>Цюпа Анастасія Сергіївна</t>
  </si>
  <si>
    <t>КЗЗСО ліцей №1 імені Володимира Красицького Хмельницької міської ради</t>
  </si>
  <si>
    <t>Івасюнько Майя Юріївна</t>
  </si>
  <si>
    <t>ВФЧ/Ш/У/4339</t>
  </si>
  <si>
    <t>Богородченко Ксенія Петрівна</t>
  </si>
  <si>
    <t>ВФЧ/Ш/У/4340</t>
  </si>
  <si>
    <t>Задніпровська Тетяна Вадимівна</t>
  </si>
  <si>
    <t>ВФЧ/Ш/У/4341</t>
  </si>
  <si>
    <t>Голуб Андрій Юрійович</t>
  </si>
  <si>
    <t>ВФЧ/Ш/У/4342</t>
  </si>
  <si>
    <t>Петровський Ілля Олекандрович</t>
  </si>
  <si>
    <t>ВФЧ/Ш/У/4343</t>
  </si>
  <si>
    <t>Глездунова Ульяна Миколаївна</t>
  </si>
  <si>
    <t>ВФЧ/Ш/У/4344</t>
  </si>
  <si>
    <t>Мосієнко Поліна Олександрівна</t>
  </si>
  <si>
    <t>ВФЧ/Ш/У/4345</t>
  </si>
  <si>
    <t>Гурський Юрій Петрович</t>
  </si>
  <si>
    <t>ВФЧ/Ш/У/4346</t>
  </si>
  <si>
    <t>Новіцький Віктор Миколайович</t>
  </si>
  <si>
    <t>ВФЧ/Ш/У/4347</t>
  </si>
  <si>
    <t>Кутей Софія Володимирівна</t>
  </si>
  <si>
    <t>ВФЧ/Ш/У/4348</t>
  </si>
  <si>
    <t>Бєліцька Вікторія Русланівна</t>
  </si>
  <si>
    <t>ВФЧ/Ш/У/4349</t>
  </si>
  <si>
    <t>Польова Єлизавета Олександрівна</t>
  </si>
  <si>
    <t>ВФЧ/Ш/У/4350</t>
  </si>
  <si>
    <t>Чирко Марія Сергіївна</t>
  </si>
  <si>
    <t>ВФЧ/Ш/У/4351</t>
  </si>
  <si>
    <t>Петльована Мирослава Миколаївна</t>
  </si>
  <si>
    <t>ВФЧ/Ш/У/4352</t>
  </si>
  <si>
    <t>Кірічук Катерина Миколаївна</t>
  </si>
  <si>
    <t>ВФЧ/Ш/У/4353</t>
  </si>
  <si>
    <t>Адамчук Анна Леонідівна</t>
  </si>
  <si>
    <t>ВФЧ/Ш/У/4354</t>
  </si>
  <si>
    <t>Касьяр Єлизавета Андріївна</t>
  </si>
  <si>
    <t>ВФЧ/Ш/У/4355</t>
  </si>
  <si>
    <t>Матвійчук Анастасія Андріївна</t>
  </si>
  <si>
    <t>ВФЧ/Ш/У/4356</t>
  </si>
  <si>
    <t>Осовська Валерія Андріївна</t>
  </si>
  <si>
    <t>ВФЧ/Ш/У/4357</t>
  </si>
  <si>
    <t>Вержбицька Аріна Сергіївна</t>
  </si>
  <si>
    <t>ВФЧ/Ш/У/4358</t>
  </si>
  <si>
    <t>Довгий Вероніка Олексіївна</t>
  </si>
  <si>
    <t>ВФЧ/Ш/У/4359</t>
  </si>
  <si>
    <t>Хома Віра Дмитрівна</t>
  </si>
  <si>
    <t>ВФЧ/Ш/У/4360</t>
  </si>
  <si>
    <t>Хаврич Єва Олександрівна</t>
  </si>
  <si>
    <t>ВФЧ/Ш/У/4361</t>
  </si>
  <si>
    <t>Кирилов Артем Юрійович</t>
  </si>
  <si>
    <t>ВФЧ/Ш/У/4362</t>
  </si>
  <si>
    <t>Ляскович Віктор Іванович</t>
  </si>
  <si>
    <t>ВФЧ/Ш/У/4363</t>
  </si>
  <si>
    <t>Палилюлько-Семенюк Ростислав Андрійович</t>
  </si>
  <si>
    <t>ВФЧ/Ш/У/4364</t>
  </si>
  <si>
    <t>Ксьондз Андрій Максимович</t>
  </si>
  <si>
    <t>ВФЧ/Ш/У/4365</t>
  </si>
  <si>
    <t>Кривенчук Захар Ігорович</t>
  </si>
  <si>
    <t>ВФЧ/Ш/У/4366</t>
  </si>
  <si>
    <t>Мантуляк Марія Олександрівна</t>
  </si>
  <si>
    <t>ВФЧ/Ш/У/4367</t>
  </si>
  <si>
    <t>Цнота Євген Олександрович</t>
  </si>
  <si>
    <t>ВФЧ/Ш/У/4368</t>
  </si>
  <si>
    <t>Делех Софія Олександрівна</t>
  </si>
  <si>
    <t>ВФЧ/Ш/У/4369</t>
  </si>
  <si>
    <t>Тайбасарова Катерина Олександрівна</t>
  </si>
  <si>
    <t>ВФЧ/Ш/У/4370</t>
  </si>
  <si>
    <t>Хома Надія Дмитрівна</t>
  </si>
  <si>
    <t>ВФЧ/Ш/У/4371</t>
  </si>
  <si>
    <t>Головата Анна Юріївна</t>
  </si>
  <si>
    <t>ВФЧ/Ш/У/4372</t>
  </si>
  <si>
    <t>Савіцький Артем Олександрович</t>
  </si>
  <si>
    <t>ВФЧ/Ш/У/4373</t>
  </si>
  <si>
    <t>Гулаков Артем Ігорович</t>
  </si>
  <si>
    <t>ВФЧ/Ш/У/4374</t>
  </si>
  <si>
    <t>Дубровіна Віра Олексіївна</t>
  </si>
  <si>
    <t>ВФЧ/Ш/У/4375</t>
  </si>
  <si>
    <t>Приступа Ігор Дмитрович</t>
  </si>
  <si>
    <t>ВФЧ/Ш/У/4376</t>
  </si>
  <si>
    <t>Козік Анна Олександрівна</t>
  </si>
  <si>
    <t>ВФЧ/Ш/У/4377</t>
  </si>
  <si>
    <t>Цимбалюк Ігор Вадимович</t>
  </si>
  <si>
    <t>ВФЧ/Ш/У/4378</t>
  </si>
  <si>
    <t>Бас Тереза Вікторівна</t>
  </si>
  <si>
    <t>ВФЧ/Ш/У/4379</t>
  </si>
  <si>
    <t>Гребнєв Володимир Дмитрович</t>
  </si>
  <si>
    <t>ВФЧ/Ш/У/4380</t>
  </si>
  <si>
    <t>Манзюк Софія Олександрівна</t>
  </si>
  <si>
    <t>ВФЧ/Ш/У/4381</t>
  </si>
  <si>
    <t>Врона Ярослав Валерійович</t>
  </si>
  <si>
    <t>ВФЧ/Ш/У/4382</t>
  </si>
  <si>
    <t>Мазур Денис Богданович</t>
  </si>
  <si>
    <t>ВФЧ/Ш/У/4383</t>
  </si>
  <si>
    <t>Гурницька Єлизавета Олександрівна</t>
  </si>
  <si>
    <t>ВФЧ/Ш/У/4384</t>
  </si>
  <si>
    <t>Мельник Денис Сергійович</t>
  </si>
  <si>
    <t>ВФЧ/Ш/У/4385</t>
  </si>
  <si>
    <t>Савков Михайло Іванович</t>
  </si>
  <si>
    <t>ВФЧ/Ш/У/4386</t>
  </si>
  <si>
    <t>Спарадовський Денис Миколайович</t>
  </si>
  <si>
    <t>ВФЧ/Ш/У/4387</t>
  </si>
  <si>
    <t>Кукуруза Володимир Володимирович</t>
  </si>
  <si>
    <t>ВФЧ/Ш/У/4388</t>
  </si>
  <si>
    <t>Шобутинська Альбіна Вадимівна</t>
  </si>
  <si>
    <t>ВФЧ/Ш/У/4389</t>
  </si>
  <si>
    <t>Качмарська Вікторія Іванівна</t>
  </si>
  <si>
    <t>ВФЧ/Ш/У/4390</t>
  </si>
  <si>
    <t>Здибель Владислав В'ячеславович</t>
  </si>
  <si>
    <t>ВФЧ/Ш/У/4391</t>
  </si>
  <si>
    <t>Щудляк Вікторія Євгенівна</t>
  </si>
  <si>
    <t>ВФЧ/Ш/У/4392</t>
  </si>
  <si>
    <t>Мерека Вікторія Сергіївна</t>
  </si>
  <si>
    <t>ВФЧ/Ш/У/4393</t>
  </si>
  <si>
    <t>Баськов Костянтин Миколайович</t>
  </si>
  <si>
    <t>ВФЧ/Ш/У/4394</t>
  </si>
  <si>
    <t>Кубик Максим Сергійович</t>
  </si>
  <si>
    <t>ВФЧ/Ш/У/4395</t>
  </si>
  <si>
    <t>Шубін Петро Михайлович</t>
  </si>
  <si>
    <t>ВФЧ/Ш/У/4396</t>
  </si>
  <si>
    <t>Дияк Артем Віталійович</t>
  </si>
  <si>
    <t>ВФЧ/Ш/У/4397</t>
  </si>
  <si>
    <t>Захожа Юлія Олексіївна</t>
  </si>
  <si>
    <t>ВФЧ/Ш/У/4398</t>
  </si>
  <si>
    <t>Яцюк Аріана Вадимівна</t>
  </si>
  <si>
    <t>ВФЧ/Ш/У/4399</t>
  </si>
  <si>
    <t>Бізін Єгор Леонідович</t>
  </si>
  <si>
    <t>ВФЧ/Ш/У/4400</t>
  </si>
  <si>
    <t>Галузінська Поліна Ігорівна</t>
  </si>
  <si>
    <t>ВФЧ/Ш/У/4401</t>
  </si>
  <si>
    <t>Захарчук Артем Олександрович</t>
  </si>
  <si>
    <t>ВФЧ/Ш/У/4402</t>
  </si>
  <si>
    <t>Кушнір Анна Дмитрівна</t>
  </si>
  <si>
    <t>ВФЧ/Ш/У/4403</t>
  </si>
  <si>
    <t>Нікушкіна Марія Олегівна</t>
  </si>
  <si>
    <t>ВФЧ/Ш/У/4404</t>
  </si>
  <si>
    <t>Сідлецька Дарія Олександрівна</t>
  </si>
  <si>
    <t>ВФЧ/Ш/У/4405</t>
  </si>
  <si>
    <t>Божок Анастасія Іванівна</t>
  </si>
  <si>
    <t>ВФЧ/Ш/У/4406</t>
  </si>
  <si>
    <t>Проказюк Денис Андрійович</t>
  </si>
  <si>
    <t>ВФЧ/Ш/У/4407</t>
  </si>
  <si>
    <t>Русановська Ірина Русланівна</t>
  </si>
  <si>
    <t>ВФЧ/Ш/У/4408</t>
  </si>
  <si>
    <t>Гуцалюк Тіна Ігорівна</t>
  </si>
  <si>
    <t>ВФЧ/Ш/У/4409</t>
  </si>
  <si>
    <t>Бухтоярова Анастасія Анатоліївна</t>
  </si>
  <si>
    <t>ВФЧ/Ш/У/4410</t>
  </si>
  <si>
    <t>Яковлєва Олександра Вадимівна</t>
  </si>
  <si>
    <t>ВФЧ/Ш/У/4411</t>
  </si>
  <si>
    <t>Будішевська Надія Русланівна</t>
  </si>
  <si>
    <t>Комунальний заклад загальної середньої освіти "Ліцей № 15 імені Олександра Співачука Хмельницької міської ради"</t>
  </si>
  <si>
    <t>Скицюк Ірина Вікторівна</t>
  </si>
  <si>
    <t>ВФЧ/Ш/У/4412</t>
  </si>
  <si>
    <t>Григоров Егор Кирилович</t>
  </si>
  <si>
    <t>ВФЧ/Ш/У/4413</t>
  </si>
  <si>
    <t>Дичаківський Тимур Олегович</t>
  </si>
  <si>
    <t>ВФЧ/Ш/У/4414</t>
  </si>
  <si>
    <t>Корнієнко Іван Дмитрович</t>
  </si>
  <si>
    <t>ВФЧ/Ш/У/4415</t>
  </si>
  <si>
    <t>Криштофор Артем</t>
  </si>
  <si>
    <t>ВФЧ/Ш/У/4416</t>
  </si>
  <si>
    <t>Кулак Вадим</t>
  </si>
  <si>
    <t>ВФЧ/Ш/У/4417</t>
  </si>
  <si>
    <t>Леськова Софія Русланівна</t>
  </si>
  <si>
    <t>ВФЧ/Ш/У/4418</t>
  </si>
  <si>
    <t>Лук'янов Захар Сергійович</t>
  </si>
  <si>
    <t>ВФЧ/Ш/У/4419</t>
  </si>
  <si>
    <t>Мевх Олександра Сергіївна</t>
  </si>
  <si>
    <t>ВФЧ/Ш/У/4420</t>
  </si>
  <si>
    <t>Марченко Ліна</t>
  </si>
  <si>
    <t>ВФЧ/Ш/У/4421</t>
  </si>
  <si>
    <t>Мельник Даніїл Юрійович</t>
  </si>
  <si>
    <t>ВФЧ/Ш/У/4422</t>
  </si>
  <si>
    <t>Мадзяновська Анастасія Сергіївна</t>
  </si>
  <si>
    <t>ВФЧ/Ш/У/4423</t>
  </si>
  <si>
    <t>Мельник Евеліна Іванівна</t>
  </si>
  <si>
    <t>ВФЧ/Ш/У/4424</t>
  </si>
  <si>
    <t>Морозюк Дарія Павлівна</t>
  </si>
  <si>
    <t>ВФЧ/Ш/У/4425</t>
  </si>
  <si>
    <t>Морозюк Олександр Павлович</t>
  </si>
  <si>
    <t>ВФЧ/Ш/У/4426</t>
  </si>
  <si>
    <t>Олійник Володимир Микоайович</t>
  </si>
  <si>
    <t>ВФЧ/Ш/У/4427</t>
  </si>
  <si>
    <t>Папірович Олександра Миколаївна</t>
  </si>
  <si>
    <t>ВФЧ/Ш/У/4428</t>
  </si>
  <si>
    <t>Ромашов Вадим Олександрович</t>
  </si>
  <si>
    <t>ВФЧ/Ш/У/4429</t>
  </si>
  <si>
    <t>Фоміна Маргарита Денисівна</t>
  </si>
  <si>
    <t>ВФЧ/Ш/У/4430</t>
  </si>
  <si>
    <t>Урода Денис</t>
  </si>
  <si>
    <t>ВФЧ/Ш/У/4431</t>
  </si>
  <si>
    <t>Соколов Єгор</t>
  </si>
  <si>
    <t>ВФЧ/Ш/У/4432</t>
  </si>
  <si>
    <t>Янушевська Ілона</t>
  </si>
  <si>
    <t>ВФЧ/Ш/У/4433</t>
  </si>
  <si>
    <t>Федорчук Денис Сергійович</t>
  </si>
  <si>
    <t>ВФЧ/Ш/У/4434</t>
  </si>
  <si>
    <t>Берлог Олександра Іванівна</t>
  </si>
  <si>
    <t>Полонський ліцей №7 імені М.Сливки</t>
  </si>
  <si>
    <t>Яськова Алла Олександрівна</t>
  </si>
  <si>
    <t>ВФЧ/Ш/У/4435</t>
  </si>
  <si>
    <t>Галімов Нікіта Андрійович</t>
  </si>
  <si>
    <t>ВФЧ/Ш/У/4436</t>
  </si>
  <si>
    <t>Кобильчак Назар Андрійович</t>
  </si>
  <si>
    <t>ВФЧ/Ш/У/4437</t>
  </si>
  <si>
    <t>Ляшук Данило Юрійович</t>
  </si>
  <si>
    <t>ВФЧ/Ш/У/4438</t>
  </si>
  <si>
    <t>Мотуз Соломія Олексіївна</t>
  </si>
  <si>
    <t>ВФЧ/Ш/У/4439</t>
  </si>
  <si>
    <t>Остапчук Кароліна Дмитрівна</t>
  </si>
  <si>
    <t>ВФЧ/Ш/У/4440</t>
  </si>
  <si>
    <t>Стасюк Єлизавета Романівна</t>
  </si>
  <si>
    <t>ВФЧ/Ш/У/4441</t>
  </si>
  <si>
    <t>Андрійчук Катерина Володимирівна</t>
  </si>
  <si>
    <t>Ліцей №1 ім.Героя України М.Дзявульського Шепетівської міської ради Хмельницької області</t>
  </si>
  <si>
    <t>Слободенюк Ірина Миколаївна</t>
  </si>
  <si>
    <t>ВФЧ/Ш/У/4442</t>
  </si>
  <si>
    <t>Васик Артем Богданович</t>
  </si>
  <si>
    <t>ВФЧ/Ш/У/4443</t>
  </si>
  <si>
    <t>Березка Марія Дмитрівна</t>
  </si>
  <si>
    <t>ВФЧ/Ш/У/4444</t>
  </si>
  <si>
    <t>Васильченко Ореста Володимирівна</t>
  </si>
  <si>
    <t>ВФЧ/Ш/У/4445</t>
  </si>
  <si>
    <t>Вельган Дмитро Романович</t>
  </si>
  <si>
    <t>ВФЧ/Ш/У/4446</t>
  </si>
  <si>
    <t>Гунько Вероніка Дмитрівна</t>
  </si>
  <si>
    <t>ВФЧ/Ш/У/4447</t>
  </si>
  <si>
    <t>Дорощук Єгор Русланович</t>
  </si>
  <si>
    <t>ВФЧ/Ш/У/4448</t>
  </si>
  <si>
    <t>Колоднюк Софія Олександрівна</t>
  </si>
  <si>
    <t>ВФЧ/Ш/У/4449</t>
  </si>
  <si>
    <t>Корнійчук Назар Олександрович</t>
  </si>
  <si>
    <t>ВФЧ/Ш/У/4450</t>
  </si>
  <si>
    <t>Кривий Назар Ігорович</t>
  </si>
  <si>
    <t>ВФЧ/Ш/У/4451</t>
  </si>
  <si>
    <t>Лінник Максим Дмитрович</t>
  </si>
  <si>
    <t>ВФЧ/Ш/У/4452</t>
  </si>
  <si>
    <t>Літвін Зоряна Андріївна</t>
  </si>
  <si>
    <t>ВФЧ/Ш/У/4453</t>
  </si>
  <si>
    <t>Мазанюк Софія Сергіївна</t>
  </si>
  <si>
    <t>ВФЧ/Ш/У/4454</t>
  </si>
  <si>
    <t>Мирончук Софія Русланівна</t>
  </si>
  <si>
    <t>ВФЧ/Ш/У/4455</t>
  </si>
  <si>
    <t>Мовсісян Маріам Русланівна</t>
  </si>
  <si>
    <t>ВФЧ/Ш/У/4456</t>
  </si>
  <si>
    <t>Поліщук Назар Олегович</t>
  </si>
  <si>
    <t>ВФЧ/Ш/У/4457</t>
  </si>
  <si>
    <t>Постольчук Єлизавета Олександрівна</t>
  </si>
  <si>
    <t>ВФЧ/Ш/У/4458</t>
  </si>
  <si>
    <t>Солоп Максим Володимирович</t>
  </si>
  <si>
    <t>ВФЧ/Ш/У/4459</t>
  </si>
  <si>
    <t>Тарасюк Тимур Русланович</t>
  </si>
  <si>
    <t>ВФЧ/Ш/У/4460</t>
  </si>
  <si>
    <t>Ямпольська Наталія Анатоліївна</t>
  </si>
  <si>
    <t>ВФЧ/Ш/У/4461</t>
  </si>
  <si>
    <t>Линьова Дарія Олександрівна</t>
  </si>
  <si>
    <t>ВФЧ/Ш/У/4462</t>
  </si>
  <si>
    <t>Нижня Дарія Олександрівна</t>
  </si>
  <si>
    <t>ВФЧ/Ш/У/4463</t>
  </si>
  <si>
    <t>Скотенюк Анна Вікторівна</t>
  </si>
  <si>
    <t>ВФЧ/Ш/У/4464</t>
  </si>
  <si>
    <t>Фомінова Анастасія Іванівна</t>
  </si>
  <si>
    <t>ВФЧ/Ш/У/4465</t>
  </si>
  <si>
    <t>Борисюк Ольга Борисівна</t>
  </si>
  <si>
    <t>ВФЧ/Ш/У/4466</t>
  </si>
  <si>
    <t>Янушевська Дарина Віталіївна</t>
  </si>
  <si>
    <t>ВФЧ/Ш/У/4467</t>
  </si>
  <si>
    <t>Бондар Дарія Олегівна</t>
  </si>
  <si>
    <t>ВФЧ/Ш/У/4468</t>
  </si>
  <si>
    <t>Антонюк Вікторія Сергіївна</t>
  </si>
  <si>
    <t>ВФЧ/Ш/У/4469</t>
  </si>
  <si>
    <t>Блажеюк Анастасія Григорівна</t>
  </si>
  <si>
    <t>ВФЧ/Ш/У/4470</t>
  </si>
  <si>
    <t>Лахай Софія Віталіївна</t>
  </si>
  <si>
    <t>ВФЧ/Ш/У/4471</t>
  </si>
  <si>
    <t>Личик Ольга Юріївна</t>
  </si>
  <si>
    <t>ВФЧ/Ш/У/4472</t>
  </si>
  <si>
    <t>Овдієнко Анна Олександрівна</t>
  </si>
  <si>
    <t>ВФЧ/Ш/У/4473</t>
  </si>
  <si>
    <t>Батрак Людмили Сергіївни</t>
  </si>
  <si>
    <t>ВФЧ/Ш/У/4474</t>
  </si>
  <si>
    <t>Кашнікович Володимир Едуардович</t>
  </si>
  <si>
    <t>ВФЧ/Ш/У/4475</t>
  </si>
  <si>
    <t>Антощук Олександр Сергійович</t>
  </si>
  <si>
    <t>ВФЧ/Ш/У/4476</t>
  </si>
  <si>
    <t>Кіпень Дарина Вадимівна</t>
  </si>
  <si>
    <t>ВФЧ/Ш/У/4477</t>
  </si>
  <si>
    <t>Коновалюк Каріна Олександрівна</t>
  </si>
  <si>
    <t>ВФЧ/Ш/У/4478</t>
  </si>
  <si>
    <t>Макаренко Мирослава Олегівна</t>
  </si>
  <si>
    <t>ВФЧ/Ш/У/4479</t>
  </si>
  <si>
    <t>Муштин Вікторія Валентинівна</t>
  </si>
  <si>
    <t>ВФЧ/Ш/У/4480</t>
  </si>
  <si>
    <t>Федорина Анастасія Сергіївна</t>
  </si>
  <si>
    <t>ВФЧ/Ш/У/4481</t>
  </si>
  <si>
    <t>Ордаш Вікторія Миколаївна</t>
  </si>
  <si>
    <t>ВФЧ/Ш/У/4482</t>
  </si>
  <si>
    <t>Сідлецька Анастасія Вікторівна</t>
  </si>
  <si>
    <t>ВФЧ/Ш/У/4483</t>
  </si>
  <si>
    <t>Хлопянова Анастасія Олегівна</t>
  </si>
  <si>
    <t>ВФЧ/Ш/У/4484</t>
  </si>
  <si>
    <t>Шайнога Денис Олександрович</t>
  </si>
  <si>
    <t>ВФЧ/Ш/У/4485</t>
  </si>
  <si>
    <t>Дячук Любов Сергіївна</t>
  </si>
  <si>
    <t>ВФЧ/Ш/У/4486</t>
  </si>
  <si>
    <t>Пиріг Микола Семенович</t>
  </si>
  <si>
    <t>ВФЧ/Ш/У/4487</t>
  </si>
  <si>
    <t>Солецький Данііл Віталійович</t>
  </si>
  <si>
    <t>ВФЧ/Ш/У/4488</t>
  </si>
  <si>
    <t>Дмитрук Тарас Сергійович</t>
  </si>
  <si>
    <t>ВФЧ/Ш/У/4489</t>
  </si>
  <si>
    <t>Львівська Анастасія Ярославівна</t>
  </si>
  <si>
    <t>ВФЧ/Ш/У/4490</t>
  </si>
  <si>
    <t>Месь Роман Сергійович</t>
  </si>
  <si>
    <t>ВФЧ/Ш/У/4491</t>
  </si>
  <si>
    <t>Карагодов Денис Олександрович</t>
  </si>
  <si>
    <t>ВФЧ/Ш/У/4492</t>
  </si>
  <si>
    <t>Захарчук Денис Віталійович</t>
  </si>
  <si>
    <t>ВФЧ/Ш/У/4493</t>
  </si>
  <si>
    <t>Чешук Віталій Миколайович</t>
  </si>
  <si>
    <t>ВФЧ/Ш/У/4494</t>
  </si>
  <si>
    <t>Добрикова Інна Сергіївна</t>
  </si>
  <si>
    <t>ВФЧ/Ш/У/4495</t>
  </si>
  <si>
    <t>Юзьков Іван Валерійович</t>
  </si>
  <si>
    <t>ВФЧ/Ш/У/4496</t>
  </si>
  <si>
    <t>Сокирка Костянтин Русланович</t>
  </si>
  <si>
    <t>ВФЧ/Ш/У/4497</t>
  </si>
  <si>
    <t>Григорчак Софія Іванівна</t>
  </si>
  <si>
    <t>ВФЧ/Ш/У/4498</t>
  </si>
  <si>
    <t>Стринадюк Соломія Назарівна</t>
  </si>
  <si>
    <t>ВФЧ/Ш/У/4499</t>
  </si>
  <si>
    <t>Костюк Ангеліна Анатоліївна</t>
  </si>
  <si>
    <t>ВФЧ/Ш/У/4500</t>
  </si>
  <si>
    <t>Ромко Владислав Олександрович</t>
  </si>
  <si>
    <t>ВФЧ/Ш/У/4501</t>
  </si>
  <si>
    <t>Папаш Роман Андрійович</t>
  </si>
  <si>
    <t>ВФЧ/Ш/У/4502</t>
  </si>
  <si>
    <t>Томашкевич Іван Юрійович</t>
  </si>
  <si>
    <t>ВФЧ/Ш/У/4503</t>
  </si>
  <si>
    <t>Холява Петро Назарович</t>
  </si>
  <si>
    <t>ВФЧ/Ш/У/4504</t>
  </si>
  <si>
    <t>Cаміло Христина Андріївна</t>
  </si>
  <si>
    <t>ВФЧ/Ш/У/4505</t>
  </si>
  <si>
    <t>Адамець Богдана Олегівна</t>
  </si>
  <si>
    <t>ВФЧ/Ш/У/4506</t>
  </si>
  <si>
    <t>Паламар Олександра Миколаївна</t>
  </si>
  <si>
    <t>ВФЧ/Ш/У/4507</t>
  </si>
  <si>
    <t>Перепилиця Назар Володимирович</t>
  </si>
  <si>
    <t>ВФЧ/Ш/У/4508</t>
  </si>
  <si>
    <t>Телега-Мовчан Іван Романович</t>
  </si>
  <si>
    <t>ВФЧ/Ш/У/4509</t>
  </si>
  <si>
    <t>Гуменюк Назарій Миколайович</t>
  </si>
  <si>
    <t>ВФЧ/Ш/У/4510</t>
  </si>
  <si>
    <t>Битяк Данііл Юрійович</t>
  </si>
  <si>
    <t>Смілянський навчально-виховний комплекс "Загальноосвітня школа І ступеня-гімназія імені В.Т.Сенатора" (з дошкільним підрозділом) Смілянської міської ради Черкаської області</t>
  </si>
  <si>
    <t>Кільчевська Ольга Вікторівна</t>
  </si>
  <si>
    <t>ВФЧ/Ш/У/4511</t>
  </si>
  <si>
    <t>Величко Мар'яна В'ячеславівна</t>
  </si>
  <si>
    <t>ВФЧ/Ш/У/4512</t>
  </si>
  <si>
    <t>Дем'яненко Максим Ігорович</t>
  </si>
  <si>
    <t>ВФЧ/Ш/У/4513</t>
  </si>
  <si>
    <t>Ільченко Анастасія Максимівна</t>
  </si>
  <si>
    <t>ВФЧ/Ш/У/4514</t>
  </si>
  <si>
    <t>Карпенко Дар'я Андріївна</t>
  </si>
  <si>
    <t>ВФЧ/Ш/У/4515</t>
  </si>
  <si>
    <t>Клименко Олександра Русланівна</t>
  </si>
  <si>
    <t>ВФЧ/Ш/У/4516</t>
  </si>
  <si>
    <t>Матірний Тимофій Васильович</t>
  </si>
  <si>
    <t>ВФЧ/Ш/У/4517</t>
  </si>
  <si>
    <t>Хоменко Вероніка Едуардівна</t>
  </si>
  <si>
    <t>ВФЧ/Ш/У/4518</t>
  </si>
  <si>
    <t>Морозов Владислав Вадимович</t>
  </si>
  <si>
    <t>ВФЧ/Ш/У/4519</t>
  </si>
  <si>
    <t>Погоріла Аліна Олександрівна</t>
  </si>
  <si>
    <t>ВФЧ/Ш/У/4520</t>
  </si>
  <si>
    <t>Солдатенко Єва Сергіївна</t>
  </si>
  <si>
    <t>ВФЧ/Ш/У/4521</t>
  </si>
  <si>
    <t>Трохименко Катерина Сергіївна</t>
  </si>
  <si>
    <t>ВФЧ/Ш/У/4522</t>
  </si>
  <si>
    <t>Коновалова Влада Ігорівна</t>
  </si>
  <si>
    <t>ВФЧ/Ш/У/4523</t>
  </si>
  <si>
    <t>Черногал Вероніка Юріївна</t>
  </si>
  <si>
    <t>ВФЧ/Ш/У/4524</t>
  </si>
  <si>
    <t>Богданаш Костянтин Костянтинович</t>
  </si>
  <si>
    <t>ВФЧ/Ш/У/4525</t>
  </si>
  <si>
    <t>Борболюк Анна Костянтинівна</t>
  </si>
  <si>
    <t>ВФЧ/Ш/У/4526</t>
  </si>
  <si>
    <t>Глущенко Надія Дмитрівна</t>
  </si>
  <si>
    <t>ВФЧ/Ш/У/4527</t>
  </si>
  <si>
    <t>Єрмолович Олександра Євгенівна</t>
  </si>
  <si>
    <t>ВФЧ/Ш/У/4528</t>
  </si>
  <si>
    <t>Задорожний Єгор Дмитрович</t>
  </si>
  <si>
    <t>ВФЧ/Ш/У/4529</t>
  </si>
  <si>
    <t>Звєрєва Вероніка Максимівна</t>
  </si>
  <si>
    <t>ВФЧ/Ш/У/4530</t>
  </si>
  <si>
    <t>Ковальов Дмитро Романович</t>
  </si>
  <si>
    <t>ВФЧ/Ш/У/4531</t>
  </si>
  <si>
    <t>Левицька Анастасія Станіславівна</t>
  </si>
  <si>
    <t>ВФЧ/Ш/У/4532</t>
  </si>
  <si>
    <t>Лузан Дар'я Олександрівна</t>
  </si>
  <si>
    <t>ВФЧ/Ш/У/4533</t>
  </si>
  <si>
    <t>Олефіренко Дарина Дмитрівна</t>
  </si>
  <si>
    <t>ВФЧ/Ш/У/4534</t>
  </si>
  <si>
    <t>Нечипоренко Софія Русланівна</t>
  </si>
  <si>
    <t>ВФЧ/Ш/У/4535</t>
  </si>
  <si>
    <t>Пономаренко Ярослава Станіславівна</t>
  </si>
  <si>
    <t>ВФЧ/Ш/У/4536</t>
  </si>
  <si>
    <t>Прядко Анна Олександрівна</t>
  </si>
  <si>
    <t>ВФЧ/Ш/У/4537</t>
  </si>
  <si>
    <t>Тишкевич Валентин Ігорович</t>
  </si>
  <si>
    <t>ВФЧ/Ш/У/4538</t>
  </si>
  <si>
    <t>Ветушко Олександр Ігорович</t>
  </si>
  <si>
    <t>Шполянський ліцей №2 Шполянської міської ради ОТГ Черкаської області</t>
  </si>
  <si>
    <t>Шевченко Людмила Василівна</t>
  </si>
  <si>
    <t>ВФЧ/Ш/У/4539</t>
  </si>
  <si>
    <t>Сиваченко Катерина Євгенівна</t>
  </si>
  <si>
    <t>ВФЧ/Ш/У/4540</t>
  </si>
  <si>
    <t>Попович Божена Павлівна</t>
  </si>
  <si>
    <t>ВФЧ/Ш/У/4541</t>
  </si>
  <si>
    <t>Тулуман Аріана Олександрівна</t>
  </si>
  <si>
    <t>ВФЧ/Ш/У/4542</t>
  </si>
  <si>
    <t>Чайковський Захар Богданович</t>
  </si>
  <si>
    <t>ВФЧ/Ш/У/4543</t>
  </si>
  <si>
    <t>Дібровенко Владислав Володимирович</t>
  </si>
  <si>
    <t>ВФЧ/Ш/У/4544</t>
  </si>
  <si>
    <t>Бондар Софія Геннадіївна</t>
  </si>
  <si>
    <t>ВФЧ/Ш/У/4545</t>
  </si>
  <si>
    <t>Бевзюк Олександра Володимирівна</t>
  </si>
  <si>
    <t>ВФЧ/Ш/У/4546</t>
  </si>
  <si>
    <t>Коваль Вікторія Віталіївна</t>
  </si>
  <si>
    <t>ВФЧ/Ш/У/4547</t>
  </si>
  <si>
    <t>Панасенко Олександр Васильович</t>
  </si>
  <si>
    <t>ВФЧ/Ш/У/4548</t>
  </si>
  <si>
    <t>Дуженко Каріна Володимирівна</t>
  </si>
  <si>
    <t>ВФЧ/Ш/У/4549</t>
  </si>
  <si>
    <t>Ратушна Вікторія Віталіївна</t>
  </si>
  <si>
    <t>ВФЧ/Ш/У/4550</t>
  </si>
  <si>
    <t>Дібровенко Артьом Євгенович</t>
  </si>
  <si>
    <t>ВФЧ/Ш/У/4551</t>
  </si>
  <si>
    <t>Дорошенко Валерія Анатоліївна</t>
  </si>
  <si>
    <t>Золотоніська загальноосвітня школа І-ІІІ ступенів №3 Золотоніської міської ради Черкаської області</t>
  </si>
  <si>
    <t>Пузєєва Ірина Яківна</t>
  </si>
  <si>
    <t>ВФЧ/Ш/У/4552</t>
  </si>
  <si>
    <t>Засенко Маріанна Павлівна</t>
  </si>
  <si>
    <t>ВФЧ/Ш/У/4553</t>
  </si>
  <si>
    <t>Капля Анна Вадимівна</t>
  </si>
  <si>
    <t>ВФЧ/Ш/У/4554</t>
  </si>
  <si>
    <t>Коленкова Софія Романівна</t>
  </si>
  <si>
    <t>ВФЧ/Ш/У/4555</t>
  </si>
  <si>
    <t>Колісніченко Анастасія Іванівна</t>
  </si>
  <si>
    <t>ВФЧ/Ш/У/4556</t>
  </si>
  <si>
    <t>Краснобай Анна Вікторівна</t>
  </si>
  <si>
    <t>ВФЧ/Ш/У/4557</t>
  </si>
  <si>
    <t>Мірошниченко Дмитро Віталійович</t>
  </si>
  <si>
    <t>ВФЧ/Ш/У/4558</t>
  </si>
  <si>
    <t>Наджафова Анна Ельдарівна</t>
  </si>
  <si>
    <t>ВФЧ/Ш/У/4559</t>
  </si>
  <si>
    <t>Пазиненко Анастасія Володимирівна</t>
  </si>
  <si>
    <t>ВФЧ/Ш/У/4560</t>
  </si>
  <si>
    <t>Сириця Владислав Анатолійович</t>
  </si>
  <si>
    <t>ВФЧ/Ш/У/4561</t>
  </si>
  <si>
    <t>Сіромаха Андрій Олександрович</t>
  </si>
  <si>
    <t>ВФЧ/Ш/У/4562</t>
  </si>
  <si>
    <t>Сокирна Вікторія Ігорівна</t>
  </si>
  <si>
    <t>ВФЧ/Ш/У/4563</t>
  </si>
  <si>
    <t>Сусла Олексій Іванович</t>
  </si>
  <si>
    <t>ВФЧ/Ш/У/4564</t>
  </si>
  <si>
    <t>Сусла Сергій Іванович</t>
  </si>
  <si>
    <t>ВФЧ/Ш/У/4565</t>
  </si>
  <si>
    <t>Тіщенко Марія Олександрівна</t>
  </si>
  <si>
    <t>ВФЧ/Ш/У/4566</t>
  </si>
  <si>
    <t>Тараненко Олександр Сергійович</t>
  </si>
  <si>
    <t>ВФЧ/Ш/У/4567</t>
  </si>
  <si>
    <t>Чуняєва Дарина Віталіївна</t>
  </si>
  <si>
    <t>ВФЧ/Ш/У/4568</t>
  </si>
  <si>
    <t>Петренко Анна Олександрівна</t>
  </si>
  <si>
    <t>ВФЧ/Ш/У/4569</t>
  </si>
  <si>
    <t>Тристан Анна Андріївна</t>
  </si>
  <si>
    <t>Черкаська гімназія №9 ім. О.М.Луценка Черкаської міської ради Черкаської області</t>
  </si>
  <si>
    <t>Руденко Оксана Анатоліївна</t>
  </si>
  <si>
    <t>ВФЧ/Ш/У/4570</t>
  </si>
  <si>
    <t>Кочанова Аліса Олександрівна</t>
  </si>
  <si>
    <t>ВФЧ/Ш/У/4571</t>
  </si>
  <si>
    <t>Рибник Анастасія Віталіївна</t>
  </si>
  <si>
    <t>ВФЧ/Ш/У/4572</t>
  </si>
  <si>
    <t>Литвин Анастасія Миколаївна</t>
  </si>
  <si>
    <t>ВФЧ/Ш/У/4573</t>
  </si>
  <si>
    <t>Микитенко Артем Олександрович</t>
  </si>
  <si>
    <t>ВФЧ/Ш/У/4574</t>
  </si>
  <si>
    <t>Куниця Вадим Русланович</t>
  </si>
  <si>
    <t>ВФЧ/Ш/У/4575</t>
  </si>
  <si>
    <t>Онуфрак Владислав Володимирович</t>
  </si>
  <si>
    <t>ВФЧ/Ш/У/4576</t>
  </si>
  <si>
    <t>Нагаєв Владислав Віталійович</t>
  </si>
  <si>
    <t>ВФЧ/Ш/У/4577</t>
  </si>
  <si>
    <t>Вишенська Вєроніка Олексіївна</t>
  </si>
  <si>
    <t>ВФЧ/Ш/У/4578</t>
  </si>
  <si>
    <t>Балоха Дар'я Сергіївна</t>
  </si>
  <si>
    <t>ВФЧ/Ш/У/4579</t>
  </si>
  <si>
    <t>Базилевський Денис Русланович</t>
  </si>
  <si>
    <t>ВФЧ/Ш/У/4580</t>
  </si>
  <si>
    <t>Літовченко Денис Юрійович</t>
  </si>
  <si>
    <t>ВФЧ/Ш/У/4581</t>
  </si>
  <si>
    <t>Буряк Денис Ігорович</t>
  </si>
  <si>
    <t>ВФЧ/Ш/У/4582</t>
  </si>
  <si>
    <t>Д'яченко Кирил Олександрович</t>
  </si>
  <si>
    <t>ВФЧ/Ш/У/4583</t>
  </si>
  <si>
    <t>Коковіна Ліна Олександрівна</t>
  </si>
  <si>
    <t>ВФЧ/Ш/У/4584</t>
  </si>
  <si>
    <t>Кучер Максим Андрійович</t>
  </si>
  <si>
    <t>ВФЧ/Ш/У/4585</t>
  </si>
  <si>
    <t>Овчаренко Максим Васильович</t>
  </si>
  <si>
    <t>ВФЧ/Ш/У/4586</t>
  </si>
  <si>
    <t>Мирошниченко Максим Михайлович</t>
  </si>
  <si>
    <t>ВФЧ/Ш/У/4587</t>
  </si>
  <si>
    <t>Овдієнко Максим Романович</t>
  </si>
  <si>
    <t>ВФЧ/Ш/У/4588</t>
  </si>
  <si>
    <t>Панченко Марія Миколаївна</t>
  </si>
  <si>
    <t>ВФЧ/Ш/У/4589</t>
  </si>
  <si>
    <t>Посмітний Матвій Євгенович</t>
  </si>
  <si>
    <t>ВФЧ/Ш/У/4590</t>
  </si>
  <si>
    <t>Голуб Олександр Васильович</t>
  </si>
  <si>
    <t>ВФЧ/Ш/У/4591</t>
  </si>
  <si>
    <t>Рум'янцева Рімма Ростиславівна</t>
  </si>
  <si>
    <t>ВФЧ/Ш/У/4592</t>
  </si>
  <si>
    <t>Логвінова Євгенія Володимирівна</t>
  </si>
  <si>
    <t>ВФЧ/Ш/У/4593</t>
  </si>
  <si>
    <t>Печериця Євгенія Володимирівна</t>
  </si>
  <si>
    <t>ВФЧ/Ш/У/4594</t>
  </si>
  <si>
    <t>Мукогоренко Іванна Романівна</t>
  </si>
  <si>
    <t>ВФЧ/Ш/У/4595</t>
  </si>
  <si>
    <t>Сотула Аліна Сергіївна</t>
  </si>
  <si>
    <t>Черкаський науковий фізико-математичний ліцей "ФІМЛІ" Черкаської міської ради Черкаської області</t>
  </si>
  <si>
    <t>Скуба Оксана Михайлівна</t>
  </si>
  <si>
    <t>ВФЧ/Ш/У/4596</t>
  </si>
  <si>
    <t>Бухарова Божена В’ячеславівна</t>
  </si>
  <si>
    <t>ВФЧ/Ш/У/4597</t>
  </si>
  <si>
    <t>Каданцев Володимир Андрійович</t>
  </si>
  <si>
    <t>ВФЧ/Ш/У/4598</t>
  </si>
  <si>
    <t>Пустовіт Максим Михайлович</t>
  </si>
  <si>
    <t>ВФЧ/Ш/У/4599</t>
  </si>
  <si>
    <t>Нестеренко Ксенія Ігорівна</t>
  </si>
  <si>
    <t>ВФЧ/Ш/У/4600</t>
  </si>
  <si>
    <t>Бодашко Марія Олександрівна</t>
  </si>
  <si>
    <t>ВФЧ/Ш/У/4601</t>
  </si>
  <si>
    <t>Чабан Софія Іванівна</t>
  </si>
  <si>
    <t>ВФЧ/Ш/У/4602</t>
  </si>
  <si>
    <t>Цупка Олена Олексіївна</t>
  </si>
  <si>
    <t>ВФЧ/Ш/У/4603</t>
  </si>
  <si>
    <t>Хандюк Андрій Олександрович</t>
  </si>
  <si>
    <t>ВФЧ/Ш/У/4604</t>
  </si>
  <si>
    <t>Грипак Поліна Юріївна</t>
  </si>
  <si>
    <t>ВФЧ/Ш/У/4605</t>
  </si>
  <si>
    <t>Лут Дарина Євгеніївна</t>
  </si>
  <si>
    <t>ВФЧ/Ш/У/4606</t>
  </si>
  <si>
    <t>Євенко Артем Сергійович</t>
  </si>
  <si>
    <t>ВФЧ/Ш/У/4607</t>
  </si>
  <si>
    <t>Давидюк Іван Миколайович</t>
  </si>
  <si>
    <t>ВФЧ/Ш/У/4608</t>
  </si>
  <si>
    <t>Пахолко Анастасія Сергіївна</t>
  </si>
  <si>
    <t>ВФЧ/Ш/У/4609</t>
  </si>
  <si>
    <t>Ляпкало Крістіна Романівна</t>
  </si>
  <si>
    <t>ВФЧ/Ш/У/4610</t>
  </si>
  <si>
    <t>Нагорна Надія Вікторівна</t>
  </si>
  <si>
    <t>ВФЧ/Ш/У/4611</t>
  </si>
  <si>
    <t>Жиденко Ольга Дмитрівна</t>
  </si>
  <si>
    <t>ВФЧ/Ш/У/4612</t>
  </si>
  <si>
    <t>Уколова Анастасіія Олександрівна</t>
  </si>
  <si>
    <t>ВФЧ/Ш/У/4613</t>
  </si>
  <si>
    <t>Рябоконь Олександра Олександрівна</t>
  </si>
  <si>
    <t>ВФЧ/Ш/У/4614</t>
  </si>
  <si>
    <t>Сисой Олеся Богданівна</t>
  </si>
  <si>
    <t>ВФЧ/Ш/У/4615</t>
  </si>
  <si>
    <t>Пащенко Анна Олександрівна</t>
  </si>
  <si>
    <t>ВФЧ/Ш/У/4616</t>
  </si>
  <si>
    <t>Колісник Ксенія Петрівна</t>
  </si>
  <si>
    <t>ВФЧ/Ш/У/4617</t>
  </si>
  <si>
    <t>Заболотна Марія Андріївна</t>
  </si>
  <si>
    <t>ВФЧ/Ш/У/4618</t>
  </si>
  <si>
    <t>Колосюк Валерія Ігорівна</t>
  </si>
  <si>
    <t>ВФЧ/Ш/У/4619</t>
  </si>
  <si>
    <t>Синьогуб Софія Олександрівна</t>
  </si>
  <si>
    <t>Смілянська загальноосвітня школа І - ІІІ ступенів № 1 Смілянської міської ради Черкаської області</t>
  </si>
  <si>
    <t>Подрушняк Любов Іванівна</t>
  </si>
  <si>
    <t>ВФЧ/Ш/У/4620</t>
  </si>
  <si>
    <t>Цирфа Ангеліна Ігорівна</t>
  </si>
  <si>
    <t>ВФЧ/Ш/У/4621</t>
  </si>
  <si>
    <t>Пєскова Анна Володимирівна</t>
  </si>
  <si>
    <t>ВФЧ/Ш/У/4622</t>
  </si>
  <si>
    <t>Кравченко Станіслав Сергійович</t>
  </si>
  <si>
    <t>ВФЧ/Ш/У/4623</t>
  </si>
  <si>
    <t>Валебна Анастасія Олександрівна</t>
  </si>
  <si>
    <t>ВФЧ/Ш/У/4624</t>
  </si>
  <si>
    <t>Плаксюк Ігор Ігорович</t>
  </si>
  <si>
    <t>ВФЧ/Ш/У/4625</t>
  </si>
  <si>
    <t>Вовк Дмитро В'ячеславович</t>
  </si>
  <si>
    <t>ВФЧ/Ш/У/4626</t>
  </si>
  <si>
    <t>Бондаренко Дмитро Олександрович</t>
  </si>
  <si>
    <t>ВФЧ/Ш/У/4627</t>
  </si>
  <si>
    <t>Кучер Денис Євгенійович</t>
  </si>
  <si>
    <t>ВФЧ/Ш/У/4628</t>
  </si>
  <si>
    <t>Кісіль Роман Валерійович</t>
  </si>
  <si>
    <t>ВФЧ/Ш/У/4629</t>
  </si>
  <si>
    <t>Тихонович Рената Олександрівна</t>
  </si>
  <si>
    <t>ВФЧ/Ш/У/4630</t>
  </si>
  <si>
    <t>Саєнко Анастасія Сергіївна</t>
  </si>
  <si>
    <t>ВФЧ/Ш/У/4631</t>
  </si>
  <si>
    <t>Лопушанський Максім Павлович</t>
  </si>
  <si>
    <t>ВФЧ/Ш/У/4632</t>
  </si>
  <si>
    <t>Перебийніс Тарас Олегович</t>
  </si>
  <si>
    <t>Комунальний заклад "Мартинівський ліцей" Степанецької сільської ради Черкаської області</t>
  </si>
  <si>
    <t>Ніколаєва Тетяна Василівна</t>
  </si>
  <si>
    <t>ВФЧ/Ш/У/4633</t>
  </si>
  <si>
    <t>Богдан Поліна Андріївна</t>
  </si>
  <si>
    <t>ВФЧ/Ш/У/4634</t>
  </si>
  <si>
    <t>Турчиняк Марина Михайлівна</t>
  </si>
  <si>
    <t>ВФЧ/Ш/У/4635</t>
  </si>
  <si>
    <t>Турчиняк Аліна Михайлівна</t>
  </si>
  <si>
    <t>ВФЧ/Ш/У/4636</t>
  </si>
  <si>
    <t>Зеленін Андрій Сергійович</t>
  </si>
  <si>
    <t>Навчально-виховний комплекс «Загальноосвітня школа І-ІІІ ступенів №3-колегіум» Смілянської міської ради Черкаської області</t>
  </si>
  <si>
    <t>Онученко Лідія Михайлівна</t>
  </si>
  <si>
    <t>ВФЧ/Ш/У/4637</t>
  </si>
  <si>
    <t>Солод Ірина Максимівна</t>
  </si>
  <si>
    <t>ВФЧ/Ш/У/4638</t>
  </si>
  <si>
    <t>Матус Ксенія Олександрівна</t>
  </si>
  <si>
    <t>ВФЧ/Ш/У/4639</t>
  </si>
  <si>
    <t>Бойко КатеринаОлександрівна</t>
  </si>
  <si>
    <t>ВФЧ/Ш/У/4640</t>
  </si>
  <si>
    <t>Нонка Софія Сергіївна</t>
  </si>
  <si>
    <t>ВФЧ/Ш/У/4641</t>
  </si>
  <si>
    <t>Топчій Олександр Костянтинович</t>
  </si>
  <si>
    <t>ВФЧ/Ш/У/4642</t>
  </si>
  <si>
    <t>Савчук Артем Володимирович</t>
  </si>
  <si>
    <t>ВФЧ/Ш/У/4643</t>
  </si>
  <si>
    <t>Ружина Мар'яна Костянтинівна</t>
  </si>
  <si>
    <t>ВФЧ/Ш/У/4644</t>
  </si>
  <si>
    <t>Григор'єва Іванна Олегівна</t>
  </si>
  <si>
    <t>ВФЧ/Ш/У/4645</t>
  </si>
  <si>
    <t>Шептицький Андрій Олександрович</t>
  </si>
  <si>
    <t>ВФЧ/Ш/У/4646</t>
  </si>
  <si>
    <t>Гончар Ростислав Петрович</t>
  </si>
  <si>
    <t>Опорний заклад освіти-Городищенський заклад загальної середньої освіти I-III ступенів № 3 Городищенської міської ради Черкаської області</t>
  </si>
  <si>
    <t>Чорна Тетяна Василівна</t>
  </si>
  <si>
    <t>ВФЧ/Ш/У/4647</t>
  </si>
  <si>
    <t>Граділь Анна Олександрівна</t>
  </si>
  <si>
    <t>ВФЧ/Ш/У/4648</t>
  </si>
  <si>
    <t>Панасенко Микола Віталійович</t>
  </si>
  <si>
    <t>ВФЧ/Ш/У/4649</t>
  </si>
  <si>
    <t>Повзун Яна Олександрівна</t>
  </si>
  <si>
    <t>ВФЧ/Ш/У/4650</t>
  </si>
  <si>
    <t>Федорова Поліна Костянтинівна</t>
  </si>
  <si>
    <t>ВФЧ/Ш/У/4651</t>
  </si>
  <si>
    <t>Цветков Богдан Сергійович</t>
  </si>
  <si>
    <t>ВФЧ/Ш/У/4652</t>
  </si>
  <si>
    <t>Шеман Нікіта Дмитрович</t>
  </si>
  <si>
    <t>ВФЧ/Ш/У/4653</t>
  </si>
  <si>
    <t>Гайдай Денис Русланович</t>
  </si>
  <si>
    <t>ВФЧ/Ш/У/4654</t>
  </si>
  <si>
    <t>Буруль Анастасія Олександрівна</t>
  </si>
  <si>
    <t>ВФЧ/Ш/У/4655</t>
  </si>
  <si>
    <t>Богач Максим Михайлович</t>
  </si>
  <si>
    <t>ВФЧ/Ш/У/4656</t>
  </si>
  <si>
    <t>Бруско Зоряна Михайлівна</t>
  </si>
  <si>
    <t>ВФЧ/Ш/У/4657</t>
  </si>
  <si>
    <t>Перепелиця Анна Сергіївна</t>
  </si>
  <si>
    <t>ВФЧ/Ш/У/4658</t>
  </si>
  <si>
    <t>Старик Аліна Олександрівна</t>
  </si>
  <si>
    <t>ВФЧ/Ш/У/4659</t>
  </si>
  <si>
    <t>Маренич Софія Олександрівна</t>
  </si>
  <si>
    <t>ВФЧ/Ш/У/4660</t>
  </si>
  <si>
    <t>Харенко Марина Романівна</t>
  </si>
  <si>
    <t>ВФЧ/Ш/У/4661</t>
  </si>
  <si>
    <t>Варга Анна Миколаївна</t>
  </si>
  <si>
    <t>Христинівський ліцей №1 Христинівської міської ради Черкаської області</t>
  </si>
  <si>
    <t>Голик Людмила Олексіївна</t>
  </si>
  <si>
    <t>ВФЧ/Ш/У/4662</t>
  </si>
  <si>
    <t>Вовк Артем Андрійович</t>
  </si>
  <si>
    <t>ВФЧ/Ш/У/4663</t>
  </si>
  <si>
    <t>Бричук Владислав Володимирович</t>
  </si>
  <si>
    <t>ВФЧ/Ш/У/4664</t>
  </si>
  <si>
    <t>Гречко Максим Анатолійович</t>
  </si>
  <si>
    <t>ВФЧ/Ш/У/4665</t>
  </si>
  <si>
    <t>Григорян Арам Норайрович</t>
  </si>
  <si>
    <t>ВФЧ/Ш/У/4666</t>
  </si>
  <si>
    <t>Дарабян Гурген Георгійович</t>
  </si>
  <si>
    <t>ВФЧ/Ш/У/4667</t>
  </si>
  <si>
    <t>Добрянська Анна Анатоліївна</t>
  </si>
  <si>
    <t>ВФЧ/Ш/У/4668</t>
  </si>
  <si>
    <t>Єрмола Михайло Сергійович</t>
  </si>
  <si>
    <t>ВФЧ/Ш/У/4669</t>
  </si>
  <si>
    <t>Кальніченко Андрій Артурович</t>
  </si>
  <si>
    <t>ВФЧ/Ш/У/4670</t>
  </si>
  <si>
    <t>Кальніченко Володимир Артурович</t>
  </si>
  <si>
    <t>ВФЧ/Ш/У/4671</t>
  </si>
  <si>
    <t>Куликівська Ірина Олександрівна</t>
  </si>
  <si>
    <t>ВФЧ/Ш/У/4672</t>
  </si>
  <si>
    <t>Курієнко Ярослав Анатолійович</t>
  </si>
  <si>
    <t>ВФЧ/Ш/У/4673</t>
  </si>
  <si>
    <t>Мельник Даніла Богданович</t>
  </si>
  <si>
    <t>ВФЧ/Ш/У/4674</t>
  </si>
  <si>
    <t>Пріщенко Денис Віталійович</t>
  </si>
  <si>
    <t>ВФЧ/Ш/У/4675</t>
  </si>
  <si>
    <t>Прокопенко Артур Сергійович</t>
  </si>
  <si>
    <t>ВФЧ/Ш/У/4676</t>
  </si>
  <si>
    <t>Сімон Олександр Сергійович</t>
  </si>
  <si>
    <t>ВФЧ/Ш/У/4677</t>
  </si>
  <si>
    <t>Стріюк Ніка Олександрівна</t>
  </si>
  <si>
    <t>ВФЧ/Ш/У/4678</t>
  </si>
  <si>
    <t>Білоголовий Єгор Богданович</t>
  </si>
  <si>
    <t>ВФЧ/Ш/У/4679</t>
  </si>
  <si>
    <t>Бондар Тімур Максимович</t>
  </si>
  <si>
    <t>ВФЧ/Ш/У/4680</t>
  </si>
  <si>
    <t>Бородовська Анна Сергіївна</t>
  </si>
  <si>
    <t>ВФЧ/Ш/У/4681</t>
  </si>
  <si>
    <t>Драч Глєб Олегович</t>
  </si>
  <si>
    <t>ВФЧ/Ш/У/4682</t>
  </si>
  <si>
    <t>Задорожна Каріна Сергіївна</t>
  </si>
  <si>
    <t>ВФЧ/Ш/У/4683</t>
  </si>
  <si>
    <t>Заслонова Дарина Костянтинівна</t>
  </si>
  <si>
    <t>ВФЧ/Ш/У/4684</t>
  </si>
  <si>
    <t>Костенко Юлія Миколаївна</t>
  </si>
  <si>
    <t>ВФЧ/Ш/У/4685</t>
  </si>
  <si>
    <t>Косткевич Іван Миколайович</t>
  </si>
  <si>
    <t>ВФЧ/Ш/У/4686</t>
  </si>
  <si>
    <t>Курницький Артем Олексійович</t>
  </si>
  <si>
    <t>ВФЧ/Ш/У/4687</t>
  </si>
  <si>
    <t>Лабюк Даніїл Олександрович</t>
  </si>
  <si>
    <t>ВФЧ/Ш/У/4688</t>
  </si>
  <si>
    <t>Ніколайчук Ілля Ігорович</t>
  </si>
  <si>
    <t>ВФЧ/Ш/У/4689</t>
  </si>
  <si>
    <t>Онищенко Ангеліна Ігорівна</t>
  </si>
  <si>
    <t>ВФЧ/Ш/У/4690</t>
  </si>
  <si>
    <t>Суворов Олександр Юрійович</t>
  </si>
  <si>
    <t>ВФЧ/Ш/У/4691</t>
  </si>
  <si>
    <t>Хліменко Катерина Олегівна</t>
  </si>
  <si>
    <t>ВФЧ/Ш/У/4692</t>
  </si>
  <si>
    <t>Голик Назар Романович</t>
  </si>
  <si>
    <t>ВФЧ/Ш/У/4693</t>
  </si>
  <si>
    <t>Яковенко Владислав Сергійович</t>
  </si>
  <si>
    <t>ВФЧ/Ш/У/4694</t>
  </si>
  <si>
    <t>Лебідь Андрій Михайлович</t>
  </si>
  <si>
    <t>Опорний заклад освіти "Христинівський ліцей" Христинівської міської ради, Черкаської області</t>
  </si>
  <si>
    <t>Баланщук Ірина Сергіївна, Усатюк Олександра Ярославівна</t>
  </si>
  <si>
    <t>ВФЧ/Ш/У/4695</t>
  </si>
  <si>
    <t>Кузнецова Анна Святославівна</t>
  </si>
  <si>
    <t>ВФЧ/Ш/У/4696</t>
  </si>
  <si>
    <t>Мазуренко Назар Олегович</t>
  </si>
  <si>
    <t>ВФЧ/Ш/У/4697</t>
  </si>
  <si>
    <t>Даценко Андрій Олегович</t>
  </si>
  <si>
    <t>ВФЧ/Ш/У/4698</t>
  </si>
  <si>
    <t>Передрій Катерина Олександрівна</t>
  </si>
  <si>
    <t>ВФЧ/Ш/У/4699</t>
  </si>
  <si>
    <t>Панченко Анна Федорівна</t>
  </si>
  <si>
    <t>ВФЧ/Ш/У/4700</t>
  </si>
  <si>
    <t>Коваль Володимир Валерійович</t>
  </si>
  <si>
    <t>ВФЧ/Ш/У/4701</t>
  </si>
  <si>
    <t>Черепаха Дар'я Тарасівна</t>
  </si>
  <si>
    <t>ВФЧ/Ш/У/4702</t>
  </si>
  <si>
    <t>Цилюрник Олександр Єгенійович</t>
  </si>
  <si>
    <t>ВФЧ/Ш/У/4703</t>
  </si>
  <si>
    <t>Моргай Дарина Олександрівна</t>
  </si>
  <si>
    <t>ВФЧ/Ш/У/4704</t>
  </si>
  <si>
    <t>Проник Анна Іванівна</t>
  </si>
  <si>
    <t>ВФЧ/Ш/У/4705</t>
  </si>
  <si>
    <t>Пийтер Станіслав Олександрович</t>
  </si>
  <si>
    <t>ВФЧ/Ш/У/4706</t>
  </si>
  <si>
    <t>Березюк Андрій Сергійович</t>
  </si>
  <si>
    <t>ВФЧ/Ш/У/4707</t>
  </si>
  <si>
    <t>Карпенко Артем Ярославович</t>
  </si>
  <si>
    <t>ВФЧ/Ш/У/4708</t>
  </si>
  <si>
    <t>Брицька Валерія В'ячеславівна</t>
  </si>
  <si>
    <t>ВФЧ/Ш/У/4709</t>
  </si>
  <si>
    <t>Заїка Єлизавета Вадимівна</t>
  </si>
  <si>
    <t>ВФЧ/Ш/У/4710</t>
  </si>
  <si>
    <t>Джулай Марія Олегівна</t>
  </si>
  <si>
    <t>ВФЧ/Ш/У/4711</t>
  </si>
  <si>
    <t>Недужа Татьяна Віталіївна</t>
  </si>
  <si>
    <t>ВФЧ/Ш/У/4712</t>
  </si>
  <si>
    <t>Матенчук Елла Романівна</t>
  </si>
  <si>
    <t>ВФЧ/Ш/У/4713</t>
  </si>
  <si>
    <t>Ревнюк Антон Васильович</t>
  </si>
  <si>
    <t>ВФЧ/Ш/У/4714</t>
  </si>
  <si>
    <t>Бригинець Владислав Олександрович</t>
  </si>
  <si>
    <t>ВФЧ/Ш/У/4715</t>
  </si>
  <si>
    <t>Мошніна Дар'я Романівна</t>
  </si>
  <si>
    <t>ВФЧ/Ш/У/4716</t>
  </si>
  <si>
    <t>Гук Дар'я Юріївна</t>
  </si>
  <si>
    <t>ВФЧ/Ш/У/4717</t>
  </si>
  <si>
    <t>Ращупкіна Дар'я Сергіївна</t>
  </si>
  <si>
    <t>ВФЧ/Ш/У/4718</t>
  </si>
  <si>
    <t>Дремучкіна Емілія Валентинівна</t>
  </si>
  <si>
    <t>ВФЧ/Ш/У/4719</t>
  </si>
  <si>
    <t>Гуральник Катерина Олександрівна</t>
  </si>
  <si>
    <t>ВФЧ/Ш/У/4720</t>
  </si>
  <si>
    <t>Губницький Максим Віталійович</t>
  </si>
  <si>
    <t>ВФЧ/Ш/У/4721</t>
  </si>
  <si>
    <t>Семенюк Назар Олександрович</t>
  </si>
  <si>
    <t>ВФЧ/Ш/У/4722</t>
  </si>
  <si>
    <t>Ісакова Ярослава Валентинівна</t>
  </si>
  <si>
    <t>ВФЧ/Ш/У/4723</t>
  </si>
  <si>
    <t>Мартинюк Яна Олександрівна</t>
  </si>
  <si>
    <t>ВФЧ/Ш/У/4724</t>
  </si>
  <si>
    <t>Науменко Айя Володимирівна</t>
  </si>
  <si>
    <t>ВФЧ/Ш/У/4725</t>
  </si>
  <si>
    <t>Руденька Ксенія Денисівна</t>
  </si>
  <si>
    <t>ВФЧ/Ш/У/4726</t>
  </si>
  <si>
    <t>Солодовник Катерина Андріївна</t>
  </si>
  <si>
    <t>ВФЧ/Ш/У/4727</t>
  </si>
  <si>
    <t>Короташ Андрій Володимирович</t>
  </si>
  <si>
    <t>ВФЧ/Ш/У/4728</t>
  </si>
  <si>
    <t>Вовчанівський Олексій Андрійович</t>
  </si>
  <si>
    <t>Золотоніська загальноосвітня школа І-ІІІ ступенів №5</t>
  </si>
  <si>
    <t>Заєць Світлана Іванівна</t>
  </si>
  <si>
    <t>ВФЧ/Ш/У/4729</t>
  </si>
  <si>
    <t>Григоренко Софія Павлівна</t>
  </si>
  <si>
    <t>ВФЧ/Ш/У/4730</t>
  </si>
  <si>
    <t>Дубенець Дмитро Юрійович</t>
  </si>
  <si>
    <t>ВФЧ/Ш/У/4731</t>
  </si>
  <si>
    <t>Матюша Анна Андріївна</t>
  </si>
  <si>
    <t>ВФЧ/Ш/У/4732</t>
  </si>
  <si>
    <t>Небоян Анастасія Сергіївна</t>
  </si>
  <si>
    <t>ВФЧ/Ш/У/4733</t>
  </si>
  <si>
    <t>Олефір Ніка Юріївна</t>
  </si>
  <si>
    <t>ВФЧ/Ш/У/4734</t>
  </si>
  <si>
    <t>Самойленко Роман Сергійович</t>
  </si>
  <si>
    <t>ВФЧ/Ш/У/4735</t>
  </si>
  <si>
    <t>Сахно Діана Богданівна</t>
  </si>
  <si>
    <t>ВФЧ/Ш/У/4736</t>
  </si>
  <si>
    <t>Строкань Софія Юріївна</t>
  </si>
  <si>
    <t>ВФЧ/Ш/У/4737</t>
  </si>
  <si>
    <t>Шишко Богдан Олександрович</t>
  </si>
  <si>
    <t>ВФЧ/Ш/У/4738</t>
  </si>
  <si>
    <t>Кравченко Артем Романович</t>
  </si>
  <si>
    <t>Черкаська загальноосвітня школа І-ІІІ ступенів №15 Черкаської міської ради Черкаської області</t>
  </si>
  <si>
    <t>Ластівка Марина Валентинівна</t>
  </si>
  <si>
    <t>ВФЧ/Ш/У/4739</t>
  </si>
  <si>
    <t>Бердій Єгор Олександрович</t>
  </si>
  <si>
    <t>ВФЧ/Ш/У/4740</t>
  </si>
  <si>
    <t>Дитюченко Лідія Олегівна</t>
  </si>
  <si>
    <t>ВФЧ/Ш/У/4741</t>
  </si>
  <si>
    <t>Маркевич Марія Романівна</t>
  </si>
  <si>
    <t>ВФЧ/Ш/У/4742</t>
  </si>
  <si>
    <t>Носаченко Діана Олександрівна</t>
  </si>
  <si>
    <t>ВФЧ/Ш/У/4743</t>
  </si>
  <si>
    <t>Дронь Поліна Віталіївна</t>
  </si>
  <si>
    <t>ВФЧ/Ш/У/4744</t>
  </si>
  <si>
    <t>Демченко Ілля Сергійович</t>
  </si>
  <si>
    <t>ВФЧ/Ш/У/4745</t>
  </si>
  <si>
    <t>Швець Андрій Романович</t>
  </si>
  <si>
    <t>ВФЧ/Ш/У/4746</t>
  </si>
  <si>
    <t>Дрофа Вероніка Олександрівна</t>
  </si>
  <si>
    <t>ВФЧ/Ш/У/4747</t>
  </si>
  <si>
    <t>Корчевний Кіріл Олександрович</t>
  </si>
  <si>
    <t>ВФЧ/Ш/У/4748</t>
  </si>
  <si>
    <t>Мединський Ростислав Ростиславович</t>
  </si>
  <si>
    <t>ВФЧ/Ш/У/4749</t>
  </si>
  <si>
    <t>Роговець Марія Олегівна</t>
  </si>
  <si>
    <t>ВФЧ/Ш/У/4750</t>
  </si>
  <si>
    <t>Саблін Ілля Юрійович</t>
  </si>
  <si>
    <t>ВФЧ/Ш/У/4751</t>
  </si>
  <si>
    <t>Меркулова Юлія Романівна</t>
  </si>
  <si>
    <t>ВФЧ/Ш/У/4752</t>
  </si>
  <si>
    <t>Новіков Святослав Юрійович</t>
  </si>
  <si>
    <t>ВФЧ/Ш/У/4753</t>
  </si>
  <si>
    <t>Яременко Марія Олександрівна</t>
  </si>
  <si>
    <t>ВФЧ/Ш/У/4754</t>
  </si>
  <si>
    <t>Курасов Андрій Максимович</t>
  </si>
  <si>
    <t>ВФЧ/Ш/У/4755</t>
  </si>
  <si>
    <t>Вовкочин Валентина Сергіївна</t>
  </si>
  <si>
    <t>ВФЧ/Ш/У/4756</t>
  </si>
  <si>
    <t>Городова Кароліна Дмитрівна</t>
  </si>
  <si>
    <t>ВФЧ/Ш/У/4757</t>
  </si>
  <si>
    <t>Рябокінь Софія Ігорівна</t>
  </si>
  <si>
    <t>ВФЧ/Ш/У/4758</t>
  </si>
  <si>
    <t>Бойко Ярослав Володимирович</t>
  </si>
  <si>
    <t>Коробівський НВК 'ЗОШ І-ІІІ ступенів - заклад дошкільної освіти" Золотоніської міської ради Черкаської області</t>
  </si>
  <si>
    <t>Шацило Марія Василівна</t>
  </si>
  <si>
    <t>ВФЧ/Ш/У/4759</t>
  </si>
  <si>
    <t>Герцен Євгенія Віталіївна</t>
  </si>
  <si>
    <t>ВФЧ/Ш/У/4760</t>
  </si>
  <si>
    <t>Харченко Софія Олександрівна</t>
  </si>
  <si>
    <t>ВФЧ/Ш/У/4761</t>
  </si>
  <si>
    <t>Зінченко Максим Олегович</t>
  </si>
  <si>
    <t>Черкаська гімназія №31 Черкаської міської ради Черкаської області</t>
  </si>
  <si>
    <t>Воробйов Сергій Сергійович</t>
  </si>
  <si>
    <t>ВФЧ/Ш/У/4762</t>
  </si>
  <si>
    <t>Снитко Максим Дмитрович</t>
  </si>
  <si>
    <t>ВФЧ/Ш/У/4763</t>
  </si>
  <si>
    <t>Винниченко Владислав Юрійович</t>
  </si>
  <si>
    <t>ВФЧ/Ш/У/4764</t>
  </si>
  <si>
    <t>Калашник Анастасія Вадимівна</t>
  </si>
  <si>
    <t>ВФЧ/Ш/У/4765</t>
  </si>
  <si>
    <t>Керей Олег Русланович</t>
  </si>
  <si>
    <t>Золотоніська спеціалізована школа №1</t>
  </si>
  <si>
    <t>Кузьмінський Дмитро Миколайович</t>
  </si>
  <si>
    <t>ВФЧ/Ш/У/4766</t>
  </si>
  <si>
    <t>Чорний Андрій Костянтинович</t>
  </si>
  <si>
    <t>ВФЧ/Ш/У/4767</t>
  </si>
  <si>
    <t>Стельмах Каріна Олегівна</t>
  </si>
  <si>
    <t>ВФЧ/Ш/У/4768</t>
  </si>
  <si>
    <t>Міняйло Софія Ігорівна</t>
  </si>
  <si>
    <t>ВФЧ/Ш/У/4769</t>
  </si>
  <si>
    <t>Абрамов Давид Артурович</t>
  </si>
  <si>
    <t>ВФЧ/Ш/У/4770</t>
  </si>
  <si>
    <t>Ткаченко Денис Анатолійович</t>
  </si>
  <si>
    <t>ВФЧ/Ш/У/4771</t>
  </si>
  <si>
    <t>Амінова Ясміна</t>
  </si>
  <si>
    <t>Черкаський ліцей з посиленою військово-фізичною підготовкою імені Захисників України</t>
  </si>
  <si>
    <t>Гриліцька Анжела Вікторівна</t>
  </si>
  <si>
    <t>ВФЧ/Ш/У/4772</t>
  </si>
  <si>
    <t>Андрєєв Артем</t>
  </si>
  <si>
    <t>ВФЧ/Ш/У/4773</t>
  </si>
  <si>
    <t>Батюк Олександра</t>
  </si>
  <si>
    <t>ВФЧ/Ш/У/4774</t>
  </si>
  <si>
    <t>Бондаренко Єва</t>
  </si>
  <si>
    <t>ВФЧ/Ш/У/4775</t>
  </si>
  <si>
    <t>Брегеда Марія</t>
  </si>
  <si>
    <t>ВФЧ/Ш/У/4776</t>
  </si>
  <si>
    <t>Власенко Мирослава</t>
  </si>
  <si>
    <t>ВФЧ/Ш/У/4777</t>
  </si>
  <si>
    <t>Воліцький Ростислав</t>
  </si>
  <si>
    <t>ВФЧ/Ш/У/4778</t>
  </si>
  <si>
    <t>Горбенко Миколай</t>
  </si>
  <si>
    <t>ВФЧ/Ш/У/4779</t>
  </si>
  <si>
    <t>Дзис Дмитро</t>
  </si>
  <si>
    <t>ВФЧ/Ш/У/4780</t>
  </si>
  <si>
    <t>Кадука Софія</t>
  </si>
  <si>
    <t>ВФЧ/Ш/У/4781</t>
  </si>
  <si>
    <t>Кравченко Богдан</t>
  </si>
  <si>
    <t>ВФЧ/Ш/У/4782</t>
  </si>
  <si>
    <t>Лущ Ірина</t>
  </si>
  <si>
    <t>ВФЧ/Ш/У/4783</t>
  </si>
  <si>
    <t>Матеюк Олексій</t>
  </si>
  <si>
    <t>ВФЧ/Ш/У/4784</t>
  </si>
  <si>
    <t>Міняйло Каріна</t>
  </si>
  <si>
    <t>ВФЧ/Ш/У/4785</t>
  </si>
  <si>
    <t>Москаленко Кирило</t>
  </si>
  <si>
    <t>ВФЧ/Ш/У/4786</t>
  </si>
  <si>
    <t>Попов Максим</t>
  </si>
  <si>
    <t>ВФЧ/Ш/У/4787</t>
  </si>
  <si>
    <t>Приходько Анна</t>
  </si>
  <si>
    <t>ВФЧ/Ш/У/4788</t>
  </si>
  <si>
    <t>Савченко назар</t>
  </si>
  <si>
    <t>ВФЧ/Ш/У/4789</t>
  </si>
  <si>
    <t>Сидоренко Тімур</t>
  </si>
  <si>
    <t>ВФЧ/Ш/У/4790</t>
  </si>
  <si>
    <t>Сугак Максим</t>
  </si>
  <si>
    <t>ВФЧ/Ш/У/4791</t>
  </si>
  <si>
    <t>Юхнович Тімур</t>
  </si>
  <si>
    <t>ВФЧ/Ш/У/4792</t>
  </si>
  <si>
    <t>Бараненко Єлизавета</t>
  </si>
  <si>
    <t>ВФЧ/Ш/У/4793</t>
  </si>
  <si>
    <t>Блощаневич Михайло</t>
  </si>
  <si>
    <t>ВФЧ/Ш/У/4794</t>
  </si>
  <si>
    <t>Бордюг Арсен</t>
  </si>
  <si>
    <t>ВФЧ/Ш/У/4795</t>
  </si>
  <si>
    <t>Варгатий Захар</t>
  </si>
  <si>
    <t>ВФЧ/Ш/У/4796</t>
  </si>
  <si>
    <t>Гордій Макар</t>
  </si>
  <si>
    <t>ВФЧ/Ш/У/4797</t>
  </si>
  <si>
    <t>Давлятов Максим</t>
  </si>
  <si>
    <t>ВФЧ/Ш/У/4798</t>
  </si>
  <si>
    <t>Дядченко Владислав</t>
  </si>
  <si>
    <t>ВФЧ/Ш/У/4799</t>
  </si>
  <si>
    <t>Єрмакова Анастасія</t>
  </si>
  <si>
    <t>ВФЧ/Ш/У/4800</t>
  </si>
  <si>
    <t>Зоря Марія</t>
  </si>
  <si>
    <t>ВФЧ/Ш/У/4801</t>
  </si>
  <si>
    <t>Карасьов Марат</t>
  </si>
  <si>
    <t>ВФЧ/Ш/У/4802</t>
  </si>
  <si>
    <t>Комлєв Ілля</t>
  </si>
  <si>
    <t>ВФЧ/Ш/У/4803</t>
  </si>
  <si>
    <t>Маліновська Діана</t>
  </si>
  <si>
    <t>ВФЧ/Ш/У/4804</t>
  </si>
  <si>
    <t>Мироненко Назар</t>
  </si>
  <si>
    <t>ВФЧ/Ш/У/4805</t>
  </si>
  <si>
    <t>Омелян Максим</t>
  </si>
  <si>
    <t>ВФЧ/Ш/У/4806</t>
  </si>
  <si>
    <t>Роговий Олексій</t>
  </si>
  <si>
    <t>ВФЧ/Ш/У/4807</t>
  </si>
  <si>
    <t>Саган Денис</t>
  </si>
  <si>
    <t>ВФЧ/Ш/У/4808</t>
  </si>
  <si>
    <t>Садловська Марія</t>
  </si>
  <si>
    <t>ВФЧ/Ш/У/4809</t>
  </si>
  <si>
    <t>Свідерська Софія</t>
  </si>
  <si>
    <t>ВФЧ/Ш/У/4810</t>
  </si>
  <si>
    <t>Сіденко маргарита</t>
  </si>
  <si>
    <t>ВФЧ/Ш/У/4811</t>
  </si>
  <si>
    <t>Ступацький Владислав</t>
  </si>
  <si>
    <t>ВФЧ/Ш/У/4812</t>
  </si>
  <si>
    <t>Юрченко Єлизавета</t>
  </si>
  <si>
    <t>ВФЧ/Ш/У/4813</t>
  </si>
  <si>
    <t>Барінова Єлизавета</t>
  </si>
  <si>
    <t>ВФЧ/Ш/У/4814</t>
  </si>
  <si>
    <t>Дьомін Артем</t>
  </si>
  <si>
    <t>ВФЧ/Ш/У/4815</t>
  </si>
  <si>
    <t>Крикля Богдан</t>
  </si>
  <si>
    <t>ВФЧ/Ш/У/4816</t>
  </si>
  <si>
    <t>Лут Олександр</t>
  </si>
  <si>
    <t>ВФЧ/Ш/У/4817</t>
  </si>
  <si>
    <t>Шаповалов Іван</t>
  </si>
  <si>
    <t>ВФЧ/Ш/У/4818</t>
  </si>
  <si>
    <t>Шпара Іван</t>
  </si>
  <si>
    <t>ВФЧ/Ш/У/4819</t>
  </si>
  <si>
    <t>Шпара Поліна</t>
  </si>
  <si>
    <t>ВФЧ/Ш/У/4820</t>
  </si>
  <si>
    <t>Волошок Дарія Юріївна</t>
  </si>
  <si>
    <t>Наумівський ліцей Корюківської міської ради Чернігівської області</t>
  </si>
  <si>
    <t>Савченко Ірина Миколаївна</t>
  </si>
  <si>
    <t>ВФЧ/Ш/У/4821</t>
  </si>
  <si>
    <t>Запорожець Артем Дмитрович</t>
  </si>
  <si>
    <t>ВФЧ/Ш/У/4822</t>
  </si>
  <si>
    <t>Заяць Ярослав Павлович</t>
  </si>
  <si>
    <t>ВФЧ/Ш/У/4823</t>
  </si>
  <si>
    <t>Мажара Ангеліна Олексіївна</t>
  </si>
  <si>
    <t>ВФЧ/Ш/У/4824</t>
  </si>
  <si>
    <t>Пулеко Ольга Андріївна</t>
  </si>
  <si>
    <t>ВФЧ/Ш/У/4825</t>
  </si>
  <si>
    <t>Цинікін Денис Олександрович</t>
  </si>
  <si>
    <t>ВФЧ/Ш/У/4826</t>
  </si>
  <si>
    <t>Доценко Дар’я</t>
  </si>
  <si>
    <t>Лосинівський ЗЗСО</t>
  </si>
  <si>
    <t>Опанасенко Ольга Миколаївна</t>
  </si>
  <si>
    <t>ВФЧ/Ш/У/4827</t>
  </si>
  <si>
    <t>Ряба Вікторія</t>
  </si>
  <si>
    <t>ВФЧ/Ш/У/4828</t>
  </si>
  <si>
    <t>Омельченко Карина</t>
  </si>
  <si>
    <t>ВФЧ/Ш/У/4829</t>
  </si>
  <si>
    <t>Литовченко Дмитро</t>
  </si>
  <si>
    <t>ВФЧ/Ш/У/4830</t>
  </si>
  <si>
    <t>Гавришківа Кіра</t>
  </si>
  <si>
    <t>ВФЧ/Ш/У/4831</t>
  </si>
  <si>
    <t>Веремій Катерина Станіславівна</t>
  </si>
  <si>
    <t>Куликівський ліцей Куликівської селищної ради Чернігівського району Чернігівської області</t>
  </si>
  <si>
    <t>Гнилуша Лілія Володимирівна</t>
  </si>
  <si>
    <t>ВФЧ/Ш/У/4832</t>
  </si>
  <si>
    <t>Гостіщев Андрій Андрійович</t>
  </si>
  <si>
    <t>ВФЧ/Ш/У/4833</t>
  </si>
  <si>
    <t>Дейнеко Поліна Володимирівна</t>
  </si>
  <si>
    <t>ВФЧ/Ш/У/4834</t>
  </si>
  <si>
    <t>Зінченко Владислав Олександрович</t>
  </si>
  <si>
    <t>ВФЧ/Ш/У/4835</t>
  </si>
  <si>
    <t>Носенко Маргарита Олексіївна</t>
  </si>
  <si>
    <t>ВФЧ/Ш/У/4836</t>
  </si>
  <si>
    <t>Постернак Карина Миколаївна</t>
  </si>
  <si>
    <t>ВФЧ/Ш/У/4837</t>
  </si>
  <si>
    <t>Сенченко Валерія Сергіївна</t>
  </si>
  <si>
    <t>ВФЧ/Ш/У/4838</t>
  </si>
  <si>
    <t>Точона Ангеліна Олександрівна</t>
  </si>
  <si>
    <t>ВФЧ/Ш/У/4839</t>
  </si>
  <si>
    <t>Хлистун Анна Олегівна</t>
  </si>
  <si>
    <t>ВФЧ/Ш/У/4840</t>
  </si>
  <si>
    <t>Ширай Марія Володимирівна</t>
  </si>
  <si>
    <t>ВФЧ/Ш/У/4841</t>
  </si>
  <si>
    <t>Бодня Діана Вадимівна</t>
  </si>
  <si>
    <t>Талалаївський ліцей Талалаївської сільської ради Ніжинського району Чернігівської області</t>
  </si>
  <si>
    <t>Пабат Лариса Миколаївна</t>
  </si>
  <si>
    <t>ВФЧ/Ш/У/4842</t>
  </si>
  <si>
    <t>Дудко Нікіта Євгенійович</t>
  </si>
  <si>
    <t>ВФЧ/Ш/У/4843</t>
  </si>
  <si>
    <t>Куц Ангеліна Романівна</t>
  </si>
  <si>
    <t>ВФЧ/Ш/У/4844</t>
  </si>
  <si>
    <t>Породько Олександр Віталійович</t>
  </si>
  <si>
    <t>ВФЧ/Ш/У/4845</t>
  </si>
  <si>
    <t>Хомич Анастасія Віталіївна</t>
  </si>
  <si>
    <t>ВФЧ/Ш/У/4846</t>
  </si>
  <si>
    <t>Мілашенко Максим Станіславович</t>
  </si>
  <si>
    <t>Білейківський ліцей Козелецької селищної ради</t>
  </si>
  <si>
    <t>Пиженко Тамара Миколаївна</t>
  </si>
  <si>
    <t>ВФЧ/Ш/У/4847</t>
  </si>
  <si>
    <t>Пац Роман Дмитрович</t>
  </si>
  <si>
    <t>ВФЧ/Ш/У/4848</t>
  </si>
  <si>
    <t>Пищик Богдан Васильович</t>
  </si>
  <si>
    <t>ВФЧ/Ш/У/4849</t>
  </si>
  <si>
    <t>Сук Артем Русланович</t>
  </si>
  <si>
    <t>ВФЧ/Ш/У/4850</t>
  </si>
  <si>
    <t>Ткаченко Нікіта Романович</t>
  </si>
  <si>
    <t>ВФЧ/Ш/У/4851</t>
  </si>
  <si>
    <t>Француз Єлизавета Володимирівна</t>
  </si>
  <si>
    <t>ВФЧ/Ш/У/4852</t>
  </si>
  <si>
    <t>Щепець Ірина Василівна</t>
  </si>
  <si>
    <t>ВФЧ/Ш/У/4853</t>
  </si>
  <si>
    <t>Діденко Денис Юрійович</t>
  </si>
  <si>
    <t>Срібнянський ліцей Срібнянської селищної ради Чернігвської області</t>
  </si>
  <si>
    <t>Соловей Мирослава Анатоліївна, Мартищенко Алла Олексіївна</t>
  </si>
  <si>
    <t>ВФЧ/Ш/У/4854</t>
  </si>
  <si>
    <t>Желіба Валерія Вячеславівна</t>
  </si>
  <si>
    <t>ВФЧ/Ш/У/4855</t>
  </si>
  <si>
    <t>Закутня Софія Павлівна</t>
  </si>
  <si>
    <t>ВФЧ/Ш/У/4856</t>
  </si>
  <si>
    <t>Заскалько Софія Анатоліївна</t>
  </si>
  <si>
    <t>ВФЧ/Ш/У/4857</t>
  </si>
  <si>
    <t>Клименко Вікторія Олегівна</t>
  </si>
  <si>
    <t>ВФЧ/Ш/У/4858</t>
  </si>
  <si>
    <t>Кривов'яз Ігор Андрійович</t>
  </si>
  <si>
    <t>ВФЧ/Ш/У/4859</t>
  </si>
  <si>
    <t>Лавріненко Роман Сергійович</t>
  </si>
  <si>
    <t>ВФЧ/Ш/У/4860</t>
  </si>
  <si>
    <t>Логоша Анна Валеріївна</t>
  </si>
  <si>
    <t>ВФЧ/Ш/У/4861</t>
  </si>
  <si>
    <t>Павлова Мар'яна Олександрівна</t>
  </si>
  <si>
    <t>ВФЧ/Ш/У/4862</t>
  </si>
  <si>
    <t>Панченко Єва Ярославівна</t>
  </si>
  <si>
    <t>ВФЧ/Ш/У/4863</t>
  </si>
  <si>
    <t>Рачок Тимур Бакірович</t>
  </si>
  <si>
    <t>ВФЧ/Ш/У/4864</t>
  </si>
  <si>
    <t>Сакун Дарина Василівна</t>
  </si>
  <si>
    <t>ВФЧ/Ш/У/4865</t>
  </si>
  <si>
    <t>Сергієнко Святослава Богданівна</t>
  </si>
  <si>
    <t>ВФЧ/Ш/У/4866</t>
  </si>
  <si>
    <t>Сушко Ілона Сергіївна</t>
  </si>
  <si>
    <t>ВФЧ/Ш/У/4867</t>
  </si>
  <si>
    <t>Таран Владислава Сергіївна</t>
  </si>
  <si>
    <t>ВФЧ/Ш/У/4868</t>
  </si>
  <si>
    <t>Хамчич Юлія Володимирівна</t>
  </si>
  <si>
    <t>ВФЧ/Ш/У/4869</t>
  </si>
  <si>
    <t>Хоменко Єгор Віталійович</t>
  </si>
  <si>
    <t>ВФЧ/Ш/У/4870</t>
  </si>
  <si>
    <t>Юрченко Вікторія Олександрівна</t>
  </si>
  <si>
    <t>ВФЧ/Ш/У/4871</t>
  </si>
  <si>
    <t>Ярошенко Ярослава Віталіївна</t>
  </si>
  <si>
    <t>ВФЧ/Ш/У/4872</t>
  </si>
  <si>
    <t>Кресан Яна Ігорівна</t>
  </si>
  <si>
    <t>Ніжинський ліцей Ніжинської міської ради при НДУ ім. М. Гоголяпри НДУ</t>
  </si>
  <si>
    <t>Шовкун Тетяна Миколаївна</t>
  </si>
  <si>
    <t>ВФЧ/Ш/У/4873</t>
  </si>
  <si>
    <t>Клочко Дарина Іванівна</t>
  </si>
  <si>
    <t>ВФЧ/Ш/У/4874</t>
  </si>
  <si>
    <t>Калініна Лілія Сергіївна</t>
  </si>
  <si>
    <t>ВФЧ/Ш/У/4875</t>
  </si>
  <si>
    <t>Кириченко Артем Русланович</t>
  </si>
  <si>
    <t>ВФЧ/Ш/У/4876</t>
  </si>
  <si>
    <t>Луєнко Анастасія Юріївна</t>
  </si>
  <si>
    <t>ВФЧ/Ш/У/4877</t>
  </si>
  <si>
    <t>Усіченко Ярослава Андріївна</t>
  </si>
  <si>
    <t>ВФЧ/Ш/У/4878</t>
  </si>
  <si>
    <t>Білоус Святослав Вікторович</t>
  </si>
  <si>
    <t>ВФЧ/Ш/У/4879</t>
  </si>
  <si>
    <t>Явон Софія Вадимівна</t>
  </si>
  <si>
    <t>ВФЧ/Ш/У/4880</t>
  </si>
  <si>
    <t>Губська Катерина Андріївна</t>
  </si>
  <si>
    <t>ВФЧ/Ш/У/4881</t>
  </si>
  <si>
    <t>Ігнатенко Раміна Романівна</t>
  </si>
  <si>
    <t>ВФЧ/Ш/У/4882</t>
  </si>
  <si>
    <t>Івашко Ярослав Олексійович</t>
  </si>
  <si>
    <t>Приватний заклад освіти "МудрАнгелики"</t>
  </si>
  <si>
    <t>Мищенко Катерина Миколаївна</t>
  </si>
  <si>
    <t>ВФЧ/Ш/У/4883</t>
  </si>
  <si>
    <t>Панченко Григорій Олегович</t>
  </si>
  <si>
    <t>ВФЧ/Ш/У/4884</t>
  </si>
  <si>
    <t>Грицик Дмитро Олександрович</t>
  </si>
  <si>
    <t>ВФЧ/Ш/У/4885</t>
  </si>
  <si>
    <t>Карета Ірина Сергіївна</t>
  </si>
  <si>
    <t>ВФЧ/Ш/У/4886</t>
  </si>
  <si>
    <t>Пущенко Владислав Павлович</t>
  </si>
  <si>
    <t>ВФЧ/Ш/У/4887</t>
  </si>
  <si>
    <t>Поліцінський Станіслав Михайлович</t>
  </si>
  <si>
    <t>ВФЧ/Ш/У/4888</t>
  </si>
  <si>
    <t>Калініченко Саміра Олександрівна</t>
  </si>
  <si>
    <t>ВФЧ/Ш/У/4889</t>
  </si>
  <si>
    <t>Терейковська Марія Володимирівна</t>
  </si>
  <si>
    <t>ВФЧ/Ш/У/4890</t>
  </si>
  <si>
    <t>Бабохін Валентин Дмитрович</t>
  </si>
  <si>
    <t>Олешнянський ліцей ім. С. Ф. Русової</t>
  </si>
  <si>
    <t>Заморська Олена Олександрівана</t>
  </si>
  <si>
    <t>ВФЧ/Ш/У/4891</t>
  </si>
  <si>
    <t>Колпаков Костянтин Олександрович</t>
  </si>
  <si>
    <t>ВФЧ/Ш/У/4892</t>
  </si>
  <si>
    <t>Грош Інна Денисівна</t>
  </si>
  <si>
    <t>Марковецький ЗЗСО І-ІІІ ступенів</t>
  </si>
  <si>
    <t>Берегун Віктор Анатолійович</t>
  </si>
  <si>
    <t>ВФЧ/Ш/У/4893</t>
  </si>
  <si>
    <t>Данільченко Антон Сергійович</t>
  </si>
  <si>
    <t>ВФЧ/Ш/У/4894</t>
  </si>
  <si>
    <t>Зубко Тимофій Миколайович</t>
  </si>
  <si>
    <t>ВФЧ/Ш/У/4895</t>
  </si>
  <si>
    <t>Козачук Артем Олегович</t>
  </si>
  <si>
    <t>ВФЧ/Ш/У/4896</t>
  </si>
  <si>
    <t>Конош Єлизавета Ігорівна</t>
  </si>
  <si>
    <t>ВФЧ/Ш/У/4897</t>
  </si>
  <si>
    <t>Крикун Дмитро Валерійович</t>
  </si>
  <si>
    <t>ВФЧ/Ш/У/4898</t>
  </si>
  <si>
    <t>Панченко Маргарита Олександрівна</t>
  </si>
  <si>
    <t>ВФЧ/Ш/У/4899</t>
  </si>
  <si>
    <t>Породько Анастасія Павлівна</t>
  </si>
  <si>
    <t>ВФЧ/Ш/У/4900</t>
  </si>
  <si>
    <t>Ручко Владислав Ярославович</t>
  </si>
  <si>
    <t>ВФЧ/Ш/У/4901</t>
  </si>
  <si>
    <t>Шульжинська Дар’я Володимирівна</t>
  </si>
  <si>
    <t>Семенівський ліцей №2 Семенівської міської ради Чернігівської області</t>
  </si>
  <si>
    <t>Євтушенко Наталія Леонідівна</t>
  </si>
  <si>
    <t>ВФЧ/Ш/У/4902</t>
  </si>
  <si>
    <t>Савосько Анастасія Олегівна</t>
  </si>
  <si>
    <t>ВФЧ/Ш/У/4903</t>
  </si>
  <si>
    <t>Лаковська Ольга Василівна</t>
  </si>
  <si>
    <t>ВФЧ/Ш/У/4904</t>
  </si>
  <si>
    <t>Краснюк Анастасія Владиславівна</t>
  </si>
  <si>
    <t>ВФЧ/Ш/У/4905</t>
  </si>
  <si>
    <t>Кирдан Вадим Васильович</t>
  </si>
  <si>
    <t>ВФЧ/Ш/У/4906</t>
  </si>
  <si>
    <t>Брябін Анастасія Сергіївна</t>
  </si>
  <si>
    <t>Тарасовецький ліцей Ванчиковецької сільської ради</t>
  </si>
  <si>
    <t>Безушка Лариса Сергіївна</t>
  </si>
  <si>
    <t>ВФЧ/Ш/У/4907</t>
  </si>
  <si>
    <t>Лупой Аріна Анатоліївна</t>
  </si>
  <si>
    <t>ВФЧ/Ш/У/4908</t>
  </si>
  <si>
    <t>Сиротян Ємануела Віталіївна</t>
  </si>
  <si>
    <t>ВФЧ/Ш/У/4909</t>
  </si>
  <si>
    <t>Савка Міхаєла Михайлівна</t>
  </si>
  <si>
    <t>ВФЧ/Ш/У/4910</t>
  </si>
  <si>
    <t>Преутеса Едуарда Едуардівна</t>
  </si>
  <si>
    <t>ВФЧ/Ш/У/4911</t>
  </si>
  <si>
    <t>Піць Олександр Віталійович</t>
  </si>
  <si>
    <t>Чернівецький багатопрофільний ліцей №4 Чернівецької міської ради</t>
  </si>
  <si>
    <t>Бартусяк Павло Ігорович</t>
  </si>
  <si>
    <t>ВФЧ/Ш/У/4912</t>
  </si>
  <si>
    <t>Руссу Анастасія Миколаївна</t>
  </si>
  <si>
    <t>ВФЧ/Ш/У/4913</t>
  </si>
  <si>
    <t>Мартенюк Каріна Георгіївна</t>
  </si>
  <si>
    <t>ВФЧ/Ш/У/4914</t>
  </si>
  <si>
    <t>Гошовська Катерина Вʼячеславівна</t>
  </si>
  <si>
    <t>ВФЧ/Ш/У/4915</t>
  </si>
  <si>
    <t>Чорней Владислав Вячеславович</t>
  </si>
  <si>
    <t>ВФЧ/Ш/У/4916</t>
  </si>
  <si>
    <t>Адамович Богдан Сергійович</t>
  </si>
  <si>
    <t>ВФЧ/Ш/У/4917</t>
  </si>
  <si>
    <t>Кілару Георгій Ігорович</t>
  </si>
  <si>
    <t>ВФЧ/Ш/У/4918</t>
  </si>
  <si>
    <t>Романенко Єва Олександрівна</t>
  </si>
  <si>
    <t>ВФЧ/Ш/У/4919</t>
  </si>
  <si>
    <t>Дідух Софія Миколаївна</t>
  </si>
  <si>
    <t>ВФЧ/Ш/У/4920</t>
  </si>
  <si>
    <t>Семирга Анастасія Ігорівна</t>
  </si>
  <si>
    <t>ВФЧ/Ш/У/4921</t>
  </si>
  <si>
    <t>Олійник Віка Романівна</t>
  </si>
  <si>
    <t>ВФЧ/Ш/У/4922</t>
  </si>
  <si>
    <t>Гренюк Марія Олегівна</t>
  </si>
  <si>
    <t>ВФЧ/Ш/У/4923</t>
  </si>
  <si>
    <t>Нещеретна Іріна Володимирівна</t>
  </si>
  <si>
    <t>ВФЧ/Ш/У/4924</t>
  </si>
  <si>
    <t>Онуфраш Олександра Володимирівна</t>
  </si>
  <si>
    <t>ВФЧ/Ш/У/4925</t>
  </si>
  <si>
    <t>Чубайко Яна Ярославівна</t>
  </si>
  <si>
    <t>ВФЧ/Ш/У/4926</t>
  </si>
  <si>
    <t>Топорець Віталіна Віталіївна</t>
  </si>
  <si>
    <t>Мамалигівський ліцей</t>
  </si>
  <si>
    <t>Чеботар Євгеній Олегович</t>
  </si>
  <si>
    <t>ВФЧ/Ш/У/4927</t>
  </si>
  <si>
    <t>Немец Еріка Сергіївна</t>
  </si>
  <si>
    <t>ВФЧ/Ш/У/4928</t>
  </si>
  <si>
    <t>Олинюк Юлія Іванівна</t>
  </si>
  <si>
    <t>ВФЧ/Ш/У/4929</t>
  </si>
  <si>
    <t>Приймак Анна Петрівна</t>
  </si>
  <si>
    <t>Ліцей 9</t>
  </si>
  <si>
    <t>Сиротюк Оксана Миколаївна</t>
  </si>
  <si>
    <t>ВФЧ/Ш/У/4930</t>
  </si>
  <si>
    <t>Гунчак Олександр Сергійович</t>
  </si>
  <si>
    <t>ВФЧ/Ш/У/4931</t>
  </si>
  <si>
    <t>Пантазі Софія Євгенівна</t>
  </si>
  <si>
    <t>ВФЧ/Ш/У/4932</t>
  </si>
  <si>
    <t>Дутчак Марія Іванівна</t>
  </si>
  <si>
    <t>ВФЧ/Ш/У/4933</t>
  </si>
  <si>
    <t>Присяжнюк Петро Васильович</t>
  </si>
  <si>
    <t>ВФЧ/Ш/У/4934</t>
  </si>
  <si>
    <t>Попович Роман Андрійович</t>
  </si>
  <si>
    <t>ВФЧ/Ш/У/4935</t>
  </si>
  <si>
    <t>Васеленчук Валерія Віталіївна</t>
  </si>
  <si>
    <t>ВФЧ/Ш/У/4936</t>
  </si>
  <si>
    <t>Пуршага Назар Олександрович</t>
  </si>
  <si>
    <t>ВФЧ/Ш/У/4937</t>
  </si>
  <si>
    <t>Решко Маргаріта Петрівна</t>
  </si>
  <si>
    <t>ВФЧ/Ш/У/4938</t>
  </si>
  <si>
    <t>Черновська Єва Андріївна</t>
  </si>
  <si>
    <t>ВФЧ/Ш/У/4939</t>
  </si>
  <si>
    <t>Ліснича Анастасія Романівна</t>
  </si>
  <si>
    <t>ВФЧ/Ш/У/4940</t>
  </si>
  <si>
    <t>Корнило Аліна</t>
  </si>
  <si>
    <t>Чернівецький ліцей номер 12 Чернівецької міської ради</t>
  </si>
  <si>
    <t>Тимчук Ігор Віталійович</t>
  </si>
  <si>
    <t>ВФЧ/Ш/У/4941</t>
  </si>
  <si>
    <t>Конега Вікторія</t>
  </si>
  <si>
    <t>ВФЧ/Ш/У/4942</t>
  </si>
  <si>
    <t>Гудзовська Анастасія</t>
  </si>
  <si>
    <t>ВФЧ/Ш/У/4943</t>
  </si>
  <si>
    <t>Шипілова Євгенія</t>
  </si>
  <si>
    <t>ВФЧ/Ш/У/4944</t>
  </si>
  <si>
    <t>Варварюк Вікторія</t>
  </si>
  <si>
    <t>ВФЧ/Ш/У/4945</t>
  </si>
  <si>
    <t>Коротчук Роман</t>
  </si>
  <si>
    <t>ВФЧ/Ш/У/4946</t>
  </si>
  <si>
    <t>Ставіла Олександра</t>
  </si>
  <si>
    <t>ВФЧ/Ш/У/4947</t>
  </si>
  <si>
    <t>Безушко Артур Артурович</t>
  </si>
  <si>
    <t>Чернівецький ліцей 15 "ОРТ"</t>
  </si>
  <si>
    <t>Мадей Галина Володимирівна</t>
  </si>
  <si>
    <t>ВФЧ/Ш/У/4948</t>
  </si>
  <si>
    <t>Борча Ада Андріївна</t>
  </si>
  <si>
    <t>ВФЧ/Ш/У/4949</t>
  </si>
  <si>
    <t>Винту Світлана Юріївна</t>
  </si>
  <si>
    <t>ВФЧ/Ш/У/4950</t>
  </si>
  <si>
    <t>Вівчар Ростислав Любомирович</t>
  </si>
  <si>
    <t>ВФЧ/Ш/У/4951</t>
  </si>
  <si>
    <t>Волошина Валерія Русланівна</t>
  </si>
  <si>
    <t>ВФЧ/Ш/У/4952</t>
  </si>
  <si>
    <t>Драпатий Нікіта Олександрович</t>
  </si>
  <si>
    <t>ВФЧ/Ш/У/4953</t>
  </si>
  <si>
    <t>Дякон Марія Олександрівна</t>
  </si>
  <si>
    <t>ВФЧ/Ш/У/4954</t>
  </si>
  <si>
    <t>Зіновʼєва Адріана Андріївна</t>
  </si>
  <si>
    <t>ВФЧ/Ш/У/4955</t>
  </si>
  <si>
    <t>Колісник Святослав Русланович</t>
  </si>
  <si>
    <t>ВФЧ/Ш/У/4956</t>
  </si>
  <si>
    <t>Марку Юрій Юрійович</t>
  </si>
  <si>
    <t>ВФЧ/Ш/У/4957</t>
  </si>
  <si>
    <t>Первак Маргарита Сергіївна</t>
  </si>
  <si>
    <t>ВФЧ/Ш/У/4958</t>
  </si>
  <si>
    <t>Підгорний Нікіта Вікторович</t>
  </si>
  <si>
    <t>ВФЧ/Ш/У/4959</t>
  </si>
  <si>
    <t>Пяза Анна Іванівна</t>
  </si>
  <si>
    <t>ВФЧ/Ш/У/4960</t>
  </si>
  <si>
    <t>Різун Ангеліна Василівна</t>
  </si>
  <si>
    <t>ВФЧ/Ш/У/4961</t>
  </si>
  <si>
    <t>Різун Роман Романович</t>
  </si>
  <si>
    <t>ВФЧ/Ш/У/4962</t>
  </si>
  <si>
    <t>Сковронська Ірина Юріївна</t>
  </si>
  <si>
    <t>ВФЧ/Ш/У/4963</t>
  </si>
  <si>
    <t>Тодеріко Марія Миколаївна</t>
  </si>
  <si>
    <t>ВФЧ/Ш/У/4964</t>
  </si>
  <si>
    <t>Фігель Катерина Юріївна</t>
  </si>
  <si>
    <t>ВФЧ/Ш/У/4965</t>
  </si>
  <si>
    <t>Чеботар Ольга Валеріївна</t>
  </si>
  <si>
    <t>ВФЧ/Ш/У/4966</t>
  </si>
  <si>
    <t>Бондар Дмитро Володимирович</t>
  </si>
  <si>
    <t>ОЗО "Перебиковецький ЗЗСО І-ІІІ ступенів"</t>
  </si>
  <si>
    <t>Сандюк Аліна Валентинівна</t>
  </si>
  <si>
    <t>ВФЧ/Ш/У/4967</t>
  </si>
  <si>
    <t>Бородач Аріанна Мирославівна</t>
  </si>
  <si>
    <t>ВФЧ/Ш/У/4968</t>
  </si>
  <si>
    <t>Бородач Кіріл Сергійович</t>
  </si>
  <si>
    <t>ВФЧ/Ш/У/4969</t>
  </si>
  <si>
    <t>Брабин Микола Володимирович</t>
  </si>
  <si>
    <t>ВФЧ/Ш/У/4970</t>
  </si>
  <si>
    <t>Буга Каріна Вікторівна</t>
  </si>
  <si>
    <t>ВФЧ/Ш/У/4971</t>
  </si>
  <si>
    <t>Глібчук Діана Артурівна</t>
  </si>
  <si>
    <t>ВФЧ/Ш/У/4972</t>
  </si>
  <si>
    <t>Лисько Анна Іванівна</t>
  </si>
  <si>
    <t>ВФЧ/Ш/У/4973</t>
  </si>
  <si>
    <t>Лук’яник Аліна Олександрівна</t>
  </si>
  <si>
    <t>ВФЧ/Ш/У/4974</t>
  </si>
  <si>
    <t>Мельницький Віталій Олександрович</t>
  </si>
  <si>
    <t>ВФЧ/Ш/У/4975</t>
  </si>
  <si>
    <t>Павлюк Христина Віталіївна</t>
  </si>
  <si>
    <t>ВФЧ/Ш/У/4976</t>
  </si>
  <si>
    <t>Пелепецький Максим Іванович</t>
  </si>
  <si>
    <t>ВФЧ/Ш/У/4977</t>
  </si>
  <si>
    <t>Петрушко Денис Володимирович</t>
  </si>
  <si>
    <t>ВФЧ/Ш/У/4978</t>
  </si>
  <si>
    <t>Радашко Дмитро Анатолійович</t>
  </si>
  <si>
    <t>ВФЧ/Ш/У/4979</t>
  </si>
  <si>
    <t>Руснак Іван Мар’янович</t>
  </si>
  <si>
    <t>ВФЧ/Ш/У/4980</t>
  </si>
  <si>
    <t>Скрипей Владислав Олександрович</t>
  </si>
  <si>
    <t>ВФЧ/Ш/У/4981</t>
  </si>
  <si>
    <t>Ткач Маріана Михайлівна</t>
  </si>
  <si>
    <t>ВФЧ/Ш/У/4982</t>
  </si>
  <si>
    <t>Юрков Тетяна Вікторівна</t>
  </si>
  <si>
    <t>ВФЧ/Ш/У/4983</t>
  </si>
  <si>
    <t>Ткач Андрій</t>
  </si>
  <si>
    <t>ОПОРНИЙ ЗАКЛАД "СОКИРЯНСЬКИЙ ЛІЦЕЙ №1 СОКИРЯНСЬКОЇ МІСЬКОЇ РАДИ ДНІСТРОВСЬКОГО РАЙОНУ ЧЕРНІВЕЦЬКОЇ ОБЛАСТІ"</t>
  </si>
  <si>
    <t>Ткач Андрій Анатолійович</t>
  </si>
  <si>
    <t>ВФЧ/Ш/У/4984</t>
  </si>
  <si>
    <t>Березан Арсен</t>
  </si>
  <si>
    <t>ВФЧ/Ш/У/4985</t>
  </si>
  <si>
    <t>Моргун Михайло</t>
  </si>
  <si>
    <t>ВФЧ/Ш/У/4986</t>
  </si>
  <si>
    <t>Бандуряк Ігор</t>
  </si>
  <si>
    <t>ВФЧ/Ш/У/4987</t>
  </si>
  <si>
    <t>Диміняца Дмитро</t>
  </si>
  <si>
    <t>ВФЧ/Ш/У/4988</t>
  </si>
  <si>
    <t>Михайлова Софія</t>
  </si>
  <si>
    <t>ВФЧ/Ш/У/4989</t>
  </si>
  <si>
    <t>Коцюба Юлія Андріївна</t>
  </si>
  <si>
    <t>Ліцей 13 м. Чернівці</t>
  </si>
  <si>
    <t>Якуніна Юлія Василівна</t>
  </si>
  <si>
    <t>ВФЧ/Ш/У/4990</t>
  </si>
  <si>
    <t>Балберова Ксенія Романівна</t>
  </si>
  <si>
    <t>ВФЧ/Ш/У/4991</t>
  </si>
  <si>
    <t>Тимощук Анастасія Олександрівна</t>
  </si>
  <si>
    <t>ПІБ учасника</t>
  </si>
  <si>
    <t>Дюдя Олександр Сергійович</t>
  </si>
  <si>
    <t>ВФЧ/Ш/У/4992</t>
  </si>
  <si>
    <t>Афанасьєв Максим Романович    </t>
  </si>
  <si>
    <t>Городищенський економічний ліцей Городищенської міської ради Черкаської області</t>
  </si>
  <si>
    <t>ВФЧ/Ш/У/4993</t>
  </si>
  <si>
    <t>Баб’як Андрій Андрійович</t>
  </si>
  <si>
    <t>ВФЧ/Ш/У/4994</t>
  </si>
  <si>
    <t>Бондаренко Анастасія Сергіївна      </t>
  </si>
  <si>
    <t>ВФЧ/Ш/У/4995</t>
  </si>
  <si>
    <t>Середа Аріна Василівна  </t>
  </si>
  <si>
    <t>ВФЧ/Ш/У/4996</t>
  </si>
  <si>
    <t>Гарбар Марія Рустамівна </t>
  </si>
  <si>
    <t>ВФЧ/Ш/У/4997</t>
  </si>
  <si>
    <t>Дремлюк Вікторія Сергіївна   </t>
  </si>
  <si>
    <t>ВФЧ/Ш/У/4998</t>
  </si>
  <si>
    <t>Лисенко Марічка Вікторівна    </t>
  </si>
  <si>
    <t>ВФЧ/Ш/У/4999</t>
  </si>
  <si>
    <t>Сукач Віроніка Олександрівна  </t>
  </si>
  <si>
    <t>ВФЧ/Ш/У/5000</t>
  </si>
  <si>
    <t>Піскун Роман Вікторович </t>
  </si>
  <si>
    <t>ВФЧ/Ш/У/5001</t>
  </si>
  <si>
    <t>Пістун Анна Сергіївна   </t>
  </si>
  <si>
    <t>ВФЧ/Ш/У/5002</t>
  </si>
  <si>
    <t>Івашньова  Аліна Миколаївна           </t>
  </si>
  <si>
    <t>ВФЧ/Ш/У/5003</t>
  </si>
  <si>
    <t>Харченко Поліна Олексіївна    </t>
  </si>
  <si>
    <t>ВФЧ/Ш/У/5004</t>
  </si>
  <si>
    <t>Корінь Валерія Михайлівна     </t>
  </si>
  <si>
    <t>ВФЧ/Ш/У/5005</t>
  </si>
  <si>
    <t>Андрейко Артем Михайлович     </t>
  </si>
  <si>
    <t>ВФЧ/Ш/У/5006</t>
  </si>
  <si>
    <t>Карпенко Валерія Павлівна     </t>
  </si>
  <si>
    <t>ВФЧ/Ш/У/5007</t>
  </si>
  <si>
    <t>Ріпа Максим Сергійович  </t>
  </si>
  <si>
    <t>ВФЧ/Ш/У/5008</t>
  </si>
  <si>
    <t>Григорян Даніель Авагович     </t>
  </si>
  <si>
    <t>ВФЧ/Ш/У/5009</t>
  </si>
  <si>
    <t>Дробіт Андрій Олексійович     </t>
  </si>
  <si>
    <t>ВФЧ/Ш/У/5010</t>
  </si>
  <si>
    <t>Приходько Артем Русланович    </t>
  </si>
  <si>
    <t>ВФЧ/Ш/У/5011</t>
  </si>
  <si>
    <t>Прапро  Єва Станіславівна    </t>
  </si>
  <si>
    <t>ВФЧ/Ш/У/5012</t>
  </si>
  <si>
    <t>Сіденко Діана Романівна </t>
  </si>
  <si>
    <t>Барський ліцей №4 Барської міської ради   </t>
  </si>
  <si>
    <t>Рудоман Тетяна Вікторівна     </t>
  </si>
  <si>
    <t>ВФЧ/Ш/У/5013</t>
  </si>
  <si>
    <t>Сотнічук Сергій Ігорович      </t>
  </si>
  <si>
    <t>ВФЧ/Ш/У/5014</t>
  </si>
  <si>
    <t>Лотоцька Діана Романівна      </t>
  </si>
  <si>
    <t>ВФЧ/Ш/У/5015</t>
  </si>
  <si>
    <t>Линдюк Вікторія Олександрівна </t>
  </si>
  <si>
    <t>ВФЧ/Ш/У/5016</t>
  </si>
  <si>
    <t>Іванів Ілона Юріївна    </t>
  </si>
  <si>
    <t>ВФЧ/Ш/У/5017</t>
  </si>
  <si>
    <t>Лучко Богдан Олександрович    </t>
  </si>
  <si>
    <t>ВФЧ/Ш/У/5018</t>
  </si>
  <si>
    <t>Русанов Максим Дмитрович      </t>
  </si>
  <si>
    <t>ВФЧ/Ш/У/5019</t>
  </si>
  <si>
    <t>Місінкевич Денис Олександрович      </t>
  </si>
  <si>
    <t>ВФЧ/Ш/У/5020</t>
  </si>
  <si>
    <t>Котневич Володимир Олегович   </t>
  </si>
  <si>
    <t>ВФЧ/Ш/У/5021</t>
  </si>
  <si>
    <t>Ломака МаріяМаксимівна  </t>
  </si>
  <si>
    <t>ВФЧ/Ш/У/5022</t>
  </si>
  <si>
    <t>Шостаківський Кирил Олексійович     </t>
  </si>
  <si>
    <t>ВФЧ/Ш/У/5023</t>
  </si>
  <si>
    <t>Глуговська Вікторія Максимівна      </t>
  </si>
  <si>
    <t>ВФЧ/Ш/У/5024</t>
  </si>
  <si>
    <t>Зябкіна Ірина Олегівна </t>
  </si>
  <si>
    <t>ВФЧ/Ш/У/5025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</si>
</sst>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talan.bank.gov.ua/get-user-certificate/45CEl8P6JND9eqfAr0sg" TargetMode="External"/><Relationship Id="rId3182" Type="http://schemas.openxmlformats.org/officeDocument/2006/relationships/hyperlink" Target="https://talan.bank.gov.ua/get-user-certificate/45CElpHeRHV_Rd3I8xxt" TargetMode="External"/><Relationship Id="rId4233" Type="http://schemas.openxmlformats.org/officeDocument/2006/relationships/hyperlink" Target="https://talan.bank.gov.ua/get-user-certificate/45CElMUd_-diDNqpqbJT" TargetMode="External"/><Relationship Id="rId3999" Type="http://schemas.openxmlformats.org/officeDocument/2006/relationships/hyperlink" Target="https://talan.bank.gov.ua/get-user-certificate/45CElW5Q7ubhcdRwZ3dQ" TargetMode="External"/><Relationship Id="rId4300" Type="http://schemas.openxmlformats.org/officeDocument/2006/relationships/hyperlink" Target="https://talan.bank.gov.ua/get-user-certificate/45CElj1TWwKFYPU1ebhT" TargetMode="External"/><Relationship Id="rId170" Type="http://schemas.openxmlformats.org/officeDocument/2006/relationships/hyperlink" Target="https://talan.bank.gov.ua/get-user-certificate/45CElttttOnU9taf-lzg" TargetMode="External"/><Relationship Id="rId987" Type="http://schemas.openxmlformats.org/officeDocument/2006/relationships/hyperlink" Target="https://talan.bank.gov.ua/get-user-certificate/45CElD9onsgrWz_XzfaB" TargetMode="External"/><Relationship Id="rId2668" Type="http://schemas.openxmlformats.org/officeDocument/2006/relationships/hyperlink" Target="https://talan.bank.gov.ua/get-user-certificate/45CElfM7rNQtIXWRgHYw" TargetMode="External"/><Relationship Id="rId3719" Type="http://schemas.openxmlformats.org/officeDocument/2006/relationships/hyperlink" Target="https://talan.bank.gov.ua/get-user-certificate/45CElua5jB04DSaYq6u9" TargetMode="External"/><Relationship Id="rId4090" Type="http://schemas.openxmlformats.org/officeDocument/2006/relationships/hyperlink" Target="https://talan.bank.gov.ua/get-user-certificate/45CElgf_A_JA4Jj-sv7-" TargetMode="External"/><Relationship Id="rId1684" Type="http://schemas.openxmlformats.org/officeDocument/2006/relationships/hyperlink" Target="https://talan.bank.gov.ua/get-user-certificate/45CElmrdORzCY9W2XiVA" TargetMode="External"/><Relationship Id="rId2735" Type="http://schemas.openxmlformats.org/officeDocument/2006/relationships/hyperlink" Target="https://talan.bank.gov.ua/get-user-certificate/45CElMiSZRI5JBB7Ppzb" TargetMode="External"/><Relationship Id="rId707" Type="http://schemas.openxmlformats.org/officeDocument/2006/relationships/hyperlink" Target="https://talan.bank.gov.ua/get-user-certificate/45CEl2-WRhOGtY4kjrGc" TargetMode="External"/><Relationship Id="rId1337" Type="http://schemas.openxmlformats.org/officeDocument/2006/relationships/hyperlink" Target="https://talan.bank.gov.ua/get-user-certificate/45CElRvy_xvYHUw-6xYZ" TargetMode="External"/><Relationship Id="rId1751" Type="http://schemas.openxmlformats.org/officeDocument/2006/relationships/hyperlink" Target="https://talan.bank.gov.ua/get-user-certificate/45CElGjm8J9fYurqkNi9" TargetMode="External"/><Relationship Id="rId2802" Type="http://schemas.openxmlformats.org/officeDocument/2006/relationships/hyperlink" Target="https://talan.bank.gov.ua/get-user-certificate/45CElxVlAfWfbwF9Ap6y" TargetMode="External"/><Relationship Id="rId43" Type="http://schemas.openxmlformats.org/officeDocument/2006/relationships/hyperlink" Target="https://talan.bank.gov.ua/get-user-certificate/45CEljHNK3Enlms8oENS" TargetMode="External"/><Relationship Id="rId1404" Type="http://schemas.openxmlformats.org/officeDocument/2006/relationships/hyperlink" Target="https://talan.bank.gov.ua/get-user-certificate/45CElopvZ17c_dRYwPsI" TargetMode="External"/><Relationship Id="rId3576" Type="http://schemas.openxmlformats.org/officeDocument/2006/relationships/hyperlink" Target="https://talan.bank.gov.ua/get-user-certificate/45CElHXIUO98MI44Axr2" TargetMode="External"/><Relationship Id="rId4627" Type="http://schemas.openxmlformats.org/officeDocument/2006/relationships/hyperlink" Target="https://talan.bank.gov.ua/get-user-certificate/45CEl0Yg7UfG0XAaPiXr" TargetMode="External"/><Relationship Id="rId4974" Type="http://schemas.openxmlformats.org/officeDocument/2006/relationships/hyperlink" Target="https://talan.bank.gov.ua/get-user-certificate/45CEl2Ev0kQw9ZPD45hz" TargetMode="External"/><Relationship Id="rId497" Type="http://schemas.openxmlformats.org/officeDocument/2006/relationships/hyperlink" Target="https://talan.bank.gov.ua/get-user-certificate/45CElxT9nzzDD1V7X9bG" TargetMode="External"/><Relationship Id="rId2178" Type="http://schemas.openxmlformats.org/officeDocument/2006/relationships/hyperlink" Target="https://talan.bank.gov.ua/get-user-certificate/45CElYLy442822wORqvC" TargetMode="External"/><Relationship Id="rId3229" Type="http://schemas.openxmlformats.org/officeDocument/2006/relationships/hyperlink" Target="https://talan.bank.gov.ua/get-user-certificate/45CElqHOFcnpBXBZrpS8" TargetMode="External"/><Relationship Id="rId3990" Type="http://schemas.openxmlformats.org/officeDocument/2006/relationships/hyperlink" Target="https://talan.bank.gov.ua/get-user-certificate/45CElSq_vqiwJ_G_dzgm" TargetMode="External"/><Relationship Id="rId1194" Type="http://schemas.openxmlformats.org/officeDocument/2006/relationships/hyperlink" Target="https://talan.bank.gov.ua/get-user-certificate/45CElEXTBijM22kXz7sL" TargetMode="External"/><Relationship Id="rId2592" Type="http://schemas.openxmlformats.org/officeDocument/2006/relationships/hyperlink" Target="https://talan.bank.gov.ua/get-user-certificate/45CElXraPZ3VjzN91RLZ" TargetMode="External"/><Relationship Id="rId3643" Type="http://schemas.openxmlformats.org/officeDocument/2006/relationships/hyperlink" Target="https://talan.bank.gov.ua/get-user-certificate/45CElkhTOQHqC1-Vav0s" TargetMode="External"/><Relationship Id="rId217" Type="http://schemas.openxmlformats.org/officeDocument/2006/relationships/hyperlink" Target="https://talan.bank.gov.ua/get-user-certificate/45CElTNrAbun004vBzHq" TargetMode="External"/><Relationship Id="rId564" Type="http://schemas.openxmlformats.org/officeDocument/2006/relationships/hyperlink" Target="https://talan.bank.gov.ua/get-user-certificate/45CElROeQC_SptV61K6z" TargetMode="External"/><Relationship Id="rId2245" Type="http://schemas.openxmlformats.org/officeDocument/2006/relationships/hyperlink" Target="https://talan.bank.gov.ua/get-user-certificate/45CElFMX5g28sVwvRnSR" TargetMode="External"/><Relationship Id="rId3710" Type="http://schemas.openxmlformats.org/officeDocument/2006/relationships/hyperlink" Target="https://talan.bank.gov.ua/get-user-certificate/45CEljY-tPqUbh23YOad" TargetMode="External"/><Relationship Id="rId631" Type="http://schemas.openxmlformats.org/officeDocument/2006/relationships/hyperlink" Target="https://talan.bank.gov.ua/get-user-certificate/45CElfQIFuIam9xHuzs_" TargetMode="External"/><Relationship Id="rId1261" Type="http://schemas.openxmlformats.org/officeDocument/2006/relationships/hyperlink" Target="https://talan.bank.gov.ua/get-user-certificate/45CElvcnCpzyTAvKVgRa" TargetMode="External"/><Relationship Id="rId2312" Type="http://schemas.openxmlformats.org/officeDocument/2006/relationships/hyperlink" Target="https://talan.bank.gov.ua/get-user-certificate/45CElukxxbgXmJUCwIpL" TargetMode="External"/><Relationship Id="rId4484" Type="http://schemas.openxmlformats.org/officeDocument/2006/relationships/hyperlink" Target="https://talan.bank.gov.ua/get-user-certificate/45CElyj4KKLD_NN16VFj" TargetMode="External"/><Relationship Id="rId3086" Type="http://schemas.openxmlformats.org/officeDocument/2006/relationships/hyperlink" Target="https://talan.bank.gov.ua/get-user-certificate/45CElCMAW_fm9m4WdqUK" TargetMode="External"/><Relationship Id="rId4137" Type="http://schemas.openxmlformats.org/officeDocument/2006/relationships/hyperlink" Target="https://talan.bank.gov.ua/get-user-certificate/45CElgbrNh3N5vENT08J" TargetMode="External"/><Relationship Id="rId4551" Type="http://schemas.openxmlformats.org/officeDocument/2006/relationships/hyperlink" Target="https://talan.bank.gov.ua/get-user-certificate/45CEl3k2PyDL2KDwNhme" TargetMode="External"/><Relationship Id="rId3153" Type="http://schemas.openxmlformats.org/officeDocument/2006/relationships/hyperlink" Target="https://talan.bank.gov.ua/get-user-certificate/45CElCvu7HjNcTBk3HM_" TargetMode="External"/><Relationship Id="rId4204" Type="http://schemas.openxmlformats.org/officeDocument/2006/relationships/hyperlink" Target="https://talan.bank.gov.ua/get-user-certificate/45CElO_8ttuANpxG_s_y" TargetMode="External"/><Relationship Id="rId141" Type="http://schemas.openxmlformats.org/officeDocument/2006/relationships/hyperlink" Target="https://talan.bank.gov.ua/get-user-certificate/45CEliT9hbpeZkUgsqH8" TargetMode="External"/><Relationship Id="rId3220" Type="http://schemas.openxmlformats.org/officeDocument/2006/relationships/hyperlink" Target="https://talan.bank.gov.ua/get-user-certificate/45CEluTL2GYBqKnhubig" TargetMode="External"/><Relationship Id="rId7" Type="http://schemas.openxmlformats.org/officeDocument/2006/relationships/hyperlink" Target="https://talan.bank.gov.ua/get-user-certificate/45CElu4kGSMiBisAm4Z7" TargetMode="External"/><Relationship Id="rId2986" Type="http://schemas.openxmlformats.org/officeDocument/2006/relationships/hyperlink" Target="https://talan.bank.gov.ua/get-user-certificate/45CElUr6UgEjkuTlw9Zf" TargetMode="External"/><Relationship Id="rId958" Type="http://schemas.openxmlformats.org/officeDocument/2006/relationships/hyperlink" Target="https://talan.bank.gov.ua/get-user-certificate/45CElK6WULKIHyFSHWWL" TargetMode="External"/><Relationship Id="rId1588" Type="http://schemas.openxmlformats.org/officeDocument/2006/relationships/hyperlink" Target="https://talan.bank.gov.ua/get-user-certificate/45CElXEtGbNpfcGDsSi8" TargetMode="External"/><Relationship Id="rId2639" Type="http://schemas.openxmlformats.org/officeDocument/2006/relationships/hyperlink" Target="https://talan.bank.gov.ua/get-user-certificate/45CEl7Tv2OcBUfr6FXZF" TargetMode="External"/><Relationship Id="rId1655" Type="http://schemas.openxmlformats.org/officeDocument/2006/relationships/hyperlink" Target="https://talan.bank.gov.ua/get-user-certificate/45CEl4djMv_j5RcnHlqb" TargetMode="External"/><Relationship Id="rId2706" Type="http://schemas.openxmlformats.org/officeDocument/2006/relationships/hyperlink" Target="https://talan.bank.gov.ua/get-user-certificate/45CEl2QNaUaxL9QHWdN4" TargetMode="External"/><Relationship Id="rId4061" Type="http://schemas.openxmlformats.org/officeDocument/2006/relationships/hyperlink" Target="https://talan.bank.gov.ua/get-user-certificate/45CElR0aGxVpvUQgFMfd" TargetMode="External"/><Relationship Id="rId1308" Type="http://schemas.openxmlformats.org/officeDocument/2006/relationships/hyperlink" Target="https://talan.bank.gov.ua/get-user-certificate/45CElWAP6DR0GqjSOv9O" TargetMode="External"/><Relationship Id="rId1722" Type="http://schemas.openxmlformats.org/officeDocument/2006/relationships/hyperlink" Target="https://talan.bank.gov.ua/get-user-certificate/45CElCVuWAK61MIyzxeR" TargetMode="External"/><Relationship Id="rId4878" Type="http://schemas.openxmlformats.org/officeDocument/2006/relationships/hyperlink" Target="https://talan.bank.gov.ua/get-user-certificate/45CEludkg_VxUPI2KKnB" TargetMode="External"/><Relationship Id="rId14" Type="http://schemas.openxmlformats.org/officeDocument/2006/relationships/hyperlink" Target="https://talan.bank.gov.ua/get-user-certificate/45CElKcvpRp9gxgOP60h" TargetMode="External"/><Relationship Id="rId3894" Type="http://schemas.openxmlformats.org/officeDocument/2006/relationships/hyperlink" Target="https://talan.bank.gov.ua/get-user-certificate/45CElRs1xCG1E4aF3jJ8" TargetMode="External"/><Relationship Id="rId4945" Type="http://schemas.openxmlformats.org/officeDocument/2006/relationships/hyperlink" Target="https://talan.bank.gov.ua/get-user-certificate/45CElSze_KV8cgKqVJ5x" TargetMode="External"/><Relationship Id="rId2496" Type="http://schemas.openxmlformats.org/officeDocument/2006/relationships/hyperlink" Target="https://talan.bank.gov.ua/get-user-certificate/45CElgJmvnuQI_BgDNzY" TargetMode="External"/><Relationship Id="rId3547" Type="http://schemas.openxmlformats.org/officeDocument/2006/relationships/hyperlink" Target="https://talan.bank.gov.ua/get-user-certificate/45CElKvQwVg4jazdA8PN" TargetMode="External"/><Relationship Id="rId3961" Type="http://schemas.openxmlformats.org/officeDocument/2006/relationships/hyperlink" Target="https://talan.bank.gov.ua/get-user-certificate/45CElhLqt1vmSaJo2G_C" TargetMode="External"/><Relationship Id="rId468" Type="http://schemas.openxmlformats.org/officeDocument/2006/relationships/hyperlink" Target="https://talan.bank.gov.ua/get-user-certificate/45CEl3jN4FedLZW8fXfc" TargetMode="External"/><Relationship Id="rId882" Type="http://schemas.openxmlformats.org/officeDocument/2006/relationships/hyperlink" Target="https://talan.bank.gov.ua/get-user-certificate/45CEl2UpkVvi9UXdnkiw" TargetMode="External"/><Relationship Id="rId1098" Type="http://schemas.openxmlformats.org/officeDocument/2006/relationships/hyperlink" Target="https://talan.bank.gov.ua/get-user-certificate/45CElLx7ABW1TZKT6b55" TargetMode="External"/><Relationship Id="rId2149" Type="http://schemas.openxmlformats.org/officeDocument/2006/relationships/hyperlink" Target="https://talan.bank.gov.ua/get-user-certificate/45CElPT4SsP_ok2LCDy_" TargetMode="External"/><Relationship Id="rId2563" Type="http://schemas.openxmlformats.org/officeDocument/2006/relationships/hyperlink" Target="https://talan.bank.gov.ua/get-user-certificate/45CEl_nf5pvtg3FokCCI" TargetMode="External"/><Relationship Id="rId3614" Type="http://schemas.openxmlformats.org/officeDocument/2006/relationships/hyperlink" Target="https://talan.bank.gov.ua/get-user-certificate/45CElUuE0dDX51vIC6r8" TargetMode="External"/><Relationship Id="rId535" Type="http://schemas.openxmlformats.org/officeDocument/2006/relationships/hyperlink" Target="https://talan.bank.gov.ua/get-user-certificate/45CElEoURRfj-tkFN5zB" TargetMode="External"/><Relationship Id="rId1165" Type="http://schemas.openxmlformats.org/officeDocument/2006/relationships/hyperlink" Target="https://talan.bank.gov.ua/get-user-certificate/45CEl9GuhMDTNRnMrUvk" TargetMode="External"/><Relationship Id="rId2216" Type="http://schemas.openxmlformats.org/officeDocument/2006/relationships/hyperlink" Target="https://talan.bank.gov.ua/get-user-certificate/45CEl_9KiHNLqGwULOPt" TargetMode="External"/><Relationship Id="rId2630" Type="http://schemas.openxmlformats.org/officeDocument/2006/relationships/hyperlink" Target="https://talan.bank.gov.ua/get-user-certificate/45CElcFjjaGS6JxV1qTe" TargetMode="External"/><Relationship Id="rId602" Type="http://schemas.openxmlformats.org/officeDocument/2006/relationships/hyperlink" Target="https://talan.bank.gov.ua/get-user-certificate/45CElEJzLK1FiH7iG2ia" TargetMode="External"/><Relationship Id="rId1232" Type="http://schemas.openxmlformats.org/officeDocument/2006/relationships/hyperlink" Target="https://talan.bank.gov.ua/get-user-certificate/45CElqYI9TPm6pIa8fmc" TargetMode="External"/><Relationship Id="rId4388" Type="http://schemas.openxmlformats.org/officeDocument/2006/relationships/hyperlink" Target="https://talan.bank.gov.ua/get-user-certificate/45CElr3PwMPKF_oQSJW4" TargetMode="External"/><Relationship Id="rId3057" Type="http://schemas.openxmlformats.org/officeDocument/2006/relationships/hyperlink" Target="https://talan.bank.gov.ua/get-user-certificate/45CEly1c34Q4EH0P9clh" TargetMode="External"/><Relationship Id="rId4108" Type="http://schemas.openxmlformats.org/officeDocument/2006/relationships/hyperlink" Target="https://talan.bank.gov.ua/get-user-certificate/45CElVVV-pOfDDU5t729" TargetMode="External"/><Relationship Id="rId4455" Type="http://schemas.openxmlformats.org/officeDocument/2006/relationships/hyperlink" Target="https://talan.bank.gov.ua/get-user-certificate/45CEldYVgR72cqhc03RN" TargetMode="External"/><Relationship Id="rId3471" Type="http://schemas.openxmlformats.org/officeDocument/2006/relationships/hyperlink" Target="https://talan.bank.gov.ua/get-user-certificate/45CEl7quucjp3z0ylEMo" TargetMode="External"/><Relationship Id="rId4522" Type="http://schemas.openxmlformats.org/officeDocument/2006/relationships/hyperlink" Target="https://talan.bank.gov.ua/get-user-certificate/45CElvJjoDr-xcBrtK6f" TargetMode="External"/><Relationship Id="rId392" Type="http://schemas.openxmlformats.org/officeDocument/2006/relationships/hyperlink" Target="https://talan.bank.gov.ua/get-user-certificate/45CEl8pg42SBvpsxzF8p" TargetMode="External"/><Relationship Id="rId2073" Type="http://schemas.openxmlformats.org/officeDocument/2006/relationships/hyperlink" Target="https://talan.bank.gov.ua/get-user-certificate/45CElC-FT-gOeS2tL0qz" TargetMode="External"/><Relationship Id="rId3124" Type="http://schemas.openxmlformats.org/officeDocument/2006/relationships/hyperlink" Target="https://talan.bank.gov.ua/get-user-certificate/45CEld_5StkbJgH2oeJ8" TargetMode="External"/><Relationship Id="rId2140" Type="http://schemas.openxmlformats.org/officeDocument/2006/relationships/hyperlink" Target="https://talan.bank.gov.ua/get-user-certificate/45CElVFQjhTb-o2t9IWC" TargetMode="External"/><Relationship Id="rId112" Type="http://schemas.openxmlformats.org/officeDocument/2006/relationships/hyperlink" Target="https://talan.bank.gov.ua/get-user-certificate/45CElLVKRMhF5_QdW5cD" TargetMode="External"/><Relationship Id="rId2957" Type="http://schemas.openxmlformats.org/officeDocument/2006/relationships/hyperlink" Target="https://talan.bank.gov.ua/get-user-certificate/45CElRzT9jLKR6Vv275f" TargetMode="External"/><Relationship Id="rId5016" Type="http://schemas.openxmlformats.org/officeDocument/2006/relationships/hyperlink" Target="https://talan.bank.gov.ua/get-user-certificate/ki8Tn8C6-KE7brbMj59f" TargetMode="External"/><Relationship Id="rId929" Type="http://schemas.openxmlformats.org/officeDocument/2006/relationships/hyperlink" Target="https://talan.bank.gov.ua/get-user-certificate/45CElFfguN3DTgJyTvVb" TargetMode="External"/><Relationship Id="rId1559" Type="http://schemas.openxmlformats.org/officeDocument/2006/relationships/hyperlink" Target="https://talan.bank.gov.ua/get-user-certificate/45CElLblYXIKl1y90G2-" TargetMode="External"/><Relationship Id="rId1973" Type="http://schemas.openxmlformats.org/officeDocument/2006/relationships/hyperlink" Target="https://talan.bank.gov.ua/get-user-certificate/45CEl0BisEfRQw9Tq3F_" TargetMode="External"/><Relationship Id="rId4032" Type="http://schemas.openxmlformats.org/officeDocument/2006/relationships/hyperlink" Target="https://talan.bank.gov.ua/get-user-certificate/45CElnfNOssfplfPQ4eF" TargetMode="External"/><Relationship Id="rId1626" Type="http://schemas.openxmlformats.org/officeDocument/2006/relationships/hyperlink" Target="https://talan.bank.gov.ua/get-user-certificate/45CElkrqUiJUn1JnY_0F" TargetMode="External"/><Relationship Id="rId3798" Type="http://schemas.openxmlformats.org/officeDocument/2006/relationships/hyperlink" Target="https://talan.bank.gov.ua/get-user-certificate/45CElfQR_1yC2dxeaCsL" TargetMode="External"/><Relationship Id="rId4849" Type="http://schemas.openxmlformats.org/officeDocument/2006/relationships/hyperlink" Target="https://talan.bank.gov.ua/get-user-certificate/45CElNeVz_fAbJyVjSET" TargetMode="External"/><Relationship Id="rId3865" Type="http://schemas.openxmlformats.org/officeDocument/2006/relationships/hyperlink" Target="https://talan.bank.gov.ua/get-user-certificate/45CElB93DZ08oU_H59I2" TargetMode="External"/><Relationship Id="rId4916" Type="http://schemas.openxmlformats.org/officeDocument/2006/relationships/hyperlink" Target="https://talan.bank.gov.ua/get-user-certificate/45CEl2w2ywQd69B9MUYh" TargetMode="External"/><Relationship Id="rId786" Type="http://schemas.openxmlformats.org/officeDocument/2006/relationships/hyperlink" Target="https://talan.bank.gov.ua/get-user-certificate/45CEldkqiwv_tdvBWD3Z" TargetMode="External"/><Relationship Id="rId2467" Type="http://schemas.openxmlformats.org/officeDocument/2006/relationships/hyperlink" Target="https://talan.bank.gov.ua/get-user-certificate/45CElLeDdAgvKowa7wDI" TargetMode="External"/><Relationship Id="rId3518" Type="http://schemas.openxmlformats.org/officeDocument/2006/relationships/hyperlink" Target="https://talan.bank.gov.ua/get-user-certificate/45CElcFQMj38h_8AA7l_" TargetMode="External"/><Relationship Id="rId439" Type="http://schemas.openxmlformats.org/officeDocument/2006/relationships/hyperlink" Target="https://talan.bank.gov.ua/get-user-certificate/45CElNuFo87NA6edZ0Mq" TargetMode="External"/><Relationship Id="rId1069" Type="http://schemas.openxmlformats.org/officeDocument/2006/relationships/hyperlink" Target="https://talan.bank.gov.ua/get-user-certificate/45CElZSkPSfUmTMmZdTq" TargetMode="External"/><Relationship Id="rId1483" Type="http://schemas.openxmlformats.org/officeDocument/2006/relationships/hyperlink" Target="https://talan.bank.gov.ua/get-user-certificate/45CElPGs8lqyhNlnx1tS" TargetMode="External"/><Relationship Id="rId2881" Type="http://schemas.openxmlformats.org/officeDocument/2006/relationships/hyperlink" Target="https://talan.bank.gov.ua/get-user-certificate/45CElQ9gbMRno1zHG386" TargetMode="External"/><Relationship Id="rId3932" Type="http://schemas.openxmlformats.org/officeDocument/2006/relationships/hyperlink" Target="https://talan.bank.gov.ua/get-user-certificate/45CElTtb6FAPqS6Kenjp" TargetMode="External"/><Relationship Id="rId506" Type="http://schemas.openxmlformats.org/officeDocument/2006/relationships/hyperlink" Target="https://talan.bank.gov.ua/get-user-certificate/45CEl93f9G4Yhg57Kd7S" TargetMode="External"/><Relationship Id="rId853" Type="http://schemas.openxmlformats.org/officeDocument/2006/relationships/hyperlink" Target="https://talan.bank.gov.ua/get-user-certificate/45CElMMy2FTgXn3AuvGR" TargetMode="External"/><Relationship Id="rId1136" Type="http://schemas.openxmlformats.org/officeDocument/2006/relationships/hyperlink" Target="https://talan.bank.gov.ua/get-user-certificate/45CElzZXhX5QJgKDCMRb" TargetMode="External"/><Relationship Id="rId2534" Type="http://schemas.openxmlformats.org/officeDocument/2006/relationships/hyperlink" Target="https://talan.bank.gov.ua/get-user-certificate/45CElTtqe9TFZgvx1P3o" TargetMode="External"/><Relationship Id="rId920" Type="http://schemas.openxmlformats.org/officeDocument/2006/relationships/hyperlink" Target="https://talan.bank.gov.ua/get-user-certificate/45CElyVpmuKcgi2GNHPa" TargetMode="External"/><Relationship Id="rId1550" Type="http://schemas.openxmlformats.org/officeDocument/2006/relationships/hyperlink" Target="https://talan.bank.gov.ua/get-user-certificate/45CElX9MqwGJRISQlkZK" TargetMode="External"/><Relationship Id="rId2601" Type="http://schemas.openxmlformats.org/officeDocument/2006/relationships/hyperlink" Target="https://talan.bank.gov.ua/get-user-certificate/45CEl7RdmNl0fHRatI-O" TargetMode="External"/><Relationship Id="rId1203" Type="http://schemas.openxmlformats.org/officeDocument/2006/relationships/hyperlink" Target="https://talan.bank.gov.ua/get-user-certificate/45CElCaSHKP_snqzqWtA" TargetMode="External"/><Relationship Id="rId4359" Type="http://schemas.openxmlformats.org/officeDocument/2006/relationships/hyperlink" Target="https://talan.bank.gov.ua/get-user-certificate/45CEl2KERE7dvEIykwOt" TargetMode="External"/><Relationship Id="rId4773" Type="http://schemas.openxmlformats.org/officeDocument/2006/relationships/hyperlink" Target="https://talan.bank.gov.ua/get-user-certificate/45CEluGKn2TgbfXHKZBN" TargetMode="External"/><Relationship Id="rId3375" Type="http://schemas.openxmlformats.org/officeDocument/2006/relationships/hyperlink" Target="https://talan.bank.gov.ua/get-user-certificate/45CElCfTlvbcnGLP6AKp" TargetMode="External"/><Relationship Id="rId4426" Type="http://schemas.openxmlformats.org/officeDocument/2006/relationships/hyperlink" Target="https://talan.bank.gov.ua/get-user-certificate/45CElrnXE1gYLYaKTSth" TargetMode="External"/><Relationship Id="rId4840" Type="http://schemas.openxmlformats.org/officeDocument/2006/relationships/hyperlink" Target="https://talan.bank.gov.ua/get-user-certificate/45CElJoVTa3t5HGQhe-k" TargetMode="External"/><Relationship Id="rId296" Type="http://schemas.openxmlformats.org/officeDocument/2006/relationships/hyperlink" Target="https://talan.bank.gov.ua/get-user-certificate/45CEl8ERne4mCo0BA39B" TargetMode="External"/><Relationship Id="rId2391" Type="http://schemas.openxmlformats.org/officeDocument/2006/relationships/hyperlink" Target="https://talan.bank.gov.ua/get-user-certificate/45CElQstEj6KXOwK7_xb" TargetMode="External"/><Relationship Id="rId3028" Type="http://schemas.openxmlformats.org/officeDocument/2006/relationships/hyperlink" Target="https://talan.bank.gov.ua/get-user-certificate/45CEls1TQZCnwbZXhS87" TargetMode="External"/><Relationship Id="rId3442" Type="http://schemas.openxmlformats.org/officeDocument/2006/relationships/hyperlink" Target="https://talan.bank.gov.ua/get-user-certificate/45CEl6VAampF7oOKNTMo" TargetMode="External"/><Relationship Id="rId363" Type="http://schemas.openxmlformats.org/officeDocument/2006/relationships/hyperlink" Target="https://talan.bank.gov.ua/get-user-certificate/45CElQL4FEsdNXAi8BrX" TargetMode="External"/><Relationship Id="rId2044" Type="http://schemas.openxmlformats.org/officeDocument/2006/relationships/hyperlink" Target="https://talan.bank.gov.ua/get-user-certificate/45CElMw_sc2SPgrPAMeV" TargetMode="External"/><Relationship Id="rId430" Type="http://schemas.openxmlformats.org/officeDocument/2006/relationships/hyperlink" Target="https://talan.bank.gov.ua/get-user-certificate/45CEliJcN4JZB96vHXvD" TargetMode="External"/><Relationship Id="rId1060" Type="http://schemas.openxmlformats.org/officeDocument/2006/relationships/hyperlink" Target="https://talan.bank.gov.ua/get-user-certificate/45CElYI2Ty3vfZyuw6b9" TargetMode="External"/><Relationship Id="rId2111" Type="http://schemas.openxmlformats.org/officeDocument/2006/relationships/hyperlink" Target="https://talan.bank.gov.ua/get-user-certificate/45CElXT_-B16MAf248nV" TargetMode="External"/><Relationship Id="rId1877" Type="http://schemas.openxmlformats.org/officeDocument/2006/relationships/hyperlink" Target="https://talan.bank.gov.ua/get-user-certificate/45CElmFpeFOT01q8FuRe" TargetMode="External"/><Relationship Id="rId2928" Type="http://schemas.openxmlformats.org/officeDocument/2006/relationships/hyperlink" Target="https://talan.bank.gov.ua/get-user-certificate/45CEl3QUnDkUBAD_r5GC" TargetMode="External"/><Relationship Id="rId4283" Type="http://schemas.openxmlformats.org/officeDocument/2006/relationships/hyperlink" Target="https://talan.bank.gov.ua/get-user-certificate/45CEleIKo95UHj1fUvdv" TargetMode="External"/><Relationship Id="rId1944" Type="http://schemas.openxmlformats.org/officeDocument/2006/relationships/hyperlink" Target="https://talan.bank.gov.ua/get-user-certificate/45CElFvGjQ3mugQ8xVNu" TargetMode="External"/><Relationship Id="rId4350" Type="http://schemas.openxmlformats.org/officeDocument/2006/relationships/hyperlink" Target="https://talan.bank.gov.ua/get-user-certificate/45CElSiAdVRrCy4uYbkZ" TargetMode="External"/><Relationship Id="rId4003" Type="http://schemas.openxmlformats.org/officeDocument/2006/relationships/hyperlink" Target="https://talan.bank.gov.ua/get-user-certificate/45CElTUGW5o6iALaXrRk" TargetMode="External"/><Relationship Id="rId3769" Type="http://schemas.openxmlformats.org/officeDocument/2006/relationships/hyperlink" Target="https://talan.bank.gov.ua/get-user-certificate/45CElCNSYfTWA5IUMXbU" TargetMode="External"/><Relationship Id="rId2785" Type="http://schemas.openxmlformats.org/officeDocument/2006/relationships/hyperlink" Target="https://talan.bank.gov.ua/get-user-certificate/45CElOWlOVwkjdU_3VS7" TargetMode="External"/><Relationship Id="rId3836" Type="http://schemas.openxmlformats.org/officeDocument/2006/relationships/hyperlink" Target="https://talan.bank.gov.ua/get-user-certificate/45CElRYNGwcFXopstIQ9" TargetMode="External"/><Relationship Id="rId757" Type="http://schemas.openxmlformats.org/officeDocument/2006/relationships/hyperlink" Target="https://talan.bank.gov.ua/get-user-certificate/45CElOQuMrmYOuglfC4P" TargetMode="External"/><Relationship Id="rId1387" Type="http://schemas.openxmlformats.org/officeDocument/2006/relationships/hyperlink" Target="https://talan.bank.gov.ua/get-user-certificate/45CElZQxy3tGXyO7iwJJ" TargetMode="External"/><Relationship Id="rId2438" Type="http://schemas.openxmlformats.org/officeDocument/2006/relationships/hyperlink" Target="https://talan.bank.gov.ua/get-user-certificate/45CElfHmmuLaYJQtpxmj" TargetMode="External"/><Relationship Id="rId2852" Type="http://schemas.openxmlformats.org/officeDocument/2006/relationships/hyperlink" Target="https://talan.bank.gov.ua/get-user-certificate/45CEljRHQDxNBNdbtj3R" TargetMode="External"/><Relationship Id="rId3903" Type="http://schemas.openxmlformats.org/officeDocument/2006/relationships/hyperlink" Target="https://talan.bank.gov.ua/get-user-certificate/45CElHFWWdcC4zi8mMdS" TargetMode="External"/><Relationship Id="rId93" Type="http://schemas.openxmlformats.org/officeDocument/2006/relationships/hyperlink" Target="https://talan.bank.gov.ua/get-user-certificate/45CElR9YZ_9EPb-DrjQe" TargetMode="External"/><Relationship Id="rId824" Type="http://schemas.openxmlformats.org/officeDocument/2006/relationships/hyperlink" Target="https://talan.bank.gov.ua/get-user-certificate/45CEl2aQRK6D5U4AtkFf" TargetMode="External"/><Relationship Id="rId1454" Type="http://schemas.openxmlformats.org/officeDocument/2006/relationships/hyperlink" Target="https://talan.bank.gov.ua/get-user-certificate/45CElOAdvW_XQDIRhPH4" TargetMode="External"/><Relationship Id="rId2505" Type="http://schemas.openxmlformats.org/officeDocument/2006/relationships/hyperlink" Target="https://talan.bank.gov.ua/get-user-certificate/45CEl9a91uuYzfBo15JV" TargetMode="External"/><Relationship Id="rId1107" Type="http://schemas.openxmlformats.org/officeDocument/2006/relationships/hyperlink" Target="https://talan.bank.gov.ua/get-user-certificate/45CEleP6vPSpmR02MJdS" TargetMode="External"/><Relationship Id="rId1521" Type="http://schemas.openxmlformats.org/officeDocument/2006/relationships/hyperlink" Target="https://talan.bank.gov.ua/get-user-certificate/45CElQudYehp0gEl0Gtd" TargetMode="External"/><Relationship Id="rId4677" Type="http://schemas.openxmlformats.org/officeDocument/2006/relationships/hyperlink" Target="https://talan.bank.gov.ua/get-user-certificate/45CElG8nKcko1Vfq96Hi" TargetMode="External"/><Relationship Id="rId3279" Type="http://schemas.openxmlformats.org/officeDocument/2006/relationships/hyperlink" Target="https://talan.bank.gov.ua/get-user-certificate/45CEl6Pwj44gV_M0PgZV" TargetMode="External"/><Relationship Id="rId3693" Type="http://schemas.openxmlformats.org/officeDocument/2006/relationships/hyperlink" Target="https://talan.bank.gov.ua/get-user-certificate/45CElMqgutopW4oNlR8v" TargetMode="External"/><Relationship Id="rId2295" Type="http://schemas.openxmlformats.org/officeDocument/2006/relationships/hyperlink" Target="https://talan.bank.gov.ua/get-user-certificate/45CElTErdLnOQxtx9oVw" TargetMode="External"/><Relationship Id="rId3346" Type="http://schemas.openxmlformats.org/officeDocument/2006/relationships/hyperlink" Target="https://talan.bank.gov.ua/get-user-certificate/45CElFYz5rYSl4_7F7Sj" TargetMode="External"/><Relationship Id="rId4744" Type="http://schemas.openxmlformats.org/officeDocument/2006/relationships/hyperlink" Target="https://talan.bank.gov.ua/get-user-certificate/45CElHCvgyLpUJvl1AFB" TargetMode="External"/><Relationship Id="rId267" Type="http://schemas.openxmlformats.org/officeDocument/2006/relationships/hyperlink" Target="https://talan.bank.gov.ua/get-user-certificate/45CElnZYddDqG5XO2M8d" TargetMode="External"/><Relationship Id="rId3760" Type="http://schemas.openxmlformats.org/officeDocument/2006/relationships/hyperlink" Target="https://talan.bank.gov.ua/get-user-certificate/45CEl04V3FF10rjQ4GcM" TargetMode="External"/><Relationship Id="rId4811" Type="http://schemas.openxmlformats.org/officeDocument/2006/relationships/hyperlink" Target="https://talan.bank.gov.ua/get-user-certificate/45CElXL0ul0fSBjRVpMX" TargetMode="External"/><Relationship Id="rId681" Type="http://schemas.openxmlformats.org/officeDocument/2006/relationships/hyperlink" Target="https://talan.bank.gov.ua/get-user-certificate/45CElSmoCp7CW_Q7OMRC" TargetMode="External"/><Relationship Id="rId2362" Type="http://schemas.openxmlformats.org/officeDocument/2006/relationships/hyperlink" Target="https://talan.bank.gov.ua/get-user-certificate/45CElcKGt33p4Yd3B4z0" TargetMode="External"/><Relationship Id="rId3413" Type="http://schemas.openxmlformats.org/officeDocument/2006/relationships/hyperlink" Target="https://talan.bank.gov.ua/get-user-certificate/45CEl7h4ghI1V673yF9a" TargetMode="External"/><Relationship Id="rId334" Type="http://schemas.openxmlformats.org/officeDocument/2006/relationships/hyperlink" Target="https://talan.bank.gov.ua/get-user-certificate/45CElgJqYgdFvh1AaEr7" TargetMode="External"/><Relationship Id="rId2015" Type="http://schemas.openxmlformats.org/officeDocument/2006/relationships/hyperlink" Target="https://talan.bank.gov.ua/get-user-certificate/45CElg3IfLSW4ALGg3mz" TargetMode="External"/><Relationship Id="rId401" Type="http://schemas.openxmlformats.org/officeDocument/2006/relationships/hyperlink" Target="https://talan.bank.gov.ua/get-user-certificate/45CEldQERNOw-ssqW83n" TargetMode="External"/><Relationship Id="rId1031" Type="http://schemas.openxmlformats.org/officeDocument/2006/relationships/hyperlink" Target="https://talan.bank.gov.ua/get-user-certificate/45CElAISrbGxJJiSGLSJ" TargetMode="External"/><Relationship Id="rId4187" Type="http://schemas.openxmlformats.org/officeDocument/2006/relationships/hyperlink" Target="https://talan.bank.gov.ua/get-user-certificate/45CEl9eij5_-viLyqu_Q" TargetMode="External"/><Relationship Id="rId4254" Type="http://schemas.openxmlformats.org/officeDocument/2006/relationships/hyperlink" Target="https://talan.bank.gov.ua/get-user-certificate/45CElzTMTROY1yQWx_4_" TargetMode="External"/><Relationship Id="rId1848" Type="http://schemas.openxmlformats.org/officeDocument/2006/relationships/hyperlink" Target="https://talan.bank.gov.ua/get-user-certificate/45CElHx4yoGORpEwIL65" TargetMode="External"/><Relationship Id="rId3270" Type="http://schemas.openxmlformats.org/officeDocument/2006/relationships/hyperlink" Target="https://talan.bank.gov.ua/get-user-certificate/45CElTE_-gvA-MFpvnDN" TargetMode="External"/><Relationship Id="rId4321" Type="http://schemas.openxmlformats.org/officeDocument/2006/relationships/hyperlink" Target="https://talan.bank.gov.ua/get-user-certificate/45CElY8DG5TSX-R5dG8i" TargetMode="External"/><Relationship Id="rId191" Type="http://schemas.openxmlformats.org/officeDocument/2006/relationships/hyperlink" Target="https://talan.bank.gov.ua/get-user-certificate/45CElvWavVsyCr8luBtW" TargetMode="External"/><Relationship Id="rId1915" Type="http://schemas.openxmlformats.org/officeDocument/2006/relationships/hyperlink" Target="https://talan.bank.gov.ua/get-user-certificate/45CElPc86ZYN2JmBV14v" TargetMode="External"/><Relationship Id="rId2689" Type="http://schemas.openxmlformats.org/officeDocument/2006/relationships/hyperlink" Target="https://talan.bank.gov.ua/get-user-certificate/45CElz9VndDx4rkWEADY" TargetMode="External"/><Relationship Id="rId2756" Type="http://schemas.openxmlformats.org/officeDocument/2006/relationships/hyperlink" Target="https://talan.bank.gov.ua/get-user-certificate/45CElqnyuHzIPRVMlNtW" TargetMode="External"/><Relationship Id="rId3807" Type="http://schemas.openxmlformats.org/officeDocument/2006/relationships/hyperlink" Target="https://talan.bank.gov.ua/get-user-certificate/45CEljDSYWSRkbjFYu45" TargetMode="External"/><Relationship Id="rId728" Type="http://schemas.openxmlformats.org/officeDocument/2006/relationships/hyperlink" Target="https://talan.bank.gov.ua/get-user-certificate/45CElKs5kZtomrP6LG_I" TargetMode="External"/><Relationship Id="rId1358" Type="http://schemas.openxmlformats.org/officeDocument/2006/relationships/hyperlink" Target="https://talan.bank.gov.ua/get-user-certificate/45CEldzZ4ducwPulKD3r" TargetMode="External"/><Relationship Id="rId1772" Type="http://schemas.openxmlformats.org/officeDocument/2006/relationships/hyperlink" Target="https://talan.bank.gov.ua/get-user-certificate/45CElhNFjj2VCOuTM_wt" TargetMode="External"/><Relationship Id="rId2409" Type="http://schemas.openxmlformats.org/officeDocument/2006/relationships/hyperlink" Target="https://talan.bank.gov.ua/get-user-certificate/45CEl67RxT3FYsLCb1O4" TargetMode="External"/><Relationship Id="rId64" Type="http://schemas.openxmlformats.org/officeDocument/2006/relationships/hyperlink" Target="https://talan.bank.gov.ua/get-user-certificate/45CElJf4sOyILNMCd7uV" TargetMode="External"/><Relationship Id="rId1425" Type="http://schemas.openxmlformats.org/officeDocument/2006/relationships/hyperlink" Target="https://talan.bank.gov.ua/get-user-certificate/45CElzk51CINOUSFppie" TargetMode="External"/><Relationship Id="rId2823" Type="http://schemas.openxmlformats.org/officeDocument/2006/relationships/hyperlink" Target="https://talan.bank.gov.ua/get-user-certificate/45CEliRIGBBlRo6lKIB_" TargetMode="External"/><Relationship Id="rId4995" Type="http://schemas.openxmlformats.org/officeDocument/2006/relationships/hyperlink" Target="https://talan.bank.gov.ua/get-user-certificate/ki8Tn3mmLELpDD7VVgir" TargetMode="External"/><Relationship Id="rId2199" Type="http://schemas.openxmlformats.org/officeDocument/2006/relationships/hyperlink" Target="https://talan.bank.gov.ua/get-user-certificate/45CElwj_K9NXJSM-ABqN" TargetMode="External"/><Relationship Id="rId3597" Type="http://schemas.openxmlformats.org/officeDocument/2006/relationships/hyperlink" Target="https://talan.bank.gov.ua/get-user-certificate/45CEl36M4ERCfogsDBhJ" TargetMode="External"/><Relationship Id="rId4648" Type="http://schemas.openxmlformats.org/officeDocument/2006/relationships/hyperlink" Target="https://talan.bank.gov.ua/get-user-certificate/45CEl702G7o45v4EHnm1" TargetMode="External"/><Relationship Id="rId3664" Type="http://schemas.openxmlformats.org/officeDocument/2006/relationships/hyperlink" Target="https://talan.bank.gov.ua/get-user-certificate/45CElFNJ6Tl37VuISmH6" TargetMode="External"/><Relationship Id="rId4715" Type="http://schemas.openxmlformats.org/officeDocument/2006/relationships/hyperlink" Target="https://talan.bank.gov.ua/get-user-certificate/45CElH7cYH-PWt95Xqq9" TargetMode="External"/><Relationship Id="rId585" Type="http://schemas.openxmlformats.org/officeDocument/2006/relationships/hyperlink" Target="https://talan.bank.gov.ua/get-user-certificate/45CElIpEaYZ3lQSpKc7A" TargetMode="External"/><Relationship Id="rId2266" Type="http://schemas.openxmlformats.org/officeDocument/2006/relationships/hyperlink" Target="https://talan.bank.gov.ua/get-user-certificate/45CElOci1jiO0dX-Ma8p" TargetMode="External"/><Relationship Id="rId2680" Type="http://schemas.openxmlformats.org/officeDocument/2006/relationships/hyperlink" Target="https://talan.bank.gov.ua/get-user-certificate/45CElvAXOaDk6nU8-_tY" TargetMode="External"/><Relationship Id="rId3317" Type="http://schemas.openxmlformats.org/officeDocument/2006/relationships/hyperlink" Target="https://talan.bank.gov.ua/get-user-certificate/45CElDHYWyBVwmCdVORb" TargetMode="External"/><Relationship Id="rId3731" Type="http://schemas.openxmlformats.org/officeDocument/2006/relationships/hyperlink" Target="https://talan.bank.gov.ua/get-user-certificate/45CElSozBhCISnwcC0Ad" TargetMode="External"/><Relationship Id="rId238" Type="http://schemas.openxmlformats.org/officeDocument/2006/relationships/hyperlink" Target="https://talan.bank.gov.ua/get-user-certificate/45CElJyW7cMlPP9PliUy" TargetMode="External"/><Relationship Id="rId652" Type="http://schemas.openxmlformats.org/officeDocument/2006/relationships/hyperlink" Target="https://talan.bank.gov.ua/get-user-certificate/45CEl-1L-uwV2zPAuCct" TargetMode="External"/><Relationship Id="rId1282" Type="http://schemas.openxmlformats.org/officeDocument/2006/relationships/hyperlink" Target="https://talan.bank.gov.ua/get-user-certificate/45CEltc2ne5rF-EDv82S" TargetMode="External"/><Relationship Id="rId2333" Type="http://schemas.openxmlformats.org/officeDocument/2006/relationships/hyperlink" Target="https://talan.bank.gov.ua/get-user-certificate/45CElDbB6KaPiMdD-BxE" TargetMode="External"/><Relationship Id="rId305" Type="http://schemas.openxmlformats.org/officeDocument/2006/relationships/hyperlink" Target="https://talan.bank.gov.ua/get-user-certificate/45CEl-6ZDpUzwCweMeME" TargetMode="External"/><Relationship Id="rId2400" Type="http://schemas.openxmlformats.org/officeDocument/2006/relationships/hyperlink" Target="https://talan.bank.gov.ua/get-user-certificate/45CElP1PI2HuNddaU6WW" TargetMode="External"/><Relationship Id="rId1002" Type="http://schemas.openxmlformats.org/officeDocument/2006/relationships/hyperlink" Target="https://talan.bank.gov.ua/get-user-certificate/45CElvBKMxgFnolqGcUO" TargetMode="External"/><Relationship Id="rId4158" Type="http://schemas.openxmlformats.org/officeDocument/2006/relationships/hyperlink" Target="https://talan.bank.gov.ua/get-user-certificate/45CEl4gftbdfTLfi1dhq" TargetMode="External"/><Relationship Id="rId3174" Type="http://schemas.openxmlformats.org/officeDocument/2006/relationships/hyperlink" Target="https://talan.bank.gov.ua/get-user-certificate/45CEl30NnviVQAC0bKw0" TargetMode="External"/><Relationship Id="rId4572" Type="http://schemas.openxmlformats.org/officeDocument/2006/relationships/hyperlink" Target="https://talan.bank.gov.ua/get-user-certificate/45CElsNwKk0d2-Kdv99K" TargetMode="External"/><Relationship Id="rId1819" Type="http://schemas.openxmlformats.org/officeDocument/2006/relationships/hyperlink" Target="https://talan.bank.gov.ua/get-user-certificate/45CElf0w8eW_0q-f5xZ6" TargetMode="External"/><Relationship Id="rId4225" Type="http://schemas.openxmlformats.org/officeDocument/2006/relationships/hyperlink" Target="https://talan.bank.gov.ua/get-user-certificate/45CElBRUzhoJSY3qS8I5" TargetMode="External"/><Relationship Id="rId2190" Type="http://schemas.openxmlformats.org/officeDocument/2006/relationships/hyperlink" Target="https://talan.bank.gov.ua/get-user-certificate/45CElchqHVnoQPR5d95V" TargetMode="External"/><Relationship Id="rId3241" Type="http://schemas.openxmlformats.org/officeDocument/2006/relationships/hyperlink" Target="https://talan.bank.gov.ua/get-user-certificate/45CElg7-_02Qrznnl-0Z" TargetMode="External"/><Relationship Id="rId162" Type="http://schemas.openxmlformats.org/officeDocument/2006/relationships/hyperlink" Target="https://talan.bank.gov.ua/get-user-certificate/45CEl8MXjtgRBzcHnoas" TargetMode="External"/><Relationship Id="rId979" Type="http://schemas.openxmlformats.org/officeDocument/2006/relationships/hyperlink" Target="https://talan.bank.gov.ua/get-user-certificate/45CElz3dFeyk_kMA0evX" TargetMode="External"/><Relationship Id="rId4082" Type="http://schemas.openxmlformats.org/officeDocument/2006/relationships/hyperlink" Target="https://talan.bank.gov.ua/get-user-certificate/45CElqem4mXc887MDfFE" TargetMode="External"/><Relationship Id="rId1676" Type="http://schemas.openxmlformats.org/officeDocument/2006/relationships/hyperlink" Target="https://talan.bank.gov.ua/get-user-certificate/45CElLUQFL0Ddo-ynxMO" TargetMode="External"/><Relationship Id="rId2727" Type="http://schemas.openxmlformats.org/officeDocument/2006/relationships/hyperlink" Target="https://talan.bank.gov.ua/get-user-certificate/45CEln0dtCzcPaahbNQ4" TargetMode="External"/><Relationship Id="rId1329" Type="http://schemas.openxmlformats.org/officeDocument/2006/relationships/hyperlink" Target="https://talan.bank.gov.ua/get-user-certificate/45CElye1pG_JLLAP0nuq" TargetMode="External"/><Relationship Id="rId1743" Type="http://schemas.openxmlformats.org/officeDocument/2006/relationships/hyperlink" Target="https://talan.bank.gov.ua/get-user-certificate/45CElfuh5OQKyauXx-1j" TargetMode="External"/><Relationship Id="rId4899" Type="http://schemas.openxmlformats.org/officeDocument/2006/relationships/hyperlink" Target="https://talan.bank.gov.ua/get-user-certificate/45CEl8oTqYoFAstjdUGV" TargetMode="External"/><Relationship Id="rId35" Type="http://schemas.openxmlformats.org/officeDocument/2006/relationships/hyperlink" Target="https://talan.bank.gov.ua/get-user-certificate/45CEl8-K2JgXwxeSbJJb" TargetMode="External"/><Relationship Id="rId1810" Type="http://schemas.openxmlformats.org/officeDocument/2006/relationships/hyperlink" Target="https://talan.bank.gov.ua/get-user-certificate/45CElOygD20TFriZjW4R" TargetMode="External"/><Relationship Id="rId4966" Type="http://schemas.openxmlformats.org/officeDocument/2006/relationships/hyperlink" Target="https://talan.bank.gov.ua/get-user-certificate/45CEljSRMr8JZGBSqiYq" TargetMode="External"/><Relationship Id="rId3568" Type="http://schemas.openxmlformats.org/officeDocument/2006/relationships/hyperlink" Target="https://talan.bank.gov.ua/get-user-certificate/45CElmEq9WaC2_f2GILs" TargetMode="External"/><Relationship Id="rId3982" Type="http://schemas.openxmlformats.org/officeDocument/2006/relationships/hyperlink" Target="https://talan.bank.gov.ua/get-user-certificate/45CElfJH8lxmdvFLSctn" TargetMode="External"/><Relationship Id="rId4619" Type="http://schemas.openxmlformats.org/officeDocument/2006/relationships/hyperlink" Target="https://talan.bank.gov.ua/get-user-certificate/45CElE6mkFsdOXxMzCe_" TargetMode="External"/><Relationship Id="rId489" Type="http://schemas.openxmlformats.org/officeDocument/2006/relationships/hyperlink" Target="https://talan.bank.gov.ua/get-user-certificate/45CElTai9NM6sM7EXpK1" TargetMode="External"/><Relationship Id="rId2584" Type="http://schemas.openxmlformats.org/officeDocument/2006/relationships/hyperlink" Target="https://talan.bank.gov.ua/get-user-certificate/45CElBFoso-W6-oS6lQ6" TargetMode="External"/><Relationship Id="rId3635" Type="http://schemas.openxmlformats.org/officeDocument/2006/relationships/hyperlink" Target="https://talan.bank.gov.ua/get-user-certificate/45CElkbR35OPZk4J1yla" TargetMode="External"/><Relationship Id="rId556" Type="http://schemas.openxmlformats.org/officeDocument/2006/relationships/hyperlink" Target="https://talan.bank.gov.ua/get-user-certificate/45CElhojr8TmdARmAnlW" TargetMode="External"/><Relationship Id="rId1186" Type="http://schemas.openxmlformats.org/officeDocument/2006/relationships/hyperlink" Target="https://talan.bank.gov.ua/get-user-certificate/45CEl6PonyCpaUyDeIAp" TargetMode="External"/><Relationship Id="rId2237" Type="http://schemas.openxmlformats.org/officeDocument/2006/relationships/hyperlink" Target="https://talan.bank.gov.ua/get-user-certificate/45CElg3VEiV-HUMXhe67" TargetMode="External"/><Relationship Id="rId209" Type="http://schemas.openxmlformats.org/officeDocument/2006/relationships/hyperlink" Target="https://talan.bank.gov.ua/get-user-certificate/45CEl4Ps3qe4J2ejC831" TargetMode="External"/><Relationship Id="rId970" Type="http://schemas.openxmlformats.org/officeDocument/2006/relationships/hyperlink" Target="https://talan.bank.gov.ua/get-user-certificate/45CElPSb73wwnVRWGbKg" TargetMode="External"/><Relationship Id="rId1253" Type="http://schemas.openxmlformats.org/officeDocument/2006/relationships/hyperlink" Target="https://talan.bank.gov.ua/get-user-certificate/45CElVK2BBLka8eIWn1F" TargetMode="External"/><Relationship Id="rId2651" Type="http://schemas.openxmlformats.org/officeDocument/2006/relationships/hyperlink" Target="https://talan.bank.gov.ua/get-user-certificate/45CElaIf2DFB3Chx8qgq" TargetMode="External"/><Relationship Id="rId3702" Type="http://schemas.openxmlformats.org/officeDocument/2006/relationships/hyperlink" Target="https://talan.bank.gov.ua/get-user-certificate/45CElDbRMEAKEjPk9Pub" TargetMode="External"/><Relationship Id="rId623" Type="http://schemas.openxmlformats.org/officeDocument/2006/relationships/hyperlink" Target="https://talan.bank.gov.ua/get-user-certificate/45CElChsYJUoI4_IA1r5" TargetMode="External"/><Relationship Id="rId2304" Type="http://schemas.openxmlformats.org/officeDocument/2006/relationships/hyperlink" Target="https://talan.bank.gov.ua/get-user-certificate/45CElj7HVrb3etrYMb0A" TargetMode="External"/><Relationship Id="rId1320" Type="http://schemas.openxmlformats.org/officeDocument/2006/relationships/hyperlink" Target="https://talan.bank.gov.ua/get-user-certificate/45CEloNds9XC9Bta-6qi" TargetMode="External"/><Relationship Id="rId4476" Type="http://schemas.openxmlformats.org/officeDocument/2006/relationships/hyperlink" Target="https://talan.bank.gov.ua/get-user-certificate/45CEl_EUYCCGoZhxMZ7N" TargetMode="External"/><Relationship Id="rId4890" Type="http://schemas.openxmlformats.org/officeDocument/2006/relationships/hyperlink" Target="https://talan.bank.gov.ua/get-user-certificate/45CElzBsbJXgVRhVlhI3" TargetMode="External"/><Relationship Id="rId3078" Type="http://schemas.openxmlformats.org/officeDocument/2006/relationships/hyperlink" Target="https://talan.bank.gov.ua/get-user-certificate/45CElBpA1DGOpGTq6Qef" TargetMode="External"/><Relationship Id="rId3492" Type="http://schemas.openxmlformats.org/officeDocument/2006/relationships/hyperlink" Target="https://talan.bank.gov.ua/get-user-certificate/45CEl6Vgw3gS8rmGvrC0" TargetMode="External"/><Relationship Id="rId4129" Type="http://schemas.openxmlformats.org/officeDocument/2006/relationships/hyperlink" Target="https://talan.bank.gov.ua/get-user-certificate/45CEl-6bAP9wc8SkeS8M" TargetMode="External"/><Relationship Id="rId4543" Type="http://schemas.openxmlformats.org/officeDocument/2006/relationships/hyperlink" Target="https://talan.bank.gov.ua/get-user-certificate/45CElyPb3ScfAPRWmY5d" TargetMode="External"/><Relationship Id="rId2094" Type="http://schemas.openxmlformats.org/officeDocument/2006/relationships/hyperlink" Target="https://talan.bank.gov.ua/get-user-certificate/45CElAGkhfIptzKIj9dV" TargetMode="External"/><Relationship Id="rId3145" Type="http://schemas.openxmlformats.org/officeDocument/2006/relationships/hyperlink" Target="https://talan.bank.gov.ua/get-user-certificate/45CElGJ4zld3C_SMSyEi" TargetMode="External"/><Relationship Id="rId4610" Type="http://schemas.openxmlformats.org/officeDocument/2006/relationships/hyperlink" Target="https://talan.bank.gov.ua/get-user-certificate/45CElig0V-0tLE5B--_H" TargetMode="External"/><Relationship Id="rId480" Type="http://schemas.openxmlformats.org/officeDocument/2006/relationships/hyperlink" Target="https://talan.bank.gov.ua/get-user-certificate/45CEl_6dNg5eJTUpi-6m" TargetMode="External"/><Relationship Id="rId2161" Type="http://schemas.openxmlformats.org/officeDocument/2006/relationships/hyperlink" Target="https://talan.bank.gov.ua/get-user-certificate/45CEl98NtTX810nW0yXC" TargetMode="External"/><Relationship Id="rId3212" Type="http://schemas.openxmlformats.org/officeDocument/2006/relationships/hyperlink" Target="https://talan.bank.gov.ua/get-user-certificate/45CElAFTWY4wgyZkUUyG" TargetMode="External"/><Relationship Id="rId133" Type="http://schemas.openxmlformats.org/officeDocument/2006/relationships/hyperlink" Target="https://talan.bank.gov.ua/get-user-certificate/45CElEYkKwLmowaJycs5" TargetMode="External"/><Relationship Id="rId200" Type="http://schemas.openxmlformats.org/officeDocument/2006/relationships/hyperlink" Target="https://talan.bank.gov.ua/get-user-certificate/45CElnRkjrK_DYaPw0LG" TargetMode="External"/><Relationship Id="rId2978" Type="http://schemas.openxmlformats.org/officeDocument/2006/relationships/hyperlink" Target="https://talan.bank.gov.ua/get-user-certificate/45CElyqemeaWUC3MBusI" TargetMode="External"/><Relationship Id="rId1994" Type="http://schemas.openxmlformats.org/officeDocument/2006/relationships/hyperlink" Target="https://talan.bank.gov.ua/get-user-certificate/45CElkT9gu16O5T3WnAj" TargetMode="External"/><Relationship Id="rId1647" Type="http://schemas.openxmlformats.org/officeDocument/2006/relationships/hyperlink" Target="https://talan.bank.gov.ua/get-user-certificate/45CElRA7VgnAlmdIffk0" TargetMode="External"/><Relationship Id="rId4053" Type="http://schemas.openxmlformats.org/officeDocument/2006/relationships/hyperlink" Target="https://talan.bank.gov.ua/get-user-certificate/45CElMxIc2cscWhBFQAr" TargetMode="External"/><Relationship Id="rId1714" Type="http://schemas.openxmlformats.org/officeDocument/2006/relationships/hyperlink" Target="https://talan.bank.gov.ua/get-user-certificate/45CElO0QcDgch5aWM0O4" TargetMode="External"/><Relationship Id="rId4120" Type="http://schemas.openxmlformats.org/officeDocument/2006/relationships/hyperlink" Target="https://talan.bank.gov.ua/get-user-certificate/45CElJHlYS3NrGW4_yCK" TargetMode="External"/><Relationship Id="rId2488" Type="http://schemas.openxmlformats.org/officeDocument/2006/relationships/hyperlink" Target="https://talan.bank.gov.ua/get-user-certificate/45CElK8BFlz4UU3qq1FD" TargetMode="External"/><Relationship Id="rId3886" Type="http://schemas.openxmlformats.org/officeDocument/2006/relationships/hyperlink" Target="https://talan.bank.gov.ua/get-user-certificate/45CEl3Y1tePRk15K5ULv" TargetMode="External"/><Relationship Id="rId4937" Type="http://schemas.openxmlformats.org/officeDocument/2006/relationships/hyperlink" Target="https://talan.bank.gov.ua/get-user-certificate/45CEl_psRFc-dhyfuhQO" TargetMode="External"/><Relationship Id="rId3539" Type="http://schemas.openxmlformats.org/officeDocument/2006/relationships/hyperlink" Target="https://talan.bank.gov.ua/get-user-certificate/45CEl_CRLOlNoXUQNWQ-" TargetMode="External"/><Relationship Id="rId3953" Type="http://schemas.openxmlformats.org/officeDocument/2006/relationships/hyperlink" Target="https://talan.bank.gov.ua/get-user-certificate/45CEloM318KVmtvczQU2" TargetMode="External"/><Relationship Id="rId874" Type="http://schemas.openxmlformats.org/officeDocument/2006/relationships/hyperlink" Target="https://talan.bank.gov.ua/get-user-certificate/45CElfl1wOBGdzZPr015" TargetMode="External"/><Relationship Id="rId2555" Type="http://schemas.openxmlformats.org/officeDocument/2006/relationships/hyperlink" Target="https://talan.bank.gov.ua/get-user-certificate/45CEl0PS9WSkjAX9DtLc" TargetMode="External"/><Relationship Id="rId3606" Type="http://schemas.openxmlformats.org/officeDocument/2006/relationships/hyperlink" Target="https://talan.bank.gov.ua/get-user-certificate/45CElyfkdS4aAjH7422L" TargetMode="External"/><Relationship Id="rId527" Type="http://schemas.openxmlformats.org/officeDocument/2006/relationships/hyperlink" Target="https://talan.bank.gov.ua/get-user-certificate/45CEl7WRi5J8p2i0L5DU" TargetMode="External"/><Relationship Id="rId941" Type="http://schemas.openxmlformats.org/officeDocument/2006/relationships/hyperlink" Target="https://talan.bank.gov.ua/get-user-certificate/45CEl3jkFl97ulSJyVo8" TargetMode="External"/><Relationship Id="rId1157" Type="http://schemas.openxmlformats.org/officeDocument/2006/relationships/hyperlink" Target="https://talan.bank.gov.ua/get-user-certificate/45CElsPKzb7GjAyTmhvc" TargetMode="External"/><Relationship Id="rId1571" Type="http://schemas.openxmlformats.org/officeDocument/2006/relationships/hyperlink" Target="https://talan.bank.gov.ua/get-user-certificate/45CElNmStFB-LgcpQZj-" TargetMode="External"/><Relationship Id="rId2208" Type="http://schemas.openxmlformats.org/officeDocument/2006/relationships/hyperlink" Target="https://talan.bank.gov.ua/get-user-certificate/45CElA-gTRuuyAsXKEwD" TargetMode="External"/><Relationship Id="rId2622" Type="http://schemas.openxmlformats.org/officeDocument/2006/relationships/hyperlink" Target="https://talan.bank.gov.ua/get-user-certificate/45CEljWsysjJVUgOAjyn" TargetMode="External"/><Relationship Id="rId1224" Type="http://schemas.openxmlformats.org/officeDocument/2006/relationships/hyperlink" Target="https://talan.bank.gov.ua/get-user-certificate/45CElWiR_EvXjLL6w0ba" TargetMode="External"/><Relationship Id="rId4794" Type="http://schemas.openxmlformats.org/officeDocument/2006/relationships/hyperlink" Target="https://talan.bank.gov.ua/get-user-certificate/45CElt6ccGrPHN8t_YXY" TargetMode="External"/><Relationship Id="rId3396" Type="http://schemas.openxmlformats.org/officeDocument/2006/relationships/hyperlink" Target="https://talan.bank.gov.ua/get-user-certificate/45CElP8TEsYEWyMIkwhx" TargetMode="External"/><Relationship Id="rId4447" Type="http://schemas.openxmlformats.org/officeDocument/2006/relationships/hyperlink" Target="https://talan.bank.gov.ua/get-user-certificate/45CElClXaoAzAKFsvwrL" TargetMode="External"/><Relationship Id="rId3049" Type="http://schemas.openxmlformats.org/officeDocument/2006/relationships/hyperlink" Target="https://talan.bank.gov.ua/get-user-certificate/45CEl_rYcu2z9g3AJS40" TargetMode="External"/><Relationship Id="rId3463" Type="http://schemas.openxmlformats.org/officeDocument/2006/relationships/hyperlink" Target="https://talan.bank.gov.ua/get-user-certificate/45CElpkJxeH5502JZQOv" TargetMode="External"/><Relationship Id="rId4861" Type="http://schemas.openxmlformats.org/officeDocument/2006/relationships/hyperlink" Target="https://talan.bank.gov.ua/get-user-certificate/45CElMEmJc521O0w6V0Q" TargetMode="External"/><Relationship Id="rId384" Type="http://schemas.openxmlformats.org/officeDocument/2006/relationships/hyperlink" Target="https://talan.bank.gov.ua/get-user-certificate/45CEl1o987Zk0z1NwxWz" TargetMode="External"/><Relationship Id="rId2065" Type="http://schemas.openxmlformats.org/officeDocument/2006/relationships/hyperlink" Target="https://talan.bank.gov.ua/get-user-certificate/45CElORIkXvsOtt1silk" TargetMode="External"/><Relationship Id="rId3116" Type="http://schemas.openxmlformats.org/officeDocument/2006/relationships/hyperlink" Target="https://talan.bank.gov.ua/get-user-certificate/45CEl52ZrDPH-3r7YPdg" TargetMode="External"/><Relationship Id="rId4514" Type="http://schemas.openxmlformats.org/officeDocument/2006/relationships/hyperlink" Target="https://talan.bank.gov.ua/get-user-certificate/45CElTXYb9JEu-i-QRj1" TargetMode="External"/><Relationship Id="rId1081" Type="http://schemas.openxmlformats.org/officeDocument/2006/relationships/hyperlink" Target="https://talan.bank.gov.ua/get-user-certificate/45CElwiAEMDVSgzTKuHO" TargetMode="External"/><Relationship Id="rId3530" Type="http://schemas.openxmlformats.org/officeDocument/2006/relationships/hyperlink" Target="https://talan.bank.gov.ua/get-user-certificate/45CElHK2BIKWT83XxLWX" TargetMode="External"/><Relationship Id="rId451" Type="http://schemas.openxmlformats.org/officeDocument/2006/relationships/hyperlink" Target="https://talan.bank.gov.ua/get-user-certificate/45CElr3UY1Dm8LiDNajt" TargetMode="External"/><Relationship Id="rId2132" Type="http://schemas.openxmlformats.org/officeDocument/2006/relationships/hyperlink" Target="https://talan.bank.gov.ua/get-user-certificate/45CElOtRnCxtGIBAvM_9" TargetMode="External"/><Relationship Id="rId104" Type="http://schemas.openxmlformats.org/officeDocument/2006/relationships/hyperlink" Target="https://talan.bank.gov.ua/get-user-certificate/45CElLe2oKWM-5ILVaO8" TargetMode="External"/><Relationship Id="rId1898" Type="http://schemas.openxmlformats.org/officeDocument/2006/relationships/hyperlink" Target="https://talan.bank.gov.ua/get-user-certificate/45CEl-IIuhPOVJCYGD3t" TargetMode="External"/><Relationship Id="rId2949" Type="http://schemas.openxmlformats.org/officeDocument/2006/relationships/hyperlink" Target="https://talan.bank.gov.ua/get-user-certificate/45CElhMQc_w0paONtD3Z" TargetMode="External"/><Relationship Id="rId4371" Type="http://schemas.openxmlformats.org/officeDocument/2006/relationships/hyperlink" Target="https://talan.bank.gov.ua/get-user-certificate/45CElwD8b5Le9MKmkUci" TargetMode="External"/><Relationship Id="rId5008" Type="http://schemas.openxmlformats.org/officeDocument/2006/relationships/hyperlink" Target="https://talan.bank.gov.ua/get-user-certificate/ki8TnlXH8dG8j0vLPj_K" TargetMode="External"/><Relationship Id="rId1965" Type="http://schemas.openxmlformats.org/officeDocument/2006/relationships/hyperlink" Target="https://talan.bank.gov.ua/get-user-certificate/45CElpckfb0VGuMu8cQm" TargetMode="External"/><Relationship Id="rId4024" Type="http://schemas.openxmlformats.org/officeDocument/2006/relationships/hyperlink" Target="https://talan.bank.gov.ua/get-user-certificate/45CElOyHGvP1qUg9k0ex" TargetMode="External"/><Relationship Id="rId1618" Type="http://schemas.openxmlformats.org/officeDocument/2006/relationships/hyperlink" Target="https://talan.bank.gov.ua/get-user-certificate/45CElMqlLN44j_lSqupW" TargetMode="External"/><Relationship Id="rId3040" Type="http://schemas.openxmlformats.org/officeDocument/2006/relationships/hyperlink" Target="https://talan.bank.gov.ua/get-user-certificate/45CEl5BNyfVTUppeOmdY" TargetMode="External"/><Relationship Id="rId3857" Type="http://schemas.openxmlformats.org/officeDocument/2006/relationships/hyperlink" Target="https://talan.bank.gov.ua/get-user-certificate/45CElDLRpT_CbXlRbn5_" TargetMode="External"/><Relationship Id="rId4908" Type="http://schemas.openxmlformats.org/officeDocument/2006/relationships/hyperlink" Target="https://talan.bank.gov.ua/get-user-certificate/45CElXsS04gKPpPk_Ppn" TargetMode="External"/><Relationship Id="rId778" Type="http://schemas.openxmlformats.org/officeDocument/2006/relationships/hyperlink" Target="https://talan.bank.gov.ua/get-user-certificate/45CElzWGhfGtj-YpokxE" TargetMode="External"/><Relationship Id="rId2459" Type="http://schemas.openxmlformats.org/officeDocument/2006/relationships/hyperlink" Target="https://talan.bank.gov.ua/get-user-certificate/45CElA1xrZ_qW6lUgELH" TargetMode="External"/><Relationship Id="rId2873" Type="http://schemas.openxmlformats.org/officeDocument/2006/relationships/hyperlink" Target="https://talan.bank.gov.ua/get-user-certificate/45CElGhbSWt1S5u3jv-F" TargetMode="External"/><Relationship Id="rId3924" Type="http://schemas.openxmlformats.org/officeDocument/2006/relationships/hyperlink" Target="https://talan.bank.gov.ua/get-user-certificate/45CEliQin5WfYW75jAbg" TargetMode="External"/><Relationship Id="rId845" Type="http://schemas.openxmlformats.org/officeDocument/2006/relationships/hyperlink" Target="https://talan.bank.gov.ua/get-user-certificate/45CElm2mreRNGNeaJpUY" TargetMode="External"/><Relationship Id="rId1475" Type="http://schemas.openxmlformats.org/officeDocument/2006/relationships/hyperlink" Target="https://talan.bank.gov.ua/get-user-certificate/45CElsjDbqfkxJ_vsyZF" TargetMode="External"/><Relationship Id="rId2526" Type="http://schemas.openxmlformats.org/officeDocument/2006/relationships/hyperlink" Target="https://talan.bank.gov.ua/get-user-certificate/45CElfiJAjqcFnklO9Ge" TargetMode="External"/><Relationship Id="rId1128" Type="http://schemas.openxmlformats.org/officeDocument/2006/relationships/hyperlink" Target="https://talan.bank.gov.ua/get-user-certificate/45CElXlMdD3JrHKfZqeL" TargetMode="External"/><Relationship Id="rId1542" Type="http://schemas.openxmlformats.org/officeDocument/2006/relationships/hyperlink" Target="https://talan.bank.gov.ua/get-user-certificate/45CEl6Djh9Qky5ADzvF2" TargetMode="External"/><Relationship Id="rId2940" Type="http://schemas.openxmlformats.org/officeDocument/2006/relationships/hyperlink" Target="https://talan.bank.gov.ua/get-user-certificate/45CEl_ubKy_L90yJsGKl" TargetMode="External"/><Relationship Id="rId4698" Type="http://schemas.openxmlformats.org/officeDocument/2006/relationships/hyperlink" Target="https://talan.bank.gov.ua/get-user-certificate/45CElE1nl4RmAcGmr9NI" TargetMode="External"/><Relationship Id="rId912" Type="http://schemas.openxmlformats.org/officeDocument/2006/relationships/hyperlink" Target="https://talan.bank.gov.ua/get-user-certificate/45CEl1vFjVXbZTwAdNBo" TargetMode="External"/><Relationship Id="rId4765" Type="http://schemas.openxmlformats.org/officeDocument/2006/relationships/hyperlink" Target="https://talan.bank.gov.ua/get-user-certificate/45CEljOs_ys--MPcNVml" TargetMode="External"/><Relationship Id="rId288" Type="http://schemas.openxmlformats.org/officeDocument/2006/relationships/hyperlink" Target="https://talan.bank.gov.ua/get-user-certificate/45CElJ5Fs6JLMl1b2xax" TargetMode="External"/><Relationship Id="rId3367" Type="http://schemas.openxmlformats.org/officeDocument/2006/relationships/hyperlink" Target="https://talan.bank.gov.ua/get-user-certificate/45CElV8XtA3MzigSvffK" TargetMode="External"/><Relationship Id="rId3781" Type="http://schemas.openxmlformats.org/officeDocument/2006/relationships/hyperlink" Target="https://talan.bank.gov.ua/get-user-certificate/45CElWGF9lGvVrbO52G5" TargetMode="External"/><Relationship Id="rId4418" Type="http://schemas.openxmlformats.org/officeDocument/2006/relationships/hyperlink" Target="https://talan.bank.gov.ua/get-user-certificate/45CElVPHWzUAlqjyCNrh" TargetMode="External"/><Relationship Id="rId4832" Type="http://schemas.openxmlformats.org/officeDocument/2006/relationships/hyperlink" Target="https://talan.bank.gov.ua/get-user-certificate/45CElGyYwJu8AiZqeKFE" TargetMode="External"/><Relationship Id="rId2383" Type="http://schemas.openxmlformats.org/officeDocument/2006/relationships/hyperlink" Target="https://talan.bank.gov.ua/get-user-certificate/45CElosYIia2Ruki0K6_" TargetMode="External"/><Relationship Id="rId3434" Type="http://schemas.openxmlformats.org/officeDocument/2006/relationships/hyperlink" Target="https://talan.bank.gov.ua/get-user-certificate/45CElZYd3QcToe-6beef" TargetMode="External"/><Relationship Id="rId355" Type="http://schemas.openxmlformats.org/officeDocument/2006/relationships/hyperlink" Target="https://talan.bank.gov.ua/get-user-certificate/45CEll_4cFxD_CFQJx-L" TargetMode="External"/><Relationship Id="rId2036" Type="http://schemas.openxmlformats.org/officeDocument/2006/relationships/hyperlink" Target="https://talan.bank.gov.ua/get-user-certificate/45CElwAm8fDIWEPyZHix" TargetMode="External"/><Relationship Id="rId2450" Type="http://schemas.openxmlformats.org/officeDocument/2006/relationships/hyperlink" Target="https://talan.bank.gov.ua/get-user-certificate/45CEl8Tk6dLElOA14OA9" TargetMode="External"/><Relationship Id="rId3501" Type="http://schemas.openxmlformats.org/officeDocument/2006/relationships/hyperlink" Target="https://talan.bank.gov.ua/get-user-certificate/45CElW2CjrasmSy_podW" TargetMode="External"/><Relationship Id="rId422" Type="http://schemas.openxmlformats.org/officeDocument/2006/relationships/hyperlink" Target="https://talan.bank.gov.ua/get-user-certificate/45CElDK3lyB8hlhQJGYM" TargetMode="External"/><Relationship Id="rId1052" Type="http://schemas.openxmlformats.org/officeDocument/2006/relationships/hyperlink" Target="https://talan.bank.gov.ua/get-user-certificate/45CEl6zOj1gSRuNHsNYk" TargetMode="External"/><Relationship Id="rId2103" Type="http://schemas.openxmlformats.org/officeDocument/2006/relationships/hyperlink" Target="https://talan.bank.gov.ua/get-user-certificate/45CElFfyoc4dy1aUuCQm" TargetMode="External"/><Relationship Id="rId4275" Type="http://schemas.openxmlformats.org/officeDocument/2006/relationships/hyperlink" Target="https://talan.bank.gov.ua/get-user-certificate/45CElDemtbhaUNFbvGxl" TargetMode="External"/><Relationship Id="rId1869" Type="http://schemas.openxmlformats.org/officeDocument/2006/relationships/hyperlink" Target="https://talan.bank.gov.ua/get-user-certificate/45CElktkG2RWzGmVRdna" TargetMode="External"/><Relationship Id="rId3291" Type="http://schemas.openxmlformats.org/officeDocument/2006/relationships/hyperlink" Target="https://talan.bank.gov.ua/get-user-certificate/45CElHg49WKAYmr-D67D" TargetMode="External"/><Relationship Id="rId1936" Type="http://schemas.openxmlformats.org/officeDocument/2006/relationships/hyperlink" Target="https://talan.bank.gov.ua/get-user-certificate/45CElzz3R6voCvQMjTHy" TargetMode="External"/><Relationship Id="rId4342" Type="http://schemas.openxmlformats.org/officeDocument/2006/relationships/hyperlink" Target="https://talan.bank.gov.ua/get-user-certificate/45CEl3zmGoqCzzax-cKy" TargetMode="External"/><Relationship Id="rId3011" Type="http://schemas.openxmlformats.org/officeDocument/2006/relationships/hyperlink" Target="https://talan.bank.gov.ua/get-user-certificate/45CElwSXiBx2gASXMulq" TargetMode="External"/><Relationship Id="rId2777" Type="http://schemas.openxmlformats.org/officeDocument/2006/relationships/hyperlink" Target="https://talan.bank.gov.ua/get-user-certificate/45CEliguVa0rHYEH6DQM" TargetMode="External"/><Relationship Id="rId749" Type="http://schemas.openxmlformats.org/officeDocument/2006/relationships/hyperlink" Target="https://talan.bank.gov.ua/get-user-certificate/45CEl0SLXYV8lcMPxuTu" TargetMode="External"/><Relationship Id="rId1379" Type="http://schemas.openxmlformats.org/officeDocument/2006/relationships/hyperlink" Target="https://talan.bank.gov.ua/get-user-certificate/45CElxTPWuKlB9RMitIM" TargetMode="External"/><Relationship Id="rId3828" Type="http://schemas.openxmlformats.org/officeDocument/2006/relationships/hyperlink" Target="https://talan.bank.gov.ua/get-user-certificate/45CElGmp5zm0oDIF3VZ6" TargetMode="External"/><Relationship Id="rId1793" Type="http://schemas.openxmlformats.org/officeDocument/2006/relationships/hyperlink" Target="https://talan.bank.gov.ua/get-user-certificate/45CElAMeJFfzVcy5QdLU" TargetMode="External"/><Relationship Id="rId2844" Type="http://schemas.openxmlformats.org/officeDocument/2006/relationships/hyperlink" Target="https://talan.bank.gov.ua/get-user-certificate/45CEl915pKJr0M4EadJb" TargetMode="External"/><Relationship Id="rId85" Type="http://schemas.openxmlformats.org/officeDocument/2006/relationships/hyperlink" Target="https://talan.bank.gov.ua/get-user-certificate/45CElm1S0mkGJ-RAbsWK" TargetMode="External"/><Relationship Id="rId816" Type="http://schemas.openxmlformats.org/officeDocument/2006/relationships/hyperlink" Target="https://talan.bank.gov.ua/get-user-certificate/45CElLJdDaKYnN_ln2iU" TargetMode="External"/><Relationship Id="rId1446" Type="http://schemas.openxmlformats.org/officeDocument/2006/relationships/hyperlink" Target="https://talan.bank.gov.ua/get-user-certificate/45CEliu3VC2QfCq-axu_" TargetMode="External"/><Relationship Id="rId1860" Type="http://schemas.openxmlformats.org/officeDocument/2006/relationships/hyperlink" Target="https://talan.bank.gov.ua/get-user-certificate/45CElvjxLsRm9bxL8b7t" TargetMode="External"/><Relationship Id="rId2911" Type="http://schemas.openxmlformats.org/officeDocument/2006/relationships/hyperlink" Target="https://talan.bank.gov.ua/get-user-certificate/45CElFrh9rJsFMMQrvjB" TargetMode="External"/><Relationship Id="rId1513" Type="http://schemas.openxmlformats.org/officeDocument/2006/relationships/hyperlink" Target="https://talan.bank.gov.ua/get-user-certificate/45CEl-QQf7zcdsNQKjUm" TargetMode="External"/><Relationship Id="rId4669" Type="http://schemas.openxmlformats.org/officeDocument/2006/relationships/hyperlink" Target="https://talan.bank.gov.ua/get-user-certificate/45CElwyBBtP9--6_HspQ" TargetMode="External"/><Relationship Id="rId3685" Type="http://schemas.openxmlformats.org/officeDocument/2006/relationships/hyperlink" Target="https://talan.bank.gov.ua/get-user-certificate/45CElOQM9Nv1sCoAF78h" TargetMode="External"/><Relationship Id="rId4736" Type="http://schemas.openxmlformats.org/officeDocument/2006/relationships/hyperlink" Target="https://talan.bank.gov.ua/get-user-certificate/45CElxfn4b0MXcWKA6uu" TargetMode="External"/><Relationship Id="rId2287" Type="http://schemas.openxmlformats.org/officeDocument/2006/relationships/hyperlink" Target="https://talan.bank.gov.ua/get-user-certificate/45CEl56HaOeTPVuqv9nO" TargetMode="External"/><Relationship Id="rId3338" Type="http://schemas.openxmlformats.org/officeDocument/2006/relationships/hyperlink" Target="https://talan.bank.gov.ua/get-user-certificate/45CElPtQNiABvXB5sVbW" TargetMode="External"/><Relationship Id="rId3752" Type="http://schemas.openxmlformats.org/officeDocument/2006/relationships/hyperlink" Target="https://talan.bank.gov.ua/get-user-certificate/45CElks1TpXmUa59WEhK" TargetMode="External"/><Relationship Id="rId259" Type="http://schemas.openxmlformats.org/officeDocument/2006/relationships/hyperlink" Target="https://talan.bank.gov.ua/get-user-certificate/45CEl0ubcJIma0dhLRte" TargetMode="External"/><Relationship Id="rId673" Type="http://schemas.openxmlformats.org/officeDocument/2006/relationships/hyperlink" Target="https://talan.bank.gov.ua/get-user-certificate/45CElzww7YAKxIm0kuuv" TargetMode="External"/><Relationship Id="rId2354" Type="http://schemas.openxmlformats.org/officeDocument/2006/relationships/hyperlink" Target="https://talan.bank.gov.ua/get-user-certificate/45CElg_i117toyEBjBHr" TargetMode="External"/><Relationship Id="rId3405" Type="http://schemas.openxmlformats.org/officeDocument/2006/relationships/hyperlink" Target="https://talan.bank.gov.ua/get-user-certificate/45CEl4pWZ7jMVWCAgzHS" TargetMode="External"/><Relationship Id="rId4803" Type="http://schemas.openxmlformats.org/officeDocument/2006/relationships/hyperlink" Target="https://talan.bank.gov.ua/get-user-certificate/45CElX7XNYgQvXB_KgyW" TargetMode="External"/><Relationship Id="rId326" Type="http://schemas.openxmlformats.org/officeDocument/2006/relationships/hyperlink" Target="https://talan.bank.gov.ua/get-user-certificate/45CEloaZmrhmRYluCcFp" TargetMode="External"/><Relationship Id="rId1370" Type="http://schemas.openxmlformats.org/officeDocument/2006/relationships/hyperlink" Target="https://talan.bank.gov.ua/get-user-certificate/45CElnov7ihY7VTRqD1v" TargetMode="External"/><Relationship Id="rId2007" Type="http://schemas.openxmlformats.org/officeDocument/2006/relationships/hyperlink" Target="https://talan.bank.gov.ua/get-user-certificate/45CElvPNG2smIFhjeXkT" TargetMode="External"/><Relationship Id="rId740" Type="http://schemas.openxmlformats.org/officeDocument/2006/relationships/hyperlink" Target="https://talan.bank.gov.ua/get-user-certificate/45CElYq0_dCpeY75Y9wn" TargetMode="External"/><Relationship Id="rId1023" Type="http://schemas.openxmlformats.org/officeDocument/2006/relationships/hyperlink" Target="https://talan.bank.gov.ua/get-user-certificate/45CElnR8LQ6q3c6AOLyX" TargetMode="External"/><Relationship Id="rId2421" Type="http://schemas.openxmlformats.org/officeDocument/2006/relationships/hyperlink" Target="https://talan.bank.gov.ua/get-user-certificate/45CElxeYMVJhwnHiyIgG" TargetMode="External"/><Relationship Id="rId4179" Type="http://schemas.openxmlformats.org/officeDocument/2006/relationships/hyperlink" Target="https://talan.bank.gov.ua/get-user-certificate/45CElpWCAlYtJ4pnQKUA" TargetMode="External"/><Relationship Id="rId4593" Type="http://schemas.openxmlformats.org/officeDocument/2006/relationships/hyperlink" Target="https://talan.bank.gov.ua/get-user-certificate/45CElnuslqQ5UtHFhY3q" TargetMode="External"/><Relationship Id="rId3195" Type="http://schemas.openxmlformats.org/officeDocument/2006/relationships/hyperlink" Target="https://talan.bank.gov.ua/get-user-certificate/45CElkfDP_7i9ucGZW_x" TargetMode="External"/><Relationship Id="rId4246" Type="http://schemas.openxmlformats.org/officeDocument/2006/relationships/hyperlink" Target="https://talan.bank.gov.ua/get-user-certificate/45CElZBJUA9V1AD7bC3c" TargetMode="External"/><Relationship Id="rId4660" Type="http://schemas.openxmlformats.org/officeDocument/2006/relationships/hyperlink" Target="https://talan.bank.gov.ua/get-user-certificate/45CElUJgjzwz2KISIzgT" TargetMode="External"/><Relationship Id="rId3262" Type="http://schemas.openxmlformats.org/officeDocument/2006/relationships/hyperlink" Target="https://talan.bank.gov.ua/get-user-certificate/45CElQKrEuThe0iprMjl" TargetMode="External"/><Relationship Id="rId4313" Type="http://schemas.openxmlformats.org/officeDocument/2006/relationships/hyperlink" Target="https://talan.bank.gov.ua/get-user-certificate/45CElCNcLo5j9vkjCTaZ" TargetMode="External"/><Relationship Id="rId183" Type="http://schemas.openxmlformats.org/officeDocument/2006/relationships/hyperlink" Target="https://talan.bank.gov.ua/get-user-certificate/45CElHA7vbe1YwLAE40q" TargetMode="External"/><Relationship Id="rId1907" Type="http://schemas.openxmlformats.org/officeDocument/2006/relationships/hyperlink" Target="https://talan.bank.gov.ua/get-user-certificate/45CEloh7jRBo3ZbTmBBu" TargetMode="External"/><Relationship Id="rId250" Type="http://schemas.openxmlformats.org/officeDocument/2006/relationships/hyperlink" Target="https://talan.bank.gov.ua/get-user-certificate/45CElU7BqMc-zXV6saRU" TargetMode="External"/><Relationship Id="rId1697" Type="http://schemas.openxmlformats.org/officeDocument/2006/relationships/hyperlink" Target="https://talan.bank.gov.ua/get-user-certificate/45CElYprGZgbcEBFj4Cz" TargetMode="External"/><Relationship Id="rId2748" Type="http://schemas.openxmlformats.org/officeDocument/2006/relationships/hyperlink" Target="https://talan.bank.gov.ua/get-user-certificate/45CElAIQiLyQpHEjAQeu" TargetMode="External"/><Relationship Id="rId1764" Type="http://schemas.openxmlformats.org/officeDocument/2006/relationships/hyperlink" Target="https://talan.bank.gov.ua/get-user-certificate/45CEl90E-Oz2iUsBVHkv" TargetMode="External"/><Relationship Id="rId2815" Type="http://schemas.openxmlformats.org/officeDocument/2006/relationships/hyperlink" Target="https://talan.bank.gov.ua/get-user-certificate/45CElpdJzlLX2BwF8Gpr" TargetMode="External"/><Relationship Id="rId4170" Type="http://schemas.openxmlformats.org/officeDocument/2006/relationships/hyperlink" Target="https://talan.bank.gov.ua/get-user-certificate/45CElpJsKYFDwVSSorx4" TargetMode="External"/><Relationship Id="rId56" Type="http://schemas.openxmlformats.org/officeDocument/2006/relationships/hyperlink" Target="https://talan.bank.gov.ua/get-user-certificate/45CElsd4f0etu7pMFGs3" TargetMode="External"/><Relationship Id="rId1417" Type="http://schemas.openxmlformats.org/officeDocument/2006/relationships/hyperlink" Target="https://talan.bank.gov.ua/get-user-certificate/45CElBrM7GbJ37QWo9bJ" TargetMode="External"/><Relationship Id="rId1831" Type="http://schemas.openxmlformats.org/officeDocument/2006/relationships/hyperlink" Target="https://talan.bank.gov.ua/get-user-certificate/45CEl9CxXwVC3kyAYUVj" TargetMode="External"/><Relationship Id="rId4987" Type="http://schemas.openxmlformats.org/officeDocument/2006/relationships/hyperlink" Target="https://talan.bank.gov.ua/get-user-certificate/ki8TnT7k6_nohS1bgFNR" TargetMode="External"/><Relationship Id="rId3589" Type="http://schemas.openxmlformats.org/officeDocument/2006/relationships/hyperlink" Target="https://talan.bank.gov.ua/get-user-certificate/45CElpvUpJov6uJN6iae" TargetMode="External"/><Relationship Id="rId577" Type="http://schemas.openxmlformats.org/officeDocument/2006/relationships/hyperlink" Target="https://talan.bank.gov.ua/get-user-certificate/45CElvtZByBgYce2HiSF" TargetMode="External"/><Relationship Id="rId2258" Type="http://schemas.openxmlformats.org/officeDocument/2006/relationships/hyperlink" Target="https://talan.bank.gov.ua/get-user-certificate/45CElEoj17dH3fJRC9hp" TargetMode="External"/><Relationship Id="rId3656" Type="http://schemas.openxmlformats.org/officeDocument/2006/relationships/hyperlink" Target="https://talan.bank.gov.ua/get-user-certificate/45CElyduGsys3Z03qqkA" TargetMode="External"/><Relationship Id="rId4707" Type="http://schemas.openxmlformats.org/officeDocument/2006/relationships/hyperlink" Target="https://talan.bank.gov.ua/get-user-certificate/45CEld23vfw2ecJHEkAy" TargetMode="External"/><Relationship Id="rId991" Type="http://schemas.openxmlformats.org/officeDocument/2006/relationships/hyperlink" Target="https://talan.bank.gov.ua/get-user-certificate/45CEl8pRkzuqO3Gxuvg3" TargetMode="External"/><Relationship Id="rId2672" Type="http://schemas.openxmlformats.org/officeDocument/2006/relationships/hyperlink" Target="https://talan.bank.gov.ua/get-user-certificate/45CElnfuuOT8xUL5qoLI" TargetMode="External"/><Relationship Id="rId3309" Type="http://schemas.openxmlformats.org/officeDocument/2006/relationships/hyperlink" Target="https://talan.bank.gov.ua/get-user-certificate/45CElaM8XvGFBQWObDUD" TargetMode="External"/><Relationship Id="rId3723" Type="http://schemas.openxmlformats.org/officeDocument/2006/relationships/hyperlink" Target="https://talan.bank.gov.ua/get-user-certificate/45CElIy7haLbAMtOAbos" TargetMode="External"/><Relationship Id="rId644" Type="http://schemas.openxmlformats.org/officeDocument/2006/relationships/hyperlink" Target="https://talan.bank.gov.ua/get-user-certificate/45CElkjZpkoRta7yRwzV" TargetMode="External"/><Relationship Id="rId1274" Type="http://schemas.openxmlformats.org/officeDocument/2006/relationships/hyperlink" Target="https://talan.bank.gov.ua/get-user-certificate/45CEljT2aEZLQarmAvRo" TargetMode="External"/><Relationship Id="rId2325" Type="http://schemas.openxmlformats.org/officeDocument/2006/relationships/hyperlink" Target="https://talan.bank.gov.ua/get-user-certificate/45CEliZC9hIOaREFNC8m" TargetMode="External"/><Relationship Id="rId711" Type="http://schemas.openxmlformats.org/officeDocument/2006/relationships/hyperlink" Target="https://talan.bank.gov.ua/get-user-certificate/45CElzkw11-NCh47-7Fh" TargetMode="External"/><Relationship Id="rId1341" Type="http://schemas.openxmlformats.org/officeDocument/2006/relationships/hyperlink" Target="https://talan.bank.gov.ua/get-user-certificate/45CElzN_L2DQbdA384Ow" TargetMode="External"/><Relationship Id="rId4497" Type="http://schemas.openxmlformats.org/officeDocument/2006/relationships/hyperlink" Target="https://talan.bank.gov.ua/get-user-certificate/45CElCZfGI_wPFcwl7Y1" TargetMode="External"/><Relationship Id="rId3099" Type="http://schemas.openxmlformats.org/officeDocument/2006/relationships/hyperlink" Target="https://talan.bank.gov.ua/get-user-certificate/45CElMkKmTsYXdDBNeU-" TargetMode="External"/><Relationship Id="rId4564" Type="http://schemas.openxmlformats.org/officeDocument/2006/relationships/hyperlink" Target="https://talan.bank.gov.ua/get-user-certificate/45CElI2x5Lglr1rI0r3_" TargetMode="External"/><Relationship Id="rId3166" Type="http://schemas.openxmlformats.org/officeDocument/2006/relationships/hyperlink" Target="https://talan.bank.gov.ua/get-user-certificate/45CElNHE_kN5RX-pEswU" TargetMode="External"/><Relationship Id="rId3580" Type="http://schemas.openxmlformats.org/officeDocument/2006/relationships/hyperlink" Target="https://talan.bank.gov.ua/get-user-certificate/45CElvhj7jo6nuBcoFxT" TargetMode="External"/><Relationship Id="rId4217" Type="http://schemas.openxmlformats.org/officeDocument/2006/relationships/hyperlink" Target="https://talan.bank.gov.ua/get-user-certificate/45CElZOyTgQnFPGVH69z" TargetMode="External"/><Relationship Id="rId2182" Type="http://schemas.openxmlformats.org/officeDocument/2006/relationships/hyperlink" Target="https://talan.bank.gov.ua/get-user-certificate/45CElUFl0svbIl1g2aiz" TargetMode="External"/><Relationship Id="rId3233" Type="http://schemas.openxmlformats.org/officeDocument/2006/relationships/hyperlink" Target="https://talan.bank.gov.ua/get-user-certificate/45CEl43nXFVtm2Y6_bKH" TargetMode="External"/><Relationship Id="rId4631" Type="http://schemas.openxmlformats.org/officeDocument/2006/relationships/hyperlink" Target="https://talan.bank.gov.ua/get-user-certificate/45CElFCK4jBwQct8F24t" TargetMode="External"/><Relationship Id="rId154" Type="http://schemas.openxmlformats.org/officeDocument/2006/relationships/hyperlink" Target="https://talan.bank.gov.ua/get-user-certificate/45CElqfJpnDfCtGbyQrw" TargetMode="External"/><Relationship Id="rId2999" Type="http://schemas.openxmlformats.org/officeDocument/2006/relationships/hyperlink" Target="https://talan.bank.gov.ua/get-user-certificate/45CElQAn-_FFeER5vQ7-" TargetMode="External"/><Relationship Id="rId3300" Type="http://schemas.openxmlformats.org/officeDocument/2006/relationships/hyperlink" Target="https://talan.bank.gov.ua/get-user-certificate/45CEltmQziWZmwCdX-Rz" TargetMode="External"/><Relationship Id="rId221" Type="http://schemas.openxmlformats.org/officeDocument/2006/relationships/hyperlink" Target="https://talan.bank.gov.ua/get-user-certificate/45CElQECD_kwwXk24tZa" TargetMode="External"/><Relationship Id="rId1668" Type="http://schemas.openxmlformats.org/officeDocument/2006/relationships/hyperlink" Target="https://talan.bank.gov.ua/get-user-certificate/45CElQfnxhAtUyLF6Mf8" TargetMode="External"/><Relationship Id="rId2719" Type="http://schemas.openxmlformats.org/officeDocument/2006/relationships/hyperlink" Target="https://talan.bank.gov.ua/get-user-certificate/45CElOZkQhTnjOQd_4zw" TargetMode="External"/><Relationship Id="rId4074" Type="http://schemas.openxmlformats.org/officeDocument/2006/relationships/hyperlink" Target="https://talan.bank.gov.ua/get-user-certificate/45CElFy9hgcidzTd3oW5" TargetMode="External"/><Relationship Id="rId3090" Type="http://schemas.openxmlformats.org/officeDocument/2006/relationships/hyperlink" Target="https://talan.bank.gov.ua/get-user-certificate/45CEldU3acBONQ1aTJ0R" TargetMode="External"/><Relationship Id="rId4141" Type="http://schemas.openxmlformats.org/officeDocument/2006/relationships/hyperlink" Target="https://talan.bank.gov.ua/get-user-certificate/45CElOgkkpVsSfOIxVS0" TargetMode="External"/><Relationship Id="rId1735" Type="http://schemas.openxmlformats.org/officeDocument/2006/relationships/hyperlink" Target="https://talan.bank.gov.ua/get-user-certificate/45CElRZ495hqM9cjh-OT" TargetMode="External"/><Relationship Id="rId27" Type="http://schemas.openxmlformats.org/officeDocument/2006/relationships/hyperlink" Target="https://talan.bank.gov.ua/get-user-certificate/45CEldPl9Ae_geC9LKuJ" TargetMode="External"/><Relationship Id="rId1802" Type="http://schemas.openxmlformats.org/officeDocument/2006/relationships/hyperlink" Target="https://talan.bank.gov.ua/get-user-certificate/45CElnY4nhmnY_83Cf1J" TargetMode="External"/><Relationship Id="rId4958" Type="http://schemas.openxmlformats.org/officeDocument/2006/relationships/hyperlink" Target="https://talan.bank.gov.ua/get-user-certificate/45CEljLt1n3TT9uaKoBe" TargetMode="External"/><Relationship Id="rId3974" Type="http://schemas.openxmlformats.org/officeDocument/2006/relationships/hyperlink" Target="https://talan.bank.gov.ua/get-user-certificate/45CElXQEx7xG2u1cy1oV" TargetMode="External"/><Relationship Id="rId895" Type="http://schemas.openxmlformats.org/officeDocument/2006/relationships/hyperlink" Target="https://talan.bank.gov.ua/get-user-certificate/45CEleDTGzwhAFvrnG-8" TargetMode="External"/><Relationship Id="rId2576" Type="http://schemas.openxmlformats.org/officeDocument/2006/relationships/hyperlink" Target="https://talan.bank.gov.ua/get-user-certificate/45CElCt-TdPyz1d7U6J2" TargetMode="External"/><Relationship Id="rId2990" Type="http://schemas.openxmlformats.org/officeDocument/2006/relationships/hyperlink" Target="https://talan.bank.gov.ua/get-user-certificate/45CElGBNKtYJ6wbOYaVv" TargetMode="External"/><Relationship Id="rId3627" Type="http://schemas.openxmlformats.org/officeDocument/2006/relationships/hyperlink" Target="https://talan.bank.gov.ua/get-user-certificate/45CElTsss4uN-sRL_3Nz" TargetMode="External"/><Relationship Id="rId548" Type="http://schemas.openxmlformats.org/officeDocument/2006/relationships/hyperlink" Target="https://talan.bank.gov.ua/get-user-certificate/45CElREQUxcuSpckZzNJ" TargetMode="External"/><Relationship Id="rId962" Type="http://schemas.openxmlformats.org/officeDocument/2006/relationships/hyperlink" Target="https://talan.bank.gov.ua/get-user-certificate/45CElHhI7PJSdEHl7Kh_" TargetMode="External"/><Relationship Id="rId1178" Type="http://schemas.openxmlformats.org/officeDocument/2006/relationships/hyperlink" Target="https://talan.bank.gov.ua/get-user-certificate/45CElXBU4fshwlvZXjXX" TargetMode="External"/><Relationship Id="rId1592" Type="http://schemas.openxmlformats.org/officeDocument/2006/relationships/hyperlink" Target="https://talan.bank.gov.ua/get-user-certificate/45CElCFNI1dKSym2Q5pw" TargetMode="External"/><Relationship Id="rId2229" Type="http://schemas.openxmlformats.org/officeDocument/2006/relationships/hyperlink" Target="https://talan.bank.gov.ua/get-user-certificate/45CElCZEpFNC9cSNGuVL" TargetMode="External"/><Relationship Id="rId2643" Type="http://schemas.openxmlformats.org/officeDocument/2006/relationships/hyperlink" Target="https://talan.bank.gov.ua/get-user-certificate/45CEl02lAl9dGPktQwUy" TargetMode="External"/><Relationship Id="rId615" Type="http://schemas.openxmlformats.org/officeDocument/2006/relationships/hyperlink" Target="https://talan.bank.gov.ua/get-user-certificate/45CEl22nwdIA7jqUr8Nk" TargetMode="External"/><Relationship Id="rId1245" Type="http://schemas.openxmlformats.org/officeDocument/2006/relationships/hyperlink" Target="https://talan.bank.gov.ua/get-user-certificate/45CElASetegJU4u4UeZg" TargetMode="External"/><Relationship Id="rId1312" Type="http://schemas.openxmlformats.org/officeDocument/2006/relationships/hyperlink" Target="https://talan.bank.gov.ua/get-user-certificate/45CElQbXYHoexhLCiosc" TargetMode="External"/><Relationship Id="rId2710" Type="http://schemas.openxmlformats.org/officeDocument/2006/relationships/hyperlink" Target="https://talan.bank.gov.ua/get-user-certificate/45CElchalN8hCnD8pgMm" TargetMode="External"/><Relationship Id="rId4468" Type="http://schemas.openxmlformats.org/officeDocument/2006/relationships/hyperlink" Target="https://talan.bank.gov.ua/get-user-certificate/45CElDkQqLv-mYOcVTfu" TargetMode="External"/><Relationship Id="rId4882" Type="http://schemas.openxmlformats.org/officeDocument/2006/relationships/hyperlink" Target="https://talan.bank.gov.ua/get-user-certificate/45CElPOWZzSf4YPE4mGN" TargetMode="External"/><Relationship Id="rId2086" Type="http://schemas.openxmlformats.org/officeDocument/2006/relationships/hyperlink" Target="https://talan.bank.gov.ua/get-user-certificate/45CEliE1U7xANwNxKifs" TargetMode="External"/><Relationship Id="rId3484" Type="http://schemas.openxmlformats.org/officeDocument/2006/relationships/hyperlink" Target="https://talan.bank.gov.ua/get-user-certificate/45CEl0E6LiHgqooaVaaG" TargetMode="External"/><Relationship Id="rId4535" Type="http://schemas.openxmlformats.org/officeDocument/2006/relationships/hyperlink" Target="https://talan.bank.gov.ua/get-user-certificate/45CElhIRHuZVuiWJWfaC" TargetMode="External"/><Relationship Id="rId3137" Type="http://schemas.openxmlformats.org/officeDocument/2006/relationships/hyperlink" Target="https://talan.bank.gov.ua/get-user-certificate/45CElM1z2YKDIKrY3Hor" TargetMode="External"/><Relationship Id="rId3551" Type="http://schemas.openxmlformats.org/officeDocument/2006/relationships/hyperlink" Target="https://talan.bank.gov.ua/get-user-certificate/45CEliQa61f3-w7jgBmG" TargetMode="External"/><Relationship Id="rId4602" Type="http://schemas.openxmlformats.org/officeDocument/2006/relationships/hyperlink" Target="https://talan.bank.gov.ua/get-user-certificate/45CElk9B60W9m_gaqq_c" TargetMode="External"/><Relationship Id="rId472" Type="http://schemas.openxmlformats.org/officeDocument/2006/relationships/hyperlink" Target="https://talan.bank.gov.ua/get-user-certificate/45CElwRd48_SVroB5FRD" TargetMode="External"/><Relationship Id="rId2153" Type="http://schemas.openxmlformats.org/officeDocument/2006/relationships/hyperlink" Target="https://talan.bank.gov.ua/get-user-certificate/45CElySYNNVQ5A7Bhzzr" TargetMode="External"/><Relationship Id="rId3204" Type="http://schemas.openxmlformats.org/officeDocument/2006/relationships/hyperlink" Target="https://talan.bank.gov.ua/get-user-certificate/45CEl7woToEOWA12Bb9m" TargetMode="External"/><Relationship Id="rId125" Type="http://schemas.openxmlformats.org/officeDocument/2006/relationships/hyperlink" Target="https://talan.bank.gov.ua/get-user-certificate/45CEllAmyhV0TU1hrSFy" TargetMode="External"/><Relationship Id="rId2220" Type="http://schemas.openxmlformats.org/officeDocument/2006/relationships/hyperlink" Target="https://talan.bank.gov.ua/get-user-certificate/45CElP0aL4WnpeDPWM-l" TargetMode="External"/><Relationship Id="rId4392" Type="http://schemas.openxmlformats.org/officeDocument/2006/relationships/hyperlink" Target="https://talan.bank.gov.ua/get-user-certificate/45CElLyZJ0cDIf6JORZU" TargetMode="External"/><Relationship Id="rId1986" Type="http://schemas.openxmlformats.org/officeDocument/2006/relationships/hyperlink" Target="https://talan.bank.gov.ua/get-user-certificate/45CElkmD53bF1tAMgXOr" TargetMode="External"/><Relationship Id="rId4045" Type="http://schemas.openxmlformats.org/officeDocument/2006/relationships/hyperlink" Target="https://talan.bank.gov.ua/get-user-certificate/45CElO43AbPXZiKnDuFl" TargetMode="External"/><Relationship Id="rId1639" Type="http://schemas.openxmlformats.org/officeDocument/2006/relationships/hyperlink" Target="https://talan.bank.gov.ua/get-user-certificate/45CEl7fya2Ghag9RcoCL" TargetMode="External"/><Relationship Id="rId3061" Type="http://schemas.openxmlformats.org/officeDocument/2006/relationships/hyperlink" Target="https://talan.bank.gov.ua/get-user-certificate/45CEl6HtXmU7XcN38DiH" TargetMode="External"/><Relationship Id="rId1706" Type="http://schemas.openxmlformats.org/officeDocument/2006/relationships/hyperlink" Target="https://talan.bank.gov.ua/get-user-certificate/45CElAvsdXNTe1Y-5ZHO" TargetMode="External"/><Relationship Id="rId4112" Type="http://schemas.openxmlformats.org/officeDocument/2006/relationships/hyperlink" Target="https://talan.bank.gov.ua/get-user-certificate/45CElA6z97gRLcYvThrU" TargetMode="External"/><Relationship Id="rId3878" Type="http://schemas.openxmlformats.org/officeDocument/2006/relationships/hyperlink" Target="https://talan.bank.gov.ua/get-user-certificate/45CEl025KnZ4OYZSBC04" TargetMode="External"/><Relationship Id="rId4929" Type="http://schemas.openxmlformats.org/officeDocument/2006/relationships/hyperlink" Target="https://talan.bank.gov.ua/get-user-certificate/45CElD-LwwIyOcbj_awi" TargetMode="External"/><Relationship Id="rId799" Type="http://schemas.openxmlformats.org/officeDocument/2006/relationships/hyperlink" Target="https://talan.bank.gov.ua/get-user-certificate/45CEli634JKeLcJsMPg5" TargetMode="External"/><Relationship Id="rId2894" Type="http://schemas.openxmlformats.org/officeDocument/2006/relationships/hyperlink" Target="https://talan.bank.gov.ua/get-user-certificate/45CElS1FcIasMcVVsozF" TargetMode="External"/><Relationship Id="rId866" Type="http://schemas.openxmlformats.org/officeDocument/2006/relationships/hyperlink" Target="https://talan.bank.gov.ua/get-user-certificate/45CElFhnWpNs2RLQX06i" TargetMode="External"/><Relationship Id="rId1496" Type="http://schemas.openxmlformats.org/officeDocument/2006/relationships/hyperlink" Target="https://talan.bank.gov.ua/get-user-certificate/45CElAsRfztxlATE7Wy2" TargetMode="External"/><Relationship Id="rId2547" Type="http://schemas.openxmlformats.org/officeDocument/2006/relationships/hyperlink" Target="https://talan.bank.gov.ua/get-user-certificate/45CElCJXgBCOU04x3oS4" TargetMode="External"/><Relationship Id="rId3945" Type="http://schemas.openxmlformats.org/officeDocument/2006/relationships/hyperlink" Target="https://talan.bank.gov.ua/get-user-certificate/45CEl5nPBLUAfGsPdRAI" TargetMode="External"/><Relationship Id="rId519" Type="http://schemas.openxmlformats.org/officeDocument/2006/relationships/hyperlink" Target="https://talan.bank.gov.ua/get-user-certificate/45CElbMEslUwyMsrt_-o" TargetMode="External"/><Relationship Id="rId1149" Type="http://schemas.openxmlformats.org/officeDocument/2006/relationships/hyperlink" Target="https://talan.bank.gov.ua/get-user-certificate/45CElfxkor_a67teSVRq" TargetMode="External"/><Relationship Id="rId2961" Type="http://schemas.openxmlformats.org/officeDocument/2006/relationships/hyperlink" Target="https://talan.bank.gov.ua/get-user-certificate/45CElqxlXkkAxnzUxB90" TargetMode="External"/><Relationship Id="rId5020" Type="http://schemas.openxmlformats.org/officeDocument/2006/relationships/hyperlink" Target="https://talan.bank.gov.ua/get-user-certificate/ki8Tnfsa40-k76y_IPNM" TargetMode="External"/><Relationship Id="rId933" Type="http://schemas.openxmlformats.org/officeDocument/2006/relationships/hyperlink" Target="https://talan.bank.gov.ua/get-user-certificate/45CElT8SD5j_zx0Ei5NJ" TargetMode="External"/><Relationship Id="rId1563" Type="http://schemas.openxmlformats.org/officeDocument/2006/relationships/hyperlink" Target="https://talan.bank.gov.ua/get-user-certificate/45CElOrkMIwdRDSCkbAO" TargetMode="External"/><Relationship Id="rId2614" Type="http://schemas.openxmlformats.org/officeDocument/2006/relationships/hyperlink" Target="https://talan.bank.gov.ua/get-user-certificate/45CElI3_SuqZap6xz9JO" TargetMode="External"/><Relationship Id="rId1216" Type="http://schemas.openxmlformats.org/officeDocument/2006/relationships/hyperlink" Target="https://talan.bank.gov.ua/get-user-certificate/45CElUx_f6Dcb2HMRBep" TargetMode="External"/><Relationship Id="rId1630" Type="http://schemas.openxmlformats.org/officeDocument/2006/relationships/hyperlink" Target="https://talan.bank.gov.ua/get-user-certificate/45CEllok9gd1Od30YVas" TargetMode="External"/><Relationship Id="rId4786" Type="http://schemas.openxmlformats.org/officeDocument/2006/relationships/hyperlink" Target="https://talan.bank.gov.ua/get-user-certificate/45CElt-8EXM3fa5hW6P3" TargetMode="External"/><Relationship Id="rId3388" Type="http://schemas.openxmlformats.org/officeDocument/2006/relationships/hyperlink" Target="https://talan.bank.gov.ua/get-user-certificate/45CElB6e2b7YDKeVdXry" TargetMode="External"/><Relationship Id="rId4439" Type="http://schemas.openxmlformats.org/officeDocument/2006/relationships/hyperlink" Target="https://talan.bank.gov.ua/get-user-certificate/45CElNu7pWcEwekr3072" TargetMode="External"/><Relationship Id="rId4853" Type="http://schemas.openxmlformats.org/officeDocument/2006/relationships/hyperlink" Target="https://talan.bank.gov.ua/get-user-certificate/45CEl0ch53lRlGqUPebt" TargetMode="External"/><Relationship Id="rId3455" Type="http://schemas.openxmlformats.org/officeDocument/2006/relationships/hyperlink" Target="https://talan.bank.gov.ua/get-user-certificate/45CElX5M2LhoTh3MbclK" TargetMode="External"/><Relationship Id="rId4506" Type="http://schemas.openxmlformats.org/officeDocument/2006/relationships/hyperlink" Target="https://talan.bank.gov.ua/get-user-certificate/45CElUeLEYVUk4_x8Vnj" TargetMode="External"/><Relationship Id="rId376" Type="http://schemas.openxmlformats.org/officeDocument/2006/relationships/hyperlink" Target="https://talan.bank.gov.ua/get-user-certificate/45CElDo3oS3gc-LBWRxP" TargetMode="External"/><Relationship Id="rId790" Type="http://schemas.openxmlformats.org/officeDocument/2006/relationships/hyperlink" Target="https://talan.bank.gov.ua/get-user-certificate/45CElS5PswgtErAlqSBG" TargetMode="External"/><Relationship Id="rId2057" Type="http://schemas.openxmlformats.org/officeDocument/2006/relationships/hyperlink" Target="https://talan.bank.gov.ua/get-user-certificate/45CElZieB4vMc93mF0TW" TargetMode="External"/><Relationship Id="rId2471" Type="http://schemas.openxmlformats.org/officeDocument/2006/relationships/hyperlink" Target="https://talan.bank.gov.ua/get-user-certificate/45CElwiIrd4NytEik1ZC" TargetMode="External"/><Relationship Id="rId3108" Type="http://schemas.openxmlformats.org/officeDocument/2006/relationships/hyperlink" Target="https://talan.bank.gov.ua/get-user-certificate/45CElukjbCU4T3HGQjlj" TargetMode="External"/><Relationship Id="rId3522" Type="http://schemas.openxmlformats.org/officeDocument/2006/relationships/hyperlink" Target="https://talan.bank.gov.ua/get-user-certificate/45CElqrUsynz7QVkYheT" TargetMode="External"/><Relationship Id="rId4920" Type="http://schemas.openxmlformats.org/officeDocument/2006/relationships/hyperlink" Target="https://talan.bank.gov.ua/get-user-certificate/45CElzOUYpUSFEyMkq9K" TargetMode="External"/><Relationship Id="rId443" Type="http://schemas.openxmlformats.org/officeDocument/2006/relationships/hyperlink" Target="https://talan.bank.gov.ua/get-user-certificate/45CElJwWga3BaG1sPjMZ" TargetMode="External"/><Relationship Id="rId1073" Type="http://schemas.openxmlformats.org/officeDocument/2006/relationships/hyperlink" Target="https://talan.bank.gov.ua/get-user-certificate/45CEljvmUGqekFlGazUB" TargetMode="External"/><Relationship Id="rId2124" Type="http://schemas.openxmlformats.org/officeDocument/2006/relationships/hyperlink" Target="https://talan.bank.gov.ua/get-user-certificate/45CElewOa7804xZP6bCU" TargetMode="External"/><Relationship Id="rId1140" Type="http://schemas.openxmlformats.org/officeDocument/2006/relationships/hyperlink" Target="https://talan.bank.gov.ua/get-user-certificate/45CElHYnVz71z-OqYo66" TargetMode="External"/><Relationship Id="rId4296" Type="http://schemas.openxmlformats.org/officeDocument/2006/relationships/hyperlink" Target="https://talan.bank.gov.ua/get-user-certificate/45CElOq_ayQD5Ne5SaB6" TargetMode="External"/><Relationship Id="rId510" Type="http://schemas.openxmlformats.org/officeDocument/2006/relationships/hyperlink" Target="https://talan.bank.gov.ua/get-user-certificate/45CEloJ-WXIZfExjfmbc" TargetMode="External"/><Relationship Id="rId1957" Type="http://schemas.openxmlformats.org/officeDocument/2006/relationships/hyperlink" Target="https://talan.bank.gov.ua/get-user-certificate/45CElKOP1xvt1wG0c2mD" TargetMode="External"/><Relationship Id="rId4363" Type="http://schemas.openxmlformats.org/officeDocument/2006/relationships/hyperlink" Target="https://talan.bank.gov.ua/get-user-certificate/45CEl8yCt56m5ZxnamyW" TargetMode="External"/><Relationship Id="rId4016" Type="http://schemas.openxmlformats.org/officeDocument/2006/relationships/hyperlink" Target="https://talan.bank.gov.ua/get-user-certificate/45CElOoAVTZD4tPZXB-v" TargetMode="External"/><Relationship Id="rId4430" Type="http://schemas.openxmlformats.org/officeDocument/2006/relationships/hyperlink" Target="https://talan.bank.gov.ua/get-user-certificate/45CElRbd39NpjJcMiQ9W" TargetMode="External"/><Relationship Id="rId3032" Type="http://schemas.openxmlformats.org/officeDocument/2006/relationships/hyperlink" Target="https://talan.bank.gov.ua/get-user-certificate/45CEl5KxIuOO_rVS-1W-" TargetMode="External"/><Relationship Id="rId2798" Type="http://schemas.openxmlformats.org/officeDocument/2006/relationships/hyperlink" Target="https://talan.bank.gov.ua/get-user-certificate/45CEls-FRqQDe1Kq2L4s" TargetMode="External"/><Relationship Id="rId3849" Type="http://schemas.openxmlformats.org/officeDocument/2006/relationships/hyperlink" Target="https://talan.bank.gov.ua/get-user-certificate/45CElEQb6Q3TMr5ygluj" TargetMode="External"/><Relationship Id="rId2865" Type="http://schemas.openxmlformats.org/officeDocument/2006/relationships/hyperlink" Target="https://talan.bank.gov.ua/get-user-certificate/45CEl2aU8SqPG2HPyBAZ" TargetMode="External"/><Relationship Id="rId3916" Type="http://schemas.openxmlformats.org/officeDocument/2006/relationships/hyperlink" Target="https://talan.bank.gov.ua/get-user-certificate/45CElD1S0RD_HqGEO6Lc" TargetMode="External"/><Relationship Id="rId837" Type="http://schemas.openxmlformats.org/officeDocument/2006/relationships/hyperlink" Target="https://talan.bank.gov.ua/get-user-certificate/45CElhi9SnSuWuhWLPOU" TargetMode="External"/><Relationship Id="rId1467" Type="http://schemas.openxmlformats.org/officeDocument/2006/relationships/hyperlink" Target="https://talan.bank.gov.ua/get-user-certificate/45CElSIXKP3Uh0XUWDkM" TargetMode="External"/><Relationship Id="rId1881" Type="http://schemas.openxmlformats.org/officeDocument/2006/relationships/hyperlink" Target="https://talan.bank.gov.ua/get-user-certificate/45CEl_-yIVd3o3t8RU3Q" TargetMode="External"/><Relationship Id="rId2518" Type="http://schemas.openxmlformats.org/officeDocument/2006/relationships/hyperlink" Target="https://talan.bank.gov.ua/get-user-certificate/45CElCaTn2FXCn7Nt3r_" TargetMode="External"/><Relationship Id="rId2932" Type="http://schemas.openxmlformats.org/officeDocument/2006/relationships/hyperlink" Target="https://talan.bank.gov.ua/get-user-certificate/45CElbyu8biEJHbsQAV6" TargetMode="External"/><Relationship Id="rId904" Type="http://schemas.openxmlformats.org/officeDocument/2006/relationships/hyperlink" Target="https://talan.bank.gov.ua/get-user-certificate/45CElXTSgnjuuyNjNZxE" TargetMode="External"/><Relationship Id="rId1534" Type="http://schemas.openxmlformats.org/officeDocument/2006/relationships/hyperlink" Target="https://talan.bank.gov.ua/get-user-certificate/45CEljjJVHYlbU-7aFe4" TargetMode="External"/><Relationship Id="rId1601" Type="http://schemas.openxmlformats.org/officeDocument/2006/relationships/hyperlink" Target="https://talan.bank.gov.ua/get-user-certificate/45CElNMeHjDc3fIetE29" TargetMode="External"/><Relationship Id="rId4757" Type="http://schemas.openxmlformats.org/officeDocument/2006/relationships/hyperlink" Target="https://talan.bank.gov.ua/get-user-certificate/45CEl7zGX2xNtpYBN3yK" TargetMode="External"/><Relationship Id="rId3359" Type="http://schemas.openxmlformats.org/officeDocument/2006/relationships/hyperlink" Target="https://talan.bank.gov.ua/get-user-certificate/45CElSI9QicYurGoDvMY" TargetMode="External"/><Relationship Id="rId694" Type="http://schemas.openxmlformats.org/officeDocument/2006/relationships/hyperlink" Target="https://talan.bank.gov.ua/get-user-certificate/45CElPcTdhbH4slTzmxo" TargetMode="External"/><Relationship Id="rId2375" Type="http://schemas.openxmlformats.org/officeDocument/2006/relationships/hyperlink" Target="https://talan.bank.gov.ua/get-user-certificate/45CEln6247NyePYqnrUe" TargetMode="External"/><Relationship Id="rId3773" Type="http://schemas.openxmlformats.org/officeDocument/2006/relationships/hyperlink" Target="https://talan.bank.gov.ua/get-user-certificate/45CElMd51Z3cl0PlIb5i" TargetMode="External"/><Relationship Id="rId4824" Type="http://schemas.openxmlformats.org/officeDocument/2006/relationships/hyperlink" Target="https://talan.bank.gov.ua/get-user-certificate/45CEllhgEm3OL4BrDU83" TargetMode="External"/><Relationship Id="rId347" Type="http://schemas.openxmlformats.org/officeDocument/2006/relationships/hyperlink" Target="https://talan.bank.gov.ua/get-user-certificate/45CElX2cawisgb8kH581" TargetMode="External"/><Relationship Id="rId2028" Type="http://schemas.openxmlformats.org/officeDocument/2006/relationships/hyperlink" Target="https://talan.bank.gov.ua/get-user-certificate/45CElWtO_qbrGjb6e3r3" TargetMode="External"/><Relationship Id="rId3426" Type="http://schemas.openxmlformats.org/officeDocument/2006/relationships/hyperlink" Target="https://talan.bank.gov.ua/get-user-certificate/45CElDPmZYpsU24UN5Pn" TargetMode="External"/><Relationship Id="rId3840" Type="http://schemas.openxmlformats.org/officeDocument/2006/relationships/hyperlink" Target="https://talan.bank.gov.ua/get-user-certificate/45CElSfLrpa47103Dl2P" TargetMode="External"/><Relationship Id="rId761" Type="http://schemas.openxmlformats.org/officeDocument/2006/relationships/hyperlink" Target="https://talan.bank.gov.ua/get-user-certificate/45CEljgVSkVlQKdJ5N4q" TargetMode="External"/><Relationship Id="rId1391" Type="http://schemas.openxmlformats.org/officeDocument/2006/relationships/hyperlink" Target="https://talan.bank.gov.ua/get-user-certificate/45CElcFomwAUOlcG8eqo" TargetMode="External"/><Relationship Id="rId2442" Type="http://schemas.openxmlformats.org/officeDocument/2006/relationships/hyperlink" Target="https://talan.bank.gov.ua/get-user-certificate/45CElVjV8qeHP4NPPx4x" TargetMode="External"/><Relationship Id="rId414" Type="http://schemas.openxmlformats.org/officeDocument/2006/relationships/hyperlink" Target="https://talan.bank.gov.ua/get-user-certificate/45CEldbOxrTFfXTHNMLP" TargetMode="External"/><Relationship Id="rId1044" Type="http://schemas.openxmlformats.org/officeDocument/2006/relationships/hyperlink" Target="https://talan.bank.gov.ua/get-user-certificate/45CElHUBKRA5B3vcsjmd" TargetMode="External"/><Relationship Id="rId1111" Type="http://schemas.openxmlformats.org/officeDocument/2006/relationships/hyperlink" Target="https://talan.bank.gov.ua/get-user-certificate/45CElhlLxeVaw943WApm" TargetMode="External"/><Relationship Id="rId4267" Type="http://schemas.openxmlformats.org/officeDocument/2006/relationships/hyperlink" Target="https://talan.bank.gov.ua/get-user-certificate/45CElm4LNXuI6vu-hJuD" TargetMode="External"/><Relationship Id="rId4681" Type="http://schemas.openxmlformats.org/officeDocument/2006/relationships/hyperlink" Target="https://talan.bank.gov.ua/get-user-certificate/45CElYqfQSM-0fq56Tyw" TargetMode="External"/><Relationship Id="rId3283" Type="http://schemas.openxmlformats.org/officeDocument/2006/relationships/hyperlink" Target="https://talan.bank.gov.ua/get-user-certificate/45CElxk--jrL4wrkve8g" TargetMode="External"/><Relationship Id="rId4334" Type="http://schemas.openxmlformats.org/officeDocument/2006/relationships/hyperlink" Target="https://talan.bank.gov.ua/get-user-certificate/45CElItgqooqyb61yfNn" TargetMode="External"/><Relationship Id="rId1928" Type="http://schemas.openxmlformats.org/officeDocument/2006/relationships/hyperlink" Target="https://talan.bank.gov.ua/get-user-certificate/45CElkgTt_TkmgUGXZEC" TargetMode="External"/><Relationship Id="rId3350" Type="http://schemas.openxmlformats.org/officeDocument/2006/relationships/hyperlink" Target="https://talan.bank.gov.ua/get-user-certificate/45CEl8ENFv0rW1lmM_DK" TargetMode="External"/><Relationship Id="rId271" Type="http://schemas.openxmlformats.org/officeDocument/2006/relationships/hyperlink" Target="https://talan.bank.gov.ua/get-user-certificate/45CElw4ITVzUFbrTiC5w" TargetMode="External"/><Relationship Id="rId3003" Type="http://schemas.openxmlformats.org/officeDocument/2006/relationships/hyperlink" Target="https://talan.bank.gov.ua/get-user-certificate/45CEl0dFMrfEV7WUHX9W" TargetMode="External"/><Relationship Id="rId4401" Type="http://schemas.openxmlformats.org/officeDocument/2006/relationships/hyperlink" Target="https://talan.bank.gov.ua/get-user-certificate/45CEldRwDioGiR6eveaL" TargetMode="External"/><Relationship Id="rId2769" Type="http://schemas.openxmlformats.org/officeDocument/2006/relationships/hyperlink" Target="https://talan.bank.gov.ua/get-user-certificate/45CEl2ZiCRHqiSOPnQQ7" TargetMode="External"/><Relationship Id="rId1785" Type="http://schemas.openxmlformats.org/officeDocument/2006/relationships/hyperlink" Target="https://talan.bank.gov.ua/get-user-certificate/45CEl5GqO4cO4dOz36Eb" TargetMode="External"/><Relationship Id="rId2836" Type="http://schemas.openxmlformats.org/officeDocument/2006/relationships/hyperlink" Target="https://talan.bank.gov.ua/get-user-certificate/45CElA_fqElKE_y0eHP9" TargetMode="External"/><Relationship Id="rId4191" Type="http://schemas.openxmlformats.org/officeDocument/2006/relationships/hyperlink" Target="https://talan.bank.gov.ua/get-user-certificate/45CElbSqChvGE6D3aBP2" TargetMode="External"/><Relationship Id="rId77" Type="http://schemas.openxmlformats.org/officeDocument/2006/relationships/hyperlink" Target="https://talan.bank.gov.ua/get-user-certificate/45CElXP_0SPREgA5r5L-" TargetMode="External"/><Relationship Id="rId808" Type="http://schemas.openxmlformats.org/officeDocument/2006/relationships/hyperlink" Target="https://talan.bank.gov.ua/get-user-certificate/45CElidn5MRujqeQLLX8" TargetMode="External"/><Relationship Id="rId1438" Type="http://schemas.openxmlformats.org/officeDocument/2006/relationships/hyperlink" Target="https://talan.bank.gov.ua/get-user-certificate/45CElvudrceJLfucaOaW" TargetMode="External"/><Relationship Id="rId1852" Type="http://schemas.openxmlformats.org/officeDocument/2006/relationships/hyperlink" Target="https://talan.bank.gov.ua/get-user-certificate/45CEl698ivVo98XcAOel" TargetMode="External"/><Relationship Id="rId2903" Type="http://schemas.openxmlformats.org/officeDocument/2006/relationships/hyperlink" Target="https://talan.bank.gov.ua/get-user-certificate/45CElLu7h0-ohelfjI93" TargetMode="External"/><Relationship Id="rId1505" Type="http://schemas.openxmlformats.org/officeDocument/2006/relationships/hyperlink" Target="https://talan.bank.gov.ua/get-user-certificate/45CElTe5Xo2oI8LtXsw1" TargetMode="External"/><Relationship Id="rId3677" Type="http://schemas.openxmlformats.org/officeDocument/2006/relationships/hyperlink" Target="https://talan.bank.gov.ua/get-user-certificate/45CElPvtHrQ7roytcMDx" TargetMode="External"/><Relationship Id="rId4728" Type="http://schemas.openxmlformats.org/officeDocument/2006/relationships/hyperlink" Target="https://talan.bank.gov.ua/get-user-certificate/45CElyObMks3th8Ush_T" TargetMode="External"/><Relationship Id="rId598" Type="http://schemas.openxmlformats.org/officeDocument/2006/relationships/hyperlink" Target="https://talan.bank.gov.ua/get-user-certificate/45CElYWAPDjC0Kh1wSEr" TargetMode="External"/><Relationship Id="rId2279" Type="http://schemas.openxmlformats.org/officeDocument/2006/relationships/hyperlink" Target="https://talan.bank.gov.ua/get-user-certificate/45CElXJ9irWSPQCpy_vE" TargetMode="External"/><Relationship Id="rId2693" Type="http://schemas.openxmlformats.org/officeDocument/2006/relationships/hyperlink" Target="https://talan.bank.gov.ua/get-user-certificate/45CEl2xIIF_pMe461vAJ" TargetMode="External"/><Relationship Id="rId3744" Type="http://schemas.openxmlformats.org/officeDocument/2006/relationships/hyperlink" Target="https://talan.bank.gov.ua/get-user-certificate/45CEli7p9LIQPqaGq4cs" TargetMode="External"/><Relationship Id="rId665" Type="http://schemas.openxmlformats.org/officeDocument/2006/relationships/hyperlink" Target="https://talan.bank.gov.ua/get-user-certificate/45CElDH7oYnxEBxEVTul" TargetMode="External"/><Relationship Id="rId1295" Type="http://schemas.openxmlformats.org/officeDocument/2006/relationships/hyperlink" Target="https://talan.bank.gov.ua/get-user-certificate/45CEl7KcIGDImovYkjXh" TargetMode="External"/><Relationship Id="rId2346" Type="http://schemas.openxmlformats.org/officeDocument/2006/relationships/hyperlink" Target="https://talan.bank.gov.ua/get-user-certificate/45CElR07NB2lmNGP1xHb" TargetMode="External"/><Relationship Id="rId2760" Type="http://schemas.openxmlformats.org/officeDocument/2006/relationships/hyperlink" Target="https://talan.bank.gov.ua/get-user-certificate/45CElra_4BDKmjqQtAhi" TargetMode="External"/><Relationship Id="rId3811" Type="http://schemas.openxmlformats.org/officeDocument/2006/relationships/hyperlink" Target="https://talan.bank.gov.ua/get-user-certificate/45CEl6BAEYkJEgbLms94" TargetMode="External"/><Relationship Id="rId318" Type="http://schemas.openxmlformats.org/officeDocument/2006/relationships/hyperlink" Target="https://talan.bank.gov.ua/get-user-certificate/45CElTLpRWX88h83OGNS" TargetMode="External"/><Relationship Id="rId732" Type="http://schemas.openxmlformats.org/officeDocument/2006/relationships/hyperlink" Target="https://talan.bank.gov.ua/get-user-certificate/45CElmg76cBQK0H2cx4U" TargetMode="External"/><Relationship Id="rId1362" Type="http://schemas.openxmlformats.org/officeDocument/2006/relationships/hyperlink" Target="https://talan.bank.gov.ua/get-user-certificate/45CElCrpZQrlRGOaqkDE" TargetMode="External"/><Relationship Id="rId2413" Type="http://schemas.openxmlformats.org/officeDocument/2006/relationships/hyperlink" Target="https://talan.bank.gov.ua/get-user-certificate/45CElz5AJEl2bKizsqNq" TargetMode="External"/><Relationship Id="rId1015" Type="http://schemas.openxmlformats.org/officeDocument/2006/relationships/hyperlink" Target="https://talan.bank.gov.ua/get-user-certificate/45CEl_yN9QZ_tyZEuBQx" TargetMode="External"/><Relationship Id="rId4585" Type="http://schemas.openxmlformats.org/officeDocument/2006/relationships/hyperlink" Target="https://talan.bank.gov.ua/get-user-certificate/45CElbwdXg55FA6YCevs" TargetMode="External"/><Relationship Id="rId3187" Type="http://schemas.openxmlformats.org/officeDocument/2006/relationships/hyperlink" Target="https://talan.bank.gov.ua/get-user-certificate/45CElgfl99P8Tzpc6eVi" TargetMode="External"/><Relationship Id="rId4238" Type="http://schemas.openxmlformats.org/officeDocument/2006/relationships/hyperlink" Target="https://talan.bank.gov.ua/get-user-certificate/45CEl8jKTQAA6kEqFlCK" TargetMode="External"/><Relationship Id="rId4652" Type="http://schemas.openxmlformats.org/officeDocument/2006/relationships/hyperlink" Target="https://talan.bank.gov.ua/get-user-certificate/45CElCznlWoSIcpsXJr3" TargetMode="External"/><Relationship Id="rId175" Type="http://schemas.openxmlformats.org/officeDocument/2006/relationships/hyperlink" Target="https://talan.bank.gov.ua/get-user-certificate/45CEl6IaS8XLPdzg-eT4" TargetMode="External"/><Relationship Id="rId3254" Type="http://schemas.openxmlformats.org/officeDocument/2006/relationships/hyperlink" Target="https://talan.bank.gov.ua/get-user-certificate/45CEldlDHcyREKqR0S7T" TargetMode="External"/><Relationship Id="rId4305" Type="http://schemas.openxmlformats.org/officeDocument/2006/relationships/hyperlink" Target="https://talan.bank.gov.ua/get-user-certificate/45CElqOMaqqz9vKWXdlw" TargetMode="External"/><Relationship Id="rId2270" Type="http://schemas.openxmlformats.org/officeDocument/2006/relationships/hyperlink" Target="https://talan.bank.gov.ua/get-user-certificate/45CElrBMNmQOV9gDUxaL" TargetMode="External"/><Relationship Id="rId3321" Type="http://schemas.openxmlformats.org/officeDocument/2006/relationships/hyperlink" Target="https://talan.bank.gov.ua/get-user-certificate/45CElUAVQ_6RhGa5jLrS" TargetMode="External"/><Relationship Id="rId242" Type="http://schemas.openxmlformats.org/officeDocument/2006/relationships/hyperlink" Target="https://talan.bank.gov.ua/get-user-certificate/45CElrsGnO_2aqyYszwj" TargetMode="External"/><Relationship Id="rId1689" Type="http://schemas.openxmlformats.org/officeDocument/2006/relationships/hyperlink" Target="https://talan.bank.gov.ua/get-user-certificate/45CEliIh62vhAiR1xzvP" TargetMode="External"/><Relationship Id="rId4095" Type="http://schemas.openxmlformats.org/officeDocument/2006/relationships/hyperlink" Target="https://talan.bank.gov.ua/get-user-certificate/45CElYuEoI9SI-AX1k7a" TargetMode="External"/><Relationship Id="rId4162" Type="http://schemas.openxmlformats.org/officeDocument/2006/relationships/hyperlink" Target="https://talan.bank.gov.ua/get-user-certificate/45CElZYW6gGFcAwM9-Ta" TargetMode="External"/><Relationship Id="rId1756" Type="http://schemas.openxmlformats.org/officeDocument/2006/relationships/hyperlink" Target="https://talan.bank.gov.ua/get-user-certificate/45CElHt82IKPFI5MJdjY" TargetMode="External"/><Relationship Id="rId2807" Type="http://schemas.openxmlformats.org/officeDocument/2006/relationships/hyperlink" Target="https://talan.bank.gov.ua/get-user-certificate/45CElVri4i5POSlsrQeX" TargetMode="External"/><Relationship Id="rId48" Type="http://schemas.openxmlformats.org/officeDocument/2006/relationships/hyperlink" Target="https://talan.bank.gov.ua/get-user-certificate/45CEloh8jpBA3DhpW7l2" TargetMode="External"/><Relationship Id="rId1409" Type="http://schemas.openxmlformats.org/officeDocument/2006/relationships/hyperlink" Target="https://talan.bank.gov.ua/get-user-certificate/45CElsUEC-Z7YMeEjG2I" TargetMode="External"/><Relationship Id="rId1823" Type="http://schemas.openxmlformats.org/officeDocument/2006/relationships/hyperlink" Target="https://talan.bank.gov.ua/get-user-certificate/45CElh4od6_dG7Xef5fy" TargetMode="External"/><Relationship Id="rId4979" Type="http://schemas.openxmlformats.org/officeDocument/2006/relationships/hyperlink" Target="https://talan.bank.gov.ua/get-user-certificate/45CElZKxtp4T-lNB1DNe" TargetMode="External"/><Relationship Id="rId3995" Type="http://schemas.openxmlformats.org/officeDocument/2006/relationships/hyperlink" Target="https://talan.bank.gov.ua/get-user-certificate/45CElNpNfN9xcHBsx7jZ" TargetMode="External"/><Relationship Id="rId2597" Type="http://schemas.openxmlformats.org/officeDocument/2006/relationships/hyperlink" Target="https://talan.bank.gov.ua/get-user-certificate/45CElnplxFj5ydqLPtnG" TargetMode="External"/><Relationship Id="rId3648" Type="http://schemas.openxmlformats.org/officeDocument/2006/relationships/hyperlink" Target="https://talan.bank.gov.ua/get-user-certificate/45CEl65m1vYEQgkrDpGz" TargetMode="External"/><Relationship Id="rId3855" Type="http://schemas.openxmlformats.org/officeDocument/2006/relationships/hyperlink" Target="https://talan.bank.gov.ua/get-user-certificate/45CElCtuzYZx7HvuwuX-" TargetMode="External"/><Relationship Id="rId569" Type="http://schemas.openxmlformats.org/officeDocument/2006/relationships/hyperlink" Target="https://talan.bank.gov.ua/get-user-certificate/45CElimo99JO3bd3NWQP" TargetMode="External"/><Relationship Id="rId776" Type="http://schemas.openxmlformats.org/officeDocument/2006/relationships/hyperlink" Target="https://talan.bank.gov.ua/get-user-certificate/45CElETKFHEmO9umsYvG" TargetMode="External"/><Relationship Id="rId983" Type="http://schemas.openxmlformats.org/officeDocument/2006/relationships/hyperlink" Target="https://talan.bank.gov.ua/get-user-certificate/45CElct9G_gAgEV8LqH4" TargetMode="External"/><Relationship Id="rId1199" Type="http://schemas.openxmlformats.org/officeDocument/2006/relationships/hyperlink" Target="https://talan.bank.gov.ua/get-user-certificate/45CElE_ljkqNgWdfw6RD" TargetMode="External"/><Relationship Id="rId2457" Type="http://schemas.openxmlformats.org/officeDocument/2006/relationships/hyperlink" Target="https://talan.bank.gov.ua/get-user-certificate/45CElEHbJqUGN5ALZzOT" TargetMode="External"/><Relationship Id="rId2664" Type="http://schemas.openxmlformats.org/officeDocument/2006/relationships/hyperlink" Target="https://talan.bank.gov.ua/get-user-certificate/45CEljnZVltQ4xqpltYA" TargetMode="External"/><Relationship Id="rId3508" Type="http://schemas.openxmlformats.org/officeDocument/2006/relationships/hyperlink" Target="https://talan.bank.gov.ua/get-user-certificate/45CElPaPQzxvD0QIeBqO" TargetMode="External"/><Relationship Id="rId4906" Type="http://schemas.openxmlformats.org/officeDocument/2006/relationships/hyperlink" Target="https://talan.bank.gov.ua/get-user-certificate/45CElkONmdJN2X9Q4rsx" TargetMode="External"/><Relationship Id="rId429" Type="http://schemas.openxmlformats.org/officeDocument/2006/relationships/hyperlink" Target="https://talan.bank.gov.ua/get-user-certificate/45CElFbeT1yPUl9H8Xi7" TargetMode="External"/><Relationship Id="rId636" Type="http://schemas.openxmlformats.org/officeDocument/2006/relationships/hyperlink" Target="https://talan.bank.gov.ua/get-user-certificate/45CElkDFB_oJv2vy_z80" TargetMode="External"/><Relationship Id="rId1059" Type="http://schemas.openxmlformats.org/officeDocument/2006/relationships/hyperlink" Target="https://talan.bank.gov.ua/get-user-certificate/45CElQxdUoV1zGqr-_wv" TargetMode="External"/><Relationship Id="rId1266" Type="http://schemas.openxmlformats.org/officeDocument/2006/relationships/hyperlink" Target="https://talan.bank.gov.ua/get-user-certificate/45CElqsyTW_uHLAbQKzH" TargetMode="External"/><Relationship Id="rId1473" Type="http://schemas.openxmlformats.org/officeDocument/2006/relationships/hyperlink" Target="https://talan.bank.gov.ua/get-user-certificate/45CElFle0rwlXlgd2hGk" TargetMode="External"/><Relationship Id="rId2317" Type="http://schemas.openxmlformats.org/officeDocument/2006/relationships/hyperlink" Target="https://talan.bank.gov.ua/get-user-certificate/45CElRNt5ToMAY6b8jbb" TargetMode="External"/><Relationship Id="rId2871" Type="http://schemas.openxmlformats.org/officeDocument/2006/relationships/hyperlink" Target="https://talan.bank.gov.ua/get-user-certificate/45CElNw-jjN8mSN56YAh" TargetMode="External"/><Relationship Id="rId3715" Type="http://schemas.openxmlformats.org/officeDocument/2006/relationships/hyperlink" Target="https://talan.bank.gov.ua/get-user-certificate/45CEl8zANID9zYWYzp1t" TargetMode="External"/><Relationship Id="rId3922" Type="http://schemas.openxmlformats.org/officeDocument/2006/relationships/hyperlink" Target="https://talan.bank.gov.ua/get-user-certificate/45CEljlQw3gFZ3wUHrSS" TargetMode="External"/><Relationship Id="rId843" Type="http://schemas.openxmlformats.org/officeDocument/2006/relationships/hyperlink" Target="https://talan.bank.gov.ua/get-user-certificate/45CElwOfsY2e5TFADlem" TargetMode="External"/><Relationship Id="rId1126" Type="http://schemas.openxmlformats.org/officeDocument/2006/relationships/hyperlink" Target="https://talan.bank.gov.ua/get-user-certificate/45CEljMzDBNquUl54toB" TargetMode="External"/><Relationship Id="rId1680" Type="http://schemas.openxmlformats.org/officeDocument/2006/relationships/hyperlink" Target="https://talan.bank.gov.ua/get-user-certificate/45CEluGE_x26B2mTbHVp" TargetMode="External"/><Relationship Id="rId2524" Type="http://schemas.openxmlformats.org/officeDocument/2006/relationships/hyperlink" Target="https://talan.bank.gov.ua/get-user-certificate/45CEljF4uMlpSNof1PBP" TargetMode="External"/><Relationship Id="rId2731" Type="http://schemas.openxmlformats.org/officeDocument/2006/relationships/hyperlink" Target="https://talan.bank.gov.ua/get-user-certificate/45CEly8ORqICePVKFf6P" TargetMode="External"/><Relationship Id="rId703" Type="http://schemas.openxmlformats.org/officeDocument/2006/relationships/hyperlink" Target="https://talan.bank.gov.ua/get-user-certificate/45CEl24IUN1yEQKJNfYP" TargetMode="External"/><Relationship Id="rId910" Type="http://schemas.openxmlformats.org/officeDocument/2006/relationships/hyperlink" Target="https://talan.bank.gov.ua/get-user-certificate/45CElknWHqgQ7YbNBljA" TargetMode="External"/><Relationship Id="rId1333" Type="http://schemas.openxmlformats.org/officeDocument/2006/relationships/hyperlink" Target="https://talan.bank.gov.ua/get-user-certificate/45CElYf6RejpwCKDaUOY" TargetMode="External"/><Relationship Id="rId1540" Type="http://schemas.openxmlformats.org/officeDocument/2006/relationships/hyperlink" Target="https://talan.bank.gov.ua/get-user-certificate/45CEl1MDb2eJn6AzFbkM" TargetMode="External"/><Relationship Id="rId4489" Type="http://schemas.openxmlformats.org/officeDocument/2006/relationships/hyperlink" Target="https://talan.bank.gov.ua/get-user-certificate/45CElBZdgpBWM3cCDk-f" TargetMode="External"/><Relationship Id="rId4696" Type="http://schemas.openxmlformats.org/officeDocument/2006/relationships/hyperlink" Target="https://talan.bank.gov.ua/get-user-certificate/45CElWup_vXRf59l4dIr" TargetMode="External"/><Relationship Id="rId1400" Type="http://schemas.openxmlformats.org/officeDocument/2006/relationships/hyperlink" Target="https://talan.bank.gov.ua/get-user-certificate/45CElavlVk4YufjKSVYZ" TargetMode="External"/><Relationship Id="rId3298" Type="http://schemas.openxmlformats.org/officeDocument/2006/relationships/hyperlink" Target="https://talan.bank.gov.ua/get-user-certificate/45CEl0YvjEDXIrUUF45W" TargetMode="External"/><Relationship Id="rId4349" Type="http://schemas.openxmlformats.org/officeDocument/2006/relationships/hyperlink" Target="https://talan.bank.gov.ua/get-user-certificate/45CElzNVRAavIuDpu74c" TargetMode="External"/><Relationship Id="rId4556" Type="http://schemas.openxmlformats.org/officeDocument/2006/relationships/hyperlink" Target="https://talan.bank.gov.ua/get-user-certificate/45CElQY1cx4bsoKt7UxA" TargetMode="External"/><Relationship Id="rId4763" Type="http://schemas.openxmlformats.org/officeDocument/2006/relationships/hyperlink" Target="https://talan.bank.gov.ua/get-user-certificate/45CElH9soyUInOw6dZms" TargetMode="External"/><Relationship Id="rId4970" Type="http://schemas.openxmlformats.org/officeDocument/2006/relationships/hyperlink" Target="https://talan.bank.gov.ua/get-user-certificate/45CEldrd1uehiOx_FKfC" TargetMode="External"/><Relationship Id="rId3158" Type="http://schemas.openxmlformats.org/officeDocument/2006/relationships/hyperlink" Target="https://talan.bank.gov.ua/get-user-certificate/45CElUiM07BLJOjo5au2" TargetMode="External"/><Relationship Id="rId3365" Type="http://schemas.openxmlformats.org/officeDocument/2006/relationships/hyperlink" Target="https://talan.bank.gov.ua/get-user-certificate/45CElSVKaDfcBDRYRPgq" TargetMode="External"/><Relationship Id="rId3572" Type="http://schemas.openxmlformats.org/officeDocument/2006/relationships/hyperlink" Target="https://talan.bank.gov.ua/get-user-certificate/45CElcjUXLvHjiSMFhjR" TargetMode="External"/><Relationship Id="rId4209" Type="http://schemas.openxmlformats.org/officeDocument/2006/relationships/hyperlink" Target="https://talan.bank.gov.ua/get-user-certificate/45CEllx1B8l_Gd_Gspz5" TargetMode="External"/><Relationship Id="rId4416" Type="http://schemas.openxmlformats.org/officeDocument/2006/relationships/hyperlink" Target="https://talan.bank.gov.ua/get-user-certificate/45CEl_pKlM9gqTrL8wlh" TargetMode="External"/><Relationship Id="rId4623" Type="http://schemas.openxmlformats.org/officeDocument/2006/relationships/hyperlink" Target="https://talan.bank.gov.ua/get-user-certificate/45CElTSi8tLL67P3zmnI" TargetMode="External"/><Relationship Id="rId4830" Type="http://schemas.openxmlformats.org/officeDocument/2006/relationships/hyperlink" Target="https://talan.bank.gov.ua/get-user-certificate/45CEl9oZz5Zoxkp48nzK" TargetMode="External"/><Relationship Id="rId286" Type="http://schemas.openxmlformats.org/officeDocument/2006/relationships/hyperlink" Target="https://talan.bank.gov.ua/get-user-certificate/45CElml58_9N5-Mx3vGN" TargetMode="External"/><Relationship Id="rId493" Type="http://schemas.openxmlformats.org/officeDocument/2006/relationships/hyperlink" Target="https://talan.bank.gov.ua/get-user-certificate/45CElK3EvfSwWicyDzXb" TargetMode="External"/><Relationship Id="rId2174" Type="http://schemas.openxmlformats.org/officeDocument/2006/relationships/hyperlink" Target="https://talan.bank.gov.ua/get-user-certificate/45CElqTL6bWTVZfrZ0aP" TargetMode="External"/><Relationship Id="rId2381" Type="http://schemas.openxmlformats.org/officeDocument/2006/relationships/hyperlink" Target="https://talan.bank.gov.ua/get-user-certificate/45CElMyJsPw8EFNJ3Awy" TargetMode="External"/><Relationship Id="rId3018" Type="http://schemas.openxmlformats.org/officeDocument/2006/relationships/hyperlink" Target="https://talan.bank.gov.ua/get-user-certificate/45CEl6lpjPY7I2fvclLB" TargetMode="External"/><Relationship Id="rId3225" Type="http://schemas.openxmlformats.org/officeDocument/2006/relationships/hyperlink" Target="https://talan.bank.gov.ua/get-user-certificate/45CEl8tnj2xQU4OvlQAE" TargetMode="External"/><Relationship Id="rId3432" Type="http://schemas.openxmlformats.org/officeDocument/2006/relationships/hyperlink" Target="https://talan.bank.gov.ua/get-user-certificate/45CEl4mlASU1NtF8F8-4" TargetMode="External"/><Relationship Id="rId146" Type="http://schemas.openxmlformats.org/officeDocument/2006/relationships/hyperlink" Target="https://talan.bank.gov.ua/get-user-certificate/45CElHDIhF1JWNLvnrtE" TargetMode="External"/><Relationship Id="rId353" Type="http://schemas.openxmlformats.org/officeDocument/2006/relationships/hyperlink" Target="https://talan.bank.gov.ua/get-user-certificate/45CElRE72753EoxQqF2A" TargetMode="External"/><Relationship Id="rId560" Type="http://schemas.openxmlformats.org/officeDocument/2006/relationships/hyperlink" Target="https://talan.bank.gov.ua/get-user-certificate/45CElTVb3aVQ4ez3-vUr" TargetMode="External"/><Relationship Id="rId1190" Type="http://schemas.openxmlformats.org/officeDocument/2006/relationships/hyperlink" Target="https://talan.bank.gov.ua/get-user-certificate/45CEljpmandwIiAv6zHx" TargetMode="External"/><Relationship Id="rId2034" Type="http://schemas.openxmlformats.org/officeDocument/2006/relationships/hyperlink" Target="https://talan.bank.gov.ua/get-user-certificate/45CElXqHVQ-jvLO9yMC2" TargetMode="External"/><Relationship Id="rId2241" Type="http://schemas.openxmlformats.org/officeDocument/2006/relationships/hyperlink" Target="https://talan.bank.gov.ua/get-user-certificate/45CEl7mGyDADAAhR8Nfn" TargetMode="External"/><Relationship Id="rId213" Type="http://schemas.openxmlformats.org/officeDocument/2006/relationships/hyperlink" Target="https://talan.bank.gov.ua/get-user-certificate/45CEld0SoiIXUP1YSluW" TargetMode="External"/><Relationship Id="rId420" Type="http://schemas.openxmlformats.org/officeDocument/2006/relationships/hyperlink" Target="https://talan.bank.gov.ua/get-user-certificate/45CEl-yc7HtZatWgOuXR" TargetMode="External"/><Relationship Id="rId1050" Type="http://schemas.openxmlformats.org/officeDocument/2006/relationships/hyperlink" Target="https://talan.bank.gov.ua/get-user-certificate/45CElFHiHFhO1dafT2SS" TargetMode="External"/><Relationship Id="rId2101" Type="http://schemas.openxmlformats.org/officeDocument/2006/relationships/hyperlink" Target="https://talan.bank.gov.ua/get-user-certificate/45CElkWNrNztsYXt6lzS" TargetMode="External"/><Relationship Id="rId4066" Type="http://schemas.openxmlformats.org/officeDocument/2006/relationships/hyperlink" Target="https://talan.bank.gov.ua/get-user-certificate/45CElG3iyFUk8LMpHyps" TargetMode="External"/><Relationship Id="rId1867" Type="http://schemas.openxmlformats.org/officeDocument/2006/relationships/hyperlink" Target="https://talan.bank.gov.ua/get-user-certificate/45CElvnmEmnaI9YsFPWE" TargetMode="External"/><Relationship Id="rId2918" Type="http://schemas.openxmlformats.org/officeDocument/2006/relationships/hyperlink" Target="https://talan.bank.gov.ua/get-user-certificate/45CElKE20sLP9p9Law_L" TargetMode="External"/><Relationship Id="rId4273" Type="http://schemas.openxmlformats.org/officeDocument/2006/relationships/hyperlink" Target="https://talan.bank.gov.ua/get-user-certificate/45CEl9dtIoXF-paevbGJ" TargetMode="External"/><Relationship Id="rId4480" Type="http://schemas.openxmlformats.org/officeDocument/2006/relationships/hyperlink" Target="https://talan.bank.gov.ua/get-user-certificate/45CElT2dGzfwhoK9Dn5K" TargetMode="External"/><Relationship Id="rId1727" Type="http://schemas.openxmlformats.org/officeDocument/2006/relationships/hyperlink" Target="https://talan.bank.gov.ua/get-user-certificate/45CElQ9Tmwm-a7LJYkur" TargetMode="External"/><Relationship Id="rId1934" Type="http://schemas.openxmlformats.org/officeDocument/2006/relationships/hyperlink" Target="https://talan.bank.gov.ua/get-user-certificate/45CElIMaRW9fGPiQfPOB" TargetMode="External"/><Relationship Id="rId3082" Type="http://schemas.openxmlformats.org/officeDocument/2006/relationships/hyperlink" Target="https://talan.bank.gov.ua/get-user-certificate/45CElHURjgMBSgL14zu8" TargetMode="External"/><Relationship Id="rId4133" Type="http://schemas.openxmlformats.org/officeDocument/2006/relationships/hyperlink" Target="https://talan.bank.gov.ua/get-user-certificate/45CEl0b1aDHDtGgNcBFJ" TargetMode="External"/><Relationship Id="rId4340" Type="http://schemas.openxmlformats.org/officeDocument/2006/relationships/hyperlink" Target="https://talan.bank.gov.ua/get-user-certificate/45CElbqaMT4lvDx2l69L" TargetMode="External"/><Relationship Id="rId19" Type="http://schemas.openxmlformats.org/officeDocument/2006/relationships/hyperlink" Target="https://talan.bank.gov.ua/get-user-certificate/45CElr88kIql4ipyfgqp" TargetMode="External"/><Relationship Id="rId3899" Type="http://schemas.openxmlformats.org/officeDocument/2006/relationships/hyperlink" Target="https://talan.bank.gov.ua/get-user-certificate/45CElhIvcm5PU7_QGfdF" TargetMode="External"/><Relationship Id="rId4200" Type="http://schemas.openxmlformats.org/officeDocument/2006/relationships/hyperlink" Target="https://talan.bank.gov.ua/get-user-certificate/45CEl11AAHokhmeH0keg" TargetMode="External"/><Relationship Id="rId3759" Type="http://schemas.openxmlformats.org/officeDocument/2006/relationships/hyperlink" Target="https://talan.bank.gov.ua/get-user-certificate/45CElf8rpsjuZUrxrCF7" TargetMode="External"/><Relationship Id="rId3966" Type="http://schemas.openxmlformats.org/officeDocument/2006/relationships/hyperlink" Target="https://talan.bank.gov.ua/get-user-certificate/45CElRFUuHkxt4Z0e-qJ" TargetMode="External"/><Relationship Id="rId3" Type="http://schemas.openxmlformats.org/officeDocument/2006/relationships/hyperlink" Target="https://talan.bank.gov.ua/get-user-certificate/45CElr675qUeEvDCL1q5" TargetMode="External"/><Relationship Id="rId887" Type="http://schemas.openxmlformats.org/officeDocument/2006/relationships/hyperlink" Target="https://talan.bank.gov.ua/get-user-certificate/45CEl64dr6sfvApl1jnu" TargetMode="External"/><Relationship Id="rId2568" Type="http://schemas.openxmlformats.org/officeDocument/2006/relationships/hyperlink" Target="https://talan.bank.gov.ua/get-user-certificate/45CEl6hzt5L6MsxKkPUR" TargetMode="External"/><Relationship Id="rId2775" Type="http://schemas.openxmlformats.org/officeDocument/2006/relationships/hyperlink" Target="https://talan.bank.gov.ua/get-user-certificate/45CElWQbHoJKmLtepkpL" TargetMode="External"/><Relationship Id="rId2982" Type="http://schemas.openxmlformats.org/officeDocument/2006/relationships/hyperlink" Target="https://talan.bank.gov.ua/get-user-certificate/45CEllFgNRXEU3l9UxCj" TargetMode="External"/><Relationship Id="rId3619" Type="http://schemas.openxmlformats.org/officeDocument/2006/relationships/hyperlink" Target="https://talan.bank.gov.ua/get-user-certificate/45CElsAsoGRnVor0GF-F" TargetMode="External"/><Relationship Id="rId3826" Type="http://schemas.openxmlformats.org/officeDocument/2006/relationships/hyperlink" Target="https://talan.bank.gov.ua/get-user-certificate/45CElC0hjuE6TonOrV-p" TargetMode="External"/><Relationship Id="rId747" Type="http://schemas.openxmlformats.org/officeDocument/2006/relationships/hyperlink" Target="https://talan.bank.gov.ua/get-user-certificate/45CEl2-5L8Q5aHYKDRvh" TargetMode="External"/><Relationship Id="rId954" Type="http://schemas.openxmlformats.org/officeDocument/2006/relationships/hyperlink" Target="https://talan.bank.gov.ua/get-user-certificate/45CElPugQgM_3HKZo7jz" TargetMode="External"/><Relationship Id="rId1377" Type="http://schemas.openxmlformats.org/officeDocument/2006/relationships/hyperlink" Target="https://talan.bank.gov.ua/get-user-certificate/45CEl3UU23yvaQe3r_f5" TargetMode="External"/><Relationship Id="rId1584" Type="http://schemas.openxmlformats.org/officeDocument/2006/relationships/hyperlink" Target="https://talan.bank.gov.ua/get-user-certificate/45CElT6YNxCcT_P0JyX0" TargetMode="External"/><Relationship Id="rId1791" Type="http://schemas.openxmlformats.org/officeDocument/2006/relationships/hyperlink" Target="https://talan.bank.gov.ua/get-user-certificate/45CEli8V9pJpxEvXjZ8r" TargetMode="External"/><Relationship Id="rId2428" Type="http://schemas.openxmlformats.org/officeDocument/2006/relationships/hyperlink" Target="https://talan.bank.gov.ua/get-user-certificate/45CElLWP9BcLVfAkj-lG" TargetMode="External"/><Relationship Id="rId2635" Type="http://schemas.openxmlformats.org/officeDocument/2006/relationships/hyperlink" Target="https://talan.bank.gov.ua/get-user-certificate/45CElQ0csuw-B4V08KQQ" TargetMode="External"/><Relationship Id="rId2842" Type="http://schemas.openxmlformats.org/officeDocument/2006/relationships/hyperlink" Target="https://talan.bank.gov.ua/get-user-certificate/45CEl9fvWb8X1FBA72Ab" TargetMode="External"/><Relationship Id="rId83" Type="http://schemas.openxmlformats.org/officeDocument/2006/relationships/hyperlink" Target="https://talan.bank.gov.ua/get-user-certificate/45CElogfvIkBMnPP_Cnd" TargetMode="External"/><Relationship Id="rId607" Type="http://schemas.openxmlformats.org/officeDocument/2006/relationships/hyperlink" Target="https://talan.bank.gov.ua/get-user-certificate/45CEl3uzsCWl67V-8B8p" TargetMode="External"/><Relationship Id="rId814" Type="http://schemas.openxmlformats.org/officeDocument/2006/relationships/hyperlink" Target="https://talan.bank.gov.ua/get-user-certificate/45CElDCsrMK6PZu16U2m" TargetMode="External"/><Relationship Id="rId1237" Type="http://schemas.openxmlformats.org/officeDocument/2006/relationships/hyperlink" Target="https://talan.bank.gov.ua/get-user-certificate/45CElmSUcBOLbwL_8dpD" TargetMode="External"/><Relationship Id="rId1444" Type="http://schemas.openxmlformats.org/officeDocument/2006/relationships/hyperlink" Target="https://talan.bank.gov.ua/get-user-certificate/45CElkxBsvEj8nnUmNXh" TargetMode="External"/><Relationship Id="rId1651" Type="http://schemas.openxmlformats.org/officeDocument/2006/relationships/hyperlink" Target="https://talan.bank.gov.ua/get-user-certificate/45CElMWJChBb0CyZYrwL" TargetMode="External"/><Relationship Id="rId2702" Type="http://schemas.openxmlformats.org/officeDocument/2006/relationships/hyperlink" Target="https://talan.bank.gov.ua/get-user-certificate/45CElgFDuaGXwIH0p48F" TargetMode="External"/><Relationship Id="rId1304" Type="http://schemas.openxmlformats.org/officeDocument/2006/relationships/hyperlink" Target="https://talan.bank.gov.ua/get-user-certificate/45CEl5qDu6V932F2ukhJ" TargetMode="External"/><Relationship Id="rId1511" Type="http://schemas.openxmlformats.org/officeDocument/2006/relationships/hyperlink" Target="https://talan.bank.gov.ua/get-user-certificate/45CElyFzSCltQ_lWiBrX" TargetMode="External"/><Relationship Id="rId4667" Type="http://schemas.openxmlformats.org/officeDocument/2006/relationships/hyperlink" Target="https://talan.bank.gov.ua/get-user-certificate/45CElqCsxHdZRloZ6tXR" TargetMode="External"/><Relationship Id="rId4874" Type="http://schemas.openxmlformats.org/officeDocument/2006/relationships/hyperlink" Target="https://talan.bank.gov.ua/get-user-certificate/45CEljDap_n6R7ouNBFv" TargetMode="External"/><Relationship Id="rId3269" Type="http://schemas.openxmlformats.org/officeDocument/2006/relationships/hyperlink" Target="https://talan.bank.gov.ua/get-user-certificate/45CEleIr3vias8rYSJYa" TargetMode="External"/><Relationship Id="rId3476" Type="http://schemas.openxmlformats.org/officeDocument/2006/relationships/hyperlink" Target="https://talan.bank.gov.ua/get-user-certificate/45CEl-HlCRAzak3ZZoww" TargetMode="External"/><Relationship Id="rId3683" Type="http://schemas.openxmlformats.org/officeDocument/2006/relationships/hyperlink" Target="https://talan.bank.gov.ua/get-user-certificate/45CElNOQZ-UQedPo9wOu" TargetMode="External"/><Relationship Id="rId4527" Type="http://schemas.openxmlformats.org/officeDocument/2006/relationships/hyperlink" Target="https://talan.bank.gov.ua/get-user-certificate/45CElMLsRstX5Exijzkh" TargetMode="External"/><Relationship Id="rId10" Type="http://schemas.openxmlformats.org/officeDocument/2006/relationships/hyperlink" Target="https://talan.bank.gov.ua/get-user-certificate/45CEl5QZ3Nv1OqvRMce7" TargetMode="External"/><Relationship Id="rId397" Type="http://schemas.openxmlformats.org/officeDocument/2006/relationships/hyperlink" Target="https://talan.bank.gov.ua/get-user-certificate/45CEl5DRr9qa6T38RW02" TargetMode="External"/><Relationship Id="rId2078" Type="http://schemas.openxmlformats.org/officeDocument/2006/relationships/hyperlink" Target="https://talan.bank.gov.ua/get-user-certificate/45CElG14iyZy54ZGdvd0" TargetMode="External"/><Relationship Id="rId2285" Type="http://schemas.openxmlformats.org/officeDocument/2006/relationships/hyperlink" Target="https://talan.bank.gov.ua/get-user-certificate/45CElVKLXJgoJ2c7iNso" TargetMode="External"/><Relationship Id="rId2492" Type="http://schemas.openxmlformats.org/officeDocument/2006/relationships/hyperlink" Target="https://talan.bank.gov.ua/get-user-certificate/45CElatxP42JC44G0H0L" TargetMode="External"/><Relationship Id="rId3129" Type="http://schemas.openxmlformats.org/officeDocument/2006/relationships/hyperlink" Target="https://talan.bank.gov.ua/get-user-certificate/45CElnqS0_7rK5LYeIAK" TargetMode="External"/><Relationship Id="rId3336" Type="http://schemas.openxmlformats.org/officeDocument/2006/relationships/hyperlink" Target="https://talan.bank.gov.ua/get-user-certificate/45CElBF4HU9uaQbZaj2q" TargetMode="External"/><Relationship Id="rId3890" Type="http://schemas.openxmlformats.org/officeDocument/2006/relationships/hyperlink" Target="https://talan.bank.gov.ua/get-user-certificate/45CEl3Q7tIA9k_y3G6qr" TargetMode="External"/><Relationship Id="rId4734" Type="http://schemas.openxmlformats.org/officeDocument/2006/relationships/hyperlink" Target="https://talan.bank.gov.ua/get-user-certificate/45CEl4ui7BdH5LED3AGq" TargetMode="External"/><Relationship Id="rId4941" Type="http://schemas.openxmlformats.org/officeDocument/2006/relationships/hyperlink" Target="https://talan.bank.gov.ua/get-user-certificate/45CEldtiQJRrfpPVDbN5" TargetMode="External"/><Relationship Id="rId257" Type="http://schemas.openxmlformats.org/officeDocument/2006/relationships/hyperlink" Target="https://talan.bank.gov.ua/get-user-certificate/45CElnNY9tiZjYm8c_5b" TargetMode="External"/><Relationship Id="rId464" Type="http://schemas.openxmlformats.org/officeDocument/2006/relationships/hyperlink" Target="https://talan.bank.gov.ua/get-user-certificate/45CElDqULwzu_f1Dd4VS" TargetMode="External"/><Relationship Id="rId1094" Type="http://schemas.openxmlformats.org/officeDocument/2006/relationships/hyperlink" Target="https://talan.bank.gov.ua/get-user-certificate/45CEl8HWqVssWRU3NliT" TargetMode="External"/><Relationship Id="rId2145" Type="http://schemas.openxmlformats.org/officeDocument/2006/relationships/hyperlink" Target="https://talan.bank.gov.ua/get-user-certificate/45CElM3VLv6qX-yR1oM0" TargetMode="External"/><Relationship Id="rId3543" Type="http://schemas.openxmlformats.org/officeDocument/2006/relationships/hyperlink" Target="https://talan.bank.gov.ua/get-user-certificate/45CEl2q4-A7C41Ai2-Sj" TargetMode="External"/><Relationship Id="rId3750" Type="http://schemas.openxmlformats.org/officeDocument/2006/relationships/hyperlink" Target="https://talan.bank.gov.ua/get-user-certificate/45CElr1z_02sKnkxmpPK" TargetMode="External"/><Relationship Id="rId4801" Type="http://schemas.openxmlformats.org/officeDocument/2006/relationships/hyperlink" Target="https://talan.bank.gov.ua/get-user-certificate/45CElDDzjnWtX1EE60mr" TargetMode="External"/><Relationship Id="rId117" Type="http://schemas.openxmlformats.org/officeDocument/2006/relationships/hyperlink" Target="https://talan.bank.gov.ua/get-user-certificate/45CElxostFqwt6EWSzYR" TargetMode="External"/><Relationship Id="rId671" Type="http://schemas.openxmlformats.org/officeDocument/2006/relationships/hyperlink" Target="https://talan.bank.gov.ua/get-user-certificate/45CEl6bkG3UtBL8J8r8c" TargetMode="External"/><Relationship Id="rId2352" Type="http://schemas.openxmlformats.org/officeDocument/2006/relationships/hyperlink" Target="https://talan.bank.gov.ua/get-user-certificate/45CElmcrnvrw2yoGJAxd" TargetMode="External"/><Relationship Id="rId3403" Type="http://schemas.openxmlformats.org/officeDocument/2006/relationships/hyperlink" Target="https://talan.bank.gov.ua/get-user-certificate/45CElgyRrdFn5TKjR_Ke" TargetMode="External"/><Relationship Id="rId3610" Type="http://schemas.openxmlformats.org/officeDocument/2006/relationships/hyperlink" Target="https://talan.bank.gov.ua/get-user-certificate/45CElxPA-xTn_AJ9y4yp" TargetMode="External"/><Relationship Id="rId324" Type="http://schemas.openxmlformats.org/officeDocument/2006/relationships/hyperlink" Target="https://talan.bank.gov.ua/get-user-certificate/45CEle-HmgGVfwUjlBcx" TargetMode="External"/><Relationship Id="rId531" Type="http://schemas.openxmlformats.org/officeDocument/2006/relationships/hyperlink" Target="https://talan.bank.gov.ua/get-user-certificate/45CEl2ScTiVIZLg0Q0cz" TargetMode="External"/><Relationship Id="rId1161" Type="http://schemas.openxmlformats.org/officeDocument/2006/relationships/hyperlink" Target="https://talan.bank.gov.ua/get-user-certificate/45CElqQdMqXAa9kbvYVE" TargetMode="External"/><Relationship Id="rId2005" Type="http://schemas.openxmlformats.org/officeDocument/2006/relationships/hyperlink" Target="https://talan.bank.gov.ua/get-user-certificate/45CEl8QnM8y52X2jMcxq" TargetMode="External"/><Relationship Id="rId2212" Type="http://schemas.openxmlformats.org/officeDocument/2006/relationships/hyperlink" Target="https://talan.bank.gov.ua/get-user-certificate/45CElYzEP2n_63p6OOPq" TargetMode="External"/><Relationship Id="rId1021" Type="http://schemas.openxmlformats.org/officeDocument/2006/relationships/hyperlink" Target="https://talan.bank.gov.ua/get-user-certificate/45CEl2TOPZrNJAJk4Zae" TargetMode="External"/><Relationship Id="rId1978" Type="http://schemas.openxmlformats.org/officeDocument/2006/relationships/hyperlink" Target="https://talan.bank.gov.ua/get-user-certificate/45CElWrHlu10lSVZovTs" TargetMode="External"/><Relationship Id="rId4177" Type="http://schemas.openxmlformats.org/officeDocument/2006/relationships/hyperlink" Target="https://talan.bank.gov.ua/get-user-certificate/45CElljPudtfx6B0iaYF" TargetMode="External"/><Relationship Id="rId4384" Type="http://schemas.openxmlformats.org/officeDocument/2006/relationships/hyperlink" Target="https://talan.bank.gov.ua/get-user-certificate/45CElJr42ENCUW24QySu" TargetMode="External"/><Relationship Id="rId4591" Type="http://schemas.openxmlformats.org/officeDocument/2006/relationships/hyperlink" Target="https://talan.bank.gov.ua/get-user-certificate/45CElif2zL08HERMkRvN" TargetMode="External"/><Relationship Id="rId3193" Type="http://schemas.openxmlformats.org/officeDocument/2006/relationships/hyperlink" Target="https://talan.bank.gov.ua/get-user-certificate/45CEluxq0rbAdzy5LwhM" TargetMode="External"/><Relationship Id="rId4037" Type="http://schemas.openxmlformats.org/officeDocument/2006/relationships/hyperlink" Target="https://talan.bank.gov.ua/get-user-certificate/45CElzA3MK7X8yzq-6TD" TargetMode="External"/><Relationship Id="rId4244" Type="http://schemas.openxmlformats.org/officeDocument/2006/relationships/hyperlink" Target="https://talan.bank.gov.ua/get-user-certificate/45CEliD2TnWNlsIxjQNP" TargetMode="External"/><Relationship Id="rId4451" Type="http://schemas.openxmlformats.org/officeDocument/2006/relationships/hyperlink" Target="https://talan.bank.gov.ua/get-user-certificate/45CEl3C-lV5Q4h9sl1_Y" TargetMode="External"/><Relationship Id="rId1838" Type="http://schemas.openxmlformats.org/officeDocument/2006/relationships/hyperlink" Target="https://talan.bank.gov.ua/get-user-certificate/45CElAdxMYQcvrf6yXnG" TargetMode="External"/><Relationship Id="rId3053" Type="http://schemas.openxmlformats.org/officeDocument/2006/relationships/hyperlink" Target="https://talan.bank.gov.ua/get-user-certificate/45CEl6IhYrEOslQhuUP4" TargetMode="External"/><Relationship Id="rId3260" Type="http://schemas.openxmlformats.org/officeDocument/2006/relationships/hyperlink" Target="https://talan.bank.gov.ua/get-user-certificate/45CElVDi0GUxA3Q8KTJp" TargetMode="External"/><Relationship Id="rId4104" Type="http://schemas.openxmlformats.org/officeDocument/2006/relationships/hyperlink" Target="https://talan.bank.gov.ua/get-user-certificate/45CElwoPNeU1_yQD9c01" TargetMode="External"/><Relationship Id="rId4311" Type="http://schemas.openxmlformats.org/officeDocument/2006/relationships/hyperlink" Target="https://talan.bank.gov.ua/get-user-certificate/45CElaM6wmAl_1OQqRXm" TargetMode="External"/><Relationship Id="rId181" Type="http://schemas.openxmlformats.org/officeDocument/2006/relationships/hyperlink" Target="https://talan.bank.gov.ua/get-user-certificate/45CElol3FiNBg_ISuWx6" TargetMode="External"/><Relationship Id="rId1905" Type="http://schemas.openxmlformats.org/officeDocument/2006/relationships/hyperlink" Target="https://talan.bank.gov.ua/get-user-certificate/45CElw_HmbPpE6Va5kTY" TargetMode="External"/><Relationship Id="rId3120" Type="http://schemas.openxmlformats.org/officeDocument/2006/relationships/hyperlink" Target="https://talan.bank.gov.ua/get-user-certificate/45CElf4d6ycLdvnzXeH5" TargetMode="External"/><Relationship Id="rId998" Type="http://schemas.openxmlformats.org/officeDocument/2006/relationships/hyperlink" Target="https://talan.bank.gov.ua/get-user-certificate/45CElQCNoVwuVcx2K6dr" TargetMode="External"/><Relationship Id="rId2679" Type="http://schemas.openxmlformats.org/officeDocument/2006/relationships/hyperlink" Target="https://talan.bank.gov.ua/get-user-certificate/45CElXcIXCnnjbZCDVNZ" TargetMode="External"/><Relationship Id="rId2886" Type="http://schemas.openxmlformats.org/officeDocument/2006/relationships/hyperlink" Target="https://talan.bank.gov.ua/get-user-certificate/45CElpyhPiodF2iDpXQ_" TargetMode="External"/><Relationship Id="rId3937" Type="http://schemas.openxmlformats.org/officeDocument/2006/relationships/hyperlink" Target="https://talan.bank.gov.ua/get-user-certificate/45CElh0KQfW05meqvva2" TargetMode="External"/><Relationship Id="rId858" Type="http://schemas.openxmlformats.org/officeDocument/2006/relationships/hyperlink" Target="https://talan.bank.gov.ua/get-user-certificate/45CElVym7kkGeOtsWzFm" TargetMode="External"/><Relationship Id="rId1488" Type="http://schemas.openxmlformats.org/officeDocument/2006/relationships/hyperlink" Target="https://talan.bank.gov.ua/get-user-certificate/45CElih1SDj6jOEniA31" TargetMode="External"/><Relationship Id="rId1695" Type="http://schemas.openxmlformats.org/officeDocument/2006/relationships/hyperlink" Target="https://talan.bank.gov.ua/get-user-certificate/45CElz6EcagPNA6Ch6BC" TargetMode="External"/><Relationship Id="rId2539" Type="http://schemas.openxmlformats.org/officeDocument/2006/relationships/hyperlink" Target="https://talan.bank.gov.ua/get-user-certificate/45CElvtuIleSZcTxHhgs" TargetMode="External"/><Relationship Id="rId2746" Type="http://schemas.openxmlformats.org/officeDocument/2006/relationships/hyperlink" Target="https://talan.bank.gov.ua/get-user-certificate/45CElE3SZXMXL3vNIVqx" TargetMode="External"/><Relationship Id="rId2953" Type="http://schemas.openxmlformats.org/officeDocument/2006/relationships/hyperlink" Target="https://talan.bank.gov.ua/get-user-certificate/45CElsWdjWY9aySvCqwR" TargetMode="External"/><Relationship Id="rId718" Type="http://schemas.openxmlformats.org/officeDocument/2006/relationships/hyperlink" Target="https://talan.bank.gov.ua/get-user-certificate/45CElp7R_u35QC2WTwAl" TargetMode="External"/><Relationship Id="rId925" Type="http://schemas.openxmlformats.org/officeDocument/2006/relationships/hyperlink" Target="https://talan.bank.gov.ua/get-user-certificate/45CElrTmz06CWc0l-S5Z" TargetMode="External"/><Relationship Id="rId1348" Type="http://schemas.openxmlformats.org/officeDocument/2006/relationships/hyperlink" Target="https://talan.bank.gov.ua/get-user-certificate/45CElEE2qhv-6e0Y91ly" TargetMode="External"/><Relationship Id="rId1555" Type="http://schemas.openxmlformats.org/officeDocument/2006/relationships/hyperlink" Target="https://talan.bank.gov.ua/get-user-certificate/45CElDFhm9Ku5TLaIY7r" TargetMode="External"/><Relationship Id="rId1762" Type="http://schemas.openxmlformats.org/officeDocument/2006/relationships/hyperlink" Target="https://talan.bank.gov.ua/get-user-certificate/45CElYO5G6m8JNZoFVHx" TargetMode="External"/><Relationship Id="rId2606" Type="http://schemas.openxmlformats.org/officeDocument/2006/relationships/hyperlink" Target="https://talan.bank.gov.ua/get-user-certificate/45CEl9KdhTLW_CW9nh7K" TargetMode="External"/><Relationship Id="rId5012" Type="http://schemas.openxmlformats.org/officeDocument/2006/relationships/hyperlink" Target="https://talan.bank.gov.ua/get-user-certificate/ki8Tnf77AkeTgaTi0Yo_" TargetMode="External"/><Relationship Id="rId1208" Type="http://schemas.openxmlformats.org/officeDocument/2006/relationships/hyperlink" Target="https://talan.bank.gov.ua/get-user-certificate/45CEls7f8PwjUtvA0dd1" TargetMode="External"/><Relationship Id="rId1415" Type="http://schemas.openxmlformats.org/officeDocument/2006/relationships/hyperlink" Target="https://talan.bank.gov.ua/get-user-certificate/45CEl5xPBSxFqNTnK-Gy" TargetMode="External"/><Relationship Id="rId2813" Type="http://schemas.openxmlformats.org/officeDocument/2006/relationships/hyperlink" Target="https://talan.bank.gov.ua/get-user-certificate/45CElzdva6idN3s3Y4sT" TargetMode="External"/><Relationship Id="rId54" Type="http://schemas.openxmlformats.org/officeDocument/2006/relationships/hyperlink" Target="https://talan.bank.gov.ua/get-user-certificate/45CEliItXnKt9aDbvlHh" TargetMode="External"/><Relationship Id="rId1622" Type="http://schemas.openxmlformats.org/officeDocument/2006/relationships/hyperlink" Target="https://talan.bank.gov.ua/get-user-certificate/45CElD2vc1xZD--OMpH7" TargetMode="External"/><Relationship Id="rId4778" Type="http://schemas.openxmlformats.org/officeDocument/2006/relationships/hyperlink" Target="https://talan.bank.gov.ua/get-user-certificate/45CElyebqUCjxApNEEXQ" TargetMode="External"/><Relationship Id="rId4985" Type="http://schemas.openxmlformats.org/officeDocument/2006/relationships/hyperlink" Target="https://talan.bank.gov.ua/get-user-certificate/ki8Tnk-fsLSwNR4Eceo4" TargetMode="External"/><Relationship Id="rId2189" Type="http://schemas.openxmlformats.org/officeDocument/2006/relationships/hyperlink" Target="https://talan.bank.gov.ua/get-user-certificate/45CElxsSiLfF-IhS9Igb" TargetMode="External"/><Relationship Id="rId3587" Type="http://schemas.openxmlformats.org/officeDocument/2006/relationships/hyperlink" Target="https://talan.bank.gov.ua/get-user-certificate/45CElQz0fjnPzJyc7_QD" TargetMode="External"/><Relationship Id="rId3794" Type="http://schemas.openxmlformats.org/officeDocument/2006/relationships/hyperlink" Target="https://talan.bank.gov.ua/get-user-certificate/45CElqUXkpnZn_rkhEtZ" TargetMode="External"/><Relationship Id="rId4638" Type="http://schemas.openxmlformats.org/officeDocument/2006/relationships/hyperlink" Target="https://talan.bank.gov.ua/get-user-certificate/45CEl7KrQnrPhE6t5blN" TargetMode="External"/><Relationship Id="rId4845" Type="http://schemas.openxmlformats.org/officeDocument/2006/relationships/hyperlink" Target="https://talan.bank.gov.ua/get-user-certificate/45CElTE8PGTnQGGnrZpU" TargetMode="External"/><Relationship Id="rId2396" Type="http://schemas.openxmlformats.org/officeDocument/2006/relationships/hyperlink" Target="https://talan.bank.gov.ua/get-user-certificate/45CElqjxIIlx8WUWbW8A" TargetMode="External"/><Relationship Id="rId3447" Type="http://schemas.openxmlformats.org/officeDocument/2006/relationships/hyperlink" Target="https://talan.bank.gov.ua/get-user-certificate/45CElcG5nEiIkU4d5540" TargetMode="External"/><Relationship Id="rId3654" Type="http://schemas.openxmlformats.org/officeDocument/2006/relationships/hyperlink" Target="https://talan.bank.gov.ua/get-user-certificate/45CEl164HLr5Dp5Spj0I" TargetMode="External"/><Relationship Id="rId3861" Type="http://schemas.openxmlformats.org/officeDocument/2006/relationships/hyperlink" Target="https://talan.bank.gov.ua/get-user-certificate/45CElfejpTFYsdRpnO4d" TargetMode="External"/><Relationship Id="rId4705" Type="http://schemas.openxmlformats.org/officeDocument/2006/relationships/hyperlink" Target="https://talan.bank.gov.ua/get-user-certificate/45CEll1apiBHFZltogZK" TargetMode="External"/><Relationship Id="rId4912" Type="http://schemas.openxmlformats.org/officeDocument/2006/relationships/hyperlink" Target="https://talan.bank.gov.ua/get-user-certificate/45CEl_GDyu6bUdMFBr8Q" TargetMode="External"/><Relationship Id="rId368" Type="http://schemas.openxmlformats.org/officeDocument/2006/relationships/hyperlink" Target="https://talan.bank.gov.ua/get-user-certificate/45CEll4vCosblk1bR4iX" TargetMode="External"/><Relationship Id="rId575" Type="http://schemas.openxmlformats.org/officeDocument/2006/relationships/hyperlink" Target="https://talan.bank.gov.ua/get-user-certificate/45CElemnQg3Ytw9lthfc" TargetMode="External"/><Relationship Id="rId782" Type="http://schemas.openxmlformats.org/officeDocument/2006/relationships/hyperlink" Target="https://talan.bank.gov.ua/get-user-certificate/45CElcOp6Zclj851N03d" TargetMode="External"/><Relationship Id="rId2049" Type="http://schemas.openxmlformats.org/officeDocument/2006/relationships/hyperlink" Target="https://talan.bank.gov.ua/get-user-certificate/45CElJc_xPeonEoL2fqd" TargetMode="External"/><Relationship Id="rId2256" Type="http://schemas.openxmlformats.org/officeDocument/2006/relationships/hyperlink" Target="https://talan.bank.gov.ua/get-user-certificate/45CElPK-Cvq27BPhnteT" TargetMode="External"/><Relationship Id="rId2463" Type="http://schemas.openxmlformats.org/officeDocument/2006/relationships/hyperlink" Target="https://talan.bank.gov.ua/get-user-certificate/45CElYdz5nEoTB10nR7b" TargetMode="External"/><Relationship Id="rId2670" Type="http://schemas.openxmlformats.org/officeDocument/2006/relationships/hyperlink" Target="https://talan.bank.gov.ua/get-user-certificate/45CElqBXzpFPg6x1DP3q" TargetMode="External"/><Relationship Id="rId3307" Type="http://schemas.openxmlformats.org/officeDocument/2006/relationships/hyperlink" Target="https://talan.bank.gov.ua/get-user-certificate/45CElAAyU1nu8R-J3nHt" TargetMode="External"/><Relationship Id="rId3514" Type="http://schemas.openxmlformats.org/officeDocument/2006/relationships/hyperlink" Target="https://talan.bank.gov.ua/get-user-certificate/45CElEHBoUtIqqLl5F89" TargetMode="External"/><Relationship Id="rId3721" Type="http://schemas.openxmlformats.org/officeDocument/2006/relationships/hyperlink" Target="https://talan.bank.gov.ua/get-user-certificate/45CElptftplIPXn2gGNW" TargetMode="External"/><Relationship Id="rId228" Type="http://schemas.openxmlformats.org/officeDocument/2006/relationships/hyperlink" Target="https://talan.bank.gov.ua/get-user-certificate/45CElKY35J2CFjY4r3O1" TargetMode="External"/><Relationship Id="rId435" Type="http://schemas.openxmlformats.org/officeDocument/2006/relationships/hyperlink" Target="https://talan.bank.gov.ua/get-user-certificate/45CEltK6CbhcdVkrDR0B" TargetMode="External"/><Relationship Id="rId642" Type="http://schemas.openxmlformats.org/officeDocument/2006/relationships/hyperlink" Target="https://talan.bank.gov.ua/get-user-certificate/45CEl2pPJykIVrV103ce" TargetMode="External"/><Relationship Id="rId1065" Type="http://schemas.openxmlformats.org/officeDocument/2006/relationships/hyperlink" Target="https://talan.bank.gov.ua/get-user-certificate/45CElXP7EgRwGYJkxuYX" TargetMode="External"/><Relationship Id="rId1272" Type="http://schemas.openxmlformats.org/officeDocument/2006/relationships/hyperlink" Target="https://talan.bank.gov.ua/get-user-certificate/45CEl5pDT2HpVBbi7Imu" TargetMode="External"/><Relationship Id="rId2116" Type="http://schemas.openxmlformats.org/officeDocument/2006/relationships/hyperlink" Target="https://talan.bank.gov.ua/get-user-certificate/45CEl4I03Z3insTL2iaW" TargetMode="External"/><Relationship Id="rId2323" Type="http://schemas.openxmlformats.org/officeDocument/2006/relationships/hyperlink" Target="https://talan.bank.gov.ua/get-user-certificate/45CEllsSrq_oG9Mz8axj" TargetMode="External"/><Relationship Id="rId2530" Type="http://schemas.openxmlformats.org/officeDocument/2006/relationships/hyperlink" Target="https://talan.bank.gov.ua/get-user-certificate/45CElwhlScgN9b5niHUG" TargetMode="External"/><Relationship Id="rId502" Type="http://schemas.openxmlformats.org/officeDocument/2006/relationships/hyperlink" Target="https://talan.bank.gov.ua/get-user-certificate/45CElAWuoru7Elc_g6Wt" TargetMode="External"/><Relationship Id="rId1132" Type="http://schemas.openxmlformats.org/officeDocument/2006/relationships/hyperlink" Target="https://talan.bank.gov.ua/get-user-certificate/45CEl4mszl5YiFNVTT4y" TargetMode="External"/><Relationship Id="rId4288" Type="http://schemas.openxmlformats.org/officeDocument/2006/relationships/hyperlink" Target="https://talan.bank.gov.ua/get-user-certificate/45CElKYmrBUP_HYkOXTS" TargetMode="External"/><Relationship Id="rId4495" Type="http://schemas.openxmlformats.org/officeDocument/2006/relationships/hyperlink" Target="https://talan.bank.gov.ua/get-user-certificate/45CEluEgS9Fqa_7-jjFT" TargetMode="External"/><Relationship Id="rId3097" Type="http://schemas.openxmlformats.org/officeDocument/2006/relationships/hyperlink" Target="https://talan.bank.gov.ua/get-user-certificate/45CEl-ZJjs_HOYr58jkE" TargetMode="External"/><Relationship Id="rId4148" Type="http://schemas.openxmlformats.org/officeDocument/2006/relationships/hyperlink" Target="https://talan.bank.gov.ua/get-user-certificate/45CElSD0sZRkHfHWW6Pm" TargetMode="External"/><Relationship Id="rId4355" Type="http://schemas.openxmlformats.org/officeDocument/2006/relationships/hyperlink" Target="https://talan.bank.gov.ua/get-user-certificate/45CElX5XVvVNFNqkkRPV" TargetMode="External"/><Relationship Id="rId1949" Type="http://schemas.openxmlformats.org/officeDocument/2006/relationships/hyperlink" Target="https://talan.bank.gov.ua/get-user-certificate/45CElV_eX291lHvbhagT" TargetMode="External"/><Relationship Id="rId3164" Type="http://schemas.openxmlformats.org/officeDocument/2006/relationships/hyperlink" Target="https://talan.bank.gov.ua/get-user-certificate/45CElA2xx8rjiUtZ9A85" TargetMode="External"/><Relationship Id="rId4008" Type="http://schemas.openxmlformats.org/officeDocument/2006/relationships/hyperlink" Target="https://talan.bank.gov.ua/get-user-certificate/45CElTr0W0ZP-SEQVwjD" TargetMode="External"/><Relationship Id="rId4562" Type="http://schemas.openxmlformats.org/officeDocument/2006/relationships/hyperlink" Target="https://talan.bank.gov.ua/get-user-certificate/45CElmZy6doJoD2DaA36" TargetMode="External"/><Relationship Id="rId292" Type="http://schemas.openxmlformats.org/officeDocument/2006/relationships/hyperlink" Target="https://talan.bank.gov.ua/get-user-certificate/45CElsxc0X53CtdAzl1E" TargetMode="External"/><Relationship Id="rId1809" Type="http://schemas.openxmlformats.org/officeDocument/2006/relationships/hyperlink" Target="https://talan.bank.gov.ua/get-user-certificate/45CEl9WFcLxaURsPoWO9" TargetMode="External"/><Relationship Id="rId3371" Type="http://schemas.openxmlformats.org/officeDocument/2006/relationships/hyperlink" Target="https://talan.bank.gov.ua/get-user-certificate/45CElT_-87CZB6-Ely5d" TargetMode="External"/><Relationship Id="rId4215" Type="http://schemas.openxmlformats.org/officeDocument/2006/relationships/hyperlink" Target="https://talan.bank.gov.ua/get-user-certificate/45CEljCwg7mVnykAFFlZ" TargetMode="External"/><Relationship Id="rId4422" Type="http://schemas.openxmlformats.org/officeDocument/2006/relationships/hyperlink" Target="https://talan.bank.gov.ua/get-user-certificate/45CElWEf526bowLJSCli" TargetMode="External"/><Relationship Id="rId2180" Type="http://schemas.openxmlformats.org/officeDocument/2006/relationships/hyperlink" Target="https://talan.bank.gov.ua/get-user-certificate/45CElHU0IJzMDvisf_5J" TargetMode="External"/><Relationship Id="rId3024" Type="http://schemas.openxmlformats.org/officeDocument/2006/relationships/hyperlink" Target="https://talan.bank.gov.ua/get-user-certificate/45CElpQ3X4FAap7sRiQ3" TargetMode="External"/><Relationship Id="rId3231" Type="http://schemas.openxmlformats.org/officeDocument/2006/relationships/hyperlink" Target="https://talan.bank.gov.ua/get-user-certificate/45CElQC0Kfo-RunXMQgc" TargetMode="External"/><Relationship Id="rId152" Type="http://schemas.openxmlformats.org/officeDocument/2006/relationships/hyperlink" Target="https://talan.bank.gov.ua/get-user-certificate/45CElFR6q3rgbd2YZNPE" TargetMode="External"/><Relationship Id="rId2040" Type="http://schemas.openxmlformats.org/officeDocument/2006/relationships/hyperlink" Target="https://talan.bank.gov.ua/get-user-certificate/45CElHJS-GHWmi-v_Xrr" TargetMode="External"/><Relationship Id="rId2997" Type="http://schemas.openxmlformats.org/officeDocument/2006/relationships/hyperlink" Target="https://talan.bank.gov.ua/get-user-certificate/45CElxsolbulLe4MQBdJ" TargetMode="External"/><Relationship Id="rId969" Type="http://schemas.openxmlformats.org/officeDocument/2006/relationships/hyperlink" Target="https://talan.bank.gov.ua/get-user-certificate/45CElp5Yro7t0hl5ffsd" TargetMode="External"/><Relationship Id="rId1599" Type="http://schemas.openxmlformats.org/officeDocument/2006/relationships/hyperlink" Target="https://talan.bank.gov.ua/get-user-certificate/45CEl5P-uMs00kiJPHxk" TargetMode="External"/><Relationship Id="rId1459" Type="http://schemas.openxmlformats.org/officeDocument/2006/relationships/hyperlink" Target="https://talan.bank.gov.ua/get-user-certificate/45CElG-Uxx4e1ODTcMUB" TargetMode="External"/><Relationship Id="rId2857" Type="http://schemas.openxmlformats.org/officeDocument/2006/relationships/hyperlink" Target="https://talan.bank.gov.ua/get-user-certificate/45CElfCGVTjjQXkXUXip" TargetMode="External"/><Relationship Id="rId3908" Type="http://schemas.openxmlformats.org/officeDocument/2006/relationships/hyperlink" Target="https://talan.bank.gov.ua/get-user-certificate/45CEljA4U4plmbRmBWoW" TargetMode="External"/><Relationship Id="rId4072" Type="http://schemas.openxmlformats.org/officeDocument/2006/relationships/hyperlink" Target="https://talan.bank.gov.ua/get-user-certificate/45CElwh_cCk6jS2a_vtV" TargetMode="External"/><Relationship Id="rId98" Type="http://schemas.openxmlformats.org/officeDocument/2006/relationships/hyperlink" Target="https://talan.bank.gov.ua/get-user-certificate/45CEl-hRq-Qs8ToFyikQ" TargetMode="External"/><Relationship Id="rId829" Type="http://schemas.openxmlformats.org/officeDocument/2006/relationships/hyperlink" Target="https://talan.bank.gov.ua/get-user-certificate/45CElCwe6xhm4RiJUH7u" TargetMode="External"/><Relationship Id="rId1666" Type="http://schemas.openxmlformats.org/officeDocument/2006/relationships/hyperlink" Target="https://talan.bank.gov.ua/get-user-certificate/45CEl-zodU9zYCmgPjba" TargetMode="External"/><Relationship Id="rId1873" Type="http://schemas.openxmlformats.org/officeDocument/2006/relationships/hyperlink" Target="https://talan.bank.gov.ua/get-user-certificate/45CElgtgM6n6BxXerUMI" TargetMode="External"/><Relationship Id="rId2717" Type="http://schemas.openxmlformats.org/officeDocument/2006/relationships/hyperlink" Target="https://talan.bank.gov.ua/get-user-certificate/45CElAD241Z8YQ1k-FTx" TargetMode="External"/><Relationship Id="rId2924" Type="http://schemas.openxmlformats.org/officeDocument/2006/relationships/hyperlink" Target="https://talan.bank.gov.ua/get-user-certificate/45CElBeu8r1KnUa6VLvL" TargetMode="External"/><Relationship Id="rId1319" Type="http://schemas.openxmlformats.org/officeDocument/2006/relationships/hyperlink" Target="https://talan.bank.gov.ua/get-user-certificate/45CElo73I2_QdSaZjDkW" TargetMode="External"/><Relationship Id="rId1526" Type="http://schemas.openxmlformats.org/officeDocument/2006/relationships/hyperlink" Target="https://talan.bank.gov.ua/get-user-certificate/45CEl4NSuwJmLqKDEB38" TargetMode="External"/><Relationship Id="rId1733" Type="http://schemas.openxmlformats.org/officeDocument/2006/relationships/hyperlink" Target="https://talan.bank.gov.ua/get-user-certificate/45CEl-9WxWTcViGQMNo3" TargetMode="External"/><Relationship Id="rId1940" Type="http://schemas.openxmlformats.org/officeDocument/2006/relationships/hyperlink" Target="https://talan.bank.gov.ua/get-user-certificate/45CEl5c78ccfAlOm9usa" TargetMode="External"/><Relationship Id="rId4889" Type="http://schemas.openxmlformats.org/officeDocument/2006/relationships/hyperlink" Target="https://talan.bank.gov.ua/get-user-certificate/45CEl5adAqCC__zQWMb9" TargetMode="External"/><Relationship Id="rId25" Type="http://schemas.openxmlformats.org/officeDocument/2006/relationships/hyperlink" Target="https://talan.bank.gov.ua/get-user-certificate/45CElTJgMvA9WHzjQMwD" TargetMode="External"/><Relationship Id="rId1800" Type="http://schemas.openxmlformats.org/officeDocument/2006/relationships/hyperlink" Target="https://talan.bank.gov.ua/get-user-certificate/45CElFKTQtIolWNWvVCa" TargetMode="External"/><Relationship Id="rId3698" Type="http://schemas.openxmlformats.org/officeDocument/2006/relationships/hyperlink" Target="https://talan.bank.gov.ua/get-user-certificate/45CElWFx6NZHCFK6ZpaM" TargetMode="External"/><Relationship Id="rId4749" Type="http://schemas.openxmlformats.org/officeDocument/2006/relationships/hyperlink" Target="https://talan.bank.gov.ua/get-user-certificate/45CElvUWwReAZF6rQHQI" TargetMode="External"/><Relationship Id="rId4956" Type="http://schemas.openxmlformats.org/officeDocument/2006/relationships/hyperlink" Target="https://talan.bank.gov.ua/get-user-certificate/45CElPd4d9CQhDwSrlxj" TargetMode="External"/><Relationship Id="rId3558" Type="http://schemas.openxmlformats.org/officeDocument/2006/relationships/hyperlink" Target="https://talan.bank.gov.ua/get-user-certificate/45CEl1xIiH8pTyg_6oJH" TargetMode="External"/><Relationship Id="rId3765" Type="http://schemas.openxmlformats.org/officeDocument/2006/relationships/hyperlink" Target="https://talan.bank.gov.ua/get-user-certificate/45CEl6AyCmyywsch2VMJ" TargetMode="External"/><Relationship Id="rId3972" Type="http://schemas.openxmlformats.org/officeDocument/2006/relationships/hyperlink" Target="https://talan.bank.gov.ua/get-user-certificate/45CElcPW8gVmq1sEBt24" TargetMode="External"/><Relationship Id="rId4609" Type="http://schemas.openxmlformats.org/officeDocument/2006/relationships/hyperlink" Target="https://talan.bank.gov.ua/get-user-certificate/45CEl986mNt3ZvwrR5tZ" TargetMode="External"/><Relationship Id="rId4816" Type="http://schemas.openxmlformats.org/officeDocument/2006/relationships/hyperlink" Target="https://talan.bank.gov.ua/get-user-certificate/45CElmMJC7hsPuGw6VCQ" TargetMode="External"/><Relationship Id="rId479" Type="http://schemas.openxmlformats.org/officeDocument/2006/relationships/hyperlink" Target="https://talan.bank.gov.ua/get-user-certificate/45CElLrrZQrRDhuhyRgZ" TargetMode="External"/><Relationship Id="rId686" Type="http://schemas.openxmlformats.org/officeDocument/2006/relationships/hyperlink" Target="https://talan.bank.gov.ua/get-user-certificate/45CElfmFhmFabS6zQOIK" TargetMode="External"/><Relationship Id="rId893" Type="http://schemas.openxmlformats.org/officeDocument/2006/relationships/hyperlink" Target="https://talan.bank.gov.ua/get-user-certificate/45CElwQfwoxQ52GX7zIh" TargetMode="External"/><Relationship Id="rId2367" Type="http://schemas.openxmlformats.org/officeDocument/2006/relationships/hyperlink" Target="https://talan.bank.gov.ua/get-user-certificate/45CElZmU4ZaPAx9KId0_" TargetMode="External"/><Relationship Id="rId2574" Type="http://schemas.openxmlformats.org/officeDocument/2006/relationships/hyperlink" Target="https://talan.bank.gov.ua/get-user-certificate/45CElKGxh_aHQ-iBrtfS" TargetMode="External"/><Relationship Id="rId2781" Type="http://schemas.openxmlformats.org/officeDocument/2006/relationships/hyperlink" Target="https://talan.bank.gov.ua/get-user-certificate/45CEl1XNXnFJEivhgyQi" TargetMode="External"/><Relationship Id="rId3418" Type="http://schemas.openxmlformats.org/officeDocument/2006/relationships/hyperlink" Target="https://talan.bank.gov.ua/get-user-certificate/45CElhSypnIgahgb44TU" TargetMode="External"/><Relationship Id="rId3625" Type="http://schemas.openxmlformats.org/officeDocument/2006/relationships/hyperlink" Target="https://talan.bank.gov.ua/get-user-certificate/45CElGVI7qwDceN3qgzN" TargetMode="External"/><Relationship Id="rId339" Type="http://schemas.openxmlformats.org/officeDocument/2006/relationships/hyperlink" Target="https://talan.bank.gov.ua/get-user-certificate/45CElUAXAA-5Kbeahchk" TargetMode="External"/><Relationship Id="rId546" Type="http://schemas.openxmlformats.org/officeDocument/2006/relationships/hyperlink" Target="https://talan.bank.gov.ua/get-user-certificate/45CElFbw2zXAVBKxFyuX" TargetMode="External"/><Relationship Id="rId753" Type="http://schemas.openxmlformats.org/officeDocument/2006/relationships/hyperlink" Target="https://talan.bank.gov.ua/get-user-certificate/45CEl5mYi3uqBf-VH2OC" TargetMode="External"/><Relationship Id="rId1176" Type="http://schemas.openxmlformats.org/officeDocument/2006/relationships/hyperlink" Target="https://talan.bank.gov.ua/get-user-certificate/45CElUnRZQC4tZo-RWyy" TargetMode="External"/><Relationship Id="rId1383" Type="http://schemas.openxmlformats.org/officeDocument/2006/relationships/hyperlink" Target="https://talan.bank.gov.ua/get-user-certificate/45CElEOdKUp6H7rgtaNG" TargetMode="External"/><Relationship Id="rId2227" Type="http://schemas.openxmlformats.org/officeDocument/2006/relationships/hyperlink" Target="https://talan.bank.gov.ua/get-user-certificate/45CElOZUzAiFX_ml6DWb" TargetMode="External"/><Relationship Id="rId2434" Type="http://schemas.openxmlformats.org/officeDocument/2006/relationships/hyperlink" Target="https://talan.bank.gov.ua/get-user-certificate/45CElDTNsZn4LySh-BOA" TargetMode="External"/><Relationship Id="rId3832" Type="http://schemas.openxmlformats.org/officeDocument/2006/relationships/hyperlink" Target="https://talan.bank.gov.ua/get-user-certificate/45CEl5_TVI_Pc3Ey8otT" TargetMode="External"/><Relationship Id="rId406" Type="http://schemas.openxmlformats.org/officeDocument/2006/relationships/hyperlink" Target="https://talan.bank.gov.ua/get-user-certificate/45CEljQVTSD2ApLuAMat" TargetMode="External"/><Relationship Id="rId960" Type="http://schemas.openxmlformats.org/officeDocument/2006/relationships/hyperlink" Target="https://talan.bank.gov.ua/get-user-certificate/45CElF1TDTvocMPIM608" TargetMode="External"/><Relationship Id="rId1036" Type="http://schemas.openxmlformats.org/officeDocument/2006/relationships/hyperlink" Target="https://talan.bank.gov.ua/get-user-certificate/45CEl0tHWht8v6N9xHUr" TargetMode="External"/><Relationship Id="rId1243" Type="http://schemas.openxmlformats.org/officeDocument/2006/relationships/hyperlink" Target="https://talan.bank.gov.ua/get-user-certificate/45CEl1dEqWZe_p-h6dgN" TargetMode="External"/><Relationship Id="rId1590" Type="http://schemas.openxmlformats.org/officeDocument/2006/relationships/hyperlink" Target="https://talan.bank.gov.ua/get-user-certificate/45CElKjZC32WoAH17SbE" TargetMode="External"/><Relationship Id="rId2641" Type="http://schemas.openxmlformats.org/officeDocument/2006/relationships/hyperlink" Target="https://talan.bank.gov.ua/get-user-certificate/45CElvYQxog-QPl-H4c2" TargetMode="External"/><Relationship Id="rId4399" Type="http://schemas.openxmlformats.org/officeDocument/2006/relationships/hyperlink" Target="https://talan.bank.gov.ua/get-user-certificate/45CEl1PGvoyANGnn9QkT" TargetMode="External"/><Relationship Id="rId613" Type="http://schemas.openxmlformats.org/officeDocument/2006/relationships/hyperlink" Target="https://talan.bank.gov.ua/get-user-certificate/45CElhTHT__k1TH5OYdz" TargetMode="External"/><Relationship Id="rId820" Type="http://schemas.openxmlformats.org/officeDocument/2006/relationships/hyperlink" Target="https://talan.bank.gov.ua/get-user-certificate/45CElmPgw3RnWM5VtUUe" TargetMode="External"/><Relationship Id="rId1450" Type="http://schemas.openxmlformats.org/officeDocument/2006/relationships/hyperlink" Target="https://talan.bank.gov.ua/get-user-certificate/45CElqLzaEl9Rm8aHErC" TargetMode="External"/><Relationship Id="rId2501" Type="http://schemas.openxmlformats.org/officeDocument/2006/relationships/hyperlink" Target="https://talan.bank.gov.ua/get-user-certificate/45CElWEa_DC1U8l_N-yw" TargetMode="External"/><Relationship Id="rId1103" Type="http://schemas.openxmlformats.org/officeDocument/2006/relationships/hyperlink" Target="https://talan.bank.gov.ua/get-user-certificate/45CElhDFwSr0vNOTxZh5" TargetMode="External"/><Relationship Id="rId1310" Type="http://schemas.openxmlformats.org/officeDocument/2006/relationships/hyperlink" Target="https://talan.bank.gov.ua/get-user-certificate/45CElkn22gbaoT0QOOlU" TargetMode="External"/><Relationship Id="rId4259" Type="http://schemas.openxmlformats.org/officeDocument/2006/relationships/hyperlink" Target="https://talan.bank.gov.ua/get-user-certificate/45CElb_GEPOvpCiHjE9s" TargetMode="External"/><Relationship Id="rId4466" Type="http://schemas.openxmlformats.org/officeDocument/2006/relationships/hyperlink" Target="https://talan.bank.gov.ua/get-user-certificate/45CElb0EGjsoFy-MPrEC" TargetMode="External"/><Relationship Id="rId4673" Type="http://schemas.openxmlformats.org/officeDocument/2006/relationships/hyperlink" Target="https://talan.bank.gov.ua/get-user-certificate/45CElGrqVwiiEC9Yf-jx" TargetMode="External"/><Relationship Id="rId4880" Type="http://schemas.openxmlformats.org/officeDocument/2006/relationships/hyperlink" Target="https://talan.bank.gov.ua/get-user-certificate/45CElRO8AXx-p12xi6tl" TargetMode="External"/><Relationship Id="rId3068" Type="http://schemas.openxmlformats.org/officeDocument/2006/relationships/hyperlink" Target="https://talan.bank.gov.ua/get-user-certificate/45CElczTt8AKMY8hol62" TargetMode="External"/><Relationship Id="rId3275" Type="http://schemas.openxmlformats.org/officeDocument/2006/relationships/hyperlink" Target="https://talan.bank.gov.ua/get-user-certificate/45CEli5N6GSouSc4tpUt" TargetMode="External"/><Relationship Id="rId3482" Type="http://schemas.openxmlformats.org/officeDocument/2006/relationships/hyperlink" Target="https://talan.bank.gov.ua/get-user-certificate/45CElyYnpjv3JFgUzMSd" TargetMode="External"/><Relationship Id="rId4119" Type="http://schemas.openxmlformats.org/officeDocument/2006/relationships/hyperlink" Target="https://talan.bank.gov.ua/get-user-certificate/45CElafb4MImx-JWoIbB" TargetMode="External"/><Relationship Id="rId4326" Type="http://schemas.openxmlformats.org/officeDocument/2006/relationships/hyperlink" Target="https://talan.bank.gov.ua/get-user-certificate/45CEl6EbGFL5zs4cDYyF" TargetMode="External"/><Relationship Id="rId4533" Type="http://schemas.openxmlformats.org/officeDocument/2006/relationships/hyperlink" Target="https://talan.bank.gov.ua/get-user-certificate/45CElEioIjH3qAUKRzEy" TargetMode="External"/><Relationship Id="rId4740" Type="http://schemas.openxmlformats.org/officeDocument/2006/relationships/hyperlink" Target="https://talan.bank.gov.ua/get-user-certificate/45CEl3dGDOqliLpbzMST" TargetMode="External"/><Relationship Id="rId196" Type="http://schemas.openxmlformats.org/officeDocument/2006/relationships/hyperlink" Target="https://talan.bank.gov.ua/get-user-certificate/45CElLbKOBP4NUBRXfOa" TargetMode="External"/><Relationship Id="rId2084" Type="http://schemas.openxmlformats.org/officeDocument/2006/relationships/hyperlink" Target="https://talan.bank.gov.ua/get-user-certificate/45CElqPg3qHI7kD6MsfZ" TargetMode="External"/><Relationship Id="rId2291" Type="http://schemas.openxmlformats.org/officeDocument/2006/relationships/hyperlink" Target="https://talan.bank.gov.ua/get-user-certificate/45CElJzPBcXYYu5duNpH" TargetMode="External"/><Relationship Id="rId3135" Type="http://schemas.openxmlformats.org/officeDocument/2006/relationships/hyperlink" Target="https://talan.bank.gov.ua/get-user-certificate/45CElC5uos7m9swhmoOl" TargetMode="External"/><Relationship Id="rId3342" Type="http://schemas.openxmlformats.org/officeDocument/2006/relationships/hyperlink" Target="https://talan.bank.gov.ua/get-user-certificate/45CEl59dbRlOybXBLQlQ" TargetMode="External"/><Relationship Id="rId4600" Type="http://schemas.openxmlformats.org/officeDocument/2006/relationships/hyperlink" Target="https://talan.bank.gov.ua/get-user-certificate/45CEl3tUcKz7ce80A1wx" TargetMode="External"/><Relationship Id="rId263" Type="http://schemas.openxmlformats.org/officeDocument/2006/relationships/hyperlink" Target="https://talan.bank.gov.ua/get-user-certificate/45CElEE9Lm3Ep0ptrQyK" TargetMode="External"/><Relationship Id="rId470" Type="http://schemas.openxmlformats.org/officeDocument/2006/relationships/hyperlink" Target="https://talan.bank.gov.ua/get-user-certificate/45CEleV7cz-eu-4bvNHD" TargetMode="External"/><Relationship Id="rId2151" Type="http://schemas.openxmlformats.org/officeDocument/2006/relationships/hyperlink" Target="https://talan.bank.gov.ua/get-user-certificate/45CEl7O3_iRcsJalTfZn" TargetMode="External"/><Relationship Id="rId3202" Type="http://schemas.openxmlformats.org/officeDocument/2006/relationships/hyperlink" Target="https://talan.bank.gov.ua/get-user-certificate/45CEl2N9pvbZqHNIIUuU" TargetMode="External"/><Relationship Id="rId123" Type="http://schemas.openxmlformats.org/officeDocument/2006/relationships/hyperlink" Target="https://talan.bank.gov.ua/get-user-certificate/45CEl7z7GV3PoG46SE-t" TargetMode="External"/><Relationship Id="rId330" Type="http://schemas.openxmlformats.org/officeDocument/2006/relationships/hyperlink" Target="https://talan.bank.gov.ua/get-user-certificate/45CElmJUU4Q-VRc1DnoD" TargetMode="External"/><Relationship Id="rId2011" Type="http://schemas.openxmlformats.org/officeDocument/2006/relationships/hyperlink" Target="https://talan.bank.gov.ua/get-user-certificate/45CEl-u2eK30sYIABDog" TargetMode="External"/><Relationship Id="rId2968" Type="http://schemas.openxmlformats.org/officeDocument/2006/relationships/hyperlink" Target="https://talan.bank.gov.ua/get-user-certificate/45CElHcWvPukRlxwz42c" TargetMode="External"/><Relationship Id="rId4183" Type="http://schemas.openxmlformats.org/officeDocument/2006/relationships/hyperlink" Target="https://talan.bank.gov.ua/get-user-certificate/45CElFaQrmDvx1sShMMN" TargetMode="External"/><Relationship Id="rId1777" Type="http://schemas.openxmlformats.org/officeDocument/2006/relationships/hyperlink" Target="https://talan.bank.gov.ua/get-user-certificate/45CElgdRUvOGUy0Whj-B" TargetMode="External"/><Relationship Id="rId1984" Type="http://schemas.openxmlformats.org/officeDocument/2006/relationships/hyperlink" Target="https://talan.bank.gov.ua/get-user-certificate/45CElefdUmWBvz6Cba0D" TargetMode="External"/><Relationship Id="rId2828" Type="http://schemas.openxmlformats.org/officeDocument/2006/relationships/hyperlink" Target="https://talan.bank.gov.ua/get-user-certificate/45CEly_jsYrEq0Jnp2z_" TargetMode="External"/><Relationship Id="rId4390" Type="http://schemas.openxmlformats.org/officeDocument/2006/relationships/hyperlink" Target="https://talan.bank.gov.ua/get-user-certificate/45CElcp8Psyn0AsSJbai" TargetMode="External"/><Relationship Id="rId69" Type="http://schemas.openxmlformats.org/officeDocument/2006/relationships/hyperlink" Target="https://talan.bank.gov.ua/get-user-certificate/45CElCd-7G9mceSoz8hQ" TargetMode="External"/><Relationship Id="rId1637" Type="http://schemas.openxmlformats.org/officeDocument/2006/relationships/hyperlink" Target="https://talan.bank.gov.ua/get-user-certificate/45CElyUI778michvpkSh" TargetMode="External"/><Relationship Id="rId1844" Type="http://schemas.openxmlformats.org/officeDocument/2006/relationships/hyperlink" Target="https://talan.bank.gov.ua/get-user-certificate/45CElzvkKaoxsz4KvN-g" TargetMode="External"/><Relationship Id="rId4043" Type="http://schemas.openxmlformats.org/officeDocument/2006/relationships/hyperlink" Target="https://talan.bank.gov.ua/get-user-certificate/45CEljUS6MXkl141dgq-" TargetMode="External"/><Relationship Id="rId4250" Type="http://schemas.openxmlformats.org/officeDocument/2006/relationships/hyperlink" Target="https://talan.bank.gov.ua/get-user-certificate/45CElqZfjA-CQZQdmN54" TargetMode="External"/><Relationship Id="rId1704" Type="http://schemas.openxmlformats.org/officeDocument/2006/relationships/hyperlink" Target="https://talan.bank.gov.ua/get-user-certificate/45CEl9K3VTJc9Xe4rFuO" TargetMode="External"/><Relationship Id="rId4110" Type="http://schemas.openxmlformats.org/officeDocument/2006/relationships/hyperlink" Target="https://talan.bank.gov.ua/get-user-certificate/45CElq1S__TcNa2ahJnX" TargetMode="External"/><Relationship Id="rId1911" Type="http://schemas.openxmlformats.org/officeDocument/2006/relationships/hyperlink" Target="https://talan.bank.gov.ua/get-user-certificate/45CElvHlx0JOqEdVF6D-" TargetMode="External"/><Relationship Id="rId3669" Type="http://schemas.openxmlformats.org/officeDocument/2006/relationships/hyperlink" Target="https://talan.bank.gov.ua/get-user-certificate/45CElbW6Dm9KNoGt7m31" TargetMode="External"/><Relationship Id="rId797" Type="http://schemas.openxmlformats.org/officeDocument/2006/relationships/hyperlink" Target="https://talan.bank.gov.ua/get-user-certificate/45CElJL-0TIwMaRg75WG" TargetMode="External"/><Relationship Id="rId2478" Type="http://schemas.openxmlformats.org/officeDocument/2006/relationships/hyperlink" Target="https://talan.bank.gov.ua/get-user-certificate/45CEl6lkQfIyE5ZEtzJS" TargetMode="External"/><Relationship Id="rId3876" Type="http://schemas.openxmlformats.org/officeDocument/2006/relationships/hyperlink" Target="https://talan.bank.gov.ua/get-user-certificate/45CElSpru9d4Q4cmOQIR" TargetMode="External"/><Relationship Id="rId4927" Type="http://schemas.openxmlformats.org/officeDocument/2006/relationships/hyperlink" Target="https://talan.bank.gov.ua/get-user-certificate/45CElXoR9DiVu2dYvtPW" TargetMode="External"/><Relationship Id="rId1287" Type="http://schemas.openxmlformats.org/officeDocument/2006/relationships/hyperlink" Target="https://talan.bank.gov.ua/get-user-certificate/45CElRKx6XezQuZilEDQ" TargetMode="External"/><Relationship Id="rId2685" Type="http://schemas.openxmlformats.org/officeDocument/2006/relationships/hyperlink" Target="https://talan.bank.gov.ua/get-user-certificate/45CElrKFt4a04DTF1ZZ0" TargetMode="External"/><Relationship Id="rId2892" Type="http://schemas.openxmlformats.org/officeDocument/2006/relationships/hyperlink" Target="https://talan.bank.gov.ua/get-user-certificate/45CElceDlQ8Ft9Zow39A" TargetMode="External"/><Relationship Id="rId3529" Type="http://schemas.openxmlformats.org/officeDocument/2006/relationships/hyperlink" Target="https://talan.bank.gov.ua/get-user-certificate/45CElucJzIIE60LOJhon" TargetMode="External"/><Relationship Id="rId3736" Type="http://schemas.openxmlformats.org/officeDocument/2006/relationships/hyperlink" Target="https://talan.bank.gov.ua/get-user-certificate/45CElASiPSbJUryHBpzW" TargetMode="External"/><Relationship Id="rId3943" Type="http://schemas.openxmlformats.org/officeDocument/2006/relationships/hyperlink" Target="https://talan.bank.gov.ua/get-user-certificate/45CElNgL2PLG466KCiwi" TargetMode="External"/><Relationship Id="rId657" Type="http://schemas.openxmlformats.org/officeDocument/2006/relationships/hyperlink" Target="https://talan.bank.gov.ua/get-user-certificate/45CElcA0gXW4awMTrjKb" TargetMode="External"/><Relationship Id="rId864" Type="http://schemas.openxmlformats.org/officeDocument/2006/relationships/hyperlink" Target="https://talan.bank.gov.ua/get-user-certificate/45CElqJEWvIWvJBiIe7c" TargetMode="External"/><Relationship Id="rId1494" Type="http://schemas.openxmlformats.org/officeDocument/2006/relationships/hyperlink" Target="https://talan.bank.gov.ua/get-user-certificate/45CEl9jpRtRI4bsv6h0W" TargetMode="External"/><Relationship Id="rId2338" Type="http://schemas.openxmlformats.org/officeDocument/2006/relationships/hyperlink" Target="https://talan.bank.gov.ua/get-user-certificate/45CElf2GPfXfhlJK-ZX1" TargetMode="External"/><Relationship Id="rId2545" Type="http://schemas.openxmlformats.org/officeDocument/2006/relationships/hyperlink" Target="https://talan.bank.gov.ua/get-user-certificate/45CElrOeKyb1cMLh9q0x" TargetMode="External"/><Relationship Id="rId2752" Type="http://schemas.openxmlformats.org/officeDocument/2006/relationships/hyperlink" Target="https://talan.bank.gov.ua/get-user-certificate/45CElhVGlz9_Qk9exNa6" TargetMode="External"/><Relationship Id="rId3803" Type="http://schemas.openxmlformats.org/officeDocument/2006/relationships/hyperlink" Target="https://talan.bank.gov.ua/get-user-certificate/45CElWL0etCMYtXQoOC9" TargetMode="External"/><Relationship Id="rId517" Type="http://schemas.openxmlformats.org/officeDocument/2006/relationships/hyperlink" Target="https://talan.bank.gov.ua/get-user-certificate/45CElin7PKJGrXkNdakv" TargetMode="External"/><Relationship Id="rId724" Type="http://schemas.openxmlformats.org/officeDocument/2006/relationships/hyperlink" Target="https://talan.bank.gov.ua/get-user-certificate/45CElU-Juk0GshhiJhxr" TargetMode="External"/><Relationship Id="rId931" Type="http://schemas.openxmlformats.org/officeDocument/2006/relationships/hyperlink" Target="https://talan.bank.gov.ua/get-user-certificate/45CElrmPfPX97G7bkohD" TargetMode="External"/><Relationship Id="rId1147" Type="http://schemas.openxmlformats.org/officeDocument/2006/relationships/hyperlink" Target="https://talan.bank.gov.ua/get-user-certificate/45CElBAJKRiMm6iwdgPB" TargetMode="External"/><Relationship Id="rId1354" Type="http://schemas.openxmlformats.org/officeDocument/2006/relationships/hyperlink" Target="https://talan.bank.gov.ua/get-user-certificate/45CElo3-x3jORmramZkn" TargetMode="External"/><Relationship Id="rId1561" Type="http://schemas.openxmlformats.org/officeDocument/2006/relationships/hyperlink" Target="https://talan.bank.gov.ua/get-user-certificate/45CElTQyPsEMYtTpx54k" TargetMode="External"/><Relationship Id="rId2405" Type="http://schemas.openxmlformats.org/officeDocument/2006/relationships/hyperlink" Target="https://talan.bank.gov.ua/get-user-certificate/45CElINg2FgKCn9423IL" TargetMode="External"/><Relationship Id="rId2612" Type="http://schemas.openxmlformats.org/officeDocument/2006/relationships/hyperlink" Target="https://talan.bank.gov.ua/get-user-certificate/45CElceav3cY-Df2FP4F" TargetMode="External"/><Relationship Id="rId60" Type="http://schemas.openxmlformats.org/officeDocument/2006/relationships/hyperlink" Target="https://talan.bank.gov.ua/get-user-certificate/45CElbFUsJxHHp9r4XV9" TargetMode="External"/><Relationship Id="rId1007" Type="http://schemas.openxmlformats.org/officeDocument/2006/relationships/hyperlink" Target="https://talan.bank.gov.ua/get-user-certificate/45CElPCZS6LSaSPuAb5P" TargetMode="External"/><Relationship Id="rId1214" Type="http://schemas.openxmlformats.org/officeDocument/2006/relationships/hyperlink" Target="https://talan.bank.gov.ua/get-user-certificate/45CElPlBIuhcpFPa3wLe" TargetMode="External"/><Relationship Id="rId1421" Type="http://schemas.openxmlformats.org/officeDocument/2006/relationships/hyperlink" Target="https://talan.bank.gov.ua/get-user-certificate/45CElcqI9nJ6AwhCxKp8" TargetMode="External"/><Relationship Id="rId4577" Type="http://schemas.openxmlformats.org/officeDocument/2006/relationships/hyperlink" Target="https://talan.bank.gov.ua/get-user-certificate/45CElPZi9BYA9_KjG9Kh" TargetMode="External"/><Relationship Id="rId4784" Type="http://schemas.openxmlformats.org/officeDocument/2006/relationships/hyperlink" Target="https://talan.bank.gov.ua/get-user-certificate/45CElNzji3rxz0Y3C1Xv" TargetMode="External"/><Relationship Id="rId4991" Type="http://schemas.openxmlformats.org/officeDocument/2006/relationships/hyperlink" Target="https://talan.bank.gov.ua/get-user-certificate/ki8TnG0KwHf9hEaRBMgt" TargetMode="External"/><Relationship Id="rId3179" Type="http://schemas.openxmlformats.org/officeDocument/2006/relationships/hyperlink" Target="https://talan.bank.gov.ua/get-user-certificate/45CElIzR5tZZlrfaQYSw" TargetMode="External"/><Relationship Id="rId3386" Type="http://schemas.openxmlformats.org/officeDocument/2006/relationships/hyperlink" Target="https://talan.bank.gov.ua/get-user-certificate/45CEl_xyYrDczKIOSwQZ" TargetMode="External"/><Relationship Id="rId3593" Type="http://schemas.openxmlformats.org/officeDocument/2006/relationships/hyperlink" Target="https://talan.bank.gov.ua/get-user-certificate/45CEl9BNhf_lCkO6ics7" TargetMode="External"/><Relationship Id="rId4437" Type="http://schemas.openxmlformats.org/officeDocument/2006/relationships/hyperlink" Target="https://talan.bank.gov.ua/get-user-certificate/45CElO61l03eAzaBUJxW" TargetMode="External"/><Relationship Id="rId4644" Type="http://schemas.openxmlformats.org/officeDocument/2006/relationships/hyperlink" Target="https://talan.bank.gov.ua/get-user-certificate/45CElwUSWqFOYUNYSZSH" TargetMode="External"/><Relationship Id="rId2195" Type="http://schemas.openxmlformats.org/officeDocument/2006/relationships/hyperlink" Target="https://talan.bank.gov.ua/get-user-certificate/45CElOcmATcLl5lvBPke" TargetMode="External"/><Relationship Id="rId3039" Type="http://schemas.openxmlformats.org/officeDocument/2006/relationships/hyperlink" Target="https://talan.bank.gov.ua/get-user-certificate/45CEllPGxY-Tom3lbIlO" TargetMode="External"/><Relationship Id="rId3246" Type="http://schemas.openxmlformats.org/officeDocument/2006/relationships/hyperlink" Target="https://talan.bank.gov.ua/get-user-certificate/45CElkhzgcyVgweovoSn" TargetMode="External"/><Relationship Id="rId3453" Type="http://schemas.openxmlformats.org/officeDocument/2006/relationships/hyperlink" Target="https://talan.bank.gov.ua/get-user-certificate/45CEl6aJCtcIy9Rc4vwU" TargetMode="External"/><Relationship Id="rId4851" Type="http://schemas.openxmlformats.org/officeDocument/2006/relationships/hyperlink" Target="https://talan.bank.gov.ua/get-user-certificate/45CElUKT6VwRBzoKTmma" TargetMode="External"/><Relationship Id="rId167" Type="http://schemas.openxmlformats.org/officeDocument/2006/relationships/hyperlink" Target="https://talan.bank.gov.ua/get-user-certificate/45CElig52juNkuoxX2Eo" TargetMode="External"/><Relationship Id="rId374" Type="http://schemas.openxmlformats.org/officeDocument/2006/relationships/hyperlink" Target="https://talan.bank.gov.ua/get-user-certificate/45CElbQsu3pFr-wVtgZ_" TargetMode="External"/><Relationship Id="rId581" Type="http://schemas.openxmlformats.org/officeDocument/2006/relationships/hyperlink" Target="https://talan.bank.gov.ua/get-user-certificate/45CEl_QISMqqUgpiYPmX" TargetMode="External"/><Relationship Id="rId2055" Type="http://schemas.openxmlformats.org/officeDocument/2006/relationships/hyperlink" Target="https://talan.bank.gov.ua/get-user-certificate/45CElgWp8opdNvZ0MLEV" TargetMode="External"/><Relationship Id="rId2262" Type="http://schemas.openxmlformats.org/officeDocument/2006/relationships/hyperlink" Target="https://talan.bank.gov.ua/get-user-certificate/45CElvuNqAny3UB8jccC" TargetMode="External"/><Relationship Id="rId3106" Type="http://schemas.openxmlformats.org/officeDocument/2006/relationships/hyperlink" Target="https://talan.bank.gov.ua/get-user-certificate/45CElj_tAUov83DRCfku" TargetMode="External"/><Relationship Id="rId3660" Type="http://schemas.openxmlformats.org/officeDocument/2006/relationships/hyperlink" Target="https://talan.bank.gov.ua/get-user-certificate/45CElRFADG_c2kWc7RAt" TargetMode="External"/><Relationship Id="rId4504" Type="http://schemas.openxmlformats.org/officeDocument/2006/relationships/hyperlink" Target="https://talan.bank.gov.ua/get-user-certificate/45CElYVo-bS84R4y3f0L" TargetMode="External"/><Relationship Id="rId4711" Type="http://schemas.openxmlformats.org/officeDocument/2006/relationships/hyperlink" Target="https://talan.bank.gov.ua/get-user-certificate/45CEl31Ua1aTz__IgUog" TargetMode="External"/><Relationship Id="rId234" Type="http://schemas.openxmlformats.org/officeDocument/2006/relationships/hyperlink" Target="https://talan.bank.gov.ua/get-user-certificate/45CElPPJf6Mhaz-JVHjN" TargetMode="External"/><Relationship Id="rId3313" Type="http://schemas.openxmlformats.org/officeDocument/2006/relationships/hyperlink" Target="https://talan.bank.gov.ua/get-user-certificate/45CElkv7j-GsqHY4FEZ8" TargetMode="External"/><Relationship Id="rId3520" Type="http://schemas.openxmlformats.org/officeDocument/2006/relationships/hyperlink" Target="https://talan.bank.gov.ua/get-user-certificate/45CElUjKTLSkUpnlaB6D" TargetMode="External"/><Relationship Id="rId441" Type="http://schemas.openxmlformats.org/officeDocument/2006/relationships/hyperlink" Target="https://talan.bank.gov.ua/get-user-certificate/45CElzRPDX2LAswtF-o6" TargetMode="External"/><Relationship Id="rId1071" Type="http://schemas.openxmlformats.org/officeDocument/2006/relationships/hyperlink" Target="https://talan.bank.gov.ua/get-user-certificate/45CEld6E-dbEYxvUSj8c" TargetMode="External"/><Relationship Id="rId2122" Type="http://schemas.openxmlformats.org/officeDocument/2006/relationships/hyperlink" Target="https://talan.bank.gov.ua/get-user-certificate/45CElvXNoT25HwjfgEfL" TargetMode="External"/><Relationship Id="rId301" Type="http://schemas.openxmlformats.org/officeDocument/2006/relationships/hyperlink" Target="https://talan.bank.gov.ua/get-user-certificate/45CElmEEZuBRhhMdKCmI" TargetMode="External"/><Relationship Id="rId1888" Type="http://schemas.openxmlformats.org/officeDocument/2006/relationships/hyperlink" Target="https://talan.bank.gov.ua/get-user-certificate/45CElD6cP7CVCwrI7-kz" TargetMode="External"/><Relationship Id="rId2939" Type="http://schemas.openxmlformats.org/officeDocument/2006/relationships/hyperlink" Target="https://talan.bank.gov.ua/get-user-certificate/45CElgXVq2ilTVnSBvzz" TargetMode="External"/><Relationship Id="rId4087" Type="http://schemas.openxmlformats.org/officeDocument/2006/relationships/hyperlink" Target="https://talan.bank.gov.ua/get-user-certificate/45CEldCvXkGtZXgm1-Re" TargetMode="External"/><Relationship Id="rId4294" Type="http://schemas.openxmlformats.org/officeDocument/2006/relationships/hyperlink" Target="https://talan.bank.gov.ua/get-user-certificate/45CElhuwqKlnt6Bxf9KA" TargetMode="External"/><Relationship Id="rId1748" Type="http://schemas.openxmlformats.org/officeDocument/2006/relationships/hyperlink" Target="https://talan.bank.gov.ua/get-user-certificate/45CEl2zyNARz6UYw8Hq9" TargetMode="External"/><Relationship Id="rId4154" Type="http://schemas.openxmlformats.org/officeDocument/2006/relationships/hyperlink" Target="https://talan.bank.gov.ua/get-user-certificate/45CElZo--4H-_2kSCgpI" TargetMode="External"/><Relationship Id="rId4361" Type="http://schemas.openxmlformats.org/officeDocument/2006/relationships/hyperlink" Target="https://talan.bank.gov.ua/get-user-certificate/45CEldoiraaVhicX-nWu" TargetMode="External"/><Relationship Id="rId1955" Type="http://schemas.openxmlformats.org/officeDocument/2006/relationships/hyperlink" Target="https://talan.bank.gov.ua/get-user-certificate/45CEltHlUOGBQuL_s99I" TargetMode="External"/><Relationship Id="rId3170" Type="http://schemas.openxmlformats.org/officeDocument/2006/relationships/hyperlink" Target="https://talan.bank.gov.ua/get-user-certificate/45CEl08glm-HNU6xPGhW" TargetMode="External"/><Relationship Id="rId4014" Type="http://schemas.openxmlformats.org/officeDocument/2006/relationships/hyperlink" Target="https://talan.bank.gov.ua/get-user-certificate/45CElfbQsCvF7fCsJkjc" TargetMode="External"/><Relationship Id="rId4221" Type="http://schemas.openxmlformats.org/officeDocument/2006/relationships/hyperlink" Target="https://talan.bank.gov.ua/get-user-certificate/45CEldOP7bGK9TdJ9q0b" TargetMode="External"/><Relationship Id="rId1608" Type="http://schemas.openxmlformats.org/officeDocument/2006/relationships/hyperlink" Target="https://talan.bank.gov.ua/get-user-certificate/45CEl8Ccv6DIvn_nJfVc" TargetMode="External"/><Relationship Id="rId1815" Type="http://schemas.openxmlformats.org/officeDocument/2006/relationships/hyperlink" Target="https://talan.bank.gov.ua/get-user-certificate/45CElZCAx3XEODojOkxU" TargetMode="External"/><Relationship Id="rId3030" Type="http://schemas.openxmlformats.org/officeDocument/2006/relationships/hyperlink" Target="https://talan.bank.gov.ua/get-user-certificate/45CElGvyBMlXt5RK7LId" TargetMode="External"/><Relationship Id="rId3987" Type="http://schemas.openxmlformats.org/officeDocument/2006/relationships/hyperlink" Target="https://talan.bank.gov.ua/get-user-certificate/45CEljUEcAbqez_2TRTU" TargetMode="External"/><Relationship Id="rId2589" Type="http://schemas.openxmlformats.org/officeDocument/2006/relationships/hyperlink" Target="https://talan.bank.gov.ua/get-user-certificate/45CEljrxreml7xukPKOo" TargetMode="External"/><Relationship Id="rId2796" Type="http://schemas.openxmlformats.org/officeDocument/2006/relationships/hyperlink" Target="https://talan.bank.gov.ua/get-user-certificate/45CElGS0OiwxfUdTMs_h" TargetMode="External"/><Relationship Id="rId3847" Type="http://schemas.openxmlformats.org/officeDocument/2006/relationships/hyperlink" Target="https://talan.bank.gov.ua/get-user-certificate/45CElG5xKPqoJJZJSpF9" TargetMode="External"/><Relationship Id="rId768" Type="http://schemas.openxmlformats.org/officeDocument/2006/relationships/hyperlink" Target="https://talan.bank.gov.ua/get-user-certificate/45CElb_UyoDWkTaoqO69" TargetMode="External"/><Relationship Id="rId975" Type="http://schemas.openxmlformats.org/officeDocument/2006/relationships/hyperlink" Target="https://talan.bank.gov.ua/get-user-certificate/45CEl0_9xbv31WE2vt6O" TargetMode="External"/><Relationship Id="rId1398" Type="http://schemas.openxmlformats.org/officeDocument/2006/relationships/hyperlink" Target="https://talan.bank.gov.ua/get-user-certificate/45CEl1ygNN9SgOjvWMbg" TargetMode="External"/><Relationship Id="rId2449" Type="http://schemas.openxmlformats.org/officeDocument/2006/relationships/hyperlink" Target="https://talan.bank.gov.ua/get-user-certificate/45CElgRT3Z6tiqXGkYjx" TargetMode="External"/><Relationship Id="rId2656" Type="http://schemas.openxmlformats.org/officeDocument/2006/relationships/hyperlink" Target="https://talan.bank.gov.ua/get-user-certificate/45CElsqZLqsQOTUpxub-" TargetMode="External"/><Relationship Id="rId2863" Type="http://schemas.openxmlformats.org/officeDocument/2006/relationships/hyperlink" Target="https://talan.bank.gov.ua/get-user-certificate/45CElHtyjHwFPoOL00r1" TargetMode="External"/><Relationship Id="rId3707" Type="http://schemas.openxmlformats.org/officeDocument/2006/relationships/hyperlink" Target="https://talan.bank.gov.ua/get-user-certificate/45CElhtS33o1USw1A3vj" TargetMode="External"/><Relationship Id="rId3914" Type="http://schemas.openxmlformats.org/officeDocument/2006/relationships/hyperlink" Target="https://talan.bank.gov.ua/get-user-certificate/45CElnphwu1mgXq2-hiB" TargetMode="External"/><Relationship Id="rId628" Type="http://schemas.openxmlformats.org/officeDocument/2006/relationships/hyperlink" Target="https://talan.bank.gov.ua/get-user-certificate/45CEl3gcz2Fgm1fQZA68" TargetMode="External"/><Relationship Id="rId835" Type="http://schemas.openxmlformats.org/officeDocument/2006/relationships/hyperlink" Target="https://talan.bank.gov.ua/get-user-certificate/45CEl8ao0cRydb2PTNaW" TargetMode="External"/><Relationship Id="rId1258" Type="http://schemas.openxmlformats.org/officeDocument/2006/relationships/hyperlink" Target="https://talan.bank.gov.ua/get-user-certificate/45CElDkZ7eWKjtL6YGiL" TargetMode="External"/><Relationship Id="rId1465" Type="http://schemas.openxmlformats.org/officeDocument/2006/relationships/hyperlink" Target="https://talan.bank.gov.ua/get-user-certificate/45CElePtVT0DtFLYpUg8" TargetMode="External"/><Relationship Id="rId1672" Type="http://schemas.openxmlformats.org/officeDocument/2006/relationships/hyperlink" Target="https://talan.bank.gov.ua/get-user-certificate/45CEl0YO-BQICysVa9hp" TargetMode="External"/><Relationship Id="rId2309" Type="http://schemas.openxmlformats.org/officeDocument/2006/relationships/hyperlink" Target="https://talan.bank.gov.ua/get-user-certificate/45CElk6SP-X-7t0Cabwv" TargetMode="External"/><Relationship Id="rId2516" Type="http://schemas.openxmlformats.org/officeDocument/2006/relationships/hyperlink" Target="https://talan.bank.gov.ua/get-user-certificate/45CElF-osqD1OnVz5wNf" TargetMode="External"/><Relationship Id="rId2723" Type="http://schemas.openxmlformats.org/officeDocument/2006/relationships/hyperlink" Target="https://talan.bank.gov.ua/get-user-certificate/45CEl-y-0h7eTdl2qDdg" TargetMode="External"/><Relationship Id="rId1118" Type="http://schemas.openxmlformats.org/officeDocument/2006/relationships/hyperlink" Target="https://talan.bank.gov.ua/get-user-certificate/45CEl2ya6VpWImQwf_TJ" TargetMode="External"/><Relationship Id="rId1325" Type="http://schemas.openxmlformats.org/officeDocument/2006/relationships/hyperlink" Target="https://talan.bank.gov.ua/get-user-certificate/45CElBRR92ek68VwYz9E" TargetMode="External"/><Relationship Id="rId1532" Type="http://schemas.openxmlformats.org/officeDocument/2006/relationships/hyperlink" Target="https://talan.bank.gov.ua/get-user-certificate/45CElOFJlkQBehBaqhXD" TargetMode="External"/><Relationship Id="rId2930" Type="http://schemas.openxmlformats.org/officeDocument/2006/relationships/hyperlink" Target="https://talan.bank.gov.ua/get-user-certificate/45CElr_Q_8jdmVqLwQwI" TargetMode="External"/><Relationship Id="rId4688" Type="http://schemas.openxmlformats.org/officeDocument/2006/relationships/hyperlink" Target="https://talan.bank.gov.ua/get-user-certificate/45CElIB9qU97TKHtxvMG" TargetMode="External"/><Relationship Id="rId902" Type="http://schemas.openxmlformats.org/officeDocument/2006/relationships/hyperlink" Target="https://talan.bank.gov.ua/get-user-certificate/45CEl6f3xpj4yUWFS7L5" TargetMode="External"/><Relationship Id="rId3497" Type="http://schemas.openxmlformats.org/officeDocument/2006/relationships/hyperlink" Target="https://talan.bank.gov.ua/get-user-certificate/45CElhrF1DPFVYNgLrnJ" TargetMode="External"/><Relationship Id="rId4895" Type="http://schemas.openxmlformats.org/officeDocument/2006/relationships/hyperlink" Target="https://talan.bank.gov.ua/get-user-certificate/45CEl3Lm51VGmRxPRQte" TargetMode="External"/><Relationship Id="rId31" Type="http://schemas.openxmlformats.org/officeDocument/2006/relationships/hyperlink" Target="https://talan.bank.gov.ua/get-user-certificate/45CElH_5fiC6Q24ivjXQ" TargetMode="External"/><Relationship Id="rId2099" Type="http://schemas.openxmlformats.org/officeDocument/2006/relationships/hyperlink" Target="https://talan.bank.gov.ua/get-user-certificate/45CElV0OtU4AgaTMmnup" TargetMode="External"/><Relationship Id="rId4548" Type="http://schemas.openxmlformats.org/officeDocument/2006/relationships/hyperlink" Target="https://talan.bank.gov.ua/get-user-certificate/45CEl0G45DKgmru3JKCm" TargetMode="External"/><Relationship Id="rId4755" Type="http://schemas.openxmlformats.org/officeDocument/2006/relationships/hyperlink" Target="https://talan.bank.gov.ua/get-user-certificate/45CElSDe5UuwKjrpfv8z" TargetMode="External"/><Relationship Id="rId4962" Type="http://schemas.openxmlformats.org/officeDocument/2006/relationships/hyperlink" Target="https://talan.bank.gov.ua/get-user-certificate/45CEl_Ol4ewJkYsX_T-1" TargetMode="External"/><Relationship Id="rId278" Type="http://schemas.openxmlformats.org/officeDocument/2006/relationships/hyperlink" Target="https://talan.bank.gov.ua/get-user-certificate/45CElFWTNdN7V1rp03eJ" TargetMode="External"/><Relationship Id="rId3357" Type="http://schemas.openxmlformats.org/officeDocument/2006/relationships/hyperlink" Target="https://talan.bank.gov.ua/get-user-certificate/45CElUPjJoa-LQmcU1X4" TargetMode="External"/><Relationship Id="rId3564" Type="http://schemas.openxmlformats.org/officeDocument/2006/relationships/hyperlink" Target="https://talan.bank.gov.ua/get-user-certificate/45CElTnm5weCxG0qY5mx" TargetMode="External"/><Relationship Id="rId3771" Type="http://schemas.openxmlformats.org/officeDocument/2006/relationships/hyperlink" Target="https://talan.bank.gov.ua/get-user-certificate/45CEl150jXqK0q4fYRG6" TargetMode="External"/><Relationship Id="rId4408" Type="http://schemas.openxmlformats.org/officeDocument/2006/relationships/hyperlink" Target="https://talan.bank.gov.ua/get-user-certificate/45CElRqntNIcnUOIP14i" TargetMode="External"/><Relationship Id="rId4615" Type="http://schemas.openxmlformats.org/officeDocument/2006/relationships/hyperlink" Target="https://talan.bank.gov.ua/get-user-certificate/45CElktyokdbd48VwlGl" TargetMode="External"/><Relationship Id="rId4822" Type="http://schemas.openxmlformats.org/officeDocument/2006/relationships/hyperlink" Target="https://talan.bank.gov.ua/get-user-certificate/45CElkuc5MTl3KqaJmQZ" TargetMode="External"/><Relationship Id="rId485" Type="http://schemas.openxmlformats.org/officeDocument/2006/relationships/hyperlink" Target="https://talan.bank.gov.ua/get-user-certificate/45CEl_Bq4RYy21ls2bGT" TargetMode="External"/><Relationship Id="rId692" Type="http://schemas.openxmlformats.org/officeDocument/2006/relationships/hyperlink" Target="https://talan.bank.gov.ua/get-user-certificate/45CElge0RojjCFA3l_Bo" TargetMode="External"/><Relationship Id="rId2166" Type="http://schemas.openxmlformats.org/officeDocument/2006/relationships/hyperlink" Target="https://talan.bank.gov.ua/get-user-certificate/45CEl2VDOFt0LdLIeqKU" TargetMode="External"/><Relationship Id="rId2373" Type="http://schemas.openxmlformats.org/officeDocument/2006/relationships/hyperlink" Target="https://talan.bank.gov.ua/get-user-certificate/45CElPRctRylM1ZJQQ6B" TargetMode="External"/><Relationship Id="rId2580" Type="http://schemas.openxmlformats.org/officeDocument/2006/relationships/hyperlink" Target="https://talan.bank.gov.ua/get-user-certificate/45CElSCScpu9d4ER7-da" TargetMode="External"/><Relationship Id="rId3217" Type="http://schemas.openxmlformats.org/officeDocument/2006/relationships/hyperlink" Target="https://talan.bank.gov.ua/get-user-certificate/45CEl7HcPCG-0DESry2z" TargetMode="External"/><Relationship Id="rId3424" Type="http://schemas.openxmlformats.org/officeDocument/2006/relationships/hyperlink" Target="https://talan.bank.gov.ua/get-user-certificate/45CEl6816LNiA7yCM3Cy" TargetMode="External"/><Relationship Id="rId3631" Type="http://schemas.openxmlformats.org/officeDocument/2006/relationships/hyperlink" Target="https://talan.bank.gov.ua/get-user-certificate/45CElBIIdwTDQtasSuio" TargetMode="External"/><Relationship Id="rId138" Type="http://schemas.openxmlformats.org/officeDocument/2006/relationships/hyperlink" Target="https://talan.bank.gov.ua/get-user-certificate/45CElVQyfHjf7ou37F-7" TargetMode="External"/><Relationship Id="rId345" Type="http://schemas.openxmlformats.org/officeDocument/2006/relationships/hyperlink" Target="https://talan.bank.gov.ua/get-user-certificate/45CElnqgwhHvJ5SREVVn" TargetMode="External"/><Relationship Id="rId552" Type="http://schemas.openxmlformats.org/officeDocument/2006/relationships/hyperlink" Target="https://talan.bank.gov.ua/get-user-certificate/45CElcmMq65o9qBiG6F3" TargetMode="External"/><Relationship Id="rId1182" Type="http://schemas.openxmlformats.org/officeDocument/2006/relationships/hyperlink" Target="https://talan.bank.gov.ua/get-user-certificate/45CEl21V01Cf9J3daRCR" TargetMode="External"/><Relationship Id="rId2026" Type="http://schemas.openxmlformats.org/officeDocument/2006/relationships/hyperlink" Target="https://talan.bank.gov.ua/get-user-certificate/45CEl6oymgjaGc2ER8Oo" TargetMode="External"/><Relationship Id="rId2233" Type="http://schemas.openxmlformats.org/officeDocument/2006/relationships/hyperlink" Target="https://talan.bank.gov.ua/get-user-certificate/45CElD8VTJseRNW3339t" TargetMode="External"/><Relationship Id="rId2440" Type="http://schemas.openxmlformats.org/officeDocument/2006/relationships/hyperlink" Target="https://talan.bank.gov.ua/get-user-certificate/45CElzdpGkZsJC-7t69G" TargetMode="External"/><Relationship Id="rId205" Type="http://schemas.openxmlformats.org/officeDocument/2006/relationships/hyperlink" Target="https://talan.bank.gov.ua/get-user-certificate/45CElZrETABlVstuoF1i" TargetMode="External"/><Relationship Id="rId412" Type="http://schemas.openxmlformats.org/officeDocument/2006/relationships/hyperlink" Target="https://talan.bank.gov.ua/get-user-certificate/45CElXUHexbeEjGLiy-F" TargetMode="External"/><Relationship Id="rId1042" Type="http://schemas.openxmlformats.org/officeDocument/2006/relationships/hyperlink" Target="https://talan.bank.gov.ua/get-user-certificate/45CElxSrlkvn5EV1rNX_" TargetMode="External"/><Relationship Id="rId2300" Type="http://schemas.openxmlformats.org/officeDocument/2006/relationships/hyperlink" Target="https://talan.bank.gov.ua/get-user-certificate/45CElNgF8lgZQJWZOQLM" TargetMode="External"/><Relationship Id="rId4198" Type="http://schemas.openxmlformats.org/officeDocument/2006/relationships/hyperlink" Target="https://talan.bank.gov.ua/get-user-certificate/45CElWQC526I1D9S5mKl" TargetMode="External"/><Relationship Id="rId1999" Type="http://schemas.openxmlformats.org/officeDocument/2006/relationships/hyperlink" Target="https://talan.bank.gov.ua/get-user-certificate/45CEl3pttwKNy_5Zh0Fi" TargetMode="External"/><Relationship Id="rId4058" Type="http://schemas.openxmlformats.org/officeDocument/2006/relationships/hyperlink" Target="https://talan.bank.gov.ua/get-user-certificate/45CElDiSBW8b2S5FDaov" TargetMode="External"/><Relationship Id="rId4265" Type="http://schemas.openxmlformats.org/officeDocument/2006/relationships/hyperlink" Target="https://talan.bank.gov.ua/get-user-certificate/45CElPnyuTs-ysDCnwbX" TargetMode="External"/><Relationship Id="rId4472" Type="http://schemas.openxmlformats.org/officeDocument/2006/relationships/hyperlink" Target="https://talan.bank.gov.ua/get-user-certificate/45CElaHKnvwJ6qtt_qdK" TargetMode="External"/><Relationship Id="rId1859" Type="http://schemas.openxmlformats.org/officeDocument/2006/relationships/hyperlink" Target="https://talan.bank.gov.ua/get-user-certificate/45CElcqOHQeel2d8yjtR" TargetMode="External"/><Relationship Id="rId3074" Type="http://schemas.openxmlformats.org/officeDocument/2006/relationships/hyperlink" Target="https://talan.bank.gov.ua/get-user-certificate/45CElEEgZUfDEL23zKDv" TargetMode="External"/><Relationship Id="rId4125" Type="http://schemas.openxmlformats.org/officeDocument/2006/relationships/hyperlink" Target="https://talan.bank.gov.ua/get-user-certificate/45CElaNwF2WSNSCFeArn" TargetMode="External"/><Relationship Id="rId1719" Type="http://schemas.openxmlformats.org/officeDocument/2006/relationships/hyperlink" Target="https://talan.bank.gov.ua/get-user-certificate/45CElQ7hV-P_xVVl4jUl" TargetMode="External"/><Relationship Id="rId1926" Type="http://schemas.openxmlformats.org/officeDocument/2006/relationships/hyperlink" Target="https://talan.bank.gov.ua/get-user-certificate/45CElufrqL2Fv4OsVWRZ" TargetMode="External"/><Relationship Id="rId3281" Type="http://schemas.openxmlformats.org/officeDocument/2006/relationships/hyperlink" Target="https://talan.bank.gov.ua/get-user-certificate/45CElD6PsuebcQsp8Gsk" TargetMode="External"/><Relationship Id="rId4332" Type="http://schemas.openxmlformats.org/officeDocument/2006/relationships/hyperlink" Target="https://talan.bank.gov.ua/get-user-certificate/45CElB1osR1FMZF21ihy" TargetMode="External"/><Relationship Id="rId2090" Type="http://schemas.openxmlformats.org/officeDocument/2006/relationships/hyperlink" Target="https://talan.bank.gov.ua/get-user-certificate/45CEln6lnSmprGVTd1Bj" TargetMode="External"/><Relationship Id="rId3141" Type="http://schemas.openxmlformats.org/officeDocument/2006/relationships/hyperlink" Target="https://talan.bank.gov.ua/get-user-certificate/45CElIDVXOhr8ECbRUDS" TargetMode="External"/><Relationship Id="rId3001" Type="http://schemas.openxmlformats.org/officeDocument/2006/relationships/hyperlink" Target="https://talan.bank.gov.ua/get-user-certificate/45CElIV-Z1cvNhkYz7T3" TargetMode="External"/><Relationship Id="rId3958" Type="http://schemas.openxmlformats.org/officeDocument/2006/relationships/hyperlink" Target="https://talan.bank.gov.ua/get-user-certificate/45CEleY87WkMhhbLhMA3" TargetMode="External"/><Relationship Id="rId879" Type="http://schemas.openxmlformats.org/officeDocument/2006/relationships/hyperlink" Target="https://talan.bank.gov.ua/get-user-certificate/45CEl6vSmmMN-wQTbIte" TargetMode="External"/><Relationship Id="rId2767" Type="http://schemas.openxmlformats.org/officeDocument/2006/relationships/hyperlink" Target="https://talan.bank.gov.ua/get-user-certificate/45CElDKIfQGTsD1Rs8j9" TargetMode="External"/><Relationship Id="rId739" Type="http://schemas.openxmlformats.org/officeDocument/2006/relationships/hyperlink" Target="https://talan.bank.gov.ua/get-user-certificate/45CElihFPVhS_N3Ha8cx" TargetMode="External"/><Relationship Id="rId1369" Type="http://schemas.openxmlformats.org/officeDocument/2006/relationships/hyperlink" Target="https://talan.bank.gov.ua/get-user-certificate/45CElCNyKKVSLGodkLsF" TargetMode="External"/><Relationship Id="rId1576" Type="http://schemas.openxmlformats.org/officeDocument/2006/relationships/hyperlink" Target="https://talan.bank.gov.ua/get-user-certificate/45CElegvWEZyaTyNGdzZ" TargetMode="External"/><Relationship Id="rId2974" Type="http://schemas.openxmlformats.org/officeDocument/2006/relationships/hyperlink" Target="https://talan.bank.gov.ua/get-user-certificate/45CElNm64t3sB5HfdaKW" TargetMode="External"/><Relationship Id="rId3818" Type="http://schemas.openxmlformats.org/officeDocument/2006/relationships/hyperlink" Target="https://talan.bank.gov.ua/get-user-certificate/45CElyx1I-njXBTQOALq" TargetMode="External"/><Relationship Id="rId946" Type="http://schemas.openxmlformats.org/officeDocument/2006/relationships/hyperlink" Target="https://talan.bank.gov.ua/get-user-certificate/45CEliy-oj3uHnL0ExNP" TargetMode="External"/><Relationship Id="rId1229" Type="http://schemas.openxmlformats.org/officeDocument/2006/relationships/hyperlink" Target="https://talan.bank.gov.ua/get-user-certificate/45CElg2xB3H95B4hImwo" TargetMode="External"/><Relationship Id="rId1783" Type="http://schemas.openxmlformats.org/officeDocument/2006/relationships/hyperlink" Target="https://talan.bank.gov.ua/get-user-certificate/45CElnxUibHkFdr2EXjZ" TargetMode="External"/><Relationship Id="rId1990" Type="http://schemas.openxmlformats.org/officeDocument/2006/relationships/hyperlink" Target="https://talan.bank.gov.ua/get-user-certificate/45CElVSzJRC6o_g7v8RS" TargetMode="External"/><Relationship Id="rId2627" Type="http://schemas.openxmlformats.org/officeDocument/2006/relationships/hyperlink" Target="https://talan.bank.gov.ua/get-user-certificate/45CElM8l5s5OpgqJHW5Q" TargetMode="External"/><Relationship Id="rId2834" Type="http://schemas.openxmlformats.org/officeDocument/2006/relationships/hyperlink" Target="https://talan.bank.gov.ua/get-user-certificate/45CElwcn1dn_BNz9BrNy" TargetMode="External"/><Relationship Id="rId75" Type="http://schemas.openxmlformats.org/officeDocument/2006/relationships/hyperlink" Target="https://talan.bank.gov.ua/get-user-certificate/45CElRUBhcHGuLpJhGAL" TargetMode="External"/><Relationship Id="rId806" Type="http://schemas.openxmlformats.org/officeDocument/2006/relationships/hyperlink" Target="https://talan.bank.gov.ua/get-user-certificate/45CElC4In3fgwmaQOVXd" TargetMode="External"/><Relationship Id="rId1436" Type="http://schemas.openxmlformats.org/officeDocument/2006/relationships/hyperlink" Target="https://talan.bank.gov.ua/get-user-certificate/45CEl6TP5aSQyCWQ_TJS" TargetMode="External"/><Relationship Id="rId1643" Type="http://schemas.openxmlformats.org/officeDocument/2006/relationships/hyperlink" Target="https://talan.bank.gov.ua/get-user-certificate/45CElB7wKZ4Bd-0GXgBX" TargetMode="External"/><Relationship Id="rId1850" Type="http://schemas.openxmlformats.org/officeDocument/2006/relationships/hyperlink" Target="https://talan.bank.gov.ua/get-user-certificate/45CElC2ZpxWKVIlJKwsl" TargetMode="External"/><Relationship Id="rId2901" Type="http://schemas.openxmlformats.org/officeDocument/2006/relationships/hyperlink" Target="https://talan.bank.gov.ua/get-user-certificate/45CElr1CrY_2feTtgnkD" TargetMode="External"/><Relationship Id="rId4799" Type="http://schemas.openxmlformats.org/officeDocument/2006/relationships/hyperlink" Target="https://talan.bank.gov.ua/get-user-certificate/45CElTNuQrOGQvd2ib-2" TargetMode="External"/><Relationship Id="rId1503" Type="http://schemas.openxmlformats.org/officeDocument/2006/relationships/hyperlink" Target="https://talan.bank.gov.ua/get-user-certificate/45CElWMghZN5D9G8M6I-" TargetMode="External"/><Relationship Id="rId1710" Type="http://schemas.openxmlformats.org/officeDocument/2006/relationships/hyperlink" Target="https://talan.bank.gov.ua/get-user-certificate/45CElRYxlOH4uZPNiwTj" TargetMode="External"/><Relationship Id="rId4659" Type="http://schemas.openxmlformats.org/officeDocument/2006/relationships/hyperlink" Target="https://talan.bank.gov.ua/get-user-certificate/45CElLYMek2pzb_PZEJv" TargetMode="External"/><Relationship Id="rId4866" Type="http://schemas.openxmlformats.org/officeDocument/2006/relationships/hyperlink" Target="https://talan.bank.gov.ua/get-user-certificate/45CElJuKoESfowEpSJJg" TargetMode="External"/><Relationship Id="rId3468" Type="http://schemas.openxmlformats.org/officeDocument/2006/relationships/hyperlink" Target="https://talan.bank.gov.ua/get-user-certificate/45CEljgvKEeuaMF2jKJS" TargetMode="External"/><Relationship Id="rId3675" Type="http://schemas.openxmlformats.org/officeDocument/2006/relationships/hyperlink" Target="https://talan.bank.gov.ua/get-user-certificate/45CElLwLXPtvbPfFGWGm" TargetMode="External"/><Relationship Id="rId3882" Type="http://schemas.openxmlformats.org/officeDocument/2006/relationships/hyperlink" Target="https://talan.bank.gov.ua/get-user-certificate/45CElunIHSTMoYAIeWCZ" TargetMode="External"/><Relationship Id="rId4519" Type="http://schemas.openxmlformats.org/officeDocument/2006/relationships/hyperlink" Target="https://talan.bank.gov.ua/get-user-certificate/45CElqPzmSlZ4KgUrB6e" TargetMode="External"/><Relationship Id="rId4726" Type="http://schemas.openxmlformats.org/officeDocument/2006/relationships/hyperlink" Target="https://talan.bank.gov.ua/get-user-certificate/45CEltkA67IZOs8lwYeC" TargetMode="External"/><Relationship Id="rId4933" Type="http://schemas.openxmlformats.org/officeDocument/2006/relationships/hyperlink" Target="https://talan.bank.gov.ua/get-user-certificate/45CElkbXl7F-fDpFT4co" TargetMode="External"/><Relationship Id="rId389" Type="http://schemas.openxmlformats.org/officeDocument/2006/relationships/hyperlink" Target="https://talan.bank.gov.ua/get-user-certificate/45CElQmSFCLK6AzYno6i" TargetMode="External"/><Relationship Id="rId596" Type="http://schemas.openxmlformats.org/officeDocument/2006/relationships/hyperlink" Target="https://talan.bank.gov.ua/get-user-certificate/45CElg-QJ5vUP2-Yhinf" TargetMode="External"/><Relationship Id="rId2277" Type="http://schemas.openxmlformats.org/officeDocument/2006/relationships/hyperlink" Target="https://talan.bank.gov.ua/get-user-certificate/45CElf3b2Jr3GY8RE4g_" TargetMode="External"/><Relationship Id="rId2484" Type="http://schemas.openxmlformats.org/officeDocument/2006/relationships/hyperlink" Target="https://talan.bank.gov.ua/get-user-certificate/45CElhUN9VTstBsKqLhf" TargetMode="External"/><Relationship Id="rId2691" Type="http://schemas.openxmlformats.org/officeDocument/2006/relationships/hyperlink" Target="https://talan.bank.gov.ua/get-user-certificate/45CElj5ucVgVEDsopep3" TargetMode="External"/><Relationship Id="rId3328" Type="http://schemas.openxmlformats.org/officeDocument/2006/relationships/hyperlink" Target="https://talan.bank.gov.ua/get-user-certificate/45CEleEZJErKapDjMW0L" TargetMode="External"/><Relationship Id="rId3535" Type="http://schemas.openxmlformats.org/officeDocument/2006/relationships/hyperlink" Target="https://talan.bank.gov.ua/get-user-certificate/45CElNkaDVckScEsc_fs" TargetMode="External"/><Relationship Id="rId3742" Type="http://schemas.openxmlformats.org/officeDocument/2006/relationships/hyperlink" Target="https://talan.bank.gov.ua/get-user-certificate/45CElkyXvljud9Hrc81L" TargetMode="External"/><Relationship Id="rId249" Type="http://schemas.openxmlformats.org/officeDocument/2006/relationships/hyperlink" Target="https://talan.bank.gov.ua/get-user-certificate/45CElQSngTZWS6Go0QDE" TargetMode="External"/><Relationship Id="rId456" Type="http://schemas.openxmlformats.org/officeDocument/2006/relationships/hyperlink" Target="https://talan.bank.gov.ua/get-user-certificate/45CEl-MC9Tih0-q8lrxn" TargetMode="External"/><Relationship Id="rId663" Type="http://schemas.openxmlformats.org/officeDocument/2006/relationships/hyperlink" Target="https://talan.bank.gov.ua/get-user-certificate/45CElbYRLuVbeKzqYHjO" TargetMode="External"/><Relationship Id="rId870" Type="http://schemas.openxmlformats.org/officeDocument/2006/relationships/hyperlink" Target="https://talan.bank.gov.ua/get-user-certificate/45CElnYgwdbDf6rihh8b" TargetMode="External"/><Relationship Id="rId1086" Type="http://schemas.openxmlformats.org/officeDocument/2006/relationships/hyperlink" Target="https://talan.bank.gov.ua/get-user-certificate/45CElPSvuJsGbLJlgz4d" TargetMode="External"/><Relationship Id="rId1293" Type="http://schemas.openxmlformats.org/officeDocument/2006/relationships/hyperlink" Target="https://talan.bank.gov.ua/get-user-certificate/45CElAX3q_4qg2j5PfIm" TargetMode="External"/><Relationship Id="rId2137" Type="http://schemas.openxmlformats.org/officeDocument/2006/relationships/hyperlink" Target="https://talan.bank.gov.ua/get-user-certificate/45CElDHSBmgmpYTcGS7n" TargetMode="External"/><Relationship Id="rId2344" Type="http://schemas.openxmlformats.org/officeDocument/2006/relationships/hyperlink" Target="https://talan.bank.gov.ua/get-user-certificate/45CElDWzKYCfdBCWlDXs" TargetMode="External"/><Relationship Id="rId2551" Type="http://schemas.openxmlformats.org/officeDocument/2006/relationships/hyperlink" Target="https://talan.bank.gov.ua/get-user-certificate/45CElhRoqOWG-COT_7zM" TargetMode="External"/><Relationship Id="rId109" Type="http://schemas.openxmlformats.org/officeDocument/2006/relationships/hyperlink" Target="https://talan.bank.gov.ua/get-user-certificate/45CElFED0sd2VPYWNsQ5" TargetMode="External"/><Relationship Id="rId316" Type="http://schemas.openxmlformats.org/officeDocument/2006/relationships/hyperlink" Target="https://talan.bank.gov.ua/get-user-certificate/45CElaOinMTHZpb1MXAV" TargetMode="External"/><Relationship Id="rId523" Type="http://schemas.openxmlformats.org/officeDocument/2006/relationships/hyperlink" Target="https://talan.bank.gov.ua/get-user-certificate/45CElg6xOZ3LHWfHtO3z" TargetMode="External"/><Relationship Id="rId1153" Type="http://schemas.openxmlformats.org/officeDocument/2006/relationships/hyperlink" Target="https://talan.bank.gov.ua/get-user-certificate/45CElJKgWa3FrPhLxMVj" TargetMode="External"/><Relationship Id="rId2204" Type="http://schemas.openxmlformats.org/officeDocument/2006/relationships/hyperlink" Target="https://talan.bank.gov.ua/get-user-certificate/45CEl_oXOBAKgPE3dnX4" TargetMode="External"/><Relationship Id="rId3602" Type="http://schemas.openxmlformats.org/officeDocument/2006/relationships/hyperlink" Target="https://talan.bank.gov.ua/get-user-certificate/45CElNRwj1HU5Dg20eXM" TargetMode="External"/><Relationship Id="rId730" Type="http://schemas.openxmlformats.org/officeDocument/2006/relationships/hyperlink" Target="https://talan.bank.gov.ua/get-user-certificate/45CElpJeYnIlh7c1a3GR" TargetMode="External"/><Relationship Id="rId1013" Type="http://schemas.openxmlformats.org/officeDocument/2006/relationships/hyperlink" Target="https://talan.bank.gov.ua/get-user-certificate/45CElmTOuj4cl3Hqc34s" TargetMode="External"/><Relationship Id="rId1360" Type="http://schemas.openxmlformats.org/officeDocument/2006/relationships/hyperlink" Target="https://talan.bank.gov.ua/get-user-certificate/45CEl1E0a9pzSDa2bD-h" TargetMode="External"/><Relationship Id="rId2411" Type="http://schemas.openxmlformats.org/officeDocument/2006/relationships/hyperlink" Target="https://talan.bank.gov.ua/get-user-certificate/45CElkP0Y07XAiDQFIqP" TargetMode="External"/><Relationship Id="rId4169" Type="http://schemas.openxmlformats.org/officeDocument/2006/relationships/hyperlink" Target="https://talan.bank.gov.ua/get-user-certificate/45CEl49ndXMYatB_Go-t" TargetMode="External"/><Relationship Id="rId1220" Type="http://schemas.openxmlformats.org/officeDocument/2006/relationships/hyperlink" Target="https://talan.bank.gov.ua/get-user-certificate/45CElfxems9oDz-SYloA" TargetMode="External"/><Relationship Id="rId4376" Type="http://schemas.openxmlformats.org/officeDocument/2006/relationships/hyperlink" Target="https://talan.bank.gov.ua/get-user-certificate/45CElEpjOrYvSe5VGIZD" TargetMode="External"/><Relationship Id="rId4583" Type="http://schemas.openxmlformats.org/officeDocument/2006/relationships/hyperlink" Target="https://talan.bank.gov.ua/get-user-certificate/45CElIOEPMSyhA3ixIJs" TargetMode="External"/><Relationship Id="rId4790" Type="http://schemas.openxmlformats.org/officeDocument/2006/relationships/hyperlink" Target="https://talan.bank.gov.ua/get-user-certificate/45CElmHiT4_JPJn7VA8T" TargetMode="External"/><Relationship Id="rId3185" Type="http://schemas.openxmlformats.org/officeDocument/2006/relationships/hyperlink" Target="https://talan.bank.gov.ua/get-user-certificate/45CElE_K4iuX65DfbXF4" TargetMode="External"/><Relationship Id="rId3392" Type="http://schemas.openxmlformats.org/officeDocument/2006/relationships/hyperlink" Target="https://talan.bank.gov.ua/get-user-certificate/45CElWLzuRxDNzTeSjkZ" TargetMode="External"/><Relationship Id="rId4029" Type="http://schemas.openxmlformats.org/officeDocument/2006/relationships/hyperlink" Target="https://talan.bank.gov.ua/get-user-certificate/45CElX6RRe6UZOOxmodU" TargetMode="External"/><Relationship Id="rId4236" Type="http://schemas.openxmlformats.org/officeDocument/2006/relationships/hyperlink" Target="https://talan.bank.gov.ua/get-user-certificate/45CElrr859Q_y_mo0Jro" TargetMode="External"/><Relationship Id="rId4443" Type="http://schemas.openxmlformats.org/officeDocument/2006/relationships/hyperlink" Target="https://talan.bank.gov.ua/get-user-certificate/45CElRUe88eRVXHsxZ7o" TargetMode="External"/><Relationship Id="rId4650" Type="http://schemas.openxmlformats.org/officeDocument/2006/relationships/hyperlink" Target="https://talan.bank.gov.ua/get-user-certificate/45CElSG8JIypMjJIwKyh" TargetMode="External"/><Relationship Id="rId3045" Type="http://schemas.openxmlformats.org/officeDocument/2006/relationships/hyperlink" Target="https://talan.bank.gov.ua/get-user-certificate/45CElC-sexxG9yIEvHGl" TargetMode="External"/><Relationship Id="rId3252" Type="http://schemas.openxmlformats.org/officeDocument/2006/relationships/hyperlink" Target="https://talan.bank.gov.ua/get-user-certificate/45CEl_VXJHAS4iB7cjC3" TargetMode="External"/><Relationship Id="rId4303" Type="http://schemas.openxmlformats.org/officeDocument/2006/relationships/hyperlink" Target="https://talan.bank.gov.ua/get-user-certificate/45CEl18UV7ISxCTi6g9L" TargetMode="External"/><Relationship Id="rId4510" Type="http://schemas.openxmlformats.org/officeDocument/2006/relationships/hyperlink" Target="https://talan.bank.gov.ua/get-user-certificate/45CElVwq6d4CYceW1boG" TargetMode="External"/><Relationship Id="rId173" Type="http://schemas.openxmlformats.org/officeDocument/2006/relationships/hyperlink" Target="https://talan.bank.gov.ua/get-user-certificate/45CElymnyWYEvS2OkjuJ" TargetMode="External"/><Relationship Id="rId380" Type="http://schemas.openxmlformats.org/officeDocument/2006/relationships/hyperlink" Target="https://talan.bank.gov.ua/get-user-certificate/45CEl3IIz86Uisrkd83P" TargetMode="External"/><Relationship Id="rId2061" Type="http://schemas.openxmlformats.org/officeDocument/2006/relationships/hyperlink" Target="https://talan.bank.gov.ua/get-user-certificate/45CElHWoWjJ6iYPVLpfo" TargetMode="External"/><Relationship Id="rId3112" Type="http://schemas.openxmlformats.org/officeDocument/2006/relationships/hyperlink" Target="https://talan.bank.gov.ua/get-user-certificate/45CElTaQWp640hY1y429" TargetMode="External"/><Relationship Id="rId240" Type="http://schemas.openxmlformats.org/officeDocument/2006/relationships/hyperlink" Target="https://talan.bank.gov.ua/get-user-certificate/45CElKKYa4z04djefNhX" TargetMode="External"/><Relationship Id="rId100" Type="http://schemas.openxmlformats.org/officeDocument/2006/relationships/hyperlink" Target="https://talan.bank.gov.ua/get-user-certificate/45CElGRNIQrFTLR4g2wT" TargetMode="External"/><Relationship Id="rId2878" Type="http://schemas.openxmlformats.org/officeDocument/2006/relationships/hyperlink" Target="https://talan.bank.gov.ua/get-user-certificate/45CEl2akQT82eJlwCz4U" TargetMode="External"/><Relationship Id="rId3929" Type="http://schemas.openxmlformats.org/officeDocument/2006/relationships/hyperlink" Target="https://talan.bank.gov.ua/get-user-certificate/45CEl2yE7pZ1_ApkMn3p" TargetMode="External"/><Relationship Id="rId4093" Type="http://schemas.openxmlformats.org/officeDocument/2006/relationships/hyperlink" Target="https://talan.bank.gov.ua/get-user-certificate/45CElt-JtjKf-A1Qn2FV" TargetMode="External"/><Relationship Id="rId1687" Type="http://schemas.openxmlformats.org/officeDocument/2006/relationships/hyperlink" Target="https://talan.bank.gov.ua/get-user-certificate/45CElpCbOCuVkbFtrQTA" TargetMode="External"/><Relationship Id="rId1894" Type="http://schemas.openxmlformats.org/officeDocument/2006/relationships/hyperlink" Target="https://talan.bank.gov.ua/get-user-certificate/45CElOdYF4ygoIC2-duo" TargetMode="External"/><Relationship Id="rId2738" Type="http://schemas.openxmlformats.org/officeDocument/2006/relationships/hyperlink" Target="https://talan.bank.gov.ua/get-user-certificate/45CEl-heoQVZ0EjAvwN-" TargetMode="External"/><Relationship Id="rId2945" Type="http://schemas.openxmlformats.org/officeDocument/2006/relationships/hyperlink" Target="https://talan.bank.gov.ua/get-user-certificate/45CElUI1FCM6CS6q7zXF" TargetMode="External"/><Relationship Id="rId917" Type="http://schemas.openxmlformats.org/officeDocument/2006/relationships/hyperlink" Target="https://talan.bank.gov.ua/get-user-certificate/45CElKkMwNdGrjtv3xla" TargetMode="External"/><Relationship Id="rId1547" Type="http://schemas.openxmlformats.org/officeDocument/2006/relationships/hyperlink" Target="https://talan.bank.gov.ua/get-user-certificate/45CElXK--hrUvuNk0LxY" TargetMode="External"/><Relationship Id="rId1754" Type="http://schemas.openxmlformats.org/officeDocument/2006/relationships/hyperlink" Target="https://talan.bank.gov.ua/get-user-certificate/45CElGJVriZYyBNM9tFd" TargetMode="External"/><Relationship Id="rId1961" Type="http://schemas.openxmlformats.org/officeDocument/2006/relationships/hyperlink" Target="https://talan.bank.gov.ua/get-user-certificate/45CElJhCz6LBIGRNesUi" TargetMode="External"/><Relationship Id="rId2805" Type="http://schemas.openxmlformats.org/officeDocument/2006/relationships/hyperlink" Target="https://talan.bank.gov.ua/get-user-certificate/45CEl4H96tVWgUPgoSYE" TargetMode="External"/><Relationship Id="rId4160" Type="http://schemas.openxmlformats.org/officeDocument/2006/relationships/hyperlink" Target="https://talan.bank.gov.ua/get-user-certificate/45CElw_931EMBaNieh3o" TargetMode="External"/><Relationship Id="rId5004" Type="http://schemas.openxmlformats.org/officeDocument/2006/relationships/hyperlink" Target="https://talan.bank.gov.ua/get-user-certificate/ki8TnrInrIY5cQ8rVL6A" TargetMode="External"/><Relationship Id="rId46" Type="http://schemas.openxmlformats.org/officeDocument/2006/relationships/hyperlink" Target="https://talan.bank.gov.ua/get-user-certificate/45CElRYj5MFaP8RGUqGa" TargetMode="External"/><Relationship Id="rId1407" Type="http://schemas.openxmlformats.org/officeDocument/2006/relationships/hyperlink" Target="https://talan.bank.gov.ua/get-user-certificate/45CElHm08QlOMC2riQDp" TargetMode="External"/><Relationship Id="rId1614" Type="http://schemas.openxmlformats.org/officeDocument/2006/relationships/hyperlink" Target="https://talan.bank.gov.ua/get-user-certificate/45CElM3BxVjJbTO3m4oE" TargetMode="External"/><Relationship Id="rId1821" Type="http://schemas.openxmlformats.org/officeDocument/2006/relationships/hyperlink" Target="https://talan.bank.gov.ua/get-user-certificate/45CElvyyl3lkekDgFb_A" TargetMode="External"/><Relationship Id="rId4020" Type="http://schemas.openxmlformats.org/officeDocument/2006/relationships/hyperlink" Target="https://talan.bank.gov.ua/get-user-certificate/45CEloE59jtdPCx60whT" TargetMode="External"/><Relationship Id="rId4977" Type="http://schemas.openxmlformats.org/officeDocument/2006/relationships/hyperlink" Target="https://talan.bank.gov.ua/get-user-certificate/45CEl1dQ6F9UvzF5ssIR" TargetMode="External"/><Relationship Id="rId3579" Type="http://schemas.openxmlformats.org/officeDocument/2006/relationships/hyperlink" Target="https://talan.bank.gov.ua/get-user-certificate/45CEleYA0nctFI_-qXYt" TargetMode="External"/><Relationship Id="rId3786" Type="http://schemas.openxmlformats.org/officeDocument/2006/relationships/hyperlink" Target="https://talan.bank.gov.ua/get-user-certificate/45CElMAYMbn8KvrWDl0C" TargetMode="External"/><Relationship Id="rId2388" Type="http://schemas.openxmlformats.org/officeDocument/2006/relationships/hyperlink" Target="https://talan.bank.gov.ua/get-user-certificate/45CElPDvESTdxHVLvkkg" TargetMode="External"/><Relationship Id="rId2595" Type="http://schemas.openxmlformats.org/officeDocument/2006/relationships/hyperlink" Target="https://talan.bank.gov.ua/get-user-certificate/45CElAmIuGJk6T-Uv5-I" TargetMode="External"/><Relationship Id="rId3439" Type="http://schemas.openxmlformats.org/officeDocument/2006/relationships/hyperlink" Target="https://talan.bank.gov.ua/get-user-certificate/45CEln87QIwqTtmnSqlN" TargetMode="External"/><Relationship Id="rId3993" Type="http://schemas.openxmlformats.org/officeDocument/2006/relationships/hyperlink" Target="https://talan.bank.gov.ua/get-user-certificate/45CElApxGeCcOtI3cno4" TargetMode="External"/><Relationship Id="rId4837" Type="http://schemas.openxmlformats.org/officeDocument/2006/relationships/hyperlink" Target="https://talan.bank.gov.ua/get-user-certificate/45CEleLHCQuZuOL9UgBS" TargetMode="External"/><Relationship Id="rId567" Type="http://schemas.openxmlformats.org/officeDocument/2006/relationships/hyperlink" Target="https://talan.bank.gov.ua/get-user-certificate/45CElzeVLnkUOhU2xPrq" TargetMode="External"/><Relationship Id="rId1197" Type="http://schemas.openxmlformats.org/officeDocument/2006/relationships/hyperlink" Target="https://talan.bank.gov.ua/get-user-certificate/45CElb2vei8NPTyt6Im6" TargetMode="External"/><Relationship Id="rId2248" Type="http://schemas.openxmlformats.org/officeDocument/2006/relationships/hyperlink" Target="https://talan.bank.gov.ua/get-user-certificate/45CElOUgmLjPVBC5jEf8" TargetMode="External"/><Relationship Id="rId3646" Type="http://schemas.openxmlformats.org/officeDocument/2006/relationships/hyperlink" Target="https://talan.bank.gov.ua/get-user-certificate/45CElTRa4F9OMxUZJ-xy" TargetMode="External"/><Relationship Id="rId3853" Type="http://schemas.openxmlformats.org/officeDocument/2006/relationships/hyperlink" Target="https://talan.bank.gov.ua/get-user-certificate/45CElSbbelfoWmm38EMw" TargetMode="External"/><Relationship Id="rId4904" Type="http://schemas.openxmlformats.org/officeDocument/2006/relationships/hyperlink" Target="https://talan.bank.gov.ua/get-user-certificate/45CElApmHRhaiBcUB3W3" TargetMode="External"/><Relationship Id="rId774" Type="http://schemas.openxmlformats.org/officeDocument/2006/relationships/hyperlink" Target="https://talan.bank.gov.ua/get-user-certificate/45CElbqGGKFSp4m9LoLl" TargetMode="External"/><Relationship Id="rId981" Type="http://schemas.openxmlformats.org/officeDocument/2006/relationships/hyperlink" Target="https://talan.bank.gov.ua/get-user-certificate/45CElwCj2PYesvZ1ehgM" TargetMode="External"/><Relationship Id="rId1057" Type="http://schemas.openxmlformats.org/officeDocument/2006/relationships/hyperlink" Target="https://talan.bank.gov.ua/get-user-certificate/45CEl2H8UgUznFHFYfeK" TargetMode="External"/><Relationship Id="rId2455" Type="http://schemas.openxmlformats.org/officeDocument/2006/relationships/hyperlink" Target="https://talan.bank.gov.ua/get-user-certificate/45CElPHufHtyvh4RldDf" TargetMode="External"/><Relationship Id="rId2662" Type="http://schemas.openxmlformats.org/officeDocument/2006/relationships/hyperlink" Target="https://talan.bank.gov.ua/get-user-certificate/45CElzR0aMv52Mu_KHly" TargetMode="External"/><Relationship Id="rId3506" Type="http://schemas.openxmlformats.org/officeDocument/2006/relationships/hyperlink" Target="https://talan.bank.gov.ua/get-user-certificate/45CElnvIvhW6AWv1cPin" TargetMode="External"/><Relationship Id="rId3713" Type="http://schemas.openxmlformats.org/officeDocument/2006/relationships/hyperlink" Target="https://talan.bank.gov.ua/get-user-certificate/45CElkptxvpF-nLQxI_K" TargetMode="External"/><Relationship Id="rId3920" Type="http://schemas.openxmlformats.org/officeDocument/2006/relationships/hyperlink" Target="https://talan.bank.gov.ua/get-user-certificate/45CElFovbeBhZ6iBpVUR" TargetMode="External"/><Relationship Id="rId427" Type="http://schemas.openxmlformats.org/officeDocument/2006/relationships/hyperlink" Target="https://talan.bank.gov.ua/get-user-certificate/45CEloy24Y4_wGumvDZb" TargetMode="External"/><Relationship Id="rId634" Type="http://schemas.openxmlformats.org/officeDocument/2006/relationships/hyperlink" Target="https://talan.bank.gov.ua/get-user-certificate/45CElRRMzEExIuRNlJ7W" TargetMode="External"/><Relationship Id="rId841" Type="http://schemas.openxmlformats.org/officeDocument/2006/relationships/hyperlink" Target="https://talan.bank.gov.ua/get-user-certificate/45CElv5LTcs-5sosEgNT" TargetMode="External"/><Relationship Id="rId1264" Type="http://schemas.openxmlformats.org/officeDocument/2006/relationships/hyperlink" Target="https://talan.bank.gov.ua/get-user-certificate/45CElIU5pRk6P_dA_ODj" TargetMode="External"/><Relationship Id="rId1471" Type="http://schemas.openxmlformats.org/officeDocument/2006/relationships/hyperlink" Target="https://talan.bank.gov.ua/get-user-certificate/45CEltZJE3dm2ABppiAg" TargetMode="External"/><Relationship Id="rId2108" Type="http://schemas.openxmlformats.org/officeDocument/2006/relationships/hyperlink" Target="https://talan.bank.gov.ua/get-user-certificate/45CElSOWk1OFbb9gtpac" TargetMode="External"/><Relationship Id="rId2315" Type="http://schemas.openxmlformats.org/officeDocument/2006/relationships/hyperlink" Target="https://talan.bank.gov.ua/get-user-certificate/45CElekaDwbjp07OGbiM" TargetMode="External"/><Relationship Id="rId2522" Type="http://schemas.openxmlformats.org/officeDocument/2006/relationships/hyperlink" Target="https://talan.bank.gov.ua/get-user-certificate/45CElHIn_WuJIZtl3X-I" TargetMode="External"/><Relationship Id="rId701" Type="http://schemas.openxmlformats.org/officeDocument/2006/relationships/hyperlink" Target="https://talan.bank.gov.ua/get-user-certificate/45CEl5XBqahFw86sVESZ" TargetMode="External"/><Relationship Id="rId1124" Type="http://schemas.openxmlformats.org/officeDocument/2006/relationships/hyperlink" Target="https://talan.bank.gov.ua/get-user-certificate/45CElA71CXqCBgf5nTeU" TargetMode="External"/><Relationship Id="rId1331" Type="http://schemas.openxmlformats.org/officeDocument/2006/relationships/hyperlink" Target="https://talan.bank.gov.ua/get-user-certificate/45CElEUPiup7vEtD87-c" TargetMode="External"/><Relationship Id="rId4487" Type="http://schemas.openxmlformats.org/officeDocument/2006/relationships/hyperlink" Target="https://talan.bank.gov.ua/get-user-certificate/45CEl3DYf35hOryilrhX" TargetMode="External"/><Relationship Id="rId4694" Type="http://schemas.openxmlformats.org/officeDocument/2006/relationships/hyperlink" Target="https://talan.bank.gov.ua/get-user-certificate/45CElDU7njSU8JsHANcp" TargetMode="External"/><Relationship Id="rId3089" Type="http://schemas.openxmlformats.org/officeDocument/2006/relationships/hyperlink" Target="https://talan.bank.gov.ua/get-user-certificate/45CElQR37hUz2Ng3TyAa" TargetMode="External"/><Relationship Id="rId3296" Type="http://schemas.openxmlformats.org/officeDocument/2006/relationships/hyperlink" Target="https://talan.bank.gov.ua/get-user-certificate/45CEll1dSsrrBiOnpk2t" TargetMode="External"/><Relationship Id="rId4347" Type="http://schemas.openxmlformats.org/officeDocument/2006/relationships/hyperlink" Target="https://talan.bank.gov.ua/get-user-certificate/45CElUy6D3KP8lUfOQ5F" TargetMode="External"/><Relationship Id="rId4554" Type="http://schemas.openxmlformats.org/officeDocument/2006/relationships/hyperlink" Target="https://talan.bank.gov.ua/get-user-certificate/45CElMz-wOMLJsBAFgSW" TargetMode="External"/><Relationship Id="rId4761" Type="http://schemas.openxmlformats.org/officeDocument/2006/relationships/hyperlink" Target="https://talan.bank.gov.ua/get-user-certificate/45CEllgOpAQcK_0-qSWq" TargetMode="External"/><Relationship Id="rId3156" Type="http://schemas.openxmlformats.org/officeDocument/2006/relationships/hyperlink" Target="https://talan.bank.gov.ua/get-user-certificate/45CElUj7zsAJcguDSueQ" TargetMode="External"/><Relationship Id="rId3363" Type="http://schemas.openxmlformats.org/officeDocument/2006/relationships/hyperlink" Target="https://talan.bank.gov.ua/get-user-certificate/45CEl48fGzJ5RoJ5u125" TargetMode="External"/><Relationship Id="rId4207" Type="http://schemas.openxmlformats.org/officeDocument/2006/relationships/hyperlink" Target="https://talan.bank.gov.ua/get-user-certificate/45CEljplrtwqiIXB_s2H" TargetMode="External"/><Relationship Id="rId4414" Type="http://schemas.openxmlformats.org/officeDocument/2006/relationships/hyperlink" Target="https://talan.bank.gov.ua/get-user-certificate/45CEll-dyWvVkuAaK00p" TargetMode="External"/><Relationship Id="rId284" Type="http://schemas.openxmlformats.org/officeDocument/2006/relationships/hyperlink" Target="https://talan.bank.gov.ua/get-user-certificate/45CElzrIt3UQfmpmmcFo" TargetMode="External"/><Relationship Id="rId491" Type="http://schemas.openxmlformats.org/officeDocument/2006/relationships/hyperlink" Target="https://talan.bank.gov.ua/get-user-certificate/45CElLgqtKvTIDn4DONZ" TargetMode="External"/><Relationship Id="rId2172" Type="http://schemas.openxmlformats.org/officeDocument/2006/relationships/hyperlink" Target="https://talan.bank.gov.ua/get-user-certificate/45CElRQbRU34AtGol1dl" TargetMode="External"/><Relationship Id="rId3016" Type="http://schemas.openxmlformats.org/officeDocument/2006/relationships/hyperlink" Target="https://talan.bank.gov.ua/get-user-certificate/45CElkQLXQIQcfB1b1dx" TargetMode="External"/><Relationship Id="rId3223" Type="http://schemas.openxmlformats.org/officeDocument/2006/relationships/hyperlink" Target="https://talan.bank.gov.ua/get-user-certificate/45CElWwc0subQghkW2pr" TargetMode="External"/><Relationship Id="rId3570" Type="http://schemas.openxmlformats.org/officeDocument/2006/relationships/hyperlink" Target="https://talan.bank.gov.ua/get-user-certificate/45CElBbX4GA1ds_dVaUy" TargetMode="External"/><Relationship Id="rId4621" Type="http://schemas.openxmlformats.org/officeDocument/2006/relationships/hyperlink" Target="https://talan.bank.gov.ua/get-user-certificate/45CElQBL6TOih0inVQsZ" TargetMode="External"/><Relationship Id="rId144" Type="http://schemas.openxmlformats.org/officeDocument/2006/relationships/hyperlink" Target="https://talan.bank.gov.ua/get-user-certificate/45CElxRVAvpMeaktRwpN" TargetMode="External"/><Relationship Id="rId3430" Type="http://schemas.openxmlformats.org/officeDocument/2006/relationships/hyperlink" Target="https://talan.bank.gov.ua/get-user-certificate/45CElWn01azD8uLP-FV7" TargetMode="External"/><Relationship Id="rId351" Type="http://schemas.openxmlformats.org/officeDocument/2006/relationships/hyperlink" Target="https://talan.bank.gov.ua/get-user-certificate/45CEl0SmVuXAaSfwGCub" TargetMode="External"/><Relationship Id="rId2032" Type="http://schemas.openxmlformats.org/officeDocument/2006/relationships/hyperlink" Target="https://talan.bank.gov.ua/get-user-certificate/45CElQ2Wu8hlKtdmT6kA" TargetMode="External"/><Relationship Id="rId2989" Type="http://schemas.openxmlformats.org/officeDocument/2006/relationships/hyperlink" Target="https://talan.bank.gov.ua/get-user-certificate/45CElWxUi9cenO2Wi383" TargetMode="External"/><Relationship Id="rId211" Type="http://schemas.openxmlformats.org/officeDocument/2006/relationships/hyperlink" Target="https://talan.bank.gov.ua/get-user-certificate/45CEle2duiYKiY-f0U-A" TargetMode="External"/><Relationship Id="rId1798" Type="http://schemas.openxmlformats.org/officeDocument/2006/relationships/hyperlink" Target="https://talan.bank.gov.ua/get-user-certificate/45CElINPrJUFLc7AOpwC" TargetMode="External"/><Relationship Id="rId2849" Type="http://schemas.openxmlformats.org/officeDocument/2006/relationships/hyperlink" Target="https://talan.bank.gov.ua/get-user-certificate/45CElEUEnXQNsTS649_t" TargetMode="External"/><Relationship Id="rId1658" Type="http://schemas.openxmlformats.org/officeDocument/2006/relationships/hyperlink" Target="https://talan.bank.gov.ua/get-user-certificate/45CEl83Ni8Z15awFp-v0" TargetMode="External"/><Relationship Id="rId1865" Type="http://schemas.openxmlformats.org/officeDocument/2006/relationships/hyperlink" Target="https://talan.bank.gov.ua/get-user-certificate/45CEl26VUngEJZgG2LSN" TargetMode="External"/><Relationship Id="rId2709" Type="http://schemas.openxmlformats.org/officeDocument/2006/relationships/hyperlink" Target="https://talan.bank.gov.ua/get-user-certificate/45CElrhaVVvqyxIVbCa-" TargetMode="External"/><Relationship Id="rId4064" Type="http://schemas.openxmlformats.org/officeDocument/2006/relationships/hyperlink" Target="https://talan.bank.gov.ua/get-user-certificate/45CEl05oHfKghImVoy2s" TargetMode="External"/><Relationship Id="rId4271" Type="http://schemas.openxmlformats.org/officeDocument/2006/relationships/hyperlink" Target="https://talan.bank.gov.ua/get-user-certificate/45CElzIyFKuq1tYZeyb1" TargetMode="External"/><Relationship Id="rId1518" Type="http://schemas.openxmlformats.org/officeDocument/2006/relationships/hyperlink" Target="https://talan.bank.gov.ua/get-user-certificate/45CElcWvcS1UNRc7XEHH" TargetMode="External"/><Relationship Id="rId2916" Type="http://schemas.openxmlformats.org/officeDocument/2006/relationships/hyperlink" Target="https://talan.bank.gov.ua/get-user-certificate/45CElhTVMVJmoT8F3GQp" TargetMode="External"/><Relationship Id="rId3080" Type="http://schemas.openxmlformats.org/officeDocument/2006/relationships/hyperlink" Target="https://talan.bank.gov.ua/get-user-certificate/45CEleimgpi5VGVvsV80" TargetMode="External"/><Relationship Id="rId4131" Type="http://schemas.openxmlformats.org/officeDocument/2006/relationships/hyperlink" Target="https://talan.bank.gov.ua/get-user-certificate/45CElA_AJRhJ0RG8DRrk" TargetMode="External"/><Relationship Id="rId1725" Type="http://schemas.openxmlformats.org/officeDocument/2006/relationships/hyperlink" Target="https://talan.bank.gov.ua/get-user-certificate/45CElsnizG9LUCaFMgiY" TargetMode="External"/><Relationship Id="rId1932" Type="http://schemas.openxmlformats.org/officeDocument/2006/relationships/hyperlink" Target="https://talan.bank.gov.ua/get-user-certificate/45CEl6DOpg7QVsNNehyz" TargetMode="External"/><Relationship Id="rId17" Type="http://schemas.openxmlformats.org/officeDocument/2006/relationships/hyperlink" Target="https://talan.bank.gov.ua/get-user-certificate/45CElvwRviNx0X2WBikz" TargetMode="External"/><Relationship Id="rId3897" Type="http://schemas.openxmlformats.org/officeDocument/2006/relationships/hyperlink" Target="https://talan.bank.gov.ua/get-user-certificate/45CElkluxuAulC5ofiy2" TargetMode="External"/><Relationship Id="rId4948" Type="http://schemas.openxmlformats.org/officeDocument/2006/relationships/hyperlink" Target="https://talan.bank.gov.ua/get-user-certificate/45CElygau3u9GwIAsNrH" TargetMode="External"/><Relationship Id="rId2499" Type="http://schemas.openxmlformats.org/officeDocument/2006/relationships/hyperlink" Target="https://talan.bank.gov.ua/get-user-certificate/45CEldkTR9pcqueLF5LA" TargetMode="External"/><Relationship Id="rId3757" Type="http://schemas.openxmlformats.org/officeDocument/2006/relationships/hyperlink" Target="https://talan.bank.gov.ua/get-user-certificate/45CElUvtoV2uH69kvv_T" TargetMode="External"/><Relationship Id="rId3964" Type="http://schemas.openxmlformats.org/officeDocument/2006/relationships/hyperlink" Target="https://talan.bank.gov.ua/get-user-certificate/45CElre4ziaTcPpRv9JR" TargetMode="External"/><Relationship Id="rId4808" Type="http://schemas.openxmlformats.org/officeDocument/2006/relationships/hyperlink" Target="https://talan.bank.gov.ua/get-user-certificate/45CElwpccXF0RZxKwODK" TargetMode="External"/><Relationship Id="rId1" Type="http://schemas.openxmlformats.org/officeDocument/2006/relationships/hyperlink" Target="https://talan.bank.gov.ua/get-user-certificate/45CElB9_-QbQ7-aDJ46w" TargetMode="External"/><Relationship Id="rId678" Type="http://schemas.openxmlformats.org/officeDocument/2006/relationships/hyperlink" Target="https://talan.bank.gov.ua/get-user-certificate/45CEleyK9kJVSNGGcMHw" TargetMode="External"/><Relationship Id="rId885" Type="http://schemas.openxmlformats.org/officeDocument/2006/relationships/hyperlink" Target="https://talan.bank.gov.ua/get-user-certificate/45CEly1aj888hyHFVSlN" TargetMode="External"/><Relationship Id="rId2359" Type="http://schemas.openxmlformats.org/officeDocument/2006/relationships/hyperlink" Target="https://talan.bank.gov.ua/get-user-certificate/45CElLywWZTj9P2yKVix" TargetMode="External"/><Relationship Id="rId2566" Type="http://schemas.openxmlformats.org/officeDocument/2006/relationships/hyperlink" Target="https://talan.bank.gov.ua/get-user-certificate/45CEl_KUDHCddF1GE9-T" TargetMode="External"/><Relationship Id="rId2773" Type="http://schemas.openxmlformats.org/officeDocument/2006/relationships/hyperlink" Target="https://talan.bank.gov.ua/get-user-certificate/45CEl75YLHuBWUP9dY7h" TargetMode="External"/><Relationship Id="rId2980" Type="http://schemas.openxmlformats.org/officeDocument/2006/relationships/hyperlink" Target="https://talan.bank.gov.ua/get-user-certificate/45CElMbPZiVTbtDyjKnx" TargetMode="External"/><Relationship Id="rId3617" Type="http://schemas.openxmlformats.org/officeDocument/2006/relationships/hyperlink" Target="https://talan.bank.gov.ua/get-user-certificate/45CElAXvP0j_zXm94r0y" TargetMode="External"/><Relationship Id="rId3824" Type="http://schemas.openxmlformats.org/officeDocument/2006/relationships/hyperlink" Target="https://talan.bank.gov.ua/get-user-certificate/45CEl3S-gQmFVFDN2zyp" TargetMode="External"/><Relationship Id="rId538" Type="http://schemas.openxmlformats.org/officeDocument/2006/relationships/hyperlink" Target="https://talan.bank.gov.ua/get-user-certificate/45CEluFTbMwvdMNm3m4U" TargetMode="External"/><Relationship Id="rId745" Type="http://schemas.openxmlformats.org/officeDocument/2006/relationships/hyperlink" Target="https://talan.bank.gov.ua/get-user-certificate/45CElUJPQdjeKZtVWjYy" TargetMode="External"/><Relationship Id="rId952" Type="http://schemas.openxmlformats.org/officeDocument/2006/relationships/hyperlink" Target="https://talan.bank.gov.ua/get-user-certificate/45CElEDY1IKJVLw8e9Tk" TargetMode="External"/><Relationship Id="rId1168" Type="http://schemas.openxmlformats.org/officeDocument/2006/relationships/hyperlink" Target="https://talan.bank.gov.ua/get-user-certificate/45CEl2ijKx67pnhmCBkk" TargetMode="External"/><Relationship Id="rId1375" Type="http://schemas.openxmlformats.org/officeDocument/2006/relationships/hyperlink" Target="https://talan.bank.gov.ua/get-user-certificate/45CElTqxqhHXi540b6L9" TargetMode="External"/><Relationship Id="rId1582" Type="http://schemas.openxmlformats.org/officeDocument/2006/relationships/hyperlink" Target="https://talan.bank.gov.ua/get-user-certificate/45CEltV00AQbgcgPVOOj" TargetMode="External"/><Relationship Id="rId2219" Type="http://schemas.openxmlformats.org/officeDocument/2006/relationships/hyperlink" Target="https://talan.bank.gov.ua/get-user-certificate/45CEl0pqvXa_xsXvQ02U" TargetMode="External"/><Relationship Id="rId2426" Type="http://schemas.openxmlformats.org/officeDocument/2006/relationships/hyperlink" Target="https://talan.bank.gov.ua/get-user-certificate/45CEluuhKkW29cxQ798E" TargetMode="External"/><Relationship Id="rId2633" Type="http://schemas.openxmlformats.org/officeDocument/2006/relationships/hyperlink" Target="https://talan.bank.gov.ua/get-user-certificate/45CElmKMifHBmjnlYAz8" TargetMode="External"/><Relationship Id="rId81" Type="http://schemas.openxmlformats.org/officeDocument/2006/relationships/hyperlink" Target="https://talan.bank.gov.ua/get-user-certificate/45CElibitC1tzDAJmiQa" TargetMode="External"/><Relationship Id="rId605" Type="http://schemas.openxmlformats.org/officeDocument/2006/relationships/hyperlink" Target="https://talan.bank.gov.ua/get-user-certificate/45CEleGw3HW2g7v_QuZA" TargetMode="External"/><Relationship Id="rId812" Type="http://schemas.openxmlformats.org/officeDocument/2006/relationships/hyperlink" Target="https://talan.bank.gov.ua/get-user-certificate/45CElhTNACjpGqn9QPf8" TargetMode="External"/><Relationship Id="rId1028" Type="http://schemas.openxmlformats.org/officeDocument/2006/relationships/hyperlink" Target="https://talan.bank.gov.ua/get-user-certificate/45CElGwA9duwIHfrAuhA" TargetMode="External"/><Relationship Id="rId1235" Type="http://schemas.openxmlformats.org/officeDocument/2006/relationships/hyperlink" Target="https://talan.bank.gov.ua/get-user-certificate/45CElw90kMHcQJ2Gkc-A" TargetMode="External"/><Relationship Id="rId1442" Type="http://schemas.openxmlformats.org/officeDocument/2006/relationships/hyperlink" Target="https://talan.bank.gov.ua/get-user-certificate/45CElNHzCSvU7HQiV4Uo" TargetMode="External"/><Relationship Id="rId2840" Type="http://schemas.openxmlformats.org/officeDocument/2006/relationships/hyperlink" Target="https://talan.bank.gov.ua/get-user-certificate/45CEli1JEYr6uGisdBKo" TargetMode="External"/><Relationship Id="rId4598" Type="http://schemas.openxmlformats.org/officeDocument/2006/relationships/hyperlink" Target="https://talan.bank.gov.ua/get-user-certificate/45CElM-8PvLF5hZGVASZ" TargetMode="External"/><Relationship Id="rId1302" Type="http://schemas.openxmlformats.org/officeDocument/2006/relationships/hyperlink" Target="https://talan.bank.gov.ua/get-user-certificate/45CElX1I6chIIfSjygep" TargetMode="External"/><Relationship Id="rId2700" Type="http://schemas.openxmlformats.org/officeDocument/2006/relationships/hyperlink" Target="https://talan.bank.gov.ua/get-user-certificate/45CEllq1G8VGfUNOZpjR" TargetMode="External"/><Relationship Id="rId4458" Type="http://schemas.openxmlformats.org/officeDocument/2006/relationships/hyperlink" Target="https://talan.bank.gov.ua/get-user-certificate/45CEl2LatH0Ys9lUDT3A" TargetMode="External"/><Relationship Id="rId3267" Type="http://schemas.openxmlformats.org/officeDocument/2006/relationships/hyperlink" Target="https://talan.bank.gov.ua/get-user-certificate/45CEl1dAVf2H3r0Fd1pF" TargetMode="External"/><Relationship Id="rId4665" Type="http://schemas.openxmlformats.org/officeDocument/2006/relationships/hyperlink" Target="https://talan.bank.gov.ua/get-user-certificate/45CElYWfiqQ0_Ht5ZoLh" TargetMode="External"/><Relationship Id="rId4872" Type="http://schemas.openxmlformats.org/officeDocument/2006/relationships/hyperlink" Target="https://talan.bank.gov.ua/get-user-certificate/45CElwCtFUlCAklfrdfX" TargetMode="External"/><Relationship Id="rId188" Type="http://schemas.openxmlformats.org/officeDocument/2006/relationships/hyperlink" Target="https://talan.bank.gov.ua/get-user-certificate/45CEl7WLdoPO98Nnhx_F" TargetMode="External"/><Relationship Id="rId395" Type="http://schemas.openxmlformats.org/officeDocument/2006/relationships/hyperlink" Target="https://talan.bank.gov.ua/get-user-certificate/45CElGzoaDmJRwoslo7J" TargetMode="External"/><Relationship Id="rId2076" Type="http://schemas.openxmlformats.org/officeDocument/2006/relationships/hyperlink" Target="https://talan.bank.gov.ua/get-user-certificate/45CElRQnjRC_fqRv6G6K" TargetMode="External"/><Relationship Id="rId3474" Type="http://schemas.openxmlformats.org/officeDocument/2006/relationships/hyperlink" Target="https://talan.bank.gov.ua/get-user-certificate/45CEl_lqR04SwJJa-E-m" TargetMode="External"/><Relationship Id="rId3681" Type="http://schemas.openxmlformats.org/officeDocument/2006/relationships/hyperlink" Target="https://talan.bank.gov.ua/get-user-certificate/45CEldRioo38XSKv-SEV" TargetMode="External"/><Relationship Id="rId4318" Type="http://schemas.openxmlformats.org/officeDocument/2006/relationships/hyperlink" Target="https://talan.bank.gov.ua/get-user-certificate/45CEl_Dg1m3u7Qp92SAU" TargetMode="External"/><Relationship Id="rId4525" Type="http://schemas.openxmlformats.org/officeDocument/2006/relationships/hyperlink" Target="https://talan.bank.gov.ua/get-user-certificate/45CElEjcmaAL0iUfwnFC" TargetMode="External"/><Relationship Id="rId4732" Type="http://schemas.openxmlformats.org/officeDocument/2006/relationships/hyperlink" Target="https://talan.bank.gov.ua/get-user-certificate/45CElxhl0pY4LxVSI-zm" TargetMode="External"/><Relationship Id="rId2283" Type="http://schemas.openxmlformats.org/officeDocument/2006/relationships/hyperlink" Target="https://talan.bank.gov.ua/get-user-certificate/45CElTqugqobd73nvzG_" TargetMode="External"/><Relationship Id="rId2490" Type="http://schemas.openxmlformats.org/officeDocument/2006/relationships/hyperlink" Target="https://talan.bank.gov.ua/get-user-certificate/45CElyZxxdemvN6sc59R" TargetMode="External"/><Relationship Id="rId3127" Type="http://schemas.openxmlformats.org/officeDocument/2006/relationships/hyperlink" Target="https://talan.bank.gov.ua/get-user-certificate/45CElGBoyx9ye6g3G3jV" TargetMode="External"/><Relationship Id="rId3334" Type="http://schemas.openxmlformats.org/officeDocument/2006/relationships/hyperlink" Target="https://talan.bank.gov.ua/get-user-certificate/45CElbktwKQP28X0q3L8" TargetMode="External"/><Relationship Id="rId3541" Type="http://schemas.openxmlformats.org/officeDocument/2006/relationships/hyperlink" Target="https://talan.bank.gov.ua/get-user-certificate/45CEluFywS20knrG8xOk" TargetMode="External"/><Relationship Id="rId255" Type="http://schemas.openxmlformats.org/officeDocument/2006/relationships/hyperlink" Target="https://talan.bank.gov.ua/get-user-certificate/45CElnYaqkEwYGsLOnaF" TargetMode="External"/><Relationship Id="rId462" Type="http://schemas.openxmlformats.org/officeDocument/2006/relationships/hyperlink" Target="https://talan.bank.gov.ua/get-user-certificate/45CElECawopyBh1xmdVy" TargetMode="External"/><Relationship Id="rId1092" Type="http://schemas.openxmlformats.org/officeDocument/2006/relationships/hyperlink" Target="https://talan.bank.gov.ua/get-user-certificate/45CEloBrWL4w2sl7Rbor" TargetMode="External"/><Relationship Id="rId2143" Type="http://schemas.openxmlformats.org/officeDocument/2006/relationships/hyperlink" Target="https://talan.bank.gov.ua/get-user-certificate/45CElIEM-hyBCL_xq6-E" TargetMode="External"/><Relationship Id="rId2350" Type="http://schemas.openxmlformats.org/officeDocument/2006/relationships/hyperlink" Target="https://talan.bank.gov.ua/get-user-certificate/45CEl4HZlo2xPapuDx9N" TargetMode="External"/><Relationship Id="rId3401" Type="http://schemas.openxmlformats.org/officeDocument/2006/relationships/hyperlink" Target="https://talan.bank.gov.ua/get-user-certificate/45CElf-5rVzXQClNIABm" TargetMode="External"/><Relationship Id="rId115" Type="http://schemas.openxmlformats.org/officeDocument/2006/relationships/hyperlink" Target="https://talan.bank.gov.ua/get-user-certificate/45CEl3fWX52PzY6PN7qD" TargetMode="External"/><Relationship Id="rId322" Type="http://schemas.openxmlformats.org/officeDocument/2006/relationships/hyperlink" Target="https://talan.bank.gov.ua/get-user-certificate/45CElPD7DsqGYC-_BQN_" TargetMode="External"/><Relationship Id="rId2003" Type="http://schemas.openxmlformats.org/officeDocument/2006/relationships/hyperlink" Target="https://talan.bank.gov.ua/get-user-certificate/45CEl6MMvOcM1IV9ylfx" TargetMode="External"/><Relationship Id="rId2210" Type="http://schemas.openxmlformats.org/officeDocument/2006/relationships/hyperlink" Target="https://talan.bank.gov.ua/get-user-certificate/45CElWYGg_qFRaiwL3LL" TargetMode="External"/><Relationship Id="rId4175" Type="http://schemas.openxmlformats.org/officeDocument/2006/relationships/hyperlink" Target="https://talan.bank.gov.ua/get-user-certificate/45CElxKk-fQD9EAa9IYS" TargetMode="External"/><Relationship Id="rId4382" Type="http://schemas.openxmlformats.org/officeDocument/2006/relationships/hyperlink" Target="https://talan.bank.gov.ua/get-user-certificate/45CElOMTxvBdNNdBbXat" TargetMode="External"/><Relationship Id="rId5019" Type="http://schemas.openxmlformats.org/officeDocument/2006/relationships/hyperlink" Target="https://talan.bank.gov.ua/get-user-certificate/ki8TnYsNdTI2EqnjFk47" TargetMode="External"/><Relationship Id="rId1769" Type="http://schemas.openxmlformats.org/officeDocument/2006/relationships/hyperlink" Target="https://talan.bank.gov.ua/get-user-certificate/45CElDysOfhlr0Wan6gv" TargetMode="External"/><Relationship Id="rId1976" Type="http://schemas.openxmlformats.org/officeDocument/2006/relationships/hyperlink" Target="https://talan.bank.gov.ua/get-user-certificate/45CEl3GmR0JINi6v7N3i" TargetMode="External"/><Relationship Id="rId3191" Type="http://schemas.openxmlformats.org/officeDocument/2006/relationships/hyperlink" Target="https://talan.bank.gov.ua/get-user-certificate/45CElOZmgYy43mdGKbon" TargetMode="External"/><Relationship Id="rId4035" Type="http://schemas.openxmlformats.org/officeDocument/2006/relationships/hyperlink" Target="https://talan.bank.gov.ua/get-user-certificate/45CElqSuNPYg-JexSg1_" TargetMode="External"/><Relationship Id="rId4242" Type="http://schemas.openxmlformats.org/officeDocument/2006/relationships/hyperlink" Target="https://talan.bank.gov.ua/get-user-certificate/45CElATdkwN66hwb-Jcf" TargetMode="External"/><Relationship Id="rId1629" Type="http://schemas.openxmlformats.org/officeDocument/2006/relationships/hyperlink" Target="https://talan.bank.gov.ua/get-user-certificate/45CElqtxWtDDNSwG57ip" TargetMode="External"/><Relationship Id="rId1836" Type="http://schemas.openxmlformats.org/officeDocument/2006/relationships/hyperlink" Target="https://talan.bank.gov.ua/get-user-certificate/45CElYKgVDCKDYpQ6O50" TargetMode="External"/><Relationship Id="rId1903" Type="http://schemas.openxmlformats.org/officeDocument/2006/relationships/hyperlink" Target="https://talan.bank.gov.ua/get-user-certificate/45CElr4JuASflWhDDA6T" TargetMode="External"/><Relationship Id="rId3051" Type="http://schemas.openxmlformats.org/officeDocument/2006/relationships/hyperlink" Target="https://talan.bank.gov.ua/get-user-certificate/45CEl97-uB3CETW2NXpY" TargetMode="External"/><Relationship Id="rId4102" Type="http://schemas.openxmlformats.org/officeDocument/2006/relationships/hyperlink" Target="https://talan.bank.gov.ua/get-user-certificate/45CElgpbXseFDExRMXZP" TargetMode="External"/><Relationship Id="rId3868" Type="http://schemas.openxmlformats.org/officeDocument/2006/relationships/hyperlink" Target="https://talan.bank.gov.ua/get-user-certificate/45CElTQ1jndPxyZRlrkt" TargetMode="External"/><Relationship Id="rId4919" Type="http://schemas.openxmlformats.org/officeDocument/2006/relationships/hyperlink" Target="https://talan.bank.gov.ua/get-user-certificate/45CElTPKf0knMMAsz6tM" TargetMode="External"/><Relationship Id="rId789" Type="http://schemas.openxmlformats.org/officeDocument/2006/relationships/hyperlink" Target="https://talan.bank.gov.ua/get-user-certificate/45CElolnWypId02G_WUc" TargetMode="External"/><Relationship Id="rId996" Type="http://schemas.openxmlformats.org/officeDocument/2006/relationships/hyperlink" Target="https://talan.bank.gov.ua/get-user-certificate/45CElbcZ5pqt-msC-DTU" TargetMode="External"/><Relationship Id="rId2677" Type="http://schemas.openxmlformats.org/officeDocument/2006/relationships/hyperlink" Target="https://talan.bank.gov.ua/get-user-certificate/45CEl_skmzzN5WC9wxz0" TargetMode="External"/><Relationship Id="rId2884" Type="http://schemas.openxmlformats.org/officeDocument/2006/relationships/hyperlink" Target="https://talan.bank.gov.ua/get-user-certificate/45CEll8tipkg-5gIks4w" TargetMode="External"/><Relationship Id="rId3728" Type="http://schemas.openxmlformats.org/officeDocument/2006/relationships/hyperlink" Target="https://talan.bank.gov.ua/get-user-certificate/45CElaFohXFc98BsiZH-" TargetMode="External"/><Relationship Id="rId649" Type="http://schemas.openxmlformats.org/officeDocument/2006/relationships/hyperlink" Target="https://talan.bank.gov.ua/get-user-certificate/45CEl9-3uR0R31X2hcWF" TargetMode="External"/><Relationship Id="rId856" Type="http://schemas.openxmlformats.org/officeDocument/2006/relationships/hyperlink" Target="https://talan.bank.gov.ua/get-user-certificate/45CElbDyXtgSo4LoBF5d" TargetMode="External"/><Relationship Id="rId1279" Type="http://schemas.openxmlformats.org/officeDocument/2006/relationships/hyperlink" Target="https://talan.bank.gov.ua/get-user-certificate/45CElr5Qlhuy5d6wX1tb" TargetMode="External"/><Relationship Id="rId1486" Type="http://schemas.openxmlformats.org/officeDocument/2006/relationships/hyperlink" Target="https://talan.bank.gov.ua/get-user-certificate/45CElz8qp2_yD-6FfHfT" TargetMode="External"/><Relationship Id="rId2537" Type="http://schemas.openxmlformats.org/officeDocument/2006/relationships/hyperlink" Target="https://talan.bank.gov.ua/get-user-certificate/45CElY6DW4rDJrtqMmxE" TargetMode="External"/><Relationship Id="rId3935" Type="http://schemas.openxmlformats.org/officeDocument/2006/relationships/hyperlink" Target="https://talan.bank.gov.ua/get-user-certificate/45CElPpZXlfTxBIw3n05" TargetMode="External"/><Relationship Id="rId509" Type="http://schemas.openxmlformats.org/officeDocument/2006/relationships/hyperlink" Target="https://talan.bank.gov.ua/get-user-certificate/45CElbyeGttdsF7SQmhh" TargetMode="External"/><Relationship Id="rId1139" Type="http://schemas.openxmlformats.org/officeDocument/2006/relationships/hyperlink" Target="https://talan.bank.gov.ua/get-user-certificate/45CElyv7JMU8nzTsUqyf" TargetMode="External"/><Relationship Id="rId1346" Type="http://schemas.openxmlformats.org/officeDocument/2006/relationships/hyperlink" Target="https://talan.bank.gov.ua/get-user-certificate/45CEllqzJcKymM5gt81K" TargetMode="External"/><Relationship Id="rId1693" Type="http://schemas.openxmlformats.org/officeDocument/2006/relationships/hyperlink" Target="https://talan.bank.gov.ua/get-user-certificate/45CElgtJ8gKNjFQypgxM" TargetMode="External"/><Relationship Id="rId2744" Type="http://schemas.openxmlformats.org/officeDocument/2006/relationships/hyperlink" Target="https://talan.bank.gov.ua/get-user-certificate/45CElLx590iT31O3Nwj4" TargetMode="External"/><Relationship Id="rId2951" Type="http://schemas.openxmlformats.org/officeDocument/2006/relationships/hyperlink" Target="https://talan.bank.gov.ua/get-user-certificate/45CEls41El9jYPK4qJBb" TargetMode="External"/><Relationship Id="rId5010" Type="http://schemas.openxmlformats.org/officeDocument/2006/relationships/hyperlink" Target="https://talan.bank.gov.ua/get-user-certificate/ki8Tn5dZ31vDY8COn5F5" TargetMode="External"/><Relationship Id="rId716" Type="http://schemas.openxmlformats.org/officeDocument/2006/relationships/hyperlink" Target="https://talan.bank.gov.ua/get-user-certificate/45CElx21QNNogHXWlHdI" TargetMode="External"/><Relationship Id="rId923" Type="http://schemas.openxmlformats.org/officeDocument/2006/relationships/hyperlink" Target="https://talan.bank.gov.ua/get-user-certificate/45CEloNyA7cYfzzgQHKb" TargetMode="External"/><Relationship Id="rId1553" Type="http://schemas.openxmlformats.org/officeDocument/2006/relationships/hyperlink" Target="https://talan.bank.gov.ua/get-user-certificate/45CEl-u6XGoWbzJXK8GL" TargetMode="External"/><Relationship Id="rId1760" Type="http://schemas.openxmlformats.org/officeDocument/2006/relationships/hyperlink" Target="https://talan.bank.gov.ua/get-user-certificate/45CElhPkrVdzCWm9AMbd" TargetMode="External"/><Relationship Id="rId2604" Type="http://schemas.openxmlformats.org/officeDocument/2006/relationships/hyperlink" Target="https://talan.bank.gov.ua/get-user-certificate/45CElf7Vu1uRTRsh2-kO" TargetMode="External"/><Relationship Id="rId2811" Type="http://schemas.openxmlformats.org/officeDocument/2006/relationships/hyperlink" Target="https://talan.bank.gov.ua/get-user-certificate/45CElB62gUOk7PIaSo0f" TargetMode="External"/><Relationship Id="rId52" Type="http://schemas.openxmlformats.org/officeDocument/2006/relationships/hyperlink" Target="https://talan.bank.gov.ua/get-user-certificate/45CEl5L462VFpXu1Za09" TargetMode="External"/><Relationship Id="rId1206" Type="http://schemas.openxmlformats.org/officeDocument/2006/relationships/hyperlink" Target="https://talan.bank.gov.ua/get-user-certificate/45CElLzGeTuhvIxktJ84" TargetMode="External"/><Relationship Id="rId1413" Type="http://schemas.openxmlformats.org/officeDocument/2006/relationships/hyperlink" Target="https://talan.bank.gov.ua/get-user-certificate/45CElepG2aBKxbntKOv5" TargetMode="External"/><Relationship Id="rId1620" Type="http://schemas.openxmlformats.org/officeDocument/2006/relationships/hyperlink" Target="https://talan.bank.gov.ua/get-user-certificate/45CElDk12dTCpnbnaHbc" TargetMode="External"/><Relationship Id="rId4569" Type="http://schemas.openxmlformats.org/officeDocument/2006/relationships/hyperlink" Target="https://talan.bank.gov.ua/get-user-certificate/45CEl9aF6zWrXb2QwT6N" TargetMode="External"/><Relationship Id="rId4776" Type="http://schemas.openxmlformats.org/officeDocument/2006/relationships/hyperlink" Target="https://talan.bank.gov.ua/get-user-certificate/45CElm3YNs6FXiq_eBwz" TargetMode="External"/><Relationship Id="rId4983" Type="http://schemas.openxmlformats.org/officeDocument/2006/relationships/hyperlink" Target="https://talan.bank.gov.ua/get-user-certificate/ki8Tnfr1CSWIMQk74NGZ" TargetMode="External"/><Relationship Id="rId3378" Type="http://schemas.openxmlformats.org/officeDocument/2006/relationships/hyperlink" Target="https://talan.bank.gov.ua/get-user-certificate/45CElhm7jsBCXRAT7_Ox" TargetMode="External"/><Relationship Id="rId3585" Type="http://schemas.openxmlformats.org/officeDocument/2006/relationships/hyperlink" Target="https://talan.bank.gov.ua/get-user-certificate/45CElPE8OPO979QXRn3u" TargetMode="External"/><Relationship Id="rId3792" Type="http://schemas.openxmlformats.org/officeDocument/2006/relationships/hyperlink" Target="https://talan.bank.gov.ua/get-user-certificate/45CElsBoY77VvxGaHCtC" TargetMode="External"/><Relationship Id="rId4429" Type="http://schemas.openxmlformats.org/officeDocument/2006/relationships/hyperlink" Target="https://talan.bank.gov.ua/get-user-certificate/45CElhxxYiPJd9sUaiRV" TargetMode="External"/><Relationship Id="rId4636" Type="http://schemas.openxmlformats.org/officeDocument/2006/relationships/hyperlink" Target="https://talan.bank.gov.ua/get-user-certificate/45CElwGp8I92dSCw5HYS" TargetMode="External"/><Relationship Id="rId4843" Type="http://schemas.openxmlformats.org/officeDocument/2006/relationships/hyperlink" Target="https://talan.bank.gov.ua/get-user-certificate/45CEl73Z3KgECfqf712n" TargetMode="External"/><Relationship Id="rId299" Type="http://schemas.openxmlformats.org/officeDocument/2006/relationships/hyperlink" Target="https://talan.bank.gov.ua/get-user-certificate/45CElPHNmI-OIJkfgt6o" TargetMode="External"/><Relationship Id="rId2187" Type="http://schemas.openxmlformats.org/officeDocument/2006/relationships/hyperlink" Target="https://talan.bank.gov.ua/get-user-certificate/45CElvDt03M0foxukBA-" TargetMode="External"/><Relationship Id="rId2394" Type="http://schemas.openxmlformats.org/officeDocument/2006/relationships/hyperlink" Target="https://talan.bank.gov.ua/get-user-certificate/45CEluuRD8HfXJ2MrdXc" TargetMode="External"/><Relationship Id="rId3238" Type="http://schemas.openxmlformats.org/officeDocument/2006/relationships/hyperlink" Target="https://talan.bank.gov.ua/get-user-certificate/45CElCLYPm-Ndx7uEt-i" TargetMode="External"/><Relationship Id="rId3445" Type="http://schemas.openxmlformats.org/officeDocument/2006/relationships/hyperlink" Target="https://talan.bank.gov.ua/get-user-certificate/45CElLgvkzfUx9Tk8NZc" TargetMode="External"/><Relationship Id="rId3652" Type="http://schemas.openxmlformats.org/officeDocument/2006/relationships/hyperlink" Target="https://talan.bank.gov.ua/get-user-certificate/45CElup9tQaFgCIB3F5Y" TargetMode="External"/><Relationship Id="rId4703" Type="http://schemas.openxmlformats.org/officeDocument/2006/relationships/hyperlink" Target="https://talan.bank.gov.ua/get-user-certificate/45CEl1DU6MUAvlhAX_XK" TargetMode="External"/><Relationship Id="rId159" Type="http://schemas.openxmlformats.org/officeDocument/2006/relationships/hyperlink" Target="https://talan.bank.gov.ua/get-user-certificate/45CEl7dng0sUoo__k-2H" TargetMode="External"/><Relationship Id="rId366" Type="http://schemas.openxmlformats.org/officeDocument/2006/relationships/hyperlink" Target="https://talan.bank.gov.ua/get-user-certificate/45CElR6I4wfT7xl-U02Q" TargetMode="External"/><Relationship Id="rId573" Type="http://schemas.openxmlformats.org/officeDocument/2006/relationships/hyperlink" Target="https://talan.bank.gov.ua/get-user-certificate/45CElzArnOXTi6zvFFHa" TargetMode="External"/><Relationship Id="rId780" Type="http://schemas.openxmlformats.org/officeDocument/2006/relationships/hyperlink" Target="https://talan.bank.gov.ua/get-user-certificate/45CElgYqbDTZUO3ES6iq" TargetMode="External"/><Relationship Id="rId2047" Type="http://schemas.openxmlformats.org/officeDocument/2006/relationships/hyperlink" Target="https://talan.bank.gov.ua/get-user-certificate/45CElA-24WlPrw7wX2rl" TargetMode="External"/><Relationship Id="rId2254" Type="http://schemas.openxmlformats.org/officeDocument/2006/relationships/hyperlink" Target="https://talan.bank.gov.ua/get-user-certificate/45CElybdpeD9PX0lhAJ8" TargetMode="External"/><Relationship Id="rId2461" Type="http://schemas.openxmlformats.org/officeDocument/2006/relationships/hyperlink" Target="https://talan.bank.gov.ua/get-user-certificate/45CElI4UMl5b30UPz6Qx" TargetMode="External"/><Relationship Id="rId3305" Type="http://schemas.openxmlformats.org/officeDocument/2006/relationships/hyperlink" Target="https://talan.bank.gov.ua/get-user-certificate/45CEl9A26yvjzQ8pBkyi" TargetMode="External"/><Relationship Id="rId3512" Type="http://schemas.openxmlformats.org/officeDocument/2006/relationships/hyperlink" Target="https://talan.bank.gov.ua/get-user-certificate/45CElBRoeWtI76tK1fvp" TargetMode="External"/><Relationship Id="rId4910" Type="http://schemas.openxmlformats.org/officeDocument/2006/relationships/hyperlink" Target="https://talan.bank.gov.ua/get-user-certificate/45CEl_8BEykEkBbI0nbe" TargetMode="External"/><Relationship Id="rId226" Type="http://schemas.openxmlformats.org/officeDocument/2006/relationships/hyperlink" Target="https://talan.bank.gov.ua/get-user-certificate/45CElXnIoxNbwA22_cN3" TargetMode="External"/><Relationship Id="rId433" Type="http://schemas.openxmlformats.org/officeDocument/2006/relationships/hyperlink" Target="https://talan.bank.gov.ua/get-user-certificate/45CElGByE5hWBCmF1qVE" TargetMode="External"/><Relationship Id="rId1063" Type="http://schemas.openxmlformats.org/officeDocument/2006/relationships/hyperlink" Target="https://talan.bank.gov.ua/get-user-certificate/45CElb0bvfCk_noREVLP" TargetMode="External"/><Relationship Id="rId1270" Type="http://schemas.openxmlformats.org/officeDocument/2006/relationships/hyperlink" Target="https://talan.bank.gov.ua/get-user-certificate/45CElJHfmB8vs6Lybfwc" TargetMode="External"/><Relationship Id="rId2114" Type="http://schemas.openxmlformats.org/officeDocument/2006/relationships/hyperlink" Target="https://talan.bank.gov.ua/get-user-certificate/45CElfQQBIf2Ftr50-ml" TargetMode="External"/><Relationship Id="rId640" Type="http://schemas.openxmlformats.org/officeDocument/2006/relationships/hyperlink" Target="https://talan.bank.gov.ua/get-user-certificate/45CElZhg0_cSkCSos7tB" TargetMode="External"/><Relationship Id="rId2321" Type="http://schemas.openxmlformats.org/officeDocument/2006/relationships/hyperlink" Target="https://talan.bank.gov.ua/get-user-certificate/45CEliy7ty9BWQnOCAl6" TargetMode="External"/><Relationship Id="rId4079" Type="http://schemas.openxmlformats.org/officeDocument/2006/relationships/hyperlink" Target="https://talan.bank.gov.ua/get-user-certificate/45CElM_TtHxGXrGUy2aG" TargetMode="External"/><Relationship Id="rId4286" Type="http://schemas.openxmlformats.org/officeDocument/2006/relationships/hyperlink" Target="https://talan.bank.gov.ua/get-user-certificate/45CElW7KcpePYjdUKRN9" TargetMode="External"/><Relationship Id="rId500" Type="http://schemas.openxmlformats.org/officeDocument/2006/relationships/hyperlink" Target="https://talan.bank.gov.ua/get-user-certificate/45CEl226KdXpqMHvLoXw" TargetMode="External"/><Relationship Id="rId1130" Type="http://schemas.openxmlformats.org/officeDocument/2006/relationships/hyperlink" Target="https://talan.bank.gov.ua/get-user-certificate/45CElaySKVaMnLvPtsG8" TargetMode="External"/><Relationship Id="rId4493" Type="http://schemas.openxmlformats.org/officeDocument/2006/relationships/hyperlink" Target="https://talan.bank.gov.ua/get-user-certificate/45CElsnyRpPnLyjiqknI" TargetMode="External"/><Relationship Id="rId1947" Type="http://schemas.openxmlformats.org/officeDocument/2006/relationships/hyperlink" Target="https://talan.bank.gov.ua/get-user-certificate/45CElcWTXrOANdAAl-jg" TargetMode="External"/><Relationship Id="rId3095" Type="http://schemas.openxmlformats.org/officeDocument/2006/relationships/hyperlink" Target="https://talan.bank.gov.ua/get-user-certificate/45CEld2TSXGYi0xPJBL_" TargetMode="External"/><Relationship Id="rId4146" Type="http://schemas.openxmlformats.org/officeDocument/2006/relationships/hyperlink" Target="https://talan.bank.gov.ua/get-user-certificate/45CElUyZUm358T6Q0nca" TargetMode="External"/><Relationship Id="rId4353" Type="http://schemas.openxmlformats.org/officeDocument/2006/relationships/hyperlink" Target="https://talan.bank.gov.ua/get-user-certificate/45CElMzZvREzk3hFL7pB" TargetMode="External"/><Relationship Id="rId4560" Type="http://schemas.openxmlformats.org/officeDocument/2006/relationships/hyperlink" Target="https://talan.bank.gov.ua/get-user-certificate/45CElAPIBnCmlr3tVZDc" TargetMode="External"/><Relationship Id="rId1807" Type="http://schemas.openxmlformats.org/officeDocument/2006/relationships/hyperlink" Target="https://talan.bank.gov.ua/get-user-certificate/45CEl381xKeUYE-p-gTk" TargetMode="External"/><Relationship Id="rId3162" Type="http://schemas.openxmlformats.org/officeDocument/2006/relationships/hyperlink" Target="https://talan.bank.gov.ua/get-user-certificate/45CElpu2l3e2d7qYX4id" TargetMode="External"/><Relationship Id="rId4006" Type="http://schemas.openxmlformats.org/officeDocument/2006/relationships/hyperlink" Target="https://talan.bank.gov.ua/get-user-certificate/45CEligwSnoAUplH2sUK" TargetMode="External"/><Relationship Id="rId4213" Type="http://schemas.openxmlformats.org/officeDocument/2006/relationships/hyperlink" Target="https://talan.bank.gov.ua/get-user-certificate/45CElHe0dlhWmjo9IVs7" TargetMode="External"/><Relationship Id="rId4420" Type="http://schemas.openxmlformats.org/officeDocument/2006/relationships/hyperlink" Target="https://talan.bank.gov.ua/get-user-certificate/45CElDEKmRE1HCBFe6gS" TargetMode="External"/><Relationship Id="rId290" Type="http://schemas.openxmlformats.org/officeDocument/2006/relationships/hyperlink" Target="https://talan.bank.gov.ua/get-user-certificate/45CElTutqoHVLXAxMZ_w" TargetMode="External"/><Relationship Id="rId3022" Type="http://schemas.openxmlformats.org/officeDocument/2006/relationships/hyperlink" Target="https://talan.bank.gov.ua/get-user-certificate/45CEl4Bdk1X27D__6xOw" TargetMode="External"/><Relationship Id="rId150" Type="http://schemas.openxmlformats.org/officeDocument/2006/relationships/hyperlink" Target="https://talan.bank.gov.ua/get-user-certificate/45CElAd9KxvU9W8dqbYB" TargetMode="External"/><Relationship Id="rId3979" Type="http://schemas.openxmlformats.org/officeDocument/2006/relationships/hyperlink" Target="https://talan.bank.gov.ua/get-user-certificate/45CElNA3e-92Ammf0jpQ" TargetMode="External"/><Relationship Id="rId2788" Type="http://schemas.openxmlformats.org/officeDocument/2006/relationships/hyperlink" Target="https://talan.bank.gov.ua/get-user-certificate/45CElt1DSVRcZW1Ba_iX" TargetMode="External"/><Relationship Id="rId2995" Type="http://schemas.openxmlformats.org/officeDocument/2006/relationships/hyperlink" Target="https://talan.bank.gov.ua/get-user-certificate/45CElHBbvsbZVX5yj-Ww" TargetMode="External"/><Relationship Id="rId3839" Type="http://schemas.openxmlformats.org/officeDocument/2006/relationships/hyperlink" Target="https://talan.bank.gov.ua/get-user-certificate/45CEl6jQ-OIIg-pc8o_A" TargetMode="External"/><Relationship Id="rId967" Type="http://schemas.openxmlformats.org/officeDocument/2006/relationships/hyperlink" Target="https://talan.bank.gov.ua/get-user-certificate/45CElSHBqI1NVJ9yrNai" TargetMode="External"/><Relationship Id="rId1597" Type="http://schemas.openxmlformats.org/officeDocument/2006/relationships/hyperlink" Target="https://talan.bank.gov.ua/get-user-certificate/45CEl7oNpfKaC2wlV-F_" TargetMode="External"/><Relationship Id="rId2648" Type="http://schemas.openxmlformats.org/officeDocument/2006/relationships/hyperlink" Target="https://talan.bank.gov.ua/get-user-certificate/45CElsumBTF1AsSJn7at" TargetMode="External"/><Relationship Id="rId2855" Type="http://schemas.openxmlformats.org/officeDocument/2006/relationships/hyperlink" Target="https://talan.bank.gov.ua/get-user-certificate/45CElthTPVS_2ToLX6du" TargetMode="External"/><Relationship Id="rId3906" Type="http://schemas.openxmlformats.org/officeDocument/2006/relationships/hyperlink" Target="https://talan.bank.gov.ua/get-user-certificate/45CElSqXtGBJgI2n7nva" TargetMode="External"/><Relationship Id="rId96" Type="http://schemas.openxmlformats.org/officeDocument/2006/relationships/hyperlink" Target="https://talan.bank.gov.ua/get-user-certificate/45CElEIlQmm9Q1jFJvOf" TargetMode="External"/><Relationship Id="rId827" Type="http://schemas.openxmlformats.org/officeDocument/2006/relationships/hyperlink" Target="https://talan.bank.gov.ua/get-user-certificate/45CElV5UjiYRjRIXUDcN" TargetMode="External"/><Relationship Id="rId1457" Type="http://schemas.openxmlformats.org/officeDocument/2006/relationships/hyperlink" Target="https://talan.bank.gov.ua/get-user-certificate/45CElN9MP9hVGwXekYzB" TargetMode="External"/><Relationship Id="rId1664" Type="http://schemas.openxmlformats.org/officeDocument/2006/relationships/hyperlink" Target="https://talan.bank.gov.ua/get-user-certificate/45CElVHbneoFHJRk0HZo" TargetMode="External"/><Relationship Id="rId1871" Type="http://schemas.openxmlformats.org/officeDocument/2006/relationships/hyperlink" Target="https://talan.bank.gov.ua/get-user-certificate/45CEl2MKAFCJC9aTs2oQ" TargetMode="External"/><Relationship Id="rId2508" Type="http://schemas.openxmlformats.org/officeDocument/2006/relationships/hyperlink" Target="https://talan.bank.gov.ua/get-user-certificate/45CEloHWRvI8fTPwY6Dm" TargetMode="External"/><Relationship Id="rId2715" Type="http://schemas.openxmlformats.org/officeDocument/2006/relationships/hyperlink" Target="https://talan.bank.gov.ua/get-user-certificate/45CElE1sy4x9Sgk8NWWv" TargetMode="External"/><Relationship Id="rId2922" Type="http://schemas.openxmlformats.org/officeDocument/2006/relationships/hyperlink" Target="https://talan.bank.gov.ua/get-user-certificate/45CEliYkc26Vefh1--O3" TargetMode="External"/><Relationship Id="rId4070" Type="http://schemas.openxmlformats.org/officeDocument/2006/relationships/hyperlink" Target="https://talan.bank.gov.ua/get-user-certificate/45CElZSzwyOk1NmFmAJh" TargetMode="External"/><Relationship Id="rId1317" Type="http://schemas.openxmlformats.org/officeDocument/2006/relationships/hyperlink" Target="https://talan.bank.gov.ua/get-user-certificate/45CEldeHtUJMgcRenjb6" TargetMode="External"/><Relationship Id="rId1524" Type="http://schemas.openxmlformats.org/officeDocument/2006/relationships/hyperlink" Target="https://talan.bank.gov.ua/get-user-certificate/45CEl9NR2S7B6kw2g20G" TargetMode="External"/><Relationship Id="rId1731" Type="http://schemas.openxmlformats.org/officeDocument/2006/relationships/hyperlink" Target="https://talan.bank.gov.ua/get-user-certificate/45CEleyTJhHDMt60amln" TargetMode="External"/><Relationship Id="rId4887" Type="http://schemas.openxmlformats.org/officeDocument/2006/relationships/hyperlink" Target="https://talan.bank.gov.ua/get-user-certificate/45CElY1g-b6Vh4--cZdb" TargetMode="External"/><Relationship Id="rId23" Type="http://schemas.openxmlformats.org/officeDocument/2006/relationships/hyperlink" Target="https://talan.bank.gov.ua/get-user-certificate/45CElBm5aLynBmY2KbT_" TargetMode="External"/><Relationship Id="rId3489" Type="http://schemas.openxmlformats.org/officeDocument/2006/relationships/hyperlink" Target="https://talan.bank.gov.ua/get-user-certificate/45CEl6w1HY5O_koM3bcY" TargetMode="External"/><Relationship Id="rId3696" Type="http://schemas.openxmlformats.org/officeDocument/2006/relationships/hyperlink" Target="https://talan.bank.gov.ua/get-user-certificate/45CElz0D6RFs_EtDnIZj" TargetMode="External"/><Relationship Id="rId4747" Type="http://schemas.openxmlformats.org/officeDocument/2006/relationships/hyperlink" Target="https://talan.bank.gov.ua/get-user-certificate/45CEln0dONKSg_C-jeJB" TargetMode="External"/><Relationship Id="rId2298" Type="http://schemas.openxmlformats.org/officeDocument/2006/relationships/hyperlink" Target="https://talan.bank.gov.ua/get-user-certificate/45CElbHWnosK5GRXAYhV" TargetMode="External"/><Relationship Id="rId3349" Type="http://schemas.openxmlformats.org/officeDocument/2006/relationships/hyperlink" Target="https://talan.bank.gov.ua/get-user-certificate/45CElINkrd7YjZbCS4KI" TargetMode="External"/><Relationship Id="rId3556" Type="http://schemas.openxmlformats.org/officeDocument/2006/relationships/hyperlink" Target="https://talan.bank.gov.ua/get-user-certificate/45CElnqJiD4oOox-MIzx" TargetMode="External"/><Relationship Id="rId4954" Type="http://schemas.openxmlformats.org/officeDocument/2006/relationships/hyperlink" Target="https://talan.bank.gov.ua/get-user-certificate/45CEltlahHYYTS4jmge8" TargetMode="External"/><Relationship Id="rId477" Type="http://schemas.openxmlformats.org/officeDocument/2006/relationships/hyperlink" Target="https://talan.bank.gov.ua/get-user-certificate/45CEl1PxHGzXj4aBRC_B" TargetMode="External"/><Relationship Id="rId684" Type="http://schemas.openxmlformats.org/officeDocument/2006/relationships/hyperlink" Target="https://talan.bank.gov.ua/get-user-certificate/45CEltmE_goJqcppznCH" TargetMode="External"/><Relationship Id="rId2158" Type="http://schemas.openxmlformats.org/officeDocument/2006/relationships/hyperlink" Target="https://talan.bank.gov.ua/get-user-certificate/45CElUPg_vgvg3GdHkob" TargetMode="External"/><Relationship Id="rId2365" Type="http://schemas.openxmlformats.org/officeDocument/2006/relationships/hyperlink" Target="https://talan.bank.gov.ua/get-user-certificate/45CElQblCEVD1iNnXALx" TargetMode="External"/><Relationship Id="rId3209" Type="http://schemas.openxmlformats.org/officeDocument/2006/relationships/hyperlink" Target="https://talan.bank.gov.ua/get-user-certificate/45CEllnaAU9T2gUg0OpP" TargetMode="External"/><Relationship Id="rId3763" Type="http://schemas.openxmlformats.org/officeDocument/2006/relationships/hyperlink" Target="https://talan.bank.gov.ua/get-user-certificate/45CEl_06TkYAyvVfEh5I" TargetMode="External"/><Relationship Id="rId3970" Type="http://schemas.openxmlformats.org/officeDocument/2006/relationships/hyperlink" Target="https://talan.bank.gov.ua/get-user-certificate/45CEljebzOTn8uT4UMjd" TargetMode="External"/><Relationship Id="rId4607" Type="http://schemas.openxmlformats.org/officeDocument/2006/relationships/hyperlink" Target="https://talan.bank.gov.ua/get-user-certificate/45CElMN41AJLOsM_lG8z" TargetMode="External"/><Relationship Id="rId4814" Type="http://schemas.openxmlformats.org/officeDocument/2006/relationships/hyperlink" Target="https://talan.bank.gov.ua/get-user-certificate/45CElQlppdeISr7dSnde" TargetMode="External"/><Relationship Id="rId337" Type="http://schemas.openxmlformats.org/officeDocument/2006/relationships/hyperlink" Target="https://talan.bank.gov.ua/get-user-certificate/45CEl_Mlg7TFrD0OXJJj" TargetMode="External"/><Relationship Id="rId891" Type="http://schemas.openxmlformats.org/officeDocument/2006/relationships/hyperlink" Target="https://talan.bank.gov.ua/get-user-certificate/45CElzbAZD7A-WJB3CJg" TargetMode="External"/><Relationship Id="rId2018" Type="http://schemas.openxmlformats.org/officeDocument/2006/relationships/hyperlink" Target="https://talan.bank.gov.ua/get-user-certificate/45CElO4N38RdoY9ybmQO" TargetMode="External"/><Relationship Id="rId2572" Type="http://schemas.openxmlformats.org/officeDocument/2006/relationships/hyperlink" Target="https://talan.bank.gov.ua/get-user-certificate/45CElcKu4U4xDHwKTu0Y" TargetMode="External"/><Relationship Id="rId3416" Type="http://schemas.openxmlformats.org/officeDocument/2006/relationships/hyperlink" Target="https://talan.bank.gov.ua/get-user-certificate/45CElLVjmeZupLO9BxsO" TargetMode="External"/><Relationship Id="rId3623" Type="http://schemas.openxmlformats.org/officeDocument/2006/relationships/hyperlink" Target="https://talan.bank.gov.ua/get-user-certificate/45CEl20V5BF5Yqx73D0d" TargetMode="External"/><Relationship Id="rId3830" Type="http://schemas.openxmlformats.org/officeDocument/2006/relationships/hyperlink" Target="https://talan.bank.gov.ua/get-user-certificate/45CEl0-CVqwsXq05KIOM" TargetMode="External"/><Relationship Id="rId544" Type="http://schemas.openxmlformats.org/officeDocument/2006/relationships/hyperlink" Target="https://talan.bank.gov.ua/get-user-certificate/45CElaQ1rlxIHtH33uAD" TargetMode="External"/><Relationship Id="rId751" Type="http://schemas.openxmlformats.org/officeDocument/2006/relationships/hyperlink" Target="https://talan.bank.gov.ua/get-user-certificate/45CEl999AnWjiq2uWFYa" TargetMode="External"/><Relationship Id="rId1174" Type="http://schemas.openxmlformats.org/officeDocument/2006/relationships/hyperlink" Target="https://talan.bank.gov.ua/get-user-certificate/45CEl8tNRzsVnxoGzNTa" TargetMode="External"/><Relationship Id="rId1381" Type="http://schemas.openxmlformats.org/officeDocument/2006/relationships/hyperlink" Target="https://talan.bank.gov.ua/get-user-certificate/45CElbdO5d5H5sLslWf6" TargetMode="External"/><Relationship Id="rId2225" Type="http://schemas.openxmlformats.org/officeDocument/2006/relationships/hyperlink" Target="https://talan.bank.gov.ua/get-user-certificate/45CElfcQitC6jRXHUujp" TargetMode="External"/><Relationship Id="rId2432" Type="http://schemas.openxmlformats.org/officeDocument/2006/relationships/hyperlink" Target="https://talan.bank.gov.ua/get-user-certificate/45CElrKnM8upZe9roOxa" TargetMode="External"/><Relationship Id="rId404" Type="http://schemas.openxmlformats.org/officeDocument/2006/relationships/hyperlink" Target="https://talan.bank.gov.ua/get-user-certificate/45CElW7Z74O5eJbiqsHR" TargetMode="External"/><Relationship Id="rId611" Type="http://schemas.openxmlformats.org/officeDocument/2006/relationships/hyperlink" Target="https://talan.bank.gov.ua/get-user-certificate/45CElH3f84PBe0yCgLTP" TargetMode="External"/><Relationship Id="rId1034" Type="http://schemas.openxmlformats.org/officeDocument/2006/relationships/hyperlink" Target="https://talan.bank.gov.ua/get-user-certificate/45CElPO7PDtOJ39fU8Vt" TargetMode="External"/><Relationship Id="rId1241" Type="http://schemas.openxmlformats.org/officeDocument/2006/relationships/hyperlink" Target="https://talan.bank.gov.ua/get-user-certificate/45CElbYZqvUibu3I5yq4" TargetMode="External"/><Relationship Id="rId4397" Type="http://schemas.openxmlformats.org/officeDocument/2006/relationships/hyperlink" Target="https://talan.bank.gov.ua/get-user-certificate/45CElMsSDUeTcSbGzKIi" TargetMode="External"/><Relationship Id="rId1101" Type="http://schemas.openxmlformats.org/officeDocument/2006/relationships/hyperlink" Target="https://talan.bank.gov.ua/get-user-certificate/45CElAOMyIWRI5s4Pv0Z" TargetMode="External"/><Relationship Id="rId4257" Type="http://schemas.openxmlformats.org/officeDocument/2006/relationships/hyperlink" Target="https://talan.bank.gov.ua/get-user-certificate/45CElImzfXmxM0bdUeHe" TargetMode="External"/><Relationship Id="rId4464" Type="http://schemas.openxmlformats.org/officeDocument/2006/relationships/hyperlink" Target="https://talan.bank.gov.ua/get-user-certificate/45CEl6wF09q8OW4Ylh5Q" TargetMode="External"/><Relationship Id="rId4671" Type="http://schemas.openxmlformats.org/officeDocument/2006/relationships/hyperlink" Target="https://talan.bank.gov.ua/get-user-certificate/45CElVmRHU0cHI8LTrSj" TargetMode="External"/><Relationship Id="rId3066" Type="http://schemas.openxmlformats.org/officeDocument/2006/relationships/hyperlink" Target="https://talan.bank.gov.ua/get-user-certificate/45CElgHT_rywRazS79Mj" TargetMode="External"/><Relationship Id="rId3273" Type="http://schemas.openxmlformats.org/officeDocument/2006/relationships/hyperlink" Target="https://talan.bank.gov.ua/get-user-certificate/45CEle3-tjxlCk0Rm0pC" TargetMode="External"/><Relationship Id="rId3480" Type="http://schemas.openxmlformats.org/officeDocument/2006/relationships/hyperlink" Target="https://talan.bank.gov.ua/get-user-certificate/45CElJqNEWc8rHUpH6TE" TargetMode="External"/><Relationship Id="rId4117" Type="http://schemas.openxmlformats.org/officeDocument/2006/relationships/hyperlink" Target="https://talan.bank.gov.ua/get-user-certificate/45CElmgIGFOqLffufCDR" TargetMode="External"/><Relationship Id="rId4324" Type="http://schemas.openxmlformats.org/officeDocument/2006/relationships/hyperlink" Target="https://talan.bank.gov.ua/get-user-certificate/45CEl7cIFxrStcmyU3S7" TargetMode="External"/><Relationship Id="rId4531" Type="http://schemas.openxmlformats.org/officeDocument/2006/relationships/hyperlink" Target="https://talan.bank.gov.ua/get-user-certificate/45CElcKYSZpB3mn-32jI" TargetMode="External"/><Relationship Id="rId194" Type="http://schemas.openxmlformats.org/officeDocument/2006/relationships/hyperlink" Target="https://talan.bank.gov.ua/get-user-certificate/45CElf7gFKt0ktlYps_c" TargetMode="External"/><Relationship Id="rId1918" Type="http://schemas.openxmlformats.org/officeDocument/2006/relationships/hyperlink" Target="https://talan.bank.gov.ua/get-user-certificate/45CEl6zJgsLIfnXeUjsK" TargetMode="External"/><Relationship Id="rId2082" Type="http://schemas.openxmlformats.org/officeDocument/2006/relationships/hyperlink" Target="https://talan.bank.gov.ua/get-user-certificate/45CEl9LL30VZbCPWR-BJ" TargetMode="External"/><Relationship Id="rId3133" Type="http://schemas.openxmlformats.org/officeDocument/2006/relationships/hyperlink" Target="https://talan.bank.gov.ua/get-user-certificate/45CEl8D7Vlt0hjZbr6H2" TargetMode="External"/><Relationship Id="rId261" Type="http://schemas.openxmlformats.org/officeDocument/2006/relationships/hyperlink" Target="https://talan.bank.gov.ua/get-user-certificate/45CElp65TmIMmK0oYp3-" TargetMode="External"/><Relationship Id="rId3340" Type="http://schemas.openxmlformats.org/officeDocument/2006/relationships/hyperlink" Target="https://talan.bank.gov.ua/get-user-certificate/45CElm7yl5kTsFFWZQ5B" TargetMode="External"/><Relationship Id="rId2899" Type="http://schemas.openxmlformats.org/officeDocument/2006/relationships/hyperlink" Target="https://talan.bank.gov.ua/get-user-certificate/45CEleLESrHOOlrbQgQN" TargetMode="External"/><Relationship Id="rId3200" Type="http://schemas.openxmlformats.org/officeDocument/2006/relationships/hyperlink" Target="https://talan.bank.gov.ua/get-user-certificate/45CEl9HmVls0SnCXRVCK" TargetMode="External"/><Relationship Id="rId121" Type="http://schemas.openxmlformats.org/officeDocument/2006/relationships/hyperlink" Target="https://talan.bank.gov.ua/get-user-certificate/45CElrfltloKI56RTv5J" TargetMode="External"/><Relationship Id="rId2759" Type="http://schemas.openxmlformats.org/officeDocument/2006/relationships/hyperlink" Target="https://talan.bank.gov.ua/get-user-certificate/45CEl2M24ybTdHgbBRLM" TargetMode="External"/><Relationship Id="rId2966" Type="http://schemas.openxmlformats.org/officeDocument/2006/relationships/hyperlink" Target="https://talan.bank.gov.ua/get-user-certificate/45CEldcp0blSFjRuAfbP" TargetMode="External"/><Relationship Id="rId938" Type="http://schemas.openxmlformats.org/officeDocument/2006/relationships/hyperlink" Target="https://talan.bank.gov.ua/get-user-certificate/45CElSWYZOZ_S1sLyt2e" TargetMode="External"/><Relationship Id="rId1568" Type="http://schemas.openxmlformats.org/officeDocument/2006/relationships/hyperlink" Target="https://talan.bank.gov.ua/get-user-certificate/45CElKpctMf9JutoNSEs" TargetMode="External"/><Relationship Id="rId1775" Type="http://schemas.openxmlformats.org/officeDocument/2006/relationships/hyperlink" Target="https://talan.bank.gov.ua/get-user-certificate/45CElKLO-Ly-ZXXpSzrh" TargetMode="External"/><Relationship Id="rId2619" Type="http://schemas.openxmlformats.org/officeDocument/2006/relationships/hyperlink" Target="https://talan.bank.gov.ua/get-user-certificate/45CEliIQC0o5hhRlcvg1" TargetMode="External"/><Relationship Id="rId2826" Type="http://schemas.openxmlformats.org/officeDocument/2006/relationships/hyperlink" Target="https://talan.bank.gov.ua/get-user-certificate/45CElpdu2XUYmZq0J0c7" TargetMode="External"/><Relationship Id="rId4181" Type="http://schemas.openxmlformats.org/officeDocument/2006/relationships/hyperlink" Target="https://talan.bank.gov.ua/get-user-certificate/45CElJI9Ay9MWn573niA" TargetMode="External"/><Relationship Id="rId5025" Type="http://schemas.openxmlformats.org/officeDocument/2006/relationships/hyperlink" Target="https://talan.bank.gov.ua/get-user-certificate/ki8TnDbRKQH9cWSyPGCy" TargetMode="External"/><Relationship Id="rId67" Type="http://schemas.openxmlformats.org/officeDocument/2006/relationships/hyperlink" Target="https://talan.bank.gov.ua/get-user-certificate/45CElHquPdJIEpV4_bMM" TargetMode="External"/><Relationship Id="rId1428" Type="http://schemas.openxmlformats.org/officeDocument/2006/relationships/hyperlink" Target="https://talan.bank.gov.ua/get-user-certificate/45CElu--vUwQN9RP9Aiy" TargetMode="External"/><Relationship Id="rId1635" Type="http://schemas.openxmlformats.org/officeDocument/2006/relationships/hyperlink" Target="https://talan.bank.gov.ua/get-user-certificate/45CElSVQ8ZTlnZuwhM3E" TargetMode="External"/><Relationship Id="rId1982" Type="http://schemas.openxmlformats.org/officeDocument/2006/relationships/hyperlink" Target="https://talan.bank.gov.ua/get-user-certificate/45CElyn71nDYgx0Cogf7" TargetMode="External"/><Relationship Id="rId4041" Type="http://schemas.openxmlformats.org/officeDocument/2006/relationships/hyperlink" Target="https://talan.bank.gov.ua/get-user-certificate/45CEl6eDR1dk1P3ruEJQ" TargetMode="External"/><Relationship Id="rId1842" Type="http://schemas.openxmlformats.org/officeDocument/2006/relationships/hyperlink" Target="https://talan.bank.gov.ua/get-user-certificate/45CEllqK8PZaFhj7n9c8" TargetMode="External"/><Relationship Id="rId4998" Type="http://schemas.openxmlformats.org/officeDocument/2006/relationships/hyperlink" Target="https://talan.bank.gov.ua/get-user-certificate/ki8TnJz0e2DoMValZt1c" TargetMode="External"/><Relationship Id="rId1702" Type="http://schemas.openxmlformats.org/officeDocument/2006/relationships/hyperlink" Target="https://talan.bank.gov.ua/get-user-certificate/45CElHifD9WNhClW3Nwo" TargetMode="External"/><Relationship Id="rId4858" Type="http://schemas.openxmlformats.org/officeDocument/2006/relationships/hyperlink" Target="https://talan.bank.gov.ua/get-user-certificate/45CElORkgHRlHjMWSOLW" TargetMode="External"/><Relationship Id="rId3667" Type="http://schemas.openxmlformats.org/officeDocument/2006/relationships/hyperlink" Target="https://talan.bank.gov.ua/get-user-certificate/45CElD8iX7tI_sLRCOWw" TargetMode="External"/><Relationship Id="rId3874" Type="http://schemas.openxmlformats.org/officeDocument/2006/relationships/hyperlink" Target="https://talan.bank.gov.ua/get-user-certificate/45CElERe2HJHkUoDr2FF" TargetMode="External"/><Relationship Id="rId4718" Type="http://schemas.openxmlformats.org/officeDocument/2006/relationships/hyperlink" Target="https://talan.bank.gov.ua/get-user-certificate/45CElTba25dfUPQKzYir" TargetMode="External"/><Relationship Id="rId4925" Type="http://schemas.openxmlformats.org/officeDocument/2006/relationships/hyperlink" Target="https://talan.bank.gov.ua/get-user-certificate/45CElha1-oWT3aUvM7zx" TargetMode="External"/><Relationship Id="rId588" Type="http://schemas.openxmlformats.org/officeDocument/2006/relationships/hyperlink" Target="https://talan.bank.gov.ua/get-user-certificate/45CElTlC8HpciuSQ_EhG" TargetMode="External"/><Relationship Id="rId795" Type="http://schemas.openxmlformats.org/officeDocument/2006/relationships/hyperlink" Target="https://talan.bank.gov.ua/get-user-certificate/45CElIBJPfOlVB4kcHV_" TargetMode="External"/><Relationship Id="rId2269" Type="http://schemas.openxmlformats.org/officeDocument/2006/relationships/hyperlink" Target="https://talan.bank.gov.ua/get-user-certificate/45CEl-pqoBgQq3ASYO3l" TargetMode="External"/><Relationship Id="rId2476" Type="http://schemas.openxmlformats.org/officeDocument/2006/relationships/hyperlink" Target="https://talan.bank.gov.ua/get-user-certificate/45CElBaV3qL7UC-bF3p2" TargetMode="External"/><Relationship Id="rId2683" Type="http://schemas.openxmlformats.org/officeDocument/2006/relationships/hyperlink" Target="https://talan.bank.gov.ua/get-user-certificate/45CEl8n7KP_ZuGB-HYOj" TargetMode="External"/><Relationship Id="rId2890" Type="http://schemas.openxmlformats.org/officeDocument/2006/relationships/hyperlink" Target="https://talan.bank.gov.ua/get-user-certificate/45CElPzzUEAfNQJ5OMg7" TargetMode="External"/><Relationship Id="rId3527" Type="http://schemas.openxmlformats.org/officeDocument/2006/relationships/hyperlink" Target="https://talan.bank.gov.ua/get-user-certificate/45CElcnHckyJ2e4_nznw" TargetMode="External"/><Relationship Id="rId3734" Type="http://schemas.openxmlformats.org/officeDocument/2006/relationships/hyperlink" Target="https://talan.bank.gov.ua/get-user-certificate/45CEl5rIWhmi1Lb9R0JK" TargetMode="External"/><Relationship Id="rId3941" Type="http://schemas.openxmlformats.org/officeDocument/2006/relationships/hyperlink" Target="https://talan.bank.gov.ua/get-user-certificate/45CEluebiO9mAse7vTDr" TargetMode="External"/><Relationship Id="rId448" Type="http://schemas.openxmlformats.org/officeDocument/2006/relationships/hyperlink" Target="https://talan.bank.gov.ua/get-user-certificate/45CElLx-qzs8sQHvUhDq" TargetMode="External"/><Relationship Id="rId655" Type="http://schemas.openxmlformats.org/officeDocument/2006/relationships/hyperlink" Target="https://talan.bank.gov.ua/get-user-certificate/45CElWVdcUSAa4Ro00Ch" TargetMode="External"/><Relationship Id="rId862" Type="http://schemas.openxmlformats.org/officeDocument/2006/relationships/hyperlink" Target="https://talan.bank.gov.ua/get-user-certificate/45CElTPu8IIiiRNq9a7O" TargetMode="External"/><Relationship Id="rId1078" Type="http://schemas.openxmlformats.org/officeDocument/2006/relationships/hyperlink" Target="https://talan.bank.gov.ua/get-user-certificate/45CEl84zP9SYv0uFf9Sb" TargetMode="External"/><Relationship Id="rId1285" Type="http://schemas.openxmlformats.org/officeDocument/2006/relationships/hyperlink" Target="https://talan.bank.gov.ua/get-user-certificate/45CEldctDj6Lv1zQBM8C" TargetMode="External"/><Relationship Id="rId1492" Type="http://schemas.openxmlformats.org/officeDocument/2006/relationships/hyperlink" Target="https://talan.bank.gov.ua/get-user-certificate/45CEl_9fAlzEsFd5v2IY" TargetMode="External"/><Relationship Id="rId2129" Type="http://schemas.openxmlformats.org/officeDocument/2006/relationships/hyperlink" Target="https://talan.bank.gov.ua/get-user-certificate/45CElZaykLJmlEw1raYw" TargetMode="External"/><Relationship Id="rId2336" Type="http://schemas.openxmlformats.org/officeDocument/2006/relationships/hyperlink" Target="https://talan.bank.gov.ua/get-user-certificate/45CElvR08D7cbjTXjT6F" TargetMode="External"/><Relationship Id="rId2543" Type="http://schemas.openxmlformats.org/officeDocument/2006/relationships/hyperlink" Target="https://talan.bank.gov.ua/get-user-certificate/45CEl1cUKJ12jHqfboTS" TargetMode="External"/><Relationship Id="rId2750" Type="http://schemas.openxmlformats.org/officeDocument/2006/relationships/hyperlink" Target="https://talan.bank.gov.ua/get-user-certificate/45CElNkONnGelXEFviu8" TargetMode="External"/><Relationship Id="rId3801" Type="http://schemas.openxmlformats.org/officeDocument/2006/relationships/hyperlink" Target="https://talan.bank.gov.ua/get-user-certificate/45CElizBWT7cbDbA0Jso" TargetMode="External"/><Relationship Id="rId308" Type="http://schemas.openxmlformats.org/officeDocument/2006/relationships/hyperlink" Target="https://talan.bank.gov.ua/get-user-certificate/45CElwXv7UW4laBSeAfx" TargetMode="External"/><Relationship Id="rId515" Type="http://schemas.openxmlformats.org/officeDocument/2006/relationships/hyperlink" Target="https://talan.bank.gov.ua/get-user-certificate/45CElKmf9fD_zzjl9evG" TargetMode="External"/><Relationship Id="rId722" Type="http://schemas.openxmlformats.org/officeDocument/2006/relationships/hyperlink" Target="https://talan.bank.gov.ua/get-user-certificate/45CElPow7geCOgx0eFTZ" TargetMode="External"/><Relationship Id="rId1145" Type="http://schemas.openxmlformats.org/officeDocument/2006/relationships/hyperlink" Target="https://talan.bank.gov.ua/get-user-certificate/45CElZuQF5r3xkfLIcE4" TargetMode="External"/><Relationship Id="rId1352" Type="http://schemas.openxmlformats.org/officeDocument/2006/relationships/hyperlink" Target="https://talan.bank.gov.ua/get-user-certificate/45CEljmQV8MlAMUc_hJ9" TargetMode="External"/><Relationship Id="rId2403" Type="http://schemas.openxmlformats.org/officeDocument/2006/relationships/hyperlink" Target="https://talan.bank.gov.ua/get-user-certificate/45CElXRtKL2e4Jt6esBO" TargetMode="External"/><Relationship Id="rId1005" Type="http://schemas.openxmlformats.org/officeDocument/2006/relationships/hyperlink" Target="https://talan.bank.gov.ua/get-user-certificate/45CElSgqSdNKUl-JIZg4" TargetMode="External"/><Relationship Id="rId1212" Type="http://schemas.openxmlformats.org/officeDocument/2006/relationships/hyperlink" Target="https://talan.bank.gov.ua/get-user-certificate/45CElG7u2Vp-lls_ElGF" TargetMode="External"/><Relationship Id="rId2610" Type="http://schemas.openxmlformats.org/officeDocument/2006/relationships/hyperlink" Target="https://talan.bank.gov.ua/get-user-certificate/45CEliAyc7ZlF0iA0lza" TargetMode="External"/><Relationship Id="rId4368" Type="http://schemas.openxmlformats.org/officeDocument/2006/relationships/hyperlink" Target="https://talan.bank.gov.ua/get-user-certificate/45CEl99hjDM2jNK63xi7" TargetMode="External"/><Relationship Id="rId4575" Type="http://schemas.openxmlformats.org/officeDocument/2006/relationships/hyperlink" Target="https://talan.bank.gov.ua/get-user-certificate/45CElX34Jx9fpoRGtiif" TargetMode="External"/><Relationship Id="rId3177" Type="http://schemas.openxmlformats.org/officeDocument/2006/relationships/hyperlink" Target="https://talan.bank.gov.ua/get-user-certificate/45CEl_talXTP4kxBCUbw" TargetMode="External"/><Relationship Id="rId4228" Type="http://schemas.openxmlformats.org/officeDocument/2006/relationships/hyperlink" Target="https://talan.bank.gov.ua/get-user-certificate/45CElIAiPyvHmqfHz9eo" TargetMode="External"/><Relationship Id="rId4782" Type="http://schemas.openxmlformats.org/officeDocument/2006/relationships/hyperlink" Target="https://talan.bank.gov.ua/get-user-certificate/45CElCGry41euT9C8zD-" TargetMode="External"/><Relationship Id="rId3037" Type="http://schemas.openxmlformats.org/officeDocument/2006/relationships/hyperlink" Target="https://talan.bank.gov.ua/get-user-certificate/45CElD60-2-RkSXeQfdf" TargetMode="External"/><Relationship Id="rId3384" Type="http://schemas.openxmlformats.org/officeDocument/2006/relationships/hyperlink" Target="https://talan.bank.gov.ua/get-user-certificate/45CElZ1oP45KsUg2Au3z" TargetMode="External"/><Relationship Id="rId3591" Type="http://schemas.openxmlformats.org/officeDocument/2006/relationships/hyperlink" Target="https://talan.bank.gov.ua/get-user-certificate/45CElBubsfAmYa09Rzmm" TargetMode="External"/><Relationship Id="rId4435" Type="http://schemas.openxmlformats.org/officeDocument/2006/relationships/hyperlink" Target="https://talan.bank.gov.ua/get-user-certificate/45CEloxYyG8k0IBMqzIf" TargetMode="External"/><Relationship Id="rId4642" Type="http://schemas.openxmlformats.org/officeDocument/2006/relationships/hyperlink" Target="https://talan.bank.gov.ua/get-user-certificate/45CEl9lsiv7ktbBqfNTl" TargetMode="External"/><Relationship Id="rId2193" Type="http://schemas.openxmlformats.org/officeDocument/2006/relationships/hyperlink" Target="https://talan.bank.gov.ua/get-user-certificate/45CElugfG2LMF5Dozlpu" TargetMode="External"/><Relationship Id="rId3244" Type="http://schemas.openxmlformats.org/officeDocument/2006/relationships/hyperlink" Target="https://talan.bank.gov.ua/get-user-certificate/45CEl97VGw7APYdXfqBG" TargetMode="External"/><Relationship Id="rId3451" Type="http://schemas.openxmlformats.org/officeDocument/2006/relationships/hyperlink" Target="https://talan.bank.gov.ua/get-user-certificate/45CEl4Nl2z-TQdVrgen0" TargetMode="External"/><Relationship Id="rId4502" Type="http://schemas.openxmlformats.org/officeDocument/2006/relationships/hyperlink" Target="https://talan.bank.gov.ua/get-user-certificate/45CEl_oT9ax9WJIrnmOu" TargetMode="External"/><Relationship Id="rId165" Type="http://schemas.openxmlformats.org/officeDocument/2006/relationships/hyperlink" Target="https://talan.bank.gov.ua/get-user-certificate/45CElE82kAUVIP7LHHnS" TargetMode="External"/><Relationship Id="rId372" Type="http://schemas.openxmlformats.org/officeDocument/2006/relationships/hyperlink" Target="https://talan.bank.gov.ua/get-user-certificate/45CElvAuxwBmzboFwhVV" TargetMode="External"/><Relationship Id="rId2053" Type="http://schemas.openxmlformats.org/officeDocument/2006/relationships/hyperlink" Target="https://talan.bank.gov.ua/get-user-certificate/45CEl8cfgZG0A8u1wNFc" TargetMode="External"/><Relationship Id="rId2260" Type="http://schemas.openxmlformats.org/officeDocument/2006/relationships/hyperlink" Target="https://talan.bank.gov.ua/get-user-certificate/45CEl8NZ0ejmqcv-WQ9P" TargetMode="External"/><Relationship Id="rId3104" Type="http://schemas.openxmlformats.org/officeDocument/2006/relationships/hyperlink" Target="https://talan.bank.gov.ua/get-user-certificate/45CEl2C2kzmAQEU9d3k6" TargetMode="External"/><Relationship Id="rId3311" Type="http://schemas.openxmlformats.org/officeDocument/2006/relationships/hyperlink" Target="https://talan.bank.gov.ua/get-user-certificate/45CElPCJRZImkxVs79NL" TargetMode="External"/><Relationship Id="rId232" Type="http://schemas.openxmlformats.org/officeDocument/2006/relationships/hyperlink" Target="https://talan.bank.gov.ua/get-user-certificate/45CElSUAOYxZMgt31JiH" TargetMode="External"/><Relationship Id="rId2120" Type="http://schemas.openxmlformats.org/officeDocument/2006/relationships/hyperlink" Target="https://talan.bank.gov.ua/get-user-certificate/45CElwJ480LV6JmCmT19" TargetMode="External"/><Relationship Id="rId1679" Type="http://schemas.openxmlformats.org/officeDocument/2006/relationships/hyperlink" Target="https://talan.bank.gov.ua/get-user-certificate/45CEl6OUkGQiZzUxkueX" TargetMode="External"/><Relationship Id="rId4085" Type="http://schemas.openxmlformats.org/officeDocument/2006/relationships/hyperlink" Target="https://talan.bank.gov.ua/get-user-certificate/45CElf_BevLUdIffmRdr" TargetMode="External"/><Relationship Id="rId4292" Type="http://schemas.openxmlformats.org/officeDocument/2006/relationships/hyperlink" Target="https://talan.bank.gov.ua/get-user-certificate/45CElCViksD0K1XbG42d" TargetMode="External"/><Relationship Id="rId1886" Type="http://schemas.openxmlformats.org/officeDocument/2006/relationships/hyperlink" Target="https://talan.bank.gov.ua/get-user-certificate/45CElgcezgVs8x4SRSoH" TargetMode="External"/><Relationship Id="rId2937" Type="http://schemas.openxmlformats.org/officeDocument/2006/relationships/hyperlink" Target="https://talan.bank.gov.ua/get-user-certificate/45CElUenKj-BrZWzn-Oj" TargetMode="External"/><Relationship Id="rId4152" Type="http://schemas.openxmlformats.org/officeDocument/2006/relationships/hyperlink" Target="https://talan.bank.gov.ua/get-user-certificate/45CElvRaIF_v6W9lWAy0" TargetMode="External"/><Relationship Id="rId909" Type="http://schemas.openxmlformats.org/officeDocument/2006/relationships/hyperlink" Target="https://talan.bank.gov.ua/get-user-certificate/45CElwFXuS0f8qY6kfq3" TargetMode="External"/><Relationship Id="rId1539" Type="http://schemas.openxmlformats.org/officeDocument/2006/relationships/hyperlink" Target="https://talan.bank.gov.ua/get-user-certificate/45CElwm_3xETfeKkHOsx" TargetMode="External"/><Relationship Id="rId1746" Type="http://schemas.openxmlformats.org/officeDocument/2006/relationships/hyperlink" Target="https://talan.bank.gov.ua/get-user-certificate/45CEl1g5aFf773hHOC8Q" TargetMode="External"/><Relationship Id="rId1953" Type="http://schemas.openxmlformats.org/officeDocument/2006/relationships/hyperlink" Target="https://talan.bank.gov.ua/get-user-certificate/45CEltfVtDtW1HG82vdK" TargetMode="External"/><Relationship Id="rId38" Type="http://schemas.openxmlformats.org/officeDocument/2006/relationships/hyperlink" Target="https://talan.bank.gov.ua/get-user-certificate/45CElAjyDSZSH3HXc9GX" TargetMode="External"/><Relationship Id="rId1606" Type="http://schemas.openxmlformats.org/officeDocument/2006/relationships/hyperlink" Target="https://talan.bank.gov.ua/get-user-certificate/45CElfEZVqVIwvtAnmU5" TargetMode="External"/><Relationship Id="rId1813" Type="http://schemas.openxmlformats.org/officeDocument/2006/relationships/hyperlink" Target="https://talan.bank.gov.ua/get-user-certificate/45CElEvsMYRhxb-1y_w-" TargetMode="External"/><Relationship Id="rId4012" Type="http://schemas.openxmlformats.org/officeDocument/2006/relationships/hyperlink" Target="https://talan.bank.gov.ua/get-user-certificate/45CElNLuJifHofZLSzFs" TargetMode="External"/><Relationship Id="rId4969" Type="http://schemas.openxmlformats.org/officeDocument/2006/relationships/hyperlink" Target="https://talan.bank.gov.ua/get-user-certificate/45CElCYNKf1kcjD_qlP9" TargetMode="External"/><Relationship Id="rId3778" Type="http://schemas.openxmlformats.org/officeDocument/2006/relationships/hyperlink" Target="https://talan.bank.gov.ua/get-user-certificate/45CElYwqb9XsJGlSYU6b" TargetMode="External"/><Relationship Id="rId3985" Type="http://schemas.openxmlformats.org/officeDocument/2006/relationships/hyperlink" Target="https://talan.bank.gov.ua/get-user-certificate/45CElfsBC42jL570QmvB" TargetMode="External"/><Relationship Id="rId4829" Type="http://schemas.openxmlformats.org/officeDocument/2006/relationships/hyperlink" Target="https://talan.bank.gov.ua/get-user-certificate/45CElfKFEQndY8HHbYnk" TargetMode="External"/><Relationship Id="rId699" Type="http://schemas.openxmlformats.org/officeDocument/2006/relationships/hyperlink" Target="https://talan.bank.gov.ua/get-user-certificate/45CEl5Y94tqaeW83Xush" TargetMode="External"/><Relationship Id="rId2587" Type="http://schemas.openxmlformats.org/officeDocument/2006/relationships/hyperlink" Target="https://talan.bank.gov.ua/get-user-certificate/45CElPuwYYn_5kIiE1GS" TargetMode="External"/><Relationship Id="rId2794" Type="http://schemas.openxmlformats.org/officeDocument/2006/relationships/hyperlink" Target="https://talan.bank.gov.ua/get-user-certificate/45CElDx2EFpuVtpmgzz_" TargetMode="External"/><Relationship Id="rId3638" Type="http://schemas.openxmlformats.org/officeDocument/2006/relationships/hyperlink" Target="https://talan.bank.gov.ua/get-user-certificate/45CElSuwRfeKPSydxI21" TargetMode="External"/><Relationship Id="rId3845" Type="http://schemas.openxmlformats.org/officeDocument/2006/relationships/hyperlink" Target="https://talan.bank.gov.ua/get-user-certificate/45CElUrm1rObOyHD_QKJ" TargetMode="External"/><Relationship Id="rId559" Type="http://schemas.openxmlformats.org/officeDocument/2006/relationships/hyperlink" Target="https://talan.bank.gov.ua/get-user-certificate/45CElQQDrhHUtC6OM13Z" TargetMode="External"/><Relationship Id="rId766" Type="http://schemas.openxmlformats.org/officeDocument/2006/relationships/hyperlink" Target="https://talan.bank.gov.ua/get-user-certificate/45CElQ7oW9hjByvAcxFX" TargetMode="External"/><Relationship Id="rId1189" Type="http://schemas.openxmlformats.org/officeDocument/2006/relationships/hyperlink" Target="https://talan.bank.gov.ua/get-user-certificate/45CElsWloQlAlAhcSs2m" TargetMode="External"/><Relationship Id="rId1396" Type="http://schemas.openxmlformats.org/officeDocument/2006/relationships/hyperlink" Target="https://talan.bank.gov.ua/get-user-certificate/45CElXKPrSkR38oJBtK_" TargetMode="External"/><Relationship Id="rId2447" Type="http://schemas.openxmlformats.org/officeDocument/2006/relationships/hyperlink" Target="https://talan.bank.gov.ua/get-user-certificate/45CElnDJDKqrN70a8NMj" TargetMode="External"/><Relationship Id="rId419" Type="http://schemas.openxmlformats.org/officeDocument/2006/relationships/hyperlink" Target="https://talan.bank.gov.ua/get-user-certificate/45CElgzhaDKaKIHNt_UK" TargetMode="External"/><Relationship Id="rId626" Type="http://schemas.openxmlformats.org/officeDocument/2006/relationships/hyperlink" Target="https://talan.bank.gov.ua/get-user-certificate/45CElgMiPp7Egvj6FO8-" TargetMode="External"/><Relationship Id="rId973" Type="http://schemas.openxmlformats.org/officeDocument/2006/relationships/hyperlink" Target="https://talan.bank.gov.ua/get-user-certificate/45CEl30i9tPX0FeNlMdV" TargetMode="External"/><Relationship Id="rId1049" Type="http://schemas.openxmlformats.org/officeDocument/2006/relationships/hyperlink" Target="https://talan.bank.gov.ua/get-user-certificate/45CElX18YQoNPU5sTkqQ" TargetMode="External"/><Relationship Id="rId1256" Type="http://schemas.openxmlformats.org/officeDocument/2006/relationships/hyperlink" Target="https://talan.bank.gov.ua/get-user-certificate/45CElCmg3FJtJn512_uz" TargetMode="External"/><Relationship Id="rId2307" Type="http://schemas.openxmlformats.org/officeDocument/2006/relationships/hyperlink" Target="https://talan.bank.gov.ua/get-user-certificate/45CEl7Nnvmrp_GCk2jAy" TargetMode="External"/><Relationship Id="rId2654" Type="http://schemas.openxmlformats.org/officeDocument/2006/relationships/hyperlink" Target="https://talan.bank.gov.ua/get-user-certificate/45CElqyn5uWetb4dsVsM" TargetMode="External"/><Relationship Id="rId2861" Type="http://schemas.openxmlformats.org/officeDocument/2006/relationships/hyperlink" Target="https://talan.bank.gov.ua/get-user-certificate/45CEl6ZjfvAVi2Jzm7tx" TargetMode="External"/><Relationship Id="rId3705" Type="http://schemas.openxmlformats.org/officeDocument/2006/relationships/hyperlink" Target="https://talan.bank.gov.ua/get-user-certificate/45CElZxrTeFuddM992CN" TargetMode="External"/><Relationship Id="rId3912" Type="http://schemas.openxmlformats.org/officeDocument/2006/relationships/hyperlink" Target="https://talan.bank.gov.ua/get-user-certificate/45CElHo0BJcijLQAcVRl" TargetMode="External"/><Relationship Id="rId833" Type="http://schemas.openxmlformats.org/officeDocument/2006/relationships/hyperlink" Target="https://talan.bank.gov.ua/get-user-certificate/45CElZZXTWLZQ1CuWhe3" TargetMode="External"/><Relationship Id="rId1116" Type="http://schemas.openxmlformats.org/officeDocument/2006/relationships/hyperlink" Target="https://talan.bank.gov.ua/get-user-certificate/45CEl65HFVvEPZECRNt9" TargetMode="External"/><Relationship Id="rId1463" Type="http://schemas.openxmlformats.org/officeDocument/2006/relationships/hyperlink" Target="https://talan.bank.gov.ua/get-user-certificate/45CElimX8do0x3Bdbpuv" TargetMode="External"/><Relationship Id="rId1670" Type="http://schemas.openxmlformats.org/officeDocument/2006/relationships/hyperlink" Target="https://talan.bank.gov.ua/get-user-certificate/45CElfcanuE28Gaw9GIK" TargetMode="External"/><Relationship Id="rId2514" Type="http://schemas.openxmlformats.org/officeDocument/2006/relationships/hyperlink" Target="https://talan.bank.gov.ua/get-user-certificate/45CEliS1oRuxrJOBQth9" TargetMode="External"/><Relationship Id="rId2721" Type="http://schemas.openxmlformats.org/officeDocument/2006/relationships/hyperlink" Target="https://talan.bank.gov.ua/get-user-certificate/45CEl6iGhAbDEfS7GGSL" TargetMode="External"/><Relationship Id="rId900" Type="http://schemas.openxmlformats.org/officeDocument/2006/relationships/hyperlink" Target="https://talan.bank.gov.ua/get-user-certificate/45CElWcoN_VAOyuuPMiT" TargetMode="External"/><Relationship Id="rId1323" Type="http://schemas.openxmlformats.org/officeDocument/2006/relationships/hyperlink" Target="https://talan.bank.gov.ua/get-user-certificate/45CEldzPGfZeX3yuoE3S" TargetMode="External"/><Relationship Id="rId1530" Type="http://schemas.openxmlformats.org/officeDocument/2006/relationships/hyperlink" Target="https://talan.bank.gov.ua/get-user-certificate/45CEleIp4-PedQ-1SZP4" TargetMode="External"/><Relationship Id="rId4479" Type="http://schemas.openxmlformats.org/officeDocument/2006/relationships/hyperlink" Target="https://talan.bank.gov.ua/get-user-certificate/45CEleLqvdb5uQL9EgV3" TargetMode="External"/><Relationship Id="rId4686" Type="http://schemas.openxmlformats.org/officeDocument/2006/relationships/hyperlink" Target="https://talan.bank.gov.ua/get-user-certificate/45CElJih-bqSKNsLUwZU" TargetMode="External"/><Relationship Id="rId4893" Type="http://schemas.openxmlformats.org/officeDocument/2006/relationships/hyperlink" Target="https://talan.bank.gov.ua/get-user-certificate/45CElbVcRgyrhIVp2TTV" TargetMode="External"/><Relationship Id="rId3288" Type="http://schemas.openxmlformats.org/officeDocument/2006/relationships/hyperlink" Target="https://talan.bank.gov.ua/get-user-certificate/45CElT5JkuYYusJ25hc6" TargetMode="External"/><Relationship Id="rId3495" Type="http://schemas.openxmlformats.org/officeDocument/2006/relationships/hyperlink" Target="https://talan.bank.gov.ua/get-user-certificate/45CEly2IlNchoDrOhkAS" TargetMode="External"/><Relationship Id="rId4339" Type="http://schemas.openxmlformats.org/officeDocument/2006/relationships/hyperlink" Target="https://talan.bank.gov.ua/get-user-certificate/45CElwRdid3mcgtYabOR" TargetMode="External"/><Relationship Id="rId4546" Type="http://schemas.openxmlformats.org/officeDocument/2006/relationships/hyperlink" Target="https://talan.bank.gov.ua/get-user-certificate/45CElvV3o608Fr87gWfB" TargetMode="External"/><Relationship Id="rId4753" Type="http://schemas.openxmlformats.org/officeDocument/2006/relationships/hyperlink" Target="https://talan.bank.gov.ua/get-user-certificate/45CElYEiYtM08VOnTefP" TargetMode="External"/><Relationship Id="rId4960" Type="http://schemas.openxmlformats.org/officeDocument/2006/relationships/hyperlink" Target="https://talan.bank.gov.ua/get-user-certificate/45CElJbyNsFivMxEWCRM" TargetMode="External"/><Relationship Id="rId2097" Type="http://schemas.openxmlformats.org/officeDocument/2006/relationships/hyperlink" Target="https://talan.bank.gov.ua/get-user-certificate/45CElSGNArjrT5WxXwjL" TargetMode="External"/><Relationship Id="rId3148" Type="http://schemas.openxmlformats.org/officeDocument/2006/relationships/hyperlink" Target="https://talan.bank.gov.ua/get-user-certificate/45CElxe1NJKv-zeFiG5m" TargetMode="External"/><Relationship Id="rId3355" Type="http://schemas.openxmlformats.org/officeDocument/2006/relationships/hyperlink" Target="https://talan.bank.gov.ua/get-user-certificate/45CElQ3NqOXoiS0f_0xa" TargetMode="External"/><Relationship Id="rId3562" Type="http://schemas.openxmlformats.org/officeDocument/2006/relationships/hyperlink" Target="https://talan.bank.gov.ua/get-user-certificate/45CElKO3ydhjP-2Da5MG" TargetMode="External"/><Relationship Id="rId4406" Type="http://schemas.openxmlformats.org/officeDocument/2006/relationships/hyperlink" Target="https://talan.bank.gov.ua/get-user-certificate/45CElrivQ9Y81GkJsSc6" TargetMode="External"/><Relationship Id="rId4613" Type="http://schemas.openxmlformats.org/officeDocument/2006/relationships/hyperlink" Target="https://talan.bank.gov.ua/get-user-certificate/45CElBqRlrEce-2SUfxw" TargetMode="External"/><Relationship Id="rId276" Type="http://schemas.openxmlformats.org/officeDocument/2006/relationships/hyperlink" Target="https://talan.bank.gov.ua/get-user-certificate/45CElLHVlMq2o48ojnw6" TargetMode="External"/><Relationship Id="rId483" Type="http://schemas.openxmlformats.org/officeDocument/2006/relationships/hyperlink" Target="https://talan.bank.gov.ua/get-user-certificate/45CEl_EU-n-vv6klOiwR" TargetMode="External"/><Relationship Id="rId690" Type="http://schemas.openxmlformats.org/officeDocument/2006/relationships/hyperlink" Target="https://talan.bank.gov.ua/get-user-certificate/45CEltSSzjV2GBeLrmIw" TargetMode="External"/><Relationship Id="rId2164" Type="http://schemas.openxmlformats.org/officeDocument/2006/relationships/hyperlink" Target="https://talan.bank.gov.ua/get-user-certificate/45CElMS7X1Qok4TE4IKj" TargetMode="External"/><Relationship Id="rId2371" Type="http://schemas.openxmlformats.org/officeDocument/2006/relationships/hyperlink" Target="https://talan.bank.gov.ua/get-user-certificate/45CEltc7rrT_gM0xZxBe" TargetMode="External"/><Relationship Id="rId3008" Type="http://schemas.openxmlformats.org/officeDocument/2006/relationships/hyperlink" Target="https://talan.bank.gov.ua/get-user-certificate/45CElW3mIV-wK2SJjhF4" TargetMode="External"/><Relationship Id="rId3215" Type="http://schemas.openxmlformats.org/officeDocument/2006/relationships/hyperlink" Target="https://talan.bank.gov.ua/get-user-certificate/45CElaSpX_CyelDrS1Wi" TargetMode="External"/><Relationship Id="rId3422" Type="http://schemas.openxmlformats.org/officeDocument/2006/relationships/hyperlink" Target="https://talan.bank.gov.ua/get-user-certificate/45CEl_bj3xWRizhiw17t" TargetMode="External"/><Relationship Id="rId4820" Type="http://schemas.openxmlformats.org/officeDocument/2006/relationships/hyperlink" Target="https://talan.bank.gov.ua/get-user-certificate/45CElen8fp276C8VQDzk" TargetMode="External"/><Relationship Id="rId136" Type="http://schemas.openxmlformats.org/officeDocument/2006/relationships/hyperlink" Target="https://talan.bank.gov.ua/get-user-certificate/45CEl5DzH9ADuEiBQ_zj" TargetMode="External"/><Relationship Id="rId343" Type="http://schemas.openxmlformats.org/officeDocument/2006/relationships/hyperlink" Target="https://talan.bank.gov.ua/get-user-certificate/45CEl7JsUgcXRWwFXwr6" TargetMode="External"/><Relationship Id="rId550" Type="http://schemas.openxmlformats.org/officeDocument/2006/relationships/hyperlink" Target="https://talan.bank.gov.ua/get-user-certificate/45CElRt8vjxGdjbgtM1K" TargetMode="External"/><Relationship Id="rId1180" Type="http://schemas.openxmlformats.org/officeDocument/2006/relationships/hyperlink" Target="https://talan.bank.gov.ua/get-user-certificate/45CElg528fGsA7nTD72U" TargetMode="External"/><Relationship Id="rId2024" Type="http://schemas.openxmlformats.org/officeDocument/2006/relationships/hyperlink" Target="https://talan.bank.gov.ua/get-user-certificate/45CEl2IRjygbelZsz3u6" TargetMode="External"/><Relationship Id="rId2231" Type="http://schemas.openxmlformats.org/officeDocument/2006/relationships/hyperlink" Target="https://talan.bank.gov.ua/get-user-certificate/45CElrGJY-oFVQfrxvYA" TargetMode="External"/><Relationship Id="rId203" Type="http://schemas.openxmlformats.org/officeDocument/2006/relationships/hyperlink" Target="https://talan.bank.gov.ua/get-user-certificate/45CElUUfde-9J7q-so2D" TargetMode="External"/><Relationship Id="rId1040" Type="http://schemas.openxmlformats.org/officeDocument/2006/relationships/hyperlink" Target="https://talan.bank.gov.ua/get-user-certificate/45CElBZhgesfJf8JMtdP" TargetMode="External"/><Relationship Id="rId4196" Type="http://schemas.openxmlformats.org/officeDocument/2006/relationships/hyperlink" Target="https://talan.bank.gov.ua/get-user-certificate/45CElLS-aBlkHl7kLtl6" TargetMode="External"/><Relationship Id="rId410" Type="http://schemas.openxmlformats.org/officeDocument/2006/relationships/hyperlink" Target="https://talan.bank.gov.ua/get-user-certificate/45CElms0Jn-hXpMp202e" TargetMode="External"/><Relationship Id="rId1997" Type="http://schemas.openxmlformats.org/officeDocument/2006/relationships/hyperlink" Target="https://talan.bank.gov.ua/get-user-certificate/45CEl4lKBU1RsuzoXNXS" TargetMode="External"/><Relationship Id="rId4056" Type="http://schemas.openxmlformats.org/officeDocument/2006/relationships/hyperlink" Target="https://talan.bank.gov.ua/get-user-certificate/45CElIEHp9u2ezE3-bLQ" TargetMode="External"/><Relationship Id="rId1857" Type="http://schemas.openxmlformats.org/officeDocument/2006/relationships/hyperlink" Target="https://talan.bank.gov.ua/get-user-certificate/45CElgex8mMiiAiQCRR7" TargetMode="External"/><Relationship Id="rId2908" Type="http://schemas.openxmlformats.org/officeDocument/2006/relationships/hyperlink" Target="https://talan.bank.gov.ua/get-user-certificate/45CElaQuAw6eqcHXvyhI" TargetMode="External"/><Relationship Id="rId4263" Type="http://schemas.openxmlformats.org/officeDocument/2006/relationships/hyperlink" Target="https://talan.bank.gov.ua/get-user-certificate/45CEl4odCzlCV0ONIzts" TargetMode="External"/><Relationship Id="rId4470" Type="http://schemas.openxmlformats.org/officeDocument/2006/relationships/hyperlink" Target="https://talan.bank.gov.ua/get-user-certificate/45CEl_huemyQQONiduFk" TargetMode="External"/><Relationship Id="rId1717" Type="http://schemas.openxmlformats.org/officeDocument/2006/relationships/hyperlink" Target="https://talan.bank.gov.ua/get-user-certificate/45CElffuV8OwIPVcQwk5" TargetMode="External"/><Relationship Id="rId1924" Type="http://schemas.openxmlformats.org/officeDocument/2006/relationships/hyperlink" Target="https://talan.bank.gov.ua/get-user-certificate/45CElCf105E5dngPCPw2" TargetMode="External"/><Relationship Id="rId3072" Type="http://schemas.openxmlformats.org/officeDocument/2006/relationships/hyperlink" Target="https://talan.bank.gov.ua/get-user-certificate/45CEliBSy3adTVdbvxwl" TargetMode="External"/><Relationship Id="rId4123" Type="http://schemas.openxmlformats.org/officeDocument/2006/relationships/hyperlink" Target="https://talan.bank.gov.ua/get-user-certificate/45CEloo0SgfNr_L9i6ck" TargetMode="External"/><Relationship Id="rId4330" Type="http://schemas.openxmlformats.org/officeDocument/2006/relationships/hyperlink" Target="https://talan.bank.gov.ua/get-user-certificate/45CElb_l3pYFdc2sDHGD" TargetMode="External"/><Relationship Id="rId3889" Type="http://schemas.openxmlformats.org/officeDocument/2006/relationships/hyperlink" Target="https://talan.bank.gov.ua/get-user-certificate/45CElEOLWyx486wtRk4d" TargetMode="External"/><Relationship Id="rId2698" Type="http://schemas.openxmlformats.org/officeDocument/2006/relationships/hyperlink" Target="https://talan.bank.gov.ua/get-user-certificate/45CEloW0nzCDVQ3foKbI" TargetMode="External"/><Relationship Id="rId3749" Type="http://schemas.openxmlformats.org/officeDocument/2006/relationships/hyperlink" Target="https://talan.bank.gov.ua/get-user-certificate/45CElL2tEZCQQpZMMBLl" TargetMode="External"/><Relationship Id="rId3956" Type="http://schemas.openxmlformats.org/officeDocument/2006/relationships/hyperlink" Target="https://talan.bank.gov.ua/get-user-certificate/45CEl0qBjF9SkrEBF8sk" TargetMode="External"/><Relationship Id="rId877" Type="http://schemas.openxmlformats.org/officeDocument/2006/relationships/hyperlink" Target="https://talan.bank.gov.ua/get-user-certificate/45CEllV9MTBVAvLCmcVs" TargetMode="External"/><Relationship Id="rId2558" Type="http://schemas.openxmlformats.org/officeDocument/2006/relationships/hyperlink" Target="https://talan.bank.gov.ua/get-user-certificate/45CElNEFrBzvQZeCqNwl" TargetMode="External"/><Relationship Id="rId2765" Type="http://schemas.openxmlformats.org/officeDocument/2006/relationships/hyperlink" Target="https://talan.bank.gov.ua/get-user-certificate/45CElq82yHqJHtMQj4mP" TargetMode="External"/><Relationship Id="rId2972" Type="http://schemas.openxmlformats.org/officeDocument/2006/relationships/hyperlink" Target="https://talan.bank.gov.ua/get-user-certificate/45CElLQLQx3R5f1IWCr9" TargetMode="External"/><Relationship Id="rId3609" Type="http://schemas.openxmlformats.org/officeDocument/2006/relationships/hyperlink" Target="https://talan.bank.gov.ua/get-user-certificate/45CEl-YA6cgyx2epMiPC" TargetMode="External"/><Relationship Id="rId3816" Type="http://schemas.openxmlformats.org/officeDocument/2006/relationships/hyperlink" Target="https://talan.bank.gov.ua/get-user-certificate/45CEleecesZWFSAcodJY" TargetMode="External"/><Relationship Id="rId737" Type="http://schemas.openxmlformats.org/officeDocument/2006/relationships/hyperlink" Target="https://talan.bank.gov.ua/get-user-certificate/45CElcjFbWZ50RT9tFWC" TargetMode="External"/><Relationship Id="rId944" Type="http://schemas.openxmlformats.org/officeDocument/2006/relationships/hyperlink" Target="https://talan.bank.gov.ua/get-user-certificate/45CElomxGBuY0TVDHUqY" TargetMode="External"/><Relationship Id="rId1367" Type="http://schemas.openxmlformats.org/officeDocument/2006/relationships/hyperlink" Target="https://talan.bank.gov.ua/get-user-certificate/45CElW3n39u8gsdWRhmM" TargetMode="External"/><Relationship Id="rId1574" Type="http://schemas.openxmlformats.org/officeDocument/2006/relationships/hyperlink" Target="https://talan.bank.gov.ua/get-user-certificate/45CEl9idm7sOhH7qDLjI" TargetMode="External"/><Relationship Id="rId1781" Type="http://schemas.openxmlformats.org/officeDocument/2006/relationships/hyperlink" Target="https://talan.bank.gov.ua/get-user-certificate/45CEl8fO9BrZasSoupjT" TargetMode="External"/><Relationship Id="rId2418" Type="http://schemas.openxmlformats.org/officeDocument/2006/relationships/hyperlink" Target="https://talan.bank.gov.ua/get-user-certificate/45CElEDwvOwPpz8bL5Ms" TargetMode="External"/><Relationship Id="rId2625" Type="http://schemas.openxmlformats.org/officeDocument/2006/relationships/hyperlink" Target="https://talan.bank.gov.ua/get-user-certificate/45CEl0KEB3gJoVg_UR5C" TargetMode="External"/><Relationship Id="rId2832" Type="http://schemas.openxmlformats.org/officeDocument/2006/relationships/hyperlink" Target="https://talan.bank.gov.ua/get-user-certificate/45CElpUJUVA1curi2WKk" TargetMode="External"/><Relationship Id="rId73" Type="http://schemas.openxmlformats.org/officeDocument/2006/relationships/hyperlink" Target="https://talan.bank.gov.ua/get-user-certificate/45CEl44_zJpHQ8gETYbr" TargetMode="External"/><Relationship Id="rId804" Type="http://schemas.openxmlformats.org/officeDocument/2006/relationships/hyperlink" Target="https://talan.bank.gov.ua/get-user-certificate/45CEl0xFV2yTJS_a_Yky" TargetMode="External"/><Relationship Id="rId1227" Type="http://schemas.openxmlformats.org/officeDocument/2006/relationships/hyperlink" Target="https://talan.bank.gov.ua/get-user-certificate/45CEluBnYauayVmjdsrd" TargetMode="External"/><Relationship Id="rId1434" Type="http://schemas.openxmlformats.org/officeDocument/2006/relationships/hyperlink" Target="https://talan.bank.gov.ua/get-user-certificate/45CEl_8Sk2li9gA31f3f" TargetMode="External"/><Relationship Id="rId1641" Type="http://schemas.openxmlformats.org/officeDocument/2006/relationships/hyperlink" Target="https://talan.bank.gov.ua/get-user-certificate/45CElVN6iTXL1XtavMe1" TargetMode="External"/><Relationship Id="rId4797" Type="http://schemas.openxmlformats.org/officeDocument/2006/relationships/hyperlink" Target="https://talan.bank.gov.ua/get-user-certificate/45CElUtpcmY_KGC7A--3" TargetMode="External"/><Relationship Id="rId1501" Type="http://schemas.openxmlformats.org/officeDocument/2006/relationships/hyperlink" Target="https://talan.bank.gov.ua/get-user-certificate/45CEluD9bD4nvbngz7PR" TargetMode="External"/><Relationship Id="rId3399" Type="http://schemas.openxmlformats.org/officeDocument/2006/relationships/hyperlink" Target="https://talan.bank.gov.ua/get-user-certificate/45CElr9uRYQVrZllqQjN" TargetMode="External"/><Relationship Id="rId4657" Type="http://schemas.openxmlformats.org/officeDocument/2006/relationships/hyperlink" Target="https://talan.bank.gov.ua/get-user-certificate/45CElMA-3cvwEg3MxytU" TargetMode="External"/><Relationship Id="rId4864" Type="http://schemas.openxmlformats.org/officeDocument/2006/relationships/hyperlink" Target="https://talan.bank.gov.ua/get-user-certificate/45CElDTFeAbdRdHvW_2Z" TargetMode="External"/><Relationship Id="rId3259" Type="http://schemas.openxmlformats.org/officeDocument/2006/relationships/hyperlink" Target="https://talan.bank.gov.ua/get-user-certificate/45CElhilwe2CQLrEZcad" TargetMode="External"/><Relationship Id="rId3466" Type="http://schemas.openxmlformats.org/officeDocument/2006/relationships/hyperlink" Target="https://talan.bank.gov.ua/get-user-certificate/45CElabrZrdbDi66lGZW" TargetMode="External"/><Relationship Id="rId4517" Type="http://schemas.openxmlformats.org/officeDocument/2006/relationships/hyperlink" Target="https://talan.bank.gov.ua/get-user-certificate/45CElEvTBNY-jagPaNec" TargetMode="External"/><Relationship Id="rId387" Type="http://schemas.openxmlformats.org/officeDocument/2006/relationships/hyperlink" Target="https://talan.bank.gov.ua/get-user-certificate/45CElQCAAWl59W1Vihen" TargetMode="External"/><Relationship Id="rId594" Type="http://schemas.openxmlformats.org/officeDocument/2006/relationships/hyperlink" Target="https://talan.bank.gov.ua/get-user-certificate/45CEllCjWsjz7jD0zFkP" TargetMode="External"/><Relationship Id="rId2068" Type="http://schemas.openxmlformats.org/officeDocument/2006/relationships/hyperlink" Target="https://talan.bank.gov.ua/get-user-certificate/45CEl6luCPyawbay8Aa7" TargetMode="External"/><Relationship Id="rId2275" Type="http://schemas.openxmlformats.org/officeDocument/2006/relationships/hyperlink" Target="https://talan.bank.gov.ua/get-user-certificate/45CElxFb1mvPs-x278IF" TargetMode="External"/><Relationship Id="rId3119" Type="http://schemas.openxmlformats.org/officeDocument/2006/relationships/hyperlink" Target="https://talan.bank.gov.ua/get-user-certificate/45CElGglFG_Qm3ZcCe9U" TargetMode="External"/><Relationship Id="rId3326" Type="http://schemas.openxmlformats.org/officeDocument/2006/relationships/hyperlink" Target="https://talan.bank.gov.ua/get-user-certificate/45CEl1uu-jc122kLnMNE" TargetMode="External"/><Relationship Id="rId3673" Type="http://schemas.openxmlformats.org/officeDocument/2006/relationships/hyperlink" Target="https://talan.bank.gov.ua/get-user-certificate/45CElp8OZliaEUo3CI0-" TargetMode="External"/><Relationship Id="rId3880" Type="http://schemas.openxmlformats.org/officeDocument/2006/relationships/hyperlink" Target="https://talan.bank.gov.ua/get-user-certificate/45CElywnUsT-C3XAQAgc" TargetMode="External"/><Relationship Id="rId4724" Type="http://schemas.openxmlformats.org/officeDocument/2006/relationships/hyperlink" Target="https://talan.bank.gov.ua/get-user-certificate/45CElwuxOjsLRtwi3MGs" TargetMode="External"/><Relationship Id="rId4931" Type="http://schemas.openxmlformats.org/officeDocument/2006/relationships/hyperlink" Target="https://talan.bank.gov.ua/get-user-certificate/45CElHBBcJLCSYJcDZ6s" TargetMode="External"/><Relationship Id="rId247" Type="http://schemas.openxmlformats.org/officeDocument/2006/relationships/hyperlink" Target="https://talan.bank.gov.ua/get-user-certificate/45CElKWj6XuOLyDs5SBU" TargetMode="External"/><Relationship Id="rId1084" Type="http://schemas.openxmlformats.org/officeDocument/2006/relationships/hyperlink" Target="https://talan.bank.gov.ua/get-user-certificate/45CEltvl1-_Tc0tYUooR" TargetMode="External"/><Relationship Id="rId2482" Type="http://schemas.openxmlformats.org/officeDocument/2006/relationships/hyperlink" Target="https://talan.bank.gov.ua/get-user-certificate/45CElBYF6P-EbUmHr4F8" TargetMode="External"/><Relationship Id="rId3533" Type="http://schemas.openxmlformats.org/officeDocument/2006/relationships/hyperlink" Target="https://talan.bank.gov.ua/get-user-certificate/45CElOPUpLG82QQiEeBx" TargetMode="External"/><Relationship Id="rId3740" Type="http://schemas.openxmlformats.org/officeDocument/2006/relationships/hyperlink" Target="https://talan.bank.gov.ua/get-user-certificate/45CElCyNcTfRaz1SASnQ" TargetMode="External"/><Relationship Id="rId107" Type="http://schemas.openxmlformats.org/officeDocument/2006/relationships/hyperlink" Target="https://talan.bank.gov.ua/get-user-certificate/45CElVYV5IO62bIbKR3i" TargetMode="External"/><Relationship Id="rId454" Type="http://schemas.openxmlformats.org/officeDocument/2006/relationships/hyperlink" Target="https://talan.bank.gov.ua/get-user-certificate/45CEl5Vg3db9AhcEXNr6" TargetMode="External"/><Relationship Id="rId661" Type="http://schemas.openxmlformats.org/officeDocument/2006/relationships/hyperlink" Target="https://talan.bank.gov.ua/get-user-certificate/45CElFIPzmmjbttVrCAN" TargetMode="External"/><Relationship Id="rId1291" Type="http://schemas.openxmlformats.org/officeDocument/2006/relationships/hyperlink" Target="https://talan.bank.gov.ua/get-user-certificate/45CEl_sAnmcVRW6dl8e3" TargetMode="External"/><Relationship Id="rId2135" Type="http://schemas.openxmlformats.org/officeDocument/2006/relationships/hyperlink" Target="https://talan.bank.gov.ua/get-user-certificate/45CElhAjOI3tld9aFciA" TargetMode="External"/><Relationship Id="rId2342" Type="http://schemas.openxmlformats.org/officeDocument/2006/relationships/hyperlink" Target="https://talan.bank.gov.ua/get-user-certificate/45CElrhbJipwpNnBv_28" TargetMode="External"/><Relationship Id="rId3600" Type="http://schemas.openxmlformats.org/officeDocument/2006/relationships/hyperlink" Target="https://talan.bank.gov.ua/get-user-certificate/45CEl_Y781XjdUntIesS" TargetMode="External"/><Relationship Id="rId314" Type="http://schemas.openxmlformats.org/officeDocument/2006/relationships/hyperlink" Target="https://talan.bank.gov.ua/get-user-certificate/45CEliaNR8Wghib64HVh" TargetMode="External"/><Relationship Id="rId521" Type="http://schemas.openxmlformats.org/officeDocument/2006/relationships/hyperlink" Target="https://talan.bank.gov.ua/get-user-certificate/45CEl6vQ4ErBl2XXeUFu" TargetMode="External"/><Relationship Id="rId1151" Type="http://schemas.openxmlformats.org/officeDocument/2006/relationships/hyperlink" Target="https://talan.bank.gov.ua/get-user-certificate/45CElWNCSKigCqQaEKs8" TargetMode="External"/><Relationship Id="rId2202" Type="http://schemas.openxmlformats.org/officeDocument/2006/relationships/hyperlink" Target="https://talan.bank.gov.ua/get-user-certificate/45CEl_Rp808NMov08jPr" TargetMode="External"/><Relationship Id="rId1011" Type="http://schemas.openxmlformats.org/officeDocument/2006/relationships/hyperlink" Target="https://talan.bank.gov.ua/get-user-certificate/45CElHNt-YH1pB8LoL1K" TargetMode="External"/><Relationship Id="rId1968" Type="http://schemas.openxmlformats.org/officeDocument/2006/relationships/hyperlink" Target="https://talan.bank.gov.ua/get-user-certificate/45CElcir1k_FFx3D2UHo" TargetMode="External"/><Relationship Id="rId4167" Type="http://schemas.openxmlformats.org/officeDocument/2006/relationships/hyperlink" Target="https://talan.bank.gov.ua/get-user-certificate/45CEllMGQ8PYKWZZ1Zpb" TargetMode="External"/><Relationship Id="rId4374" Type="http://schemas.openxmlformats.org/officeDocument/2006/relationships/hyperlink" Target="https://talan.bank.gov.ua/get-user-certificate/45CElFwJHgQwEvfq0nQI" TargetMode="External"/><Relationship Id="rId4581" Type="http://schemas.openxmlformats.org/officeDocument/2006/relationships/hyperlink" Target="https://talan.bank.gov.ua/get-user-certificate/45CEl6jbagREHy5dNtxp" TargetMode="External"/><Relationship Id="rId3183" Type="http://schemas.openxmlformats.org/officeDocument/2006/relationships/hyperlink" Target="https://talan.bank.gov.ua/get-user-certificate/45CEl9F3udv0OutkcU_5" TargetMode="External"/><Relationship Id="rId3390" Type="http://schemas.openxmlformats.org/officeDocument/2006/relationships/hyperlink" Target="https://talan.bank.gov.ua/get-user-certificate/45CElZ2IcQA0ElhE1ycr" TargetMode="External"/><Relationship Id="rId4027" Type="http://schemas.openxmlformats.org/officeDocument/2006/relationships/hyperlink" Target="https://talan.bank.gov.ua/get-user-certificate/45CElnL29DQw_512YeaR" TargetMode="External"/><Relationship Id="rId4234" Type="http://schemas.openxmlformats.org/officeDocument/2006/relationships/hyperlink" Target="https://talan.bank.gov.ua/get-user-certificate/45CEl1qTW_Mvm2aayRId" TargetMode="External"/><Relationship Id="rId4441" Type="http://schemas.openxmlformats.org/officeDocument/2006/relationships/hyperlink" Target="https://talan.bank.gov.ua/get-user-certificate/45CElTRRlZWFQMWA2rJm" TargetMode="External"/><Relationship Id="rId1828" Type="http://schemas.openxmlformats.org/officeDocument/2006/relationships/hyperlink" Target="https://talan.bank.gov.ua/get-user-certificate/45CElYr7yY-v4q5-r8DD" TargetMode="External"/><Relationship Id="rId3043" Type="http://schemas.openxmlformats.org/officeDocument/2006/relationships/hyperlink" Target="https://talan.bank.gov.ua/get-user-certificate/45CEl966q-Ix3TbIRpps" TargetMode="External"/><Relationship Id="rId3250" Type="http://schemas.openxmlformats.org/officeDocument/2006/relationships/hyperlink" Target="https://talan.bank.gov.ua/get-user-certificate/45CEldCn4fmb1Ko6DeDE" TargetMode="External"/><Relationship Id="rId171" Type="http://schemas.openxmlformats.org/officeDocument/2006/relationships/hyperlink" Target="https://talan.bank.gov.ua/get-user-certificate/45CEl77wYYiIbGNvr8ma" TargetMode="External"/><Relationship Id="rId4301" Type="http://schemas.openxmlformats.org/officeDocument/2006/relationships/hyperlink" Target="https://talan.bank.gov.ua/get-user-certificate/45CEldPh9b-Jj6glfgca" TargetMode="External"/><Relationship Id="rId3110" Type="http://schemas.openxmlformats.org/officeDocument/2006/relationships/hyperlink" Target="https://talan.bank.gov.ua/get-user-certificate/45CElH2tCYkjg79KLoyv" TargetMode="External"/><Relationship Id="rId988" Type="http://schemas.openxmlformats.org/officeDocument/2006/relationships/hyperlink" Target="https://talan.bank.gov.ua/get-user-certificate/45CEl1XUTdqcvYGUxMtE" TargetMode="External"/><Relationship Id="rId2669" Type="http://schemas.openxmlformats.org/officeDocument/2006/relationships/hyperlink" Target="https://talan.bank.gov.ua/get-user-certificate/45CElnMOA3KKhef3umjn" TargetMode="External"/><Relationship Id="rId2876" Type="http://schemas.openxmlformats.org/officeDocument/2006/relationships/hyperlink" Target="https://talan.bank.gov.ua/get-user-certificate/45CElX2AfR9lBQkiUKG_" TargetMode="External"/><Relationship Id="rId3927" Type="http://schemas.openxmlformats.org/officeDocument/2006/relationships/hyperlink" Target="https://talan.bank.gov.ua/get-user-certificate/45CElB5cWYuSUO_JzUr2" TargetMode="External"/><Relationship Id="rId848" Type="http://schemas.openxmlformats.org/officeDocument/2006/relationships/hyperlink" Target="https://talan.bank.gov.ua/get-user-certificate/45CElL1gh2x31W4yvRs8" TargetMode="External"/><Relationship Id="rId1478" Type="http://schemas.openxmlformats.org/officeDocument/2006/relationships/hyperlink" Target="https://talan.bank.gov.ua/get-user-certificate/45CElcLWgeGARuAeH9W6" TargetMode="External"/><Relationship Id="rId1685" Type="http://schemas.openxmlformats.org/officeDocument/2006/relationships/hyperlink" Target="https://talan.bank.gov.ua/get-user-certificate/45CEl4Z09ASwkni-vB3M" TargetMode="External"/><Relationship Id="rId1892" Type="http://schemas.openxmlformats.org/officeDocument/2006/relationships/hyperlink" Target="https://talan.bank.gov.ua/get-user-certificate/45CElQdIQumtvGvgxMeP" TargetMode="External"/><Relationship Id="rId2529" Type="http://schemas.openxmlformats.org/officeDocument/2006/relationships/hyperlink" Target="https://talan.bank.gov.ua/get-user-certificate/45CElzbuFI4uDjOx7oVs" TargetMode="External"/><Relationship Id="rId2736" Type="http://schemas.openxmlformats.org/officeDocument/2006/relationships/hyperlink" Target="https://talan.bank.gov.ua/get-user-certificate/45CElziEJ6xYGj83zV8h" TargetMode="External"/><Relationship Id="rId4091" Type="http://schemas.openxmlformats.org/officeDocument/2006/relationships/hyperlink" Target="https://talan.bank.gov.ua/get-user-certificate/45CElgcltldKa59Uf0ON" TargetMode="External"/><Relationship Id="rId708" Type="http://schemas.openxmlformats.org/officeDocument/2006/relationships/hyperlink" Target="https://talan.bank.gov.ua/get-user-certificate/45CEl1Y2Nz8jWI5j3sLn" TargetMode="External"/><Relationship Id="rId915" Type="http://schemas.openxmlformats.org/officeDocument/2006/relationships/hyperlink" Target="https://talan.bank.gov.ua/get-user-certificate/45CElKSaM01A0n1aaTqg" TargetMode="External"/><Relationship Id="rId1338" Type="http://schemas.openxmlformats.org/officeDocument/2006/relationships/hyperlink" Target="https://talan.bank.gov.ua/get-user-certificate/45CElD3x4ZyPUBBrUcCo" TargetMode="External"/><Relationship Id="rId1545" Type="http://schemas.openxmlformats.org/officeDocument/2006/relationships/hyperlink" Target="https://talan.bank.gov.ua/get-user-certificate/45CElFRscq-OyO4IKWGi" TargetMode="External"/><Relationship Id="rId2943" Type="http://schemas.openxmlformats.org/officeDocument/2006/relationships/hyperlink" Target="https://talan.bank.gov.ua/get-user-certificate/45CElCOQ4ASg779oS409" TargetMode="External"/><Relationship Id="rId5002" Type="http://schemas.openxmlformats.org/officeDocument/2006/relationships/hyperlink" Target="https://talan.bank.gov.ua/get-user-certificate/ki8TnmjgKyKmaPukb0Vj" TargetMode="External"/><Relationship Id="rId1405" Type="http://schemas.openxmlformats.org/officeDocument/2006/relationships/hyperlink" Target="https://talan.bank.gov.ua/get-user-certificate/45CElJpejxfVVYuBbiMT" TargetMode="External"/><Relationship Id="rId1752" Type="http://schemas.openxmlformats.org/officeDocument/2006/relationships/hyperlink" Target="https://talan.bank.gov.ua/get-user-certificate/45CElXkGVDVtMBhGBFi2" TargetMode="External"/><Relationship Id="rId2803" Type="http://schemas.openxmlformats.org/officeDocument/2006/relationships/hyperlink" Target="https://talan.bank.gov.ua/get-user-certificate/45CElNtfXEJgB_DCqGy3" TargetMode="External"/><Relationship Id="rId44" Type="http://schemas.openxmlformats.org/officeDocument/2006/relationships/hyperlink" Target="https://talan.bank.gov.ua/get-user-certificate/45CElCDL-M6gXcb0kAQl" TargetMode="External"/><Relationship Id="rId1612" Type="http://schemas.openxmlformats.org/officeDocument/2006/relationships/hyperlink" Target="https://talan.bank.gov.ua/get-user-certificate/45CElfNCm2mP85DNolCz" TargetMode="External"/><Relationship Id="rId4768" Type="http://schemas.openxmlformats.org/officeDocument/2006/relationships/hyperlink" Target="https://talan.bank.gov.ua/get-user-certificate/45CEl6w3gzCdPRT4-Xl4" TargetMode="External"/><Relationship Id="rId4975" Type="http://schemas.openxmlformats.org/officeDocument/2006/relationships/hyperlink" Target="https://talan.bank.gov.ua/get-user-certificate/45CElk8ybHLzczYFLnFZ" TargetMode="External"/><Relationship Id="rId498" Type="http://schemas.openxmlformats.org/officeDocument/2006/relationships/hyperlink" Target="https://talan.bank.gov.ua/get-user-certificate/45CElq38GUmxPxkiAS3d" TargetMode="External"/><Relationship Id="rId2179" Type="http://schemas.openxmlformats.org/officeDocument/2006/relationships/hyperlink" Target="https://talan.bank.gov.ua/get-user-certificate/45CElctH-x0xPprnE309" TargetMode="External"/><Relationship Id="rId3577" Type="http://schemas.openxmlformats.org/officeDocument/2006/relationships/hyperlink" Target="https://talan.bank.gov.ua/get-user-certificate/45CElZNfq99Bu8mVOL8H" TargetMode="External"/><Relationship Id="rId3784" Type="http://schemas.openxmlformats.org/officeDocument/2006/relationships/hyperlink" Target="https://talan.bank.gov.ua/get-user-certificate/45CEl3q59PvKWcRUW-Ec" TargetMode="External"/><Relationship Id="rId3991" Type="http://schemas.openxmlformats.org/officeDocument/2006/relationships/hyperlink" Target="https://talan.bank.gov.ua/get-user-certificate/45CElqjen8phCWhmKb5U" TargetMode="External"/><Relationship Id="rId4628" Type="http://schemas.openxmlformats.org/officeDocument/2006/relationships/hyperlink" Target="https://talan.bank.gov.ua/get-user-certificate/45CEl48mkdkVCeM-Rcw1" TargetMode="External"/><Relationship Id="rId4835" Type="http://schemas.openxmlformats.org/officeDocument/2006/relationships/hyperlink" Target="https://talan.bank.gov.ua/get-user-certificate/45CElafajAM8NXXP1gVm" TargetMode="External"/><Relationship Id="rId2386" Type="http://schemas.openxmlformats.org/officeDocument/2006/relationships/hyperlink" Target="https://talan.bank.gov.ua/get-user-certificate/45CElrtZgXSTFULJl1I9" TargetMode="External"/><Relationship Id="rId2593" Type="http://schemas.openxmlformats.org/officeDocument/2006/relationships/hyperlink" Target="https://talan.bank.gov.ua/get-user-certificate/45CElBey30lN87YR8dHY" TargetMode="External"/><Relationship Id="rId3437" Type="http://schemas.openxmlformats.org/officeDocument/2006/relationships/hyperlink" Target="https://talan.bank.gov.ua/get-user-certificate/45CEleMPFVg6BjDA6wCE" TargetMode="External"/><Relationship Id="rId3644" Type="http://schemas.openxmlformats.org/officeDocument/2006/relationships/hyperlink" Target="https://talan.bank.gov.ua/get-user-certificate/45CElB356aGyQgAiraHZ" TargetMode="External"/><Relationship Id="rId3851" Type="http://schemas.openxmlformats.org/officeDocument/2006/relationships/hyperlink" Target="https://talan.bank.gov.ua/get-user-certificate/45CElNDFCZMiC3kwg9UF" TargetMode="External"/><Relationship Id="rId4902" Type="http://schemas.openxmlformats.org/officeDocument/2006/relationships/hyperlink" Target="https://talan.bank.gov.ua/get-user-certificate/45CElaQi9sDotQPa6i39" TargetMode="External"/><Relationship Id="rId358" Type="http://schemas.openxmlformats.org/officeDocument/2006/relationships/hyperlink" Target="https://talan.bank.gov.ua/get-user-certificate/45CElT19NRbNR_j_CPaO" TargetMode="External"/><Relationship Id="rId565" Type="http://schemas.openxmlformats.org/officeDocument/2006/relationships/hyperlink" Target="https://talan.bank.gov.ua/get-user-certificate/45CElohOT8PUJEYYXLhU" TargetMode="External"/><Relationship Id="rId772" Type="http://schemas.openxmlformats.org/officeDocument/2006/relationships/hyperlink" Target="https://talan.bank.gov.ua/get-user-certificate/45CElGmtXA4cON2GXkX1" TargetMode="External"/><Relationship Id="rId1195" Type="http://schemas.openxmlformats.org/officeDocument/2006/relationships/hyperlink" Target="https://talan.bank.gov.ua/get-user-certificate/45CEls5lHB1UFeKGbS5K" TargetMode="External"/><Relationship Id="rId2039" Type="http://schemas.openxmlformats.org/officeDocument/2006/relationships/hyperlink" Target="https://talan.bank.gov.ua/get-user-certificate/45CElPFKmUcFPrWzj-u5" TargetMode="External"/><Relationship Id="rId2246" Type="http://schemas.openxmlformats.org/officeDocument/2006/relationships/hyperlink" Target="https://talan.bank.gov.ua/get-user-certificate/45CElokG7i_jtabwIfFk" TargetMode="External"/><Relationship Id="rId2453" Type="http://schemas.openxmlformats.org/officeDocument/2006/relationships/hyperlink" Target="https://talan.bank.gov.ua/get-user-certificate/45CElCRWhM2C7_cKnE4u" TargetMode="External"/><Relationship Id="rId2660" Type="http://schemas.openxmlformats.org/officeDocument/2006/relationships/hyperlink" Target="https://talan.bank.gov.ua/get-user-certificate/45CEll7yjo4P1CDBjYB5" TargetMode="External"/><Relationship Id="rId3504" Type="http://schemas.openxmlformats.org/officeDocument/2006/relationships/hyperlink" Target="https://talan.bank.gov.ua/get-user-certificate/45CElGzhlpITvQXWd_8M" TargetMode="External"/><Relationship Id="rId3711" Type="http://schemas.openxmlformats.org/officeDocument/2006/relationships/hyperlink" Target="https://talan.bank.gov.ua/get-user-certificate/45CEl1uPC6oD-ALap3zv" TargetMode="External"/><Relationship Id="rId218" Type="http://schemas.openxmlformats.org/officeDocument/2006/relationships/hyperlink" Target="https://talan.bank.gov.ua/get-user-certificate/45CElrE5UUV-EnZ-f-N0" TargetMode="External"/><Relationship Id="rId425" Type="http://schemas.openxmlformats.org/officeDocument/2006/relationships/hyperlink" Target="https://talan.bank.gov.ua/get-user-certificate/45CElVI1nziq1eys9Tjx" TargetMode="External"/><Relationship Id="rId632" Type="http://schemas.openxmlformats.org/officeDocument/2006/relationships/hyperlink" Target="https://talan.bank.gov.ua/get-user-certificate/45CElPBLe7iVhxAQzhv0" TargetMode="External"/><Relationship Id="rId1055" Type="http://schemas.openxmlformats.org/officeDocument/2006/relationships/hyperlink" Target="https://talan.bank.gov.ua/get-user-certificate/45CEl56nYppu2ZkXxF9D" TargetMode="External"/><Relationship Id="rId1262" Type="http://schemas.openxmlformats.org/officeDocument/2006/relationships/hyperlink" Target="https://talan.bank.gov.ua/get-user-certificate/45CElGWR1trAZ_49asbb" TargetMode="External"/><Relationship Id="rId2106" Type="http://schemas.openxmlformats.org/officeDocument/2006/relationships/hyperlink" Target="https://talan.bank.gov.ua/get-user-certificate/45CEl7z1h_Ae01u6QiNh" TargetMode="External"/><Relationship Id="rId2313" Type="http://schemas.openxmlformats.org/officeDocument/2006/relationships/hyperlink" Target="https://talan.bank.gov.ua/get-user-certificate/45CElxreyrxhtPL-hldW" TargetMode="External"/><Relationship Id="rId2520" Type="http://schemas.openxmlformats.org/officeDocument/2006/relationships/hyperlink" Target="https://talan.bank.gov.ua/get-user-certificate/45CElFjXXdLhd5j2eGNw" TargetMode="External"/><Relationship Id="rId1122" Type="http://schemas.openxmlformats.org/officeDocument/2006/relationships/hyperlink" Target="https://talan.bank.gov.ua/get-user-certificate/45CEla7p0vbq9epxA2q7" TargetMode="External"/><Relationship Id="rId4278" Type="http://schemas.openxmlformats.org/officeDocument/2006/relationships/hyperlink" Target="https://talan.bank.gov.ua/get-user-certificate/45CEl3J2l9TIi2bRFNrL" TargetMode="External"/><Relationship Id="rId4485" Type="http://schemas.openxmlformats.org/officeDocument/2006/relationships/hyperlink" Target="https://talan.bank.gov.ua/get-user-certificate/45CElpOp6QmQp_9ebc94" TargetMode="External"/><Relationship Id="rId3087" Type="http://schemas.openxmlformats.org/officeDocument/2006/relationships/hyperlink" Target="https://talan.bank.gov.ua/get-user-certificate/45CElRCo0JSTT613pu87" TargetMode="External"/><Relationship Id="rId3294" Type="http://schemas.openxmlformats.org/officeDocument/2006/relationships/hyperlink" Target="https://talan.bank.gov.ua/get-user-certificate/45CEl8BDbbSzw6XY6mzz" TargetMode="External"/><Relationship Id="rId4138" Type="http://schemas.openxmlformats.org/officeDocument/2006/relationships/hyperlink" Target="https://talan.bank.gov.ua/get-user-certificate/45CElDitlu5Ak9giun7A" TargetMode="External"/><Relationship Id="rId4345" Type="http://schemas.openxmlformats.org/officeDocument/2006/relationships/hyperlink" Target="https://talan.bank.gov.ua/get-user-certificate/45CElpU0V6A0KNWWBi-T" TargetMode="External"/><Relationship Id="rId4692" Type="http://schemas.openxmlformats.org/officeDocument/2006/relationships/hyperlink" Target="https://talan.bank.gov.ua/get-user-certificate/45CEl1w7HTn7HiLL5DMq" TargetMode="External"/><Relationship Id="rId1939" Type="http://schemas.openxmlformats.org/officeDocument/2006/relationships/hyperlink" Target="https://talan.bank.gov.ua/get-user-certificate/45CElsOHFBNUcZqIA_Ox" TargetMode="External"/><Relationship Id="rId4552" Type="http://schemas.openxmlformats.org/officeDocument/2006/relationships/hyperlink" Target="https://talan.bank.gov.ua/get-user-certificate/45CEltfCW04oLolSJJZl" TargetMode="External"/><Relationship Id="rId3154" Type="http://schemas.openxmlformats.org/officeDocument/2006/relationships/hyperlink" Target="https://talan.bank.gov.ua/get-user-certificate/45CElExaNdNCRoil99kX" TargetMode="External"/><Relationship Id="rId3361" Type="http://schemas.openxmlformats.org/officeDocument/2006/relationships/hyperlink" Target="https://talan.bank.gov.ua/get-user-certificate/45CElL3XCjFigrVlyiNZ" TargetMode="External"/><Relationship Id="rId4205" Type="http://schemas.openxmlformats.org/officeDocument/2006/relationships/hyperlink" Target="https://talan.bank.gov.ua/get-user-certificate/45CElIf4CjeEGHOq20TI" TargetMode="External"/><Relationship Id="rId4412" Type="http://schemas.openxmlformats.org/officeDocument/2006/relationships/hyperlink" Target="https://talan.bank.gov.ua/get-user-certificate/45CElp2BfzzABm-lD8O-" TargetMode="External"/><Relationship Id="rId282" Type="http://schemas.openxmlformats.org/officeDocument/2006/relationships/hyperlink" Target="https://talan.bank.gov.ua/get-user-certificate/45CElQT_hl9u25P_WZc1" TargetMode="External"/><Relationship Id="rId2170" Type="http://schemas.openxmlformats.org/officeDocument/2006/relationships/hyperlink" Target="https://talan.bank.gov.ua/get-user-certificate/45CEl9F5Yph7dd7rA601" TargetMode="External"/><Relationship Id="rId3014" Type="http://schemas.openxmlformats.org/officeDocument/2006/relationships/hyperlink" Target="https://talan.bank.gov.ua/get-user-certificate/45CElZuEsIMlN0dWpAhK" TargetMode="External"/><Relationship Id="rId3221" Type="http://schemas.openxmlformats.org/officeDocument/2006/relationships/hyperlink" Target="https://talan.bank.gov.ua/get-user-certificate/45CElg5bbGyrtNCM_6GJ" TargetMode="External"/><Relationship Id="rId8" Type="http://schemas.openxmlformats.org/officeDocument/2006/relationships/hyperlink" Target="https://talan.bank.gov.ua/get-user-certificate/45CElEUCG1rDr-Us89EX" TargetMode="External"/><Relationship Id="rId142" Type="http://schemas.openxmlformats.org/officeDocument/2006/relationships/hyperlink" Target="https://talan.bank.gov.ua/get-user-certificate/45CEl6bCETNS3de7NEOs" TargetMode="External"/><Relationship Id="rId2030" Type="http://schemas.openxmlformats.org/officeDocument/2006/relationships/hyperlink" Target="https://talan.bank.gov.ua/get-user-certificate/45CEl8r3Fi-5sDwtbsMx" TargetMode="External"/><Relationship Id="rId2987" Type="http://schemas.openxmlformats.org/officeDocument/2006/relationships/hyperlink" Target="https://talan.bank.gov.ua/get-user-certificate/45CElt6U9GZhyZlO9WJy" TargetMode="External"/><Relationship Id="rId959" Type="http://schemas.openxmlformats.org/officeDocument/2006/relationships/hyperlink" Target="https://talan.bank.gov.ua/get-user-certificate/45CElS9MNkYRNp9FnfCo" TargetMode="External"/><Relationship Id="rId1589" Type="http://schemas.openxmlformats.org/officeDocument/2006/relationships/hyperlink" Target="https://talan.bank.gov.ua/get-user-certificate/45CElurZCdxnCOttcIOr" TargetMode="External"/><Relationship Id="rId1449" Type="http://schemas.openxmlformats.org/officeDocument/2006/relationships/hyperlink" Target="https://talan.bank.gov.ua/get-user-certificate/45CEl13Hxd6ZZSd7wu_c" TargetMode="External"/><Relationship Id="rId1796" Type="http://schemas.openxmlformats.org/officeDocument/2006/relationships/hyperlink" Target="https://talan.bank.gov.ua/get-user-certificate/45CElpt-0UfqNbPK8WRF" TargetMode="External"/><Relationship Id="rId2847" Type="http://schemas.openxmlformats.org/officeDocument/2006/relationships/hyperlink" Target="https://talan.bank.gov.ua/get-user-certificate/45CElOAjGioN-v_5oqg_" TargetMode="External"/><Relationship Id="rId4062" Type="http://schemas.openxmlformats.org/officeDocument/2006/relationships/hyperlink" Target="https://talan.bank.gov.ua/get-user-certificate/45CElppm4dz0cpKLdL_G" TargetMode="External"/><Relationship Id="rId88" Type="http://schemas.openxmlformats.org/officeDocument/2006/relationships/hyperlink" Target="https://talan.bank.gov.ua/get-user-certificate/45CElX6QxlvByHTEYkyt" TargetMode="External"/><Relationship Id="rId819" Type="http://schemas.openxmlformats.org/officeDocument/2006/relationships/hyperlink" Target="https://talan.bank.gov.ua/get-user-certificate/45CElSv8RuqQ_QW4X0Ki" TargetMode="External"/><Relationship Id="rId1656" Type="http://schemas.openxmlformats.org/officeDocument/2006/relationships/hyperlink" Target="https://talan.bank.gov.ua/get-user-certificate/45CElO7bfccSTjf9o5_T" TargetMode="External"/><Relationship Id="rId1863" Type="http://schemas.openxmlformats.org/officeDocument/2006/relationships/hyperlink" Target="https://talan.bank.gov.ua/get-user-certificate/45CElwD4QKv8Zvwi6TOf" TargetMode="External"/><Relationship Id="rId2707" Type="http://schemas.openxmlformats.org/officeDocument/2006/relationships/hyperlink" Target="https://talan.bank.gov.ua/get-user-certificate/45CElezuKEUk6xHwuJO2" TargetMode="External"/><Relationship Id="rId2914" Type="http://schemas.openxmlformats.org/officeDocument/2006/relationships/hyperlink" Target="https://talan.bank.gov.ua/get-user-certificate/45CElnJ6o6NbT1mvNaya" TargetMode="External"/><Relationship Id="rId1309" Type="http://schemas.openxmlformats.org/officeDocument/2006/relationships/hyperlink" Target="https://talan.bank.gov.ua/get-user-certificate/45CElWI8eteLhYjORJgV" TargetMode="External"/><Relationship Id="rId1516" Type="http://schemas.openxmlformats.org/officeDocument/2006/relationships/hyperlink" Target="https://talan.bank.gov.ua/get-user-certificate/45CEl48GUUUKoz624C_J" TargetMode="External"/><Relationship Id="rId1723" Type="http://schemas.openxmlformats.org/officeDocument/2006/relationships/hyperlink" Target="https://talan.bank.gov.ua/get-user-certificate/45CEllHHpO24I8bWafN4" TargetMode="External"/><Relationship Id="rId1930" Type="http://schemas.openxmlformats.org/officeDocument/2006/relationships/hyperlink" Target="https://talan.bank.gov.ua/get-user-certificate/45CEld3Fmz6VYBUZVEHg" TargetMode="External"/><Relationship Id="rId4879" Type="http://schemas.openxmlformats.org/officeDocument/2006/relationships/hyperlink" Target="https://talan.bank.gov.ua/get-user-certificate/45CElNF-3yTxulzs_l8p" TargetMode="External"/><Relationship Id="rId15" Type="http://schemas.openxmlformats.org/officeDocument/2006/relationships/hyperlink" Target="https://talan.bank.gov.ua/get-user-certificate/45CEl9v4ngcA8rwAiiXn" TargetMode="External"/><Relationship Id="rId3688" Type="http://schemas.openxmlformats.org/officeDocument/2006/relationships/hyperlink" Target="https://talan.bank.gov.ua/get-user-certificate/45CElEby6gxukwOHGj5_" TargetMode="External"/><Relationship Id="rId3895" Type="http://schemas.openxmlformats.org/officeDocument/2006/relationships/hyperlink" Target="https://talan.bank.gov.ua/get-user-certificate/45CElpVcuc7J0auZ9x4a" TargetMode="External"/><Relationship Id="rId4739" Type="http://schemas.openxmlformats.org/officeDocument/2006/relationships/hyperlink" Target="https://talan.bank.gov.ua/get-user-certificate/45CElRUwpz8WDzqgU3NB" TargetMode="External"/><Relationship Id="rId4946" Type="http://schemas.openxmlformats.org/officeDocument/2006/relationships/hyperlink" Target="https://talan.bank.gov.ua/get-user-certificate/45CElN1g9B7ocIGkpmVc" TargetMode="External"/><Relationship Id="rId2497" Type="http://schemas.openxmlformats.org/officeDocument/2006/relationships/hyperlink" Target="https://talan.bank.gov.ua/get-user-certificate/45CElTD2Xf-K3hem1B4k" TargetMode="External"/><Relationship Id="rId3548" Type="http://schemas.openxmlformats.org/officeDocument/2006/relationships/hyperlink" Target="https://talan.bank.gov.ua/get-user-certificate/45CElggSpdR_4wyUkRqu" TargetMode="External"/><Relationship Id="rId3755" Type="http://schemas.openxmlformats.org/officeDocument/2006/relationships/hyperlink" Target="https://talan.bank.gov.ua/get-user-certificate/45CElLAqomnqQX8Mtnmg" TargetMode="External"/><Relationship Id="rId4806" Type="http://schemas.openxmlformats.org/officeDocument/2006/relationships/hyperlink" Target="https://talan.bank.gov.ua/get-user-certificate/45CElvotjn5OVnoIe-Y2" TargetMode="External"/><Relationship Id="rId469" Type="http://schemas.openxmlformats.org/officeDocument/2006/relationships/hyperlink" Target="https://talan.bank.gov.ua/get-user-certificate/45CEl2xM2KYChaKE6FdX" TargetMode="External"/><Relationship Id="rId676" Type="http://schemas.openxmlformats.org/officeDocument/2006/relationships/hyperlink" Target="https://talan.bank.gov.ua/get-user-certificate/45CElWrTJBnCdXtMEnPr" TargetMode="External"/><Relationship Id="rId883" Type="http://schemas.openxmlformats.org/officeDocument/2006/relationships/hyperlink" Target="https://talan.bank.gov.ua/get-user-certificate/45CElvF7trBi4b_2OPU5" TargetMode="External"/><Relationship Id="rId1099" Type="http://schemas.openxmlformats.org/officeDocument/2006/relationships/hyperlink" Target="https://talan.bank.gov.ua/get-user-certificate/45CElldq470-JHlYsqrB" TargetMode="External"/><Relationship Id="rId2357" Type="http://schemas.openxmlformats.org/officeDocument/2006/relationships/hyperlink" Target="https://talan.bank.gov.ua/get-user-certificate/45CElGycoY38eko2kfWp" TargetMode="External"/><Relationship Id="rId2564" Type="http://schemas.openxmlformats.org/officeDocument/2006/relationships/hyperlink" Target="https://talan.bank.gov.ua/get-user-certificate/45CElsEz75kb9Dmz_HJm" TargetMode="External"/><Relationship Id="rId3408" Type="http://schemas.openxmlformats.org/officeDocument/2006/relationships/hyperlink" Target="https://talan.bank.gov.ua/get-user-certificate/45CElEvIxID3pi1pzFUh" TargetMode="External"/><Relationship Id="rId3615" Type="http://schemas.openxmlformats.org/officeDocument/2006/relationships/hyperlink" Target="https://talan.bank.gov.ua/get-user-certificate/45CElHd5VCGQ08ix3OhD" TargetMode="External"/><Relationship Id="rId3962" Type="http://schemas.openxmlformats.org/officeDocument/2006/relationships/hyperlink" Target="https://talan.bank.gov.ua/get-user-certificate/45CElElxnoj0KEHeaamJ" TargetMode="External"/><Relationship Id="rId329" Type="http://schemas.openxmlformats.org/officeDocument/2006/relationships/hyperlink" Target="https://talan.bank.gov.ua/get-user-certificate/45CElg8TuFTEaGnQqvCB" TargetMode="External"/><Relationship Id="rId536" Type="http://schemas.openxmlformats.org/officeDocument/2006/relationships/hyperlink" Target="https://talan.bank.gov.ua/get-user-certificate/45CEliGHapbAz3c6iY_L" TargetMode="External"/><Relationship Id="rId1166" Type="http://schemas.openxmlformats.org/officeDocument/2006/relationships/hyperlink" Target="https://talan.bank.gov.ua/get-user-certificate/45CEl3kC3rujxzJ3cPzP" TargetMode="External"/><Relationship Id="rId1373" Type="http://schemas.openxmlformats.org/officeDocument/2006/relationships/hyperlink" Target="https://talan.bank.gov.ua/get-user-certificate/45CElhst1mZrRMgZUgwW" TargetMode="External"/><Relationship Id="rId2217" Type="http://schemas.openxmlformats.org/officeDocument/2006/relationships/hyperlink" Target="https://talan.bank.gov.ua/get-user-certificate/45CEltRA04dvm1VnF00a" TargetMode="External"/><Relationship Id="rId2771" Type="http://schemas.openxmlformats.org/officeDocument/2006/relationships/hyperlink" Target="https://talan.bank.gov.ua/get-user-certificate/45CEljVUdfApj6cQnsou" TargetMode="External"/><Relationship Id="rId3822" Type="http://schemas.openxmlformats.org/officeDocument/2006/relationships/hyperlink" Target="https://talan.bank.gov.ua/get-user-certificate/45CElb_tzkWtzSMhz_IN" TargetMode="External"/><Relationship Id="rId743" Type="http://schemas.openxmlformats.org/officeDocument/2006/relationships/hyperlink" Target="https://talan.bank.gov.ua/get-user-certificate/45CElDhtveaHReG4hbWd" TargetMode="External"/><Relationship Id="rId950" Type="http://schemas.openxmlformats.org/officeDocument/2006/relationships/hyperlink" Target="https://talan.bank.gov.ua/get-user-certificate/45CElcZTJ1z0eRksnpB8" TargetMode="External"/><Relationship Id="rId1026" Type="http://schemas.openxmlformats.org/officeDocument/2006/relationships/hyperlink" Target="https://talan.bank.gov.ua/get-user-certificate/45CElUGTfxXSQvAjeOq1" TargetMode="External"/><Relationship Id="rId1580" Type="http://schemas.openxmlformats.org/officeDocument/2006/relationships/hyperlink" Target="https://talan.bank.gov.ua/get-user-certificate/45CEla11_r5qvfC19yfP" TargetMode="External"/><Relationship Id="rId2424" Type="http://schemas.openxmlformats.org/officeDocument/2006/relationships/hyperlink" Target="https://talan.bank.gov.ua/get-user-certificate/45CElgZe7o7cLHqdgeM9" TargetMode="External"/><Relationship Id="rId2631" Type="http://schemas.openxmlformats.org/officeDocument/2006/relationships/hyperlink" Target="https://talan.bank.gov.ua/get-user-certificate/45CElWlCQFDCtUroLSgS" TargetMode="External"/><Relationship Id="rId4389" Type="http://schemas.openxmlformats.org/officeDocument/2006/relationships/hyperlink" Target="https://talan.bank.gov.ua/get-user-certificate/45CElXTZGXRSbbeVD4lY" TargetMode="External"/><Relationship Id="rId603" Type="http://schemas.openxmlformats.org/officeDocument/2006/relationships/hyperlink" Target="https://talan.bank.gov.ua/get-user-certificate/45CElTk2dvogPLALpY0V" TargetMode="External"/><Relationship Id="rId810" Type="http://schemas.openxmlformats.org/officeDocument/2006/relationships/hyperlink" Target="https://talan.bank.gov.ua/get-user-certificate/45CElb0DzwHLL-v3WpdF" TargetMode="External"/><Relationship Id="rId1233" Type="http://schemas.openxmlformats.org/officeDocument/2006/relationships/hyperlink" Target="https://talan.bank.gov.ua/get-user-certificate/45CElOrKUvFsU6lxplJX" TargetMode="External"/><Relationship Id="rId1440" Type="http://schemas.openxmlformats.org/officeDocument/2006/relationships/hyperlink" Target="https://talan.bank.gov.ua/get-user-certificate/45CElImNekoGRUOdmsgK" TargetMode="External"/><Relationship Id="rId4596" Type="http://schemas.openxmlformats.org/officeDocument/2006/relationships/hyperlink" Target="https://talan.bank.gov.ua/get-user-certificate/45CElrUlPla9r0D2GRPL" TargetMode="External"/><Relationship Id="rId1300" Type="http://schemas.openxmlformats.org/officeDocument/2006/relationships/hyperlink" Target="https://talan.bank.gov.ua/get-user-certificate/45CElm5ACe3t_CEtqqbm" TargetMode="External"/><Relationship Id="rId3198" Type="http://schemas.openxmlformats.org/officeDocument/2006/relationships/hyperlink" Target="https://talan.bank.gov.ua/get-user-certificate/45CElhCLvRogcbPJuVla" TargetMode="External"/><Relationship Id="rId4249" Type="http://schemas.openxmlformats.org/officeDocument/2006/relationships/hyperlink" Target="https://talan.bank.gov.ua/get-user-certificate/45CElCZLb2gm74VMeYli" TargetMode="External"/><Relationship Id="rId4456" Type="http://schemas.openxmlformats.org/officeDocument/2006/relationships/hyperlink" Target="https://talan.bank.gov.ua/get-user-certificate/45CElNhOQUeRUAX6qAqf" TargetMode="External"/><Relationship Id="rId4663" Type="http://schemas.openxmlformats.org/officeDocument/2006/relationships/hyperlink" Target="https://talan.bank.gov.ua/get-user-certificate/45CElTZLzGpuHbtv11CX" TargetMode="External"/><Relationship Id="rId4870" Type="http://schemas.openxmlformats.org/officeDocument/2006/relationships/hyperlink" Target="https://talan.bank.gov.ua/get-user-certificate/45CElWln07-tn3Ryi5r9" TargetMode="External"/><Relationship Id="rId3058" Type="http://schemas.openxmlformats.org/officeDocument/2006/relationships/hyperlink" Target="https://talan.bank.gov.ua/get-user-certificate/45CElGtXMspwGWDVgw_k" TargetMode="External"/><Relationship Id="rId3265" Type="http://schemas.openxmlformats.org/officeDocument/2006/relationships/hyperlink" Target="https://talan.bank.gov.ua/get-user-certificate/45CElX8y_-kGOJxztZKS" TargetMode="External"/><Relationship Id="rId3472" Type="http://schemas.openxmlformats.org/officeDocument/2006/relationships/hyperlink" Target="https://talan.bank.gov.ua/get-user-certificate/45CElyYyw1xezawijCbY" TargetMode="External"/><Relationship Id="rId4109" Type="http://schemas.openxmlformats.org/officeDocument/2006/relationships/hyperlink" Target="https://talan.bank.gov.ua/get-user-certificate/45CEloZE8XmRUgZxeq3Y" TargetMode="External"/><Relationship Id="rId4316" Type="http://schemas.openxmlformats.org/officeDocument/2006/relationships/hyperlink" Target="https://talan.bank.gov.ua/get-user-certificate/45CElqM8xjPtVVAeoVB3" TargetMode="External"/><Relationship Id="rId4523" Type="http://schemas.openxmlformats.org/officeDocument/2006/relationships/hyperlink" Target="https://talan.bank.gov.ua/get-user-certificate/45CElFxx3IaMhulXnVIi" TargetMode="External"/><Relationship Id="rId4730" Type="http://schemas.openxmlformats.org/officeDocument/2006/relationships/hyperlink" Target="https://talan.bank.gov.ua/get-user-certificate/45CElmuckHMwpS_q_zkq" TargetMode="External"/><Relationship Id="rId186" Type="http://schemas.openxmlformats.org/officeDocument/2006/relationships/hyperlink" Target="https://talan.bank.gov.ua/get-user-certificate/45CElavPwiKwBFjhZ6Ih" TargetMode="External"/><Relationship Id="rId393" Type="http://schemas.openxmlformats.org/officeDocument/2006/relationships/hyperlink" Target="https://talan.bank.gov.ua/get-user-certificate/45CEl0sEK5mCaBhpHnp4" TargetMode="External"/><Relationship Id="rId2074" Type="http://schemas.openxmlformats.org/officeDocument/2006/relationships/hyperlink" Target="https://talan.bank.gov.ua/get-user-certificate/45CEll0MdBfigbj9cBP5" TargetMode="External"/><Relationship Id="rId2281" Type="http://schemas.openxmlformats.org/officeDocument/2006/relationships/hyperlink" Target="https://talan.bank.gov.ua/get-user-certificate/45CElhdu1hqdfi4OANhY" TargetMode="External"/><Relationship Id="rId3125" Type="http://schemas.openxmlformats.org/officeDocument/2006/relationships/hyperlink" Target="https://talan.bank.gov.ua/get-user-certificate/45CElocDqz_lUAcxay15" TargetMode="External"/><Relationship Id="rId3332" Type="http://schemas.openxmlformats.org/officeDocument/2006/relationships/hyperlink" Target="https://talan.bank.gov.ua/get-user-certificate/45CElQUZFmL0QWxhtqOK" TargetMode="External"/><Relationship Id="rId253" Type="http://schemas.openxmlformats.org/officeDocument/2006/relationships/hyperlink" Target="https://talan.bank.gov.ua/get-user-certificate/45CEluo2j3Jsqy08dQPb" TargetMode="External"/><Relationship Id="rId460" Type="http://schemas.openxmlformats.org/officeDocument/2006/relationships/hyperlink" Target="https://talan.bank.gov.ua/get-user-certificate/45CElejQgCa4VktQnnMm" TargetMode="External"/><Relationship Id="rId1090" Type="http://schemas.openxmlformats.org/officeDocument/2006/relationships/hyperlink" Target="https://talan.bank.gov.ua/get-user-certificate/45CElkixLBKnMkbmh5T4" TargetMode="External"/><Relationship Id="rId2141" Type="http://schemas.openxmlformats.org/officeDocument/2006/relationships/hyperlink" Target="https://talan.bank.gov.ua/get-user-certificate/45CElORP_SsafgyUCz_x" TargetMode="External"/><Relationship Id="rId113" Type="http://schemas.openxmlformats.org/officeDocument/2006/relationships/hyperlink" Target="https://talan.bank.gov.ua/get-user-certificate/45CElXJKGhN109c1u5ft" TargetMode="External"/><Relationship Id="rId320" Type="http://schemas.openxmlformats.org/officeDocument/2006/relationships/hyperlink" Target="https://talan.bank.gov.ua/get-user-certificate/45CElxQBz1amKiVOzNdt" TargetMode="External"/><Relationship Id="rId2001" Type="http://schemas.openxmlformats.org/officeDocument/2006/relationships/hyperlink" Target="https://talan.bank.gov.ua/get-user-certificate/45CEl4z1qiwT60J97MTn" TargetMode="External"/><Relationship Id="rId2958" Type="http://schemas.openxmlformats.org/officeDocument/2006/relationships/hyperlink" Target="https://talan.bank.gov.ua/get-user-certificate/45CEl3Fp_IYL6jgjJvr0" TargetMode="External"/><Relationship Id="rId5017" Type="http://schemas.openxmlformats.org/officeDocument/2006/relationships/hyperlink" Target="https://talan.bank.gov.ua/get-user-certificate/ki8TncPuqSmBiOPAH8C0" TargetMode="External"/><Relationship Id="rId1767" Type="http://schemas.openxmlformats.org/officeDocument/2006/relationships/hyperlink" Target="https://talan.bank.gov.ua/get-user-certificate/45CElQrHEJZGJOJY1sZQ" TargetMode="External"/><Relationship Id="rId1974" Type="http://schemas.openxmlformats.org/officeDocument/2006/relationships/hyperlink" Target="https://talan.bank.gov.ua/get-user-certificate/45CEl6RXpefZqI5YgMCw" TargetMode="External"/><Relationship Id="rId2818" Type="http://schemas.openxmlformats.org/officeDocument/2006/relationships/hyperlink" Target="https://talan.bank.gov.ua/get-user-certificate/45CElTSMh3rjTxywUVv6" TargetMode="External"/><Relationship Id="rId4173" Type="http://schemas.openxmlformats.org/officeDocument/2006/relationships/hyperlink" Target="https://talan.bank.gov.ua/get-user-certificate/45CElvkYFVAsDvZ4jzCR" TargetMode="External"/><Relationship Id="rId4380" Type="http://schemas.openxmlformats.org/officeDocument/2006/relationships/hyperlink" Target="https://talan.bank.gov.ua/get-user-certificate/45CElK38hZCgK5xGzc7Q" TargetMode="External"/><Relationship Id="rId59" Type="http://schemas.openxmlformats.org/officeDocument/2006/relationships/hyperlink" Target="https://talan.bank.gov.ua/get-user-certificate/45CElDw0-yv5rTjX8xqH" TargetMode="External"/><Relationship Id="rId1627" Type="http://schemas.openxmlformats.org/officeDocument/2006/relationships/hyperlink" Target="https://talan.bank.gov.ua/get-user-certificate/45CElVPMZ4l2h3XIM4g9" TargetMode="External"/><Relationship Id="rId1834" Type="http://schemas.openxmlformats.org/officeDocument/2006/relationships/hyperlink" Target="https://talan.bank.gov.ua/get-user-certificate/45CElX7PAjz1akX8XSxw" TargetMode="External"/><Relationship Id="rId4033" Type="http://schemas.openxmlformats.org/officeDocument/2006/relationships/hyperlink" Target="https://talan.bank.gov.ua/get-user-certificate/45CElqyaOsvigEI9jEt1" TargetMode="External"/><Relationship Id="rId4240" Type="http://schemas.openxmlformats.org/officeDocument/2006/relationships/hyperlink" Target="https://talan.bank.gov.ua/get-user-certificate/45CElVXlQGitEpg_44MG" TargetMode="External"/><Relationship Id="rId3799" Type="http://schemas.openxmlformats.org/officeDocument/2006/relationships/hyperlink" Target="https://talan.bank.gov.ua/get-user-certificate/45CElnDTXK7RrWDTHjXl" TargetMode="External"/><Relationship Id="rId4100" Type="http://schemas.openxmlformats.org/officeDocument/2006/relationships/hyperlink" Target="https://talan.bank.gov.ua/get-user-certificate/45CElZJcLpWs_ImiuwdL" TargetMode="External"/><Relationship Id="rId1901" Type="http://schemas.openxmlformats.org/officeDocument/2006/relationships/hyperlink" Target="https://talan.bank.gov.ua/get-user-certificate/45CElbijeClNyN2SQowu" TargetMode="External"/><Relationship Id="rId3659" Type="http://schemas.openxmlformats.org/officeDocument/2006/relationships/hyperlink" Target="https://talan.bank.gov.ua/get-user-certificate/45CElScJ07gO5hSArCTu" TargetMode="External"/><Relationship Id="rId3866" Type="http://schemas.openxmlformats.org/officeDocument/2006/relationships/hyperlink" Target="https://talan.bank.gov.ua/get-user-certificate/45CElpMEMNpWARE2HDse" TargetMode="External"/><Relationship Id="rId4917" Type="http://schemas.openxmlformats.org/officeDocument/2006/relationships/hyperlink" Target="https://talan.bank.gov.ua/get-user-certificate/45CElDgFUK6adu_gvQ-f" TargetMode="External"/><Relationship Id="rId787" Type="http://schemas.openxmlformats.org/officeDocument/2006/relationships/hyperlink" Target="https://talan.bank.gov.ua/get-user-certificate/45CElJ-RZwFlvclXEH8O" TargetMode="External"/><Relationship Id="rId994" Type="http://schemas.openxmlformats.org/officeDocument/2006/relationships/hyperlink" Target="https://talan.bank.gov.ua/get-user-certificate/45CElrNnw4Mc9gv0XNSo" TargetMode="External"/><Relationship Id="rId2468" Type="http://schemas.openxmlformats.org/officeDocument/2006/relationships/hyperlink" Target="https://talan.bank.gov.ua/get-user-certificate/45CElq0eyY7ASq-1p0R4" TargetMode="External"/><Relationship Id="rId2675" Type="http://schemas.openxmlformats.org/officeDocument/2006/relationships/hyperlink" Target="https://talan.bank.gov.ua/get-user-certificate/45CEllYCd4erJQreLAZQ" TargetMode="External"/><Relationship Id="rId2882" Type="http://schemas.openxmlformats.org/officeDocument/2006/relationships/hyperlink" Target="https://talan.bank.gov.ua/get-user-certificate/45CElQgVBZ1OsCwoXj8P" TargetMode="External"/><Relationship Id="rId3519" Type="http://schemas.openxmlformats.org/officeDocument/2006/relationships/hyperlink" Target="https://talan.bank.gov.ua/get-user-certificate/45CElBkrW2hX5MqCU3dW" TargetMode="External"/><Relationship Id="rId3726" Type="http://schemas.openxmlformats.org/officeDocument/2006/relationships/hyperlink" Target="https://talan.bank.gov.ua/get-user-certificate/45CElUgEvW-znFrxDpcH" TargetMode="External"/><Relationship Id="rId3933" Type="http://schemas.openxmlformats.org/officeDocument/2006/relationships/hyperlink" Target="https://talan.bank.gov.ua/get-user-certificate/45CElJHTLlfW4zoaQALk" TargetMode="External"/><Relationship Id="rId647" Type="http://schemas.openxmlformats.org/officeDocument/2006/relationships/hyperlink" Target="https://talan.bank.gov.ua/get-user-certificate/45CEl4-EgOEXSDsIidyd" TargetMode="External"/><Relationship Id="rId854" Type="http://schemas.openxmlformats.org/officeDocument/2006/relationships/hyperlink" Target="https://talan.bank.gov.ua/get-user-certificate/45CElkiAaXWNrq-vqVgX" TargetMode="External"/><Relationship Id="rId1277" Type="http://schemas.openxmlformats.org/officeDocument/2006/relationships/hyperlink" Target="https://talan.bank.gov.ua/get-user-certificate/45CElThFwsg6xMAAw92f" TargetMode="External"/><Relationship Id="rId1484" Type="http://schemas.openxmlformats.org/officeDocument/2006/relationships/hyperlink" Target="https://talan.bank.gov.ua/get-user-certificate/45CElP4Pywy_UGxiK23u" TargetMode="External"/><Relationship Id="rId1691" Type="http://schemas.openxmlformats.org/officeDocument/2006/relationships/hyperlink" Target="https://talan.bank.gov.ua/get-user-certificate/45CElm4PK_te34UAAQJC" TargetMode="External"/><Relationship Id="rId2328" Type="http://schemas.openxmlformats.org/officeDocument/2006/relationships/hyperlink" Target="https://talan.bank.gov.ua/get-user-certificate/45CEleTf4DJkyJGqRkRM" TargetMode="External"/><Relationship Id="rId2535" Type="http://schemas.openxmlformats.org/officeDocument/2006/relationships/hyperlink" Target="https://talan.bank.gov.ua/get-user-certificate/45CElTS5rZXybg1pJ9OD" TargetMode="External"/><Relationship Id="rId2742" Type="http://schemas.openxmlformats.org/officeDocument/2006/relationships/hyperlink" Target="https://talan.bank.gov.ua/get-user-certificate/45CEloNFy3NE142ToiaR" TargetMode="External"/><Relationship Id="rId507" Type="http://schemas.openxmlformats.org/officeDocument/2006/relationships/hyperlink" Target="https://talan.bank.gov.ua/get-user-certificate/45CElwBF2_vr1SYMvvXc" TargetMode="External"/><Relationship Id="rId714" Type="http://schemas.openxmlformats.org/officeDocument/2006/relationships/hyperlink" Target="https://talan.bank.gov.ua/get-user-certificate/45CElq3nmEt04alHIAhA" TargetMode="External"/><Relationship Id="rId921" Type="http://schemas.openxmlformats.org/officeDocument/2006/relationships/hyperlink" Target="https://talan.bank.gov.ua/get-user-certificate/45CEl1PGJo83-oxnqNBf" TargetMode="External"/><Relationship Id="rId1137" Type="http://schemas.openxmlformats.org/officeDocument/2006/relationships/hyperlink" Target="https://talan.bank.gov.ua/get-user-certificate/45CElZGW7tNrcUol3G88" TargetMode="External"/><Relationship Id="rId1344" Type="http://schemas.openxmlformats.org/officeDocument/2006/relationships/hyperlink" Target="https://talan.bank.gov.ua/get-user-certificate/45CElN0OHRnUnE03hC_R" TargetMode="External"/><Relationship Id="rId1551" Type="http://schemas.openxmlformats.org/officeDocument/2006/relationships/hyperlink" Target="https://talan.bank.gov.ua/get-user-certificate/45CElotJOhHwE2N_P-IM" TargetMode="External"/><Relationship Id="rId2602" Type="http://schemas.openxmlformats.org/officeDocument/2006/relationships/hyperlink" Target="https://talan.bank.gov.ua/get-user-certificate/45CEl9Ss-isuPCR9CKfr" TargetMode="External"/><Relationship Id="rId50" Type="http://schemas.openxmlformats.org/officeDocument/2006/relationships/hyperlink" Target="https://talan.bank.gov.ua/get-user-certificate/45CEl0MPbG8qS-LZGIWK" TargetMode="External"/><Relationship Id="rId1204" Type="http://schemas.openxmlformats.org/officeDocument/2006/relationships/hyperlink" Target="https://talan.bank.gov.ua/get-user-certificate/45CElK8Tgr1R-qwwo9Ia" TargetMode="External"/><Relationship Id="rId1411" Type="http://schemas.openxmlformats.org/officeDocument/2006/relationships/hyperlink" Target="https://talan.bank.gov.ua/get-user-certificate/45CElepVLkI7E1ubf9z_" TargetMode="External"/><Relationship Id="rId4567" Type="http://schemas.openxmlformats.org/officeDocument/2006/relationships/hyperlink" Target="https://talan.bank.gov.ua/get-user-certificate/45CElP7-lzgmWe98L07J" TargetMode="External"/><Relationship Id="rId4774" Type="http://schemas.openxmlformats.org/officeDocument/2006/relationships/hyperlink" Target="https://talan.bank.gov.ua/get-user-certificate/45CElgJcikj7UgA1HGdw" TargetMode="External"/><Relationship Id="rId3169" Type="http://schemas.openxmlformats.org/officeDocument/2006/relationships/hyperlink" Target="https://talan.bank.gov.ua/get-user-certificate/45CEl6874PKQUDSjeHXu" TargetMode="External"/><Relationship Id="rId3376" Type="http://schemas.openxmlformats.org/officeDocument/2006/relationships/hyperlink" Target="https://talan.bank.gov.ua/get-user-certificate/45CEl2Qo9KhpPZq_8lLf" TargetMode="External"/><Relationship Id="rId3583" Type="http://schemas.openxmlformats.org/officeDocument/2006/relationships/hyperlink" Target="https://talan.bank.gov.ua/get-user-certificate/45CEl6ot--u54VL5H9CQ" TargetMode="External"/><Relationship Id="rId4427" Type="http://schemas.openxmlformats.org/officeDocument/2006/relationships/hyperlink" Target="https://talan.bank.gov.ua/get-user-certificate/45CElUJW5qOiOePlhPMV" TargetMode="External"/><Relationship Id="rId4981" Type="http://schemas.openxmlformats.org/officeDocument/2006/relationships/hyperlink" Target="https://talan.bank.gov.ua/get-user-certificate/ki8TnmN0PX4AQwjqIUcZ" TargetMode="External"/><Relationship Id="rId297" Type="http://schemas.openxmlformats.org/officeDocument/2006/relationships/hyperlink" Target="https://talan.bank.gov.ua/get-user-certificate/45CEl2738ojzcoHj4QPV" TargetMode="External"/><Relationship Id="rId2185" Type="http://schemas.openxmlformats.org/officeDocument/2006/relationships/hyperlink" Target="https://talan.bank.gov.ua/get-user-certificate/45CElOM2H3h46UkqWwNC" TargetMode="External"/><Relationship Id="rId2392" Type="http://schemas.openxmlformats.org/officeDocument/2006/relationships/hyperlink" Target="https://talan.bank.gov.ua/get-user-certificate/45CElJVp-84OPTqseRgl" TargetMode="External"/><Relationship Id="rId3029" Type="http://schemas.openxmlformats.org/officeDocument/2006/relationships/hyperlink" Target="https://talan.bank.gov.ua/get-user-certificate/45CEloDgnWH7cHCjtwHR" TargetMode="External"/><Relationship Id="rId3236" Type="http://schemas.openxmlformats.org/officeDocument/2006/relationships/hyperlink" Target="https://talan.bank.gov.ua/get-user-certificate/45CElarwQkJlpB6tJlyk" TargetMode="External"/><Relationship Id="rId3790" Type="http://schemas.openxmlformats.org/officeDocument/2006/relationships/hyperlink" Target="https://talan.bank.gov.ua/get-user-certificate/45CElaMEYfubwuMuUT96" TargetMode="External"/><Relationship Id="rId4634" Type="http://schemas.openxmlformats.org/officeDocument/2006/relationships/hyperlink" Target="https://talan.bank.gov.ua/get-user-certificate/45CElv2GP9mYIH6dpij5" TargetMode="External"/><Relationship Id="rId4841" Type="http://schemas.openxmlformats.org/officeDocument/2006/relationships/hyperlink" Target="https://talan.bank.gov.ua/get-user-certificate/45CElhvAlsgX080wg1Gu" TargetMode="External"/><Relationship Id="rId157" Type="http://schemas.openxmlformats.org/officeDocument/2006/relationships/hyperlink" Target="https://talan.bank.gov.ua/get-user-certificate/45CElOxNm4y0BQynjOkd" TargetMode="External"/><Relationship Id="rId364" Type="http://schemas.openxmlformats.org/officeDocument/2006/relationships/hyperlink" Target="https://talan.bank.gov.ua/get-user-certificate/45CEl0yqZyQcqqwzQTzH" TargetMode="External"/><Relationship Id="rId2045" Type="http://schemas.openxmlformats.org/officeDocument/2006/relationships/hyperlink" Target="https://talan.bank.gov.ua/get-user-certificate/45CElswapbbC2KB-Kdho" TargetMode="External"/><Relationship Id="rId3443" Type="http://schemas.openxmlformats.org/officeDocument/2006/relationships/hyperlink" Target="https://talan.bank.gov.ua/get-user-certificate/45CElAe0nyMy1Bt1XeSd" TargetMode="External"/><Relationship Id="rId3650" Type="http://schemas.openxmlformats.org/officeDocument/2006/relationships/hyperlink" Target="https://talan.bank.gov.ua/get-user-certificate/45CElNb37El8Qlab8pn-" TargetMode="External"/><Relationship Id="rId4701" Type="http://schemas.openxmlformats.org/officeDocument/2006/relationships/hyperlink" Target="https://talan.bank.gov.ua/get-user-certificate/45CElJEVNMNFioW_2Tm4" TargetMode="External"/><Relationship Id="rId571" Type="http://schemas.openxmlformats.org/officeDocument/2006/relationships/hyperlink" Target="https://talan.bank.gov.ua/get-user-certificate/45CElYkWXg3jw_4UdPNm" TargetMode="External"/><Relationship Id="rId2252" Type="http://schemas.openxmlformats.org/officeDocument/2006/relationships/hyperlink" Target="https://talan.bank.gov.ua/get-user-certificate/45CElTNczqi2dvRiHZFY" TargetMode="External"/><Relationship Id="rId3303" Type="http://schemas.openxmlformats.org/officeDocument/2006/relationships/hyperlink" Target="https://talan.bank.gov.ua/get-user-certificate/45CElKgLn-Q5Qesqj1lR" TargetMode="External"/><Relationship Id="rId3510" Type="http://schemas.openxmlformats.org/officeDocument/2006/relationships/hyperlink" Target="https://talan.bank.gov.ua/get-user-certificate/45CElYzfExSI8bQ4CH04" TargetMode="External"/><Relationship Id="rId224" Type="http://schemas.openxmlformats.org/officeDocument/2006/relationships/hyperlink" Target="https://talan.bank.gov.ua/get-user-certificate/45CElgpq7CYV0x75sRkt" TargetMode="External"/><Relationship Id="rId431" Type="http://schemas.openxmlformats.org/officeDocument/2006/relationships/hyperlink" Target="https://talan.bank.gov.ua/get-user-certificate/45CElXM7hszpXNrvx421" TargetMode="External"/><Relationship Id="rId1061" Type="http://schemas.openxmlformats.org/officeDocument/2006/relationships/hyperlink" Target="https://talan.bank.gov.ua/get-user-certificate/45CElAOdnCvg1G14cNC8" TargetMode="External"/><Relationship Id="rId2112" Type="http://schemas.openxmlformats.org/officeDocument/2006/relationships/hyperlink" Target="https://talan.bank.gov.ua/get-user-certificate/45CEl8zHl0iB002ZAWkk" TargetMode="External"/><Relationship Id="rId1878" Type="http://schemas.openxmlformats.org/officeDocument/2006/relationships/hyperlink" Target="https://talan.bank.gov.ua/get-user-certificate/45CElRSF08Fu1ia0LnVd" TargetMode="External"/><Relationship Id="rId2929" Type="http://schemas.openxmlformats.org/officeDocument/2006/relationships/hyperlink" Target="https://talan.bank.gov.ua/get-user-certificate/45CEl78Fxom2AxOBy2Pp" TargetMode="External"/><Relationship Id="rId4077" Type="http://schemas.openxmlformats.org/officeDocument/2006/relationships/hyperlink" Target="https://talan.bank.gov.ua/get-user-certificate/45CElyi6BZZL9Ii9ikih" TargetMode="External"/><Relationship Id="rId4284" Type="http://schemas.openxmlformats.org/officeDocument/2006/relationships/hyperlink" Target="https://talan.bank.gov.ua/get-user-certificate/45CElNYRnrfgPf4vVrIy" TargetMode="External"/><Relationship Id="rId4491" Type="http://schemas.openxmlformats.org/officeDocument/2006/relationships/hyperlink" Target="https://talan.bank.gov.ua/get-user-certificate/45CElKb__aj9RwP0lmP6" TargetMode="External"/><Relationship Id="rId1738" Type="http://schemas.openxmlformats.org/officeDocument/2006/relationships/hyperlink" Target="https://talan.bank.gov.ua/get-user-certificate/45CElYntk0JFcCdqOjlU" TargetMode="External"/><Relationship Id="rId3093" Type="http://schemas.openxmlformats.org/officeDocument/2006/relationships/hyperlink" Target="https://talan.bank.gov.ua/get-user-certificate/45CEloB1SkJKNSV7GPUs" TargetMode="External"/><Relationship Id="rId4144" Type="http://schemas.openxmlformats.org/officeDocument/2006/relationships/hyperlink" Target="https://talan.bank.gov.ua/get-user-certificate/45CElg4FilIG0UpvErIE" TargetMode="External"/><Relationship Id="rId4351" Type="http://schemas.openxmlformats.org/officeDocument/2006/relationships/hyperlink" Target="https://talan.bank.gov.ua/get-user-certificate/45CElwMiALEuYBVgnYiN" TargetMode="External"/><Relationship Id="rId1945" Type="http://schemas.openxmlformats.org/officeDocument/2006/relationships/hyperlink" Target="https://talan.bank.gov.ua/get-user-certificate/45CElFrTf7BhUnchZZwh" TargetMode="External"/><Relationship Id="rId3160" Type="http://schemas.openxmlformats.org/officeDocument/2006/relationships/hyperlink" Target="https://talan.bank.gov.ua/get-user-certificate/45CElXYSOeoCevAMM98z" TargetMode="External"/><Relationship Id="rId4004" Type="http://schemas.openxmlformats.org/officeDocument/2006/relationships/hyperlink" Target="https://talan.bank.gov.ua/get-user-certificate/45CElXG5t62yTwZL29Ws" TargetMode="External"/><Relationship Id="rId4211" Type="http://schemas.openxmlformats.org/officeDocument/2006/relationships/hyperlink" Target="https://talan.bank.gov.ua/get-user-certificate/45CElmPBZ1zcR4TKzBjA" TargetMode="External"/><Relationship Id="rId1805" Type="http://schemas.openxmlformats.org/officeDocument/2006/relationships/hyperlink" Target="https://talan.bank.gov.ua/get-user-certificate/45CElJ8XVGlK_9SRYgTR" TargetMode="External"/><Relationship Id="rId3020" Type="http://schemas.openxmlformats.org/officeDocument/2006/relationships/hyperlink" Target="https://talan.bank.gov.ua/get-user-certificate/45CElBJMP-1sNeLxiW0y" TargetMode="External"/><Relationship Id="rId3977" Type="http://schemas.openxmlformats.org/officeDocument/2006/relationships/hyperlink" Target="https://talan.bank.gov.ua/get-user-certificate/45CEl6C7oMokVabWBCnD" TargetMode="External"/><Relationship Id="rId898" Type="http://schemas.openxmlformats.org/officeDocument/2006/relationships/hyperlink" Target="https://talan.bank.gov.ua/get-user-certificate/45CElyIxCF6ncFm6fvnR" TargetMode="External"/><Relationship Id="rId2579" Type="http://schemas.openxmlformats.org/officeDocument/2006/relationships/hyperlink" Target="https://talan.bank.gov.ua/get-user-certificate/45CElfeP0A_OnY6csrMe" TargetMode="External"/><Relationship Id="rId2786" Type="http://schemas.openxmlformats.org/officeDocument/2006/relationships/hyperlink" Target="https://talan.bank.gov.ua/get-user-certificate/45CEl1ba3_61OVxtFHb6" TargetMode="External"/><Relationship Id="rId2993" Type="http://schemas.openxmlformats.org/officeDocument/2006/relationships/hyperlink" Target="https://talan.bank.gov.ua/get-user-certificate/45CEla74dBwF0QbVFPOZ" TargetMode="External"/><Relationship Id="rId3837" Type="http://schemas.openxmlformats.org/officeDocument/2006/relationships/hyperlink" Target="https://talan.bank.gov.ua/get-user-certificate/45CElcDY1sMEBL8CbBQ7" TargetMode="External"/><Relationship Id="rId758" Type="http://schemas.openxmlformats.org/officeDocument/2006/relationships/hyperlink" Target="https://talan.bank.gov.ua/get-user-certificate/45CEly9RhyEWSPU2IYIV" TargetMode="External"/><Relationship Id="rId965" Type="http://schemas.openxmlformats.org/officeDocument/2006/relationships/hyperlink" Target="https://talan.bank.gov.ua/get-user-certificate/45CElL2S-janH85PyLy3" TargetMode="External"/><Relationship Id="rId1388" Type="http://schemas.openxmlformats.org/officeDocument/2006/relationships/hyperlink" Target="https://talan.bank.gov.ua/get-user-certificate/45CElIvn7KaWhUW_2pv5" TargetMode="External"/><Relationship Id="rId1595" Type="http://schemas.openxmlformats.org/officeDocument/2006/relationships/hyperlink" Target="https://talan.bank.gov.ua/get-user-certificate/45CEl3xWSs_SIXGEuSiT" TargetMode="External"/><Relationship Id="rId2439" Type="http://schemas.openxmlformats.org/officeDocument/2006/relationships/hyperlink" Target="https://talan.bank.gov.ua/get-user-certificate/45CElFsOfAmWjxpXzUGZ" TargetMode="External"/><Relationship Id="rId2646" Type="http://schemas.openxmlformats.org/officeDocument/2006/relationships/hyperlink" Target="https://talan.bank.gov.ua/get-user-certificate/45CElNoA-bTzA2KKwoub" TargetMode="External"/><Relationship Id="rId2853" Type="http://schemas.openxmlformats.org/officeDocument/2006/relationships/hyperlink" Target="https://talan.bank.gov.ua/get-user-certificate/45CEliI2fT-ujYBHM6_T" TargetMode="External"/><Relationship Id="rId3904" Type="http://schemas.openxmlformats.org/officeDocument/2006/relationships/hyperlink" Target="https://talan.bank.gov.ua/get-user-certificate/45CElW2LCYMWFweNgvOk" TargetMode="External"/><Relationship Id="rId94" Type="http://schemas.openxmlformats.org/officeDocument/2006/relationships/hyperlink" Target="https://talan.bank.gov.ua/get-user-certificate/45CEl9S6NAnldNqImEtl" TargetMode="External"/><Relationship Id="rId618" Type="http://schemas.openxmlformats.org/officeDocument/2006/relationships/hyperlink" Target="https://talan.bank.gov.ua/get-user-certificate/45CEly5ImXP7WgyHxnsJ" TargetMode="External"/><Relationship Id="rId825" Type="http://schemas.openxmlformats.org/officeDocument/2006/relationships/hyperlink" Target="https://talan.bank.gov.ua/get-user-certificate/45CElEOO0uCFPb6D8hfd" TargetMode="External"/><Relationship Id="rId1248" Type="http://schemas.openxmlformats.org/officeDocument/2006/relationships/hyperlink" Target="https://talan.bank.gov.ua/get-user-certificate/45CEliS3kKMkbLA0-D2S" TargetMode="External"/><Relationship Id="rId1455" Type="http://schemas.openxmlformats.org/officeDocument/2006/relationships/hyperlink" Target="https://talan.bank.gov.ua/get-user-certificate/45CElUUT6mD2aMBQRTBT" TargetMode="External"/><Relationship Id="rId1662" Type="http://schemas.openxmlformats.org/officeDocument/2006/relationships/hyperlink" Target="https://talan.bank.gov.ua/get-user-certificate/45CElO78vnNhLejnAhX8" TargetMode="External"/><Relationship Id="rId2506" Type="http://schemas.openxmlformats.org/officeDocument/2006/relationships/hyperlink" Target="https://talan.bank.gov.ua/get-user-certificate/45CElzaMzxq5Eb1bidO5" TargetMode="External"/><Relationship Id="rId1108" Type="http://schemas.openxmlformats.org/officeDocument/2006/relationships/hyperlink" Target="https://talan.bank.gov.ua/get-user-certificate/45CElCQ2xGrqsFk5ofNA" TargetMode="External"/><Relationship Id="rId1315" Type="http://schemas.openxmlformats.org/officeDocument/2006/relationships/hyperlink" Target="https://talan.bank.gov.ua/get-user-certificate/45CElZf2OsFbhK-mjNvy" TargetMode="External"/><Relationship Id="rId2713" Type="http://schemas.openxmlformats.org/officeDocument/2006/relationships/hyperlink" Target="https://talan.bank.gov.ua/get-user-certificate/45CElrx8Iu73qoC_7jd7" TargetMode="External"/><Relationship Id="rId2920" Type="http://schemas.openxmlformats.org/officeDocument/2006/relationships/hyperlink" Target="https://talan.bank.gov.ua/get-user-certificate/45CElDyCvwBXjKGXkWm6" TargetMode="External"/><Relationship Id="rId4678" Type="http://schemas.openxmlformats.org/officeDocument/2006/relationships/hyperlink" Target="https://talan.bank.gov.ua/get-user-certificate/45CEl1uim3t7N0Hi89pm" TargetMode="External"/><Relationship Id="rId1522" Type="http://schemas.openxmlformats.org/officeDocument/2006/relationships/hyperlink" Target="https://talan.bank.gov.ua/get-user-certificate/45CEljcOd7n1dH2RlCk7" TargetMode="External"/><Relationship Id="rId4885" Type="http://schemas.openxmlformats.org/officeDocument/2006/relationships/hyperlink" Target="https://talan.bank.gov.ua/get-user-certificate/45CElmvJG7_L-cPePRL4" TargetMode="External"/><Relationship Id="rId21" Type="http://schemas.openxmlformats.org/officeDocument/2006/relationships/hyperlink" Target="https://talan.bank.gov.ua/get-user-certificate/45CElrgnLwqgPwogR1n4" TargetMode="External"/><Relationship Id="rId2089" Type="http://schemas.openxmlformats.org/officeDocument/2006/relationships/hyperlink" Target="https://talan.bank.gov.ua/get-user-certificate/45CElZRkG8L0FjDRorIy" TargetMode="External"/><Relationship Id="rId3487" Type="http://schemas.openxmlformats.org/officeDocument/2006/relationships/hyperlink" Target="https://talan.bank.gov.ua/get-user-certificate/45CElaHO6GUwbYAa-IPT" TargetMode="External"/><Relationship Id="rId3694" Type="http://schemas.openxmlformats.org/officeDocument/2006/relationships/hyperlink" Target="https://talan.bank.gov.ua/get-user-certificate/45CElViX-NFiyE-cEa1m" TargetMode="External"/><Relationship Id="rId4538" Type="http://schemas.openxmlformats.org/officeDocument/2006/relationships/hyperlink" Target="https://talan.bank.gov.ua/get-user-certificate/45CElXH1QdEQmyMZKoAc" TargetMode="External"/><Relationship Id="rId4745" Type="http://schemas.openxmlformats.org/officeDocument/2006/relationships/hyperlink" Target="https://talan.bank.gov.ua/get-user-certificate/45CEluwuvPe6ai6plDpq" TargetMode="External"/><Relationship Id="rId4952" Type="http://schemas.openxmlformats.org/officeDocument/2006/relationships/hyperlink" Target="https://talan.bank.gov.ua/get-user-certificate/45CElcNomX4nFlCaYLCj" TargetMode="External"/><Relationship Id="rId2296" Type="http://schemas.openxmlformats.org/officeDocument/2006/relationships/hyperlink" Target="https://talan.bank.gov.ua/get-user-certificate/45CElWOjUSb00_2gv8ti" TargetMode="External"/><Relationship Id="rId3347" Type="http://schemas.openxmlformats.org/officeDocument/2006/relationships/hyperlink" Target="https://talan.bank.gov.ua/get-user-certificate/45CElxAJGyE3vlV7k5y3" TargetMode="External"/><Relationship Id="rId3554" Type="http://schemas.openxmlformats.org/officeDocument/2006/relationships/hyperlink" Target="https://talan.bank.gov.ua/get-user-certificate/45CElXV-5_tT3x1yRX-7" TargetMode="External"/><Relationship Id="rId3761" Type="http://schemas.openxmlformats.org/officeDocument/2006/relationships/hyperlink" Target="https://talan.bank.gov.ua/get-user-certificate/45CElQaTxZwHgZEYlPbU" TargetMode="External"/><Relationship Id="rId4605" Type="http://schemas.openxmlformats.org/officeDocument/2006/relationships/hyperlink" Target="https://talan.bank.gov.ua/get-user-certificate/45CElyCMBLMgDBSUCc5G" TargetMode="External"/><Relationship Id="rId4812" Type="http://schemas.openxmlformats.org/officeDocument/2006/relationships/hyperlink" Target="https://talan.bank.gov.ua/get-user-certificate/45CEl2QTtj0q7M1SMfyM" TargetMode="External"/><Relationship Id="rId268" Type="http://schemas.openxmlformats.org/officeDocument/2006/relationships/hyperlink" Target="https://talan.bank.gov.ua/get-user-certificate/45CElLHVh2M0E6xZCM8G" TargetMode="External"/><Relationship Id="rId475" Type="http://schemas.openxmlformats.org/officeDocument/2006/relationships/hyperlink" Target="https://talan.bank.gov.ua/get-user-certificate/45CEl1lhhmPaF-71TqAj" TargetMode="External"/><Relationship Id="rId682" Type="http://schemas.openxmlformats.org/officeDocument/2006/relationships/hyperlink" Target="https://talan.bank.gov.ua/get-user-certificate/45CElQlMK0jXvGtoJird" TargetMode="External"/><Relationship Id="rId2156" Type="http://schemas.openxmlformats.org/officeDocument/2006/relationships/hyperlink" Target="https://talan.bank.gov.ua/get-user-certificate/45CEl9OzIZLwPQSua6NJ" TargetMode="External"/><Relationship Id="rId2363" Type="http://schemas.openxmlformats.org/officeDocument/2006/relationships/hyperlink" Target="https://talan.bank.gov.ua/get-user-certificate/45CEll7ZbyNvjjNsHX8o" TargetMode="External"/><Relationship Id="rId2570" Type="http://schemas.openxmlformats.org/officeDocument/2006/relationships/hyperlink" Target="https://talan.bank.gov.ua/get-user-certificate/45CEljeRdgLN7nBMwGPK" TargetMode="External"/><Relationship Id="rId3207" Type="http://schemas.openxmlformats.org/officeDocument/2006/relationships/hyperlink" Target="https://talan.bank.gov.ua/get-user-certificate/45CEl-p7wZjeMl0V9bwm" TargetMode="External"/><Relationship Id="rId3414" Type="http://schemas.openxmlformats.org/officeDocument/2006/relationships/hyperlink" Target="https://talan.bank.gov.ua/get-user-certificate/45CElsmMLm-1usQtuJx1" TargetMode="External"/><Relationship Id="rId3621" Type="http://schemas.openxmlformats.org/officeDocument/2006/relationships/hyperlink" Target="https://talan.bank.gov.ua/get-user-certificate/45CElEUOCsOuiGQKDyXl" TargetMode="External"/><Relationship Id="rId128" Type="http://schemas.openxmlformats.org/officeDocument/2006/relationships/hyperlink" Target="https://talan.bank.gov.ua/get-user-certificate/45CElXlprhw7SVfYRni9" TargetMode="External"/><Relationship Id="rId335" Type="http://schemas.openxmlformats.org/officeDocument/2006/relationships/hyperlink" Target="https://talan.bank.gov.ua/get-user-certificate/45CElWUUeZFJnWTjItV2" TargetMode="External"/><Relationship Id="rId542" Type="http://schemas.openxmlformats.org/officeDocument/2006/relationships/hyperlink" Target="https://talan.bank.gov.ua/get-user-certificate/45CElcO5J-3Bx2YtRLzE" TargetMode="External"/><Relationship Id="rId1172" Type="http://schemas.openxmlformats.org/officeDocument/2006/relationships/hyperlink" Target="https://talan.bank.gov.ua/get-user-certificate/45CElnpNqvQCyF-F-YAd" TargetMode="External"/><Relationship Id="rId2016" Type="http://schemas.openxmlformats.org/officeDocument/2006/relationships/hyperlink" Target="https://talan.bank.gov.ua/get-user-certificate/45CElEReijXJo_Npkykq" TargetMode="External"/><Relationship Id="rId2223" Type="http://schemas.openxmlformats.org/officeDocument/2006/relationships/hyperlink" Target="https://talan.bank.gov.ua/get-user-certificate/45CEl5ypTV3As4RNurlx" TargetMode="External"/><Relationship Id="rId2430" Type="http://schemas.openxmlformats.org/officeDocument/2006/relationships/hyperlink" Target="https://talan.bank.gov.ua/get-user-certificate/45CElVsUdxnQt2u1mwXi" TargetMode="External"/><Relationship Id="rId402" Type="http://schemas.openxmlformats.org/officeDocument/2006/relationships/hyperlink" Target="https://talan.bank.gov.ua/get-user-certificate/45CElbJ3nklT4NLPhMhm" TargetMode="External"/><Relationship Id="rId1032" Type="http://schemas.openxmlformats.org/officeDocument/2006/relationships/hyperlink" Target="https://talan.bank.gov.ua/get-user-certificate/45CElKVuyPmdFWlDmHrS" TargetMode="External"/><Relationship Id="rId4188" Type="http://schemas.openxmlformats.org/officeDocument/2006/relationships/hyperlink" Target="https://talan.bank.gov.ua/get-user-certificate/45CElG0KvDHSC5ZqcOfS" TargetMode="External"/><Relationship Id="rId4395" Type="http://schemas.openxmlformats.org/officeDocument/2006/relationships/hyperlink" Target="https://talan.bank.gov.ua/get-user-certificate/45CElrcxxikZVoT7Tcxf" TargetMode="External"/><Relationship Id="rId1989" Type="http://schemas.openxmlformats.org/officeDocument/2006/relationships/hyperlink" Target="https://talan.bank.gov.ua/get-user-certificate/45CElPGpmdubH-9YejqO" TargetMode="External"/><Relationship Id="rId4048" Type="http://schemas.openxmlformats.org/officeDocument/2006/relationships/hyperlink" Target="https://talan.bank.gov.ua/get-user-certificate/45CEl2ppBYn8A2ZQH2f0" TargetMode="External"/><Relationship Id="rId4255" Type="http://schemas.openxmlformats.org/officeDocument/2006/relationships/hyperlink" Target="https://talan.bank.gov.ua/get-user-certificate/45CElAgmRef6AMWAhoNy" TargetMode="External"/><Relationship Id="rId1849" Type="http://schemas.openxmlformats.org/officeDocument/2006/relationships/hyperlink" Target="https://talan.bank.gov.ua/get-user-certificate/45CEl_GM2rtuT5MoFQrP" TargetMode="External"/><Relationship Id="rId3064" Type="http://schemas.openxmlformats.org/officeDocument/2006/relationships/hyperlink" Target="https://talan.bank.gov.ua/get-user-certificate/45CEl4woPzjKQfGQ512P" TargetMode="External"/><Relationship Id="rId4462" Type="http://schemas.openxmlformats.org/officeDocument/2006/relationships/hyperlink" Target="https://talan.bank.gov.ua/get-user-certificate/45CElGLPnShxC_6u6y3L" TargetMode="External"/><Relationship Id="rId192" Type="http://schemas.openxmlformats.org/officeDocument/2006/relationships/hyperlink" Target="https://talan.bank.gov.ua/get-user-certificate/45CElejBtuZvYdQarOLL" TargetMode="External"/><Relationship Id="rId1709" Type="http://schemas.openxmlformats.org/officeDocument/2006/relationships/hyperlink" Target="https://talan.bank.gov.ua/get-user-certificate/45CElGcEcDfM-zw_KbuJ" TargetMode="External"/><Relationship Id="rId1916" Type="http://schemas.openxmlformats.org/officeDocument/2006/relationships/hyperlink" Target="https://talan.bank.gov.ua/get-user-certificate/45CElJ7Whxo3a2r48RQA" TargetMode="External"/><Relationship Id="rId3271" Type="http://schemas.openxmlformats.org/officeDocument/2006/relationships/hyperlink" Target="https://talan.bank.gov.ua/get-user-certificate/45CElHQ3m5n9CJcYwRDl" TargetMode="External"/><Relationship Id="rId4115" Type="http://schemas.openxmlformats.org/officeDocument/2006/relationships/hyperlink" Target="https://talan.bank.gov.ua/get-user-certificate/45CElQIB6cdVVhs2nerS" TargetMode="External"/><Relationship Id="rId4322" Type="http://schemas.openxmlformats.org/officeDocument/2006/relationships/hyperlink" Target="https://talan.bank.gov.ua/get-user-certificate/45CElp9-IM2toH8CNWGA" TargetMode="External"/><Relationship Id="rId2080" Type="http://schemas.openxmlformats.org/officeDocument/2006/relationships/hyperlink" Target="https://talan.bank.gov.ua/get-user-certificate/45CEl_3XZ2qSbpFHahQA" TargetMode="External"/><Relationship Id="rId3131" Type="http://schemas.openxmlformats.org/officeDocument/2006/relationships/hyperlink" Target="https://talan.bank.gov.ua/get-user-certificate/45CElOTRW02JLyzvBYmf" TargetMode="External"/><Relationship Id="rId2897" Type="http://schemas.openxmlformats.org/officeDocument/2006/relationships/hyperlink" Target="https://talan.bank.gov.ua/get-user-certificate/45CElP0pa1V-_5IyqYpz" TargetMode="External"/><Relationship Id="rId3948" Type="http://schemas.openxmlformats.org/officeDocument/2006/relationships/hyperlink" Target="https://talan.bank.gov.ua/get-user-certificate/45CElHjl0VOPCqhNkofg" TargetMode="External"/><Relationship Id="rId869" Type="http://schemas.openxmlformats.org/officeDocument/2006/relationships/hyperlink" Target="https://talan.bank.gov.ua/get-user-certificate/45CElvm7ph5NkAgiBjEA" TargetMode="External"/><Relationship Id="rId1499" Type="http://schemas.openxmlformats.org/officeDocument/2006/relationships/hyperlink" Target="https://talan.bank.gov.ua/get-user-certificate/45CElu9VizXMtbegCfq-" TargetMode="External"/><Relationship Id="rId729" Type="http://schemas.openxmlformats.org/officeDocument/2006/relationships/hyperlink" Target="https://talan.bank.gov.ua/get-user-certificate/45CEl69EbETymMtQBBLP" TargetMode="External"/><Relationship Id="rId1359" Type="http://schemas.openxmlformats.org/officeDocument/2006/relationships/hyperlink" Target="https://talan.bank.gov.ua/get-user-certificate/45CElQ71pA5rHnpPCoZA" TargetMode="External"/><Relationship Id="rId2757" Type="http://schemas.openxmlformats.org/officeDocument/2006/relationships/hyperlink" Target="https://talan.bank.gov.ua/get-user-certificate/45CEldl7SnLcXnCE1OQH" TargetMode="External"/><Relationship Id="rId2964" Type="http://schemas.openxmlformats.org/officeDocument/2006/relationships/hyperlink" Target="https://talan.bank.gov.ua/get-user-certificate/45CElIC3xSvht5Z54y7X" TargetMode="External"/><Relationship Id="rId3808" Type="http://schemas.openxmlformats.org/officeDocument/2006/relationships/hyperlink" Target="https://talan.bank.gov.ua/get-user-certificate/45CElA0S66NrgAUSJCSd" TargetMode="External"/><Relationship Id="rId5023" Type="http://schemas.openxmlformats.org/officeDocument/2006/relationships/hyperlink" Target="https://talan.bank.gov.ua/get-user-certificate/ki8TnRswRcGqoaQSaZF5" TargetMode="External"/><Relationship Id="rId936" Type="http://schemas.openxmlformats.org/officeDocument/2006/relationships/hyperlink" Target="https://talan.bank.gov.ua/get-user-certificate/45CElzxFJ9OC99vLtDEA" TargetMode="External"/><Relationship Id="rId1219" Type="http://schemas.openxmlformats.org/officeDocument/2006/relationships/hyperlink" Target="https://talan.bank.gov.ua/get-user-certificate/45CElNS8KW-x_GSMdVz9" TargetMode="External"/><Relationship Id="rId1566" Type="http://schemas.openxmlformats.org/officeDocument/2006/relationships/hyperlink" Target="https://talan.bank.gov.ua/get-user-certificate/45CElwe9PW3FFYaqHZVG" TargetMode="External"/><Relationship Id="rId1773" Type="http://schemas.openxmlformats.org/officeDocument/2006/relationships/hyperlink" Target="https://talan.bank.gov.ua/get-user-certificate/45CElNIXauFeF3CjN2Gw" TargetMode="External"/><Relationship Id="rId1980" Type="http://schemas.openxmlformats.org/officeDocument/2006/relationships/hyperlink" Target="https://talan.bank.gov.ua/get-user-certificate/45CElVYETZBCXsOXmnMj" TargetMode="External"/><Relationship Id="rId2617" Type="http://schemas.openxmlformats.org/officeDocument/2006/relationships/hyperlink" Target="https://talan.bank.gov.ua/get-user-certificate/45CElD36i7643AKL0U7D" TargetMode="External"/><Relationship Id="rId2824" Type="http://schemas.openxmlformats.org/officeDocument/2006/relationships/hyperlink" Target="https://talan.bank.gov.ua/get-user-certificate/45CElwq-REnH227mDwVX" TargetMode="External"/><Relationship Id="rId65" Type="http://schemas.openxmlformats.org/officeDocument/2006/relationships/hyperlink" Target="https://talan.bank.gov.ua/get-user-certificate/45CEl-Gs5AtwbP4Oe2kP" TargetMode="External"/><Relationship Id="rId1426" Type="http://schemas.openxmlformats.org/officeDocument/2006/relationships/hyperlink" Target="https://talan.bank.gov.ua/get-user-certificate/45CEltFsuxoHua_fcioa" TargetMode="External"/><Relationship Id="rId1633" Type="http://schemas.openxmlformats.org/officeDocument/2006/relationships/hyperlink" Target="https://talan.bank.gov.ua/get-user-certificate/45CElGwy9vt2gXhQwqwE" TargetMode="External"/><Relationship Id="rId1840" Type="http://schemas.openxmlformats.org/officeDocument/2006/relationships/hyperlink" Target="https://talan.bank.gov.ua/get-user-certificate/45CElnH9g7FRx1fQJ3J4" TargetMode="External"/><Relationship Id="rId4789" Type="http://schemas.openxmlformats.org/officeDocument/2006/relationships/hyperlink" Target="https://talan.bank.gov.ua/get-user-certificate/45CElq3XEsUgTZQlDf8W" TargetMode="External"/><Relationship Id="rId4996" Type="http://schemas.openxmlformats.org/officeDocument/2006/relationships/hyperlink" Target="https://talan.bank.gov.ua/get-user-certificate/ki8TnLfkXojam8UDTUFB" TargetMode="External"/><Relationship Id="rId1700" Type="http://schemas.openxmlformats.org/officeDocument/2006/relationships/hyperlink" Target="https://talan.bank.gov.ua/get-user-certificate/45CEll3I93EUoAevydBp" TargetMode="External"/><Relationship Id="rId3598" Type="http://schemas.openxmlformats.org/officeDocument/2006/relationships/hyperlink" Target="https://talan.bank.gov.ua/get-user-certificate/45CElNMuGg6dcFNz_1xE" TargetMode="External"/><Relationship Id="rId4649" Type="http://schemas.openxmlformats.org/officeDocument/2006/relationships/hyperlink" Target="https://talan.bank.gov.ua/get-user-certificate/45CElxiI13ssjrtNNdrG" TargetMode="External"/><Relationship Id="rId4856" Type="http://schemas.openxmlformats.org/officeDocument/2006/relationships/hyperlink" Target="https://talan.bank.gov.ua/get-user-certificate/45CElPwlP_XCr0xU_87c" TargetMode="External"/><Relationship Id="rId3458" Type="http://schemas.openxmlformats.org/officeDocument/2006/relationships/hyperlink" Target="https://talan.bank.gov.ua/get-user-certificate/45CEl2joKMX0y6WLtbX-" TargetMode="External"/><Relationship Id="rId3665" Type="http://schemas.openxmlformats.org/officeDocument/2006/relationships/hyperlink" Target="https://talan.bank.gov.ua/get-user-certificate/45CElmqzdJ2anqDnVuAt" TargetMode="External"/><Relationship Id="rId3872" Type="http://schemas.openxmlformats.org/officeDocument/2006/relationships/hyperlink" Target="https://talan.bank.gov.ua/get-user-certificate/45CEltAAzAn4wXfrFO6G" TargetMode="External"/><Relationship Id="rId4509" Type="http://schemas.openxmlformats.org/officeDocument/2006/relationships/hyperlink" Target="https://talan.bank.gov.ua/get-user-certificate/45CEl_WYQLjocygJp5Nf" TargetMode="External"/><Relationship Id="rId4716" Type="http://schemas.openxmlformats.org/officeDocument/2006/relationships/hyperlink" Target="https://talan.bank.gov.ua/get-user-certificate/45CEl0vxzgEUzM5zgVG5" TargetMode="External"/><Relationship Id="rId379" Type="http://schemas.openxmlformats.org/officeDocument/2006/relationships/hyperlink" Target="https://talan.bank.gov.ua/get-user-certificate/45CElTO72N_MgyEOhs0m" TargetMode="External"/><Relationship Id="rId586" Type="http://schemas.openxmlformats.org/officeDocument/2006/relationships/hyperlink" Target="https://talan.bank.gov.ua/get-user-certificate/45CElB0X3UvAC7Yge2l2" TargetMode="External"/><Relationship Id="rId793" Type="http://schemas.openxmlformats.org/officeDocument/2006/relationships/hyperlink" Target="https://talan.bank.gov.ua/get-user-certificate/45CElJKkZV84ZNgF-F94" TargetMode="External"/><Relationship Id="rId2267" Type="http://schemas.openxmlformats.org/officeDocument/2006/relationships/hyperlink" Target="https://talan.bank.gov.ua/get-user-certificate/45CElI3H-xmIYTWcR-nj" TargetMode="External"/><Relationship Id="rId2474" Type="http://schemas.openxmlformats.org/officeDocument/2006/relationships/hyperlink" Target="https://talan.bank.gov.ua/get-user-certificate/45CElTInJL7CmZOiTZjF" TargetMode="External"/><Relationship Id="rId2681" Type="http://schemas.openxmlformats.org/officeDocument/2006/relationships/hyperlink" Target="https://talan.bank.gov.ua/get-user-certificate/45CElVapo7ElYk1J7hDn" TargetMode="External"/><Relationship Id="rId3318" Type="http://schemas.openxmlformats.org/officeDocument/2006/relationships/hyperlink" Target="https://talan.bank.gov.ua/get-user-certificate/45CEli9_nfLqKcEC_ByI" TargetMode="External"/><Relationship Id="rId3525" Type="http://schemas.openxmlformats.org/officeDocument/2006/relationships/hyperlink" Target="https://talan.bank.gov.ua/get-user-certificate/45CElGK_kpsHGwz6q04s" TargetMode="External"/><Relationship Id="rId4923" Type="http://schemas.openxmlformats.org/officeDocument/2006/relationships/hyperlink" Target="https://talan.bank.gov.ua/get-user-certificate/45CEl88BwakcD8z8GcK7" TargetMode="External"/><Relationship Id="rId239" Type="http://schemas.openxmlformats.org/officeDocument/2006/relationships/hyperlink" Target="https://talan.bank.gov.ua/get-user-certificate/45CElufeFTzlj6RHasba" TargetMode="External"/><Relationship Id="rId446" Type="http://schemas.openxmlformats.org/officeDocument/2006/relationships/hyperlink" Target="https://talan.bank.gov.ua/get-user-certificate/45CElH9yFAiXx_YzlmTM" TargetMode="External"/><Relationship Id="rId653" Type="http://schemas.openxmlformats.org/officeDocument/2006/relationships/hyperlink" Target="https://talan.bank.gov.ua/get-user-certificate/45CElGJzZdcXolFLljs8" TargetMode="External"/><Relationship Id="rId1076" Type="http://schemas.openxmlformats.org/officeDocument/2006/relationships/hyperlink" Target="https://talan.bank.gov.ua/get-user-certificate/45CElPFfe-AGgzfVz3Jm" TargetMode="External"/><Relationship Id="rId1283" Type="http://schemas.openxmlformats.org/officeDocument/2006/relationships/hyperlink" Target="https://talan.bank.gov.ua/get-user-certificate/45CElfXZLK7Rd04x5AsX" TargetMode="External"/><Relationship Id="rId1490" Type="http://schemas.openxmlformats.org/officeDocument/2006/relationships/hyperlink" Target="https://talan.bank.gov.ua/get-user-certificate/45CEl74JbliMYXcJomM3" TargetMode="External"/><Relationship Id="rId2127" Type="http://schemas.openxmlformats.org/officeDocument/2006/relationships/hyperlink" Target="https://talan.bank.gov.ua/get-user-certificate/45CElyCN9HXf2K141ayv" TargetMode="External"/><Relationship Id="rId2334" Type="http://schemas.openxmlformats.org/officeDocument/2006/relationships/hyperlink" Target="https://talan.bank.gov.ua/get-user-certificate/45CElm7rb3lIATZjfSC7" TargetMode="External"/><Relationship Id="rId3732" Type="http://schemas.openxmlformats.org/officeDocument/2006/relationships/hyperlink" Target="https://talan.bank.gov.ua/get-user-certificate/45CElqMAmzzW7cMXm9lH" TargetMode="External"/><Relationship Id="rId306" Type="http://schemas.openxmlformats.org/officeDocument/2006/relationships/hyperlink" Target="https://talan.bank.gov.ua/get-user-certificate/45CElWfQCENJEZvXlGoz" TargetMode="External"/><Relationship Id="rId860" Type="http://schemas.openxmlformats.org/officeDocument/2006/relationships/hyperlink" Target="https://talan.bank.gov.ua/get-user-certificate/45CElZy8gOgd4HfQcScb" TargetMode="External"/><Relationship Id="rId1143" Type="http://schemas.openxmlformats.org/officeDocument/2006/relationships/hyperlink" Target="https://talan.bank.gov.ua/get-user-certificate/45CElucjS9QBSewVQpGJ" TargetMode="External"/><Relationship Id="rId2541" Type="http://schemas.openxmlformats.org/officeDocument/2006/relationships/hyperlink" Target="https://talan.bank.gov.ua/get-user-certificate/45CElQVxyhgg4LYjFCyM" TargetMode="External"/><Relationship Id="rId4299" Type="http://schemas.openxmlformats.org/officeDocument/2006/relationships/hyperlink" Target="https://talan.bank.gov.ua/get-user-certificate/45CEl_oJmUSNBbINYbvP" TargetMode="External"/><Relationship Id="rId513" Type="http://schemas.openxmlformats.org/officeDocument/2006/relationships/hyperlink" Target="https://talan.bank.gov.ua/get-user-certificate/45CElnn-F1GCPoTAXjkd" TargetMode="External"/><Relationship Id="rId720" Type="http://schemas.openxmlformats.org/officeDocument/2006/relationships/hyperlink" Target="https://talan.bank.gov.ua/get-user-certificate/45CEltGSnWcynPoE0Uhd" TargetMode="External"/><Relationship Id="rId1350" Type="http://schemas.openxmlformats.org/officeDocument/2006/relationships/hyperlink" Target="https://talan.bank.gov.ua/get-user-certificate/45CElgc-Vm0AnV8PSyz0" TargetMode="External"/><Relationship Id="rId2401" Type="http://schemas.openxmlformats.org/officeDocument/2006/relationships/hyperlink" Target="https://talan.bank.gov.ua/get-user-certificate/45CElDh0p7_UTWYLtMK0" TargetMode="External"/><Relationship Id="rId4159" Type="http://schemas.openxmlformats.org/officeDocument/2006/relationships/hyperlink" Target="https://talan.bank.gov.ua/get-user-certificate/45CElvV-qslF_2IrGybx" TargetMode="External"/><Relationship Id="rId1003" Type="http://schemas.openxmlformats.org/officeDocument/2006/relationships/hyperlink" Target="https://talan.bank.gov.ua/get-user-certificate/45CElPOfOa5D9poYXGj8" TargetMode="External"/><Relationship Id="rId1210" Type="http://schemas.openxmlformats.org/officeDocument/2006/relationships/hyperlink" Target="https://talan.bank.gov.ua/get-user-certificate/45CElGITXXXnKv2KXC5W" TargetMode="External"/><Relationship Id="rId4366" Type="http://schemas.openxmlformats.org/officeDocument/2006/relationships/hyperlink" Target="https://talan.bank.gov.ua/get-user-certificate/45CElX2yl9eKEugROzli" TargetMode="External"/><Relationship Id="rId4573" Type="http://schemas.openxmlformats.org/officeDocument/2006/relationships/hyperlink" Target="https://talan.bank.gov.ua/get-user-certificate/45CEloU7M85qMts4368y" TargetMode="External"/><Relationship Id="rId4780" Type="http://schemas.openxmlformats.org/officeDocument/2006/relationships/hyperlink" Target="https://talan.bank.gov.ua/get-user-certificate/45CEl-kyLPLBjs4LL4fG" TargetMode="External"/><Relationship Id="rId3175" Type="http://schemas.openxmlformats.org/officeDocument/2006/relationships/hyperlink" Target="https://talan.bank.gov.ua/get-user-certificate/45CElY-vX7-sv2Dy-mjm" TargetMode="External"/><Relationship Id="rId3382" Type="http://schemas.openxmlformats.org/officeDocument/2006/relationships/hyperlink" Target="https://talan.bank.gov.ua/get-user-certificate/45CEl0ShRNUmaV6BNFcw" TargetMode="External"/><Relationship Id="rId4019" Type="http://schemas.openxmlformats.org/officeDocument/2006/relationships/hyperlink" Target="https://talan.bank.gov.ua/get-user-certificate/45CElLonqhwUssRhM7zI" TargetMode="External"/><Relationship Id="rId4226" Type="http://schemas.openxmlformats.org/officeDocument/2006/relationships/hyperlink" Target="https://talan.bank.gov.ua/get-user-certificate/45CElcTnk-7PAzIiSKYs" TargetMode="External"/><Relationship Id="rId4433" Type="http://schemas.openxmlformats.org/officeDocument/2006/relationships/hyperlink" Target="https://talan.bank.gov.ua/get-user-certificate/45CElVuCkIy0FNeDryX2" TargetMode="External"/><Relationship Id="rId4640" Type="http://schemas.openxmlformats.org/officeDocument/2006/relationships/hyperlink" Target="https://talan.bank.gov.ua/get-user-certificate/45CEl-wYe3OM_SugOuQE" TargetMode="External"/><Relationship Id="rId2191" Type="http://schemas.openxmlformats.org/officeDocument/2006/relationships/hyperlink" Target="https://talan.bank.gov.ua/get-user-certificate/45CEly5HCkQFZz2WKWHL" TargetMode="External"/><Relationship Id="rId3035" Type="http://schemas.openxmlformats.org/officeDocument/2006/relationships/hyperlink" Target="https://talan.bank.gov.ua/get-user-certificate/45CElBtcMys2Mv0L8ufS" TargetMode="External"/><Relationship Id="rId3242" Type="http://schemas.openxmlformats.org/officeDocument/2006/relationships/hyperlink" Target="https://talan.bank.gov.ua/get-user-certificate/45CEl8Puo-9NkXr0TqdY" TargetMode="External"/><Relationship Id="rId4500" Type="http://schemas.openxmlformats.org/officeDocument/2006/relationships/hyperlink" Target="https://talan.bank.gov.ua/get-user-certificate/45CElu3D5uT1tJbDlQua" TargetMode="External"/><Relationship Id="rId163" Type="http://schemas.openxmlformats.org/officeDocument/2006/relationships/hyperlink" Target="https://talan.bank.gov.ua/get-user-certificate/45CElH9y4YwgawabmZY7" TargetMode="External"/><Relationship Id="rId370" Type="http://schemas.openxmlformats.org/officeDocument/2006/relationships/hyperlink" Target="https://talan.bank.gov.ua/get-user-certificate/45CElJvdvY3kDVnTZKv_" TargetMode="External"/><Relationship Id="rId2051" Type="http://schemas.openxmlformats.org/officeDocument/2006/relationships/hyperlink" Target="https://talan.bank.gov.ua/get-user-certificate/45CElH3oHrkUrHw5gwER" TargetMode="External"/><Relationship Id="rId3102" Type="http://schemas.openxmlformats.org/officeDocument/2006/relationships/hyperlink" Target="https://talan.bank.gov.ua/get-user-certificate/45CElWpdZ4DwbOo24vdG" TargetMode="External"/><Relationship Id="rId230" Type="http://schemas.openxmlformats.org/officeDocument/2006/relationships/hyperlink" Target="https://talan.bank.gov.ua/get-user-certificate/45CElLd1X4eXEj2BS-X6" TargetMode="External"/><Relationship Id="rId2868" Type="http://schemas.openxmlformats.org/officeDocument/2006/relationships/hyperlink" Target="https://talan.bank.gov.ua/get-user-certificate/45CElNJlQy_GAQSsduiY" TargetMode="External"/><Relationship Id="rId3919" Type="http://schemas.openxmlformats.org/officeDocument/2006/relationships/hyperlink" Target="https://talan.bank.gov.ua/get-user-certificate/45CElOKdug_6Ct2y9jZM" TargetMode="External"/><Relationship Id="rId4083" Type="http://schemas.openxmlformats.org/officeDocument/2006/relationships/hyperlink" Target="https://talan.bank.gov.ua/get-user-certificate/45CElMUGVk8wtEjT9V9e" TargetMode="External"/><Relationship Id="rId1677" Type="http://schemas.openxmlformats.org/officeDocument/2006/relationships/hyperlink" Target="https://talan.bank.gov.ua/get-user-certificate/45CElvkUgZadJn288FDE" TargetMode="External"/><Relationship Id="rId1884" Type="http://schemas.openxmlformats.org/officeDocument/2006/relationships/hyperlink" Target="https://talan.bank.gov.ua/get-user-certificate/45CEl5ks9MNi7X2J88vq" TargetMode="External"/><Relationship Id="rId2728" Type="http://schemas.openxmlformats.org/officeDocument/2006/relationships/hyperlink" Target="https://talan.bank.gov.ua/get-user-certificate/45CElmresHSnhx3B64fl" TargetMode="External"/><Relationship Id="rId2935" Type="http://schemas.openxmlformats.org/officeDocument/2006/relationships/hyperlink" Target="https://talan.bank.gov.ua/get-user-certificate/45CEl1sFVtCSAwN9kG1t" TargetMode="External"/><Relationship Id="rId4290" Type="http://schemas.openxmlformats.org/officeDocument/2006/relationships/hyperlink" Target="https://talan.bank.gov.ua/get-user-certificate/45CElu5XiF1hZ4K_UwwF" TargetMode="External"/><Relationship Id="rId907" Type="http://schemas.openxmlformats.org/officeDocument/2006/relationships/hyperlink" Target="https://talan.bank.gov.ua/get-user-certificate/45CEl3lMwIwwTANUbhfh" TargetMode="External"/><Relationship Id="rId1537" Type="http://schemas.openxmlformats.org/officeDocument/2006/relationships/hyperlink" Target="https://talan.bank.gov.ua/get-user-certificate/45CElqGchmiFatsm2Q8p" TargetMode="External"/><Relationship Id="rId1744" Type="http://schemas.openxmlformats.org/officeDocument/2006/relationships/hyperlink" Target="https://talan.bank.gov.ua/get-user-certificate/45CElaYwvcl_A8fuvd0q" TargetMode="External"/><Relationship Id="rId1951" Type="http://schemas.openxmlformats.org/officeDocument/2006/relationships/hyperlink" Target="https://talan.bank.gov.ua/get-user-certificate/45CEliG-3RZ0bxnTrfwd" TargetMode="External"/><Relationship Id="rId4150" Type="http://schemas.openxmlformats.org/officeDocument/2006/relationships/hyperlink" Target="https://talan.bank.gov.ua/get-user-certificate/45CElt4zvJ2EFPOqyxOe" TargetMode="External"/><Relationship Id="rId36" Type="http://schemas.openxmlformats.org/officeDocument/2006/relationships/hyperlink" Target="https://talan.bank.gov.ua/get-user-certificate/45CElwpIISp4tc2j5Edz" TargetMode="External"/><Relationship Id="rId1604" Type="http://schemas.openxmlformats.org/officeDocument/2006/relationships/hyperlink" Target="https://talan.bank.gov.ua/get-user-certificate/45CElYk7FYl5nITJbtcw" TargetMode="External"/><Relationship Id="rId4010" Type="http://schemas.openxmlformats.org/officeDocument/2006/relationships/hyperlink" Target="https://talan.bank.gov.ua/get-user-certificate/45CElTMgMmFD2Ze4aTCw" TargetMode="External"/><Relationship Id="rId4967" Type="http://schemas.openxmlformats.org/officeDocument/2006/relationships/hyperlink" Target="https://talan.bank.gov.ua/get-user-certificate/45CElON-870qaXRVBt9h" TargetMode="External"/><Relationship Id="rId1811" Type="http://schemas.openxmlformats.org/officeDocument/2006/relationships/hyperlink" Target="https://talan.bank.gov.ua/get-user-certificate/45CElI6kSitMx4E91xOK" TargetMode="External"/><Relationship Id="rId3569" Type="http://schemas.openxmlformats.org/officeDocument/2006/relationships/hyperlink" Target="https://talan.bank.gov.ua/get-user-certificate/45CEl6ufFvMJm2LF0CpY" TargetMode="External"/><Relationship Id="rId697" Type="http://schemas.openxmlformats.org/officeDocument/2006/relationships/hyperlink" Target="https://talan.bank.gov.ua/get-user-certificate/45CEl6L8ehJGTrTs1AVS" TargetMode="External"/><Relationship Id="rId2378" Type="http://schemas.openxmlformats.org/officeDocument/2006/relationships/hyperlink" Target="https://talan.bank.gov.ua/get-user-certificate/45CElqXOp4u-BdcKsY8G" TargetMode="External"/><Relationship Id="rId3429" Type="http://schemas.openxmlformats.org/officeDocument/2006/relationships/hyperlink" Target="https://talan.bank.gov.ua/get-user-certificate/45CElAcrsU_VG8O4ZTV5" TargetMode="External"/><Relationship Id="rId3776" Type="http://schemas.openxmlformats.org/officeDocument/2006/relationships/hyperlink" Target="https://talan.bank.gov.ua/get-user-certificate/45CElGFbZaaBFNECmUyu" TargetMode="External"/><Relationship Id="rId3983" Type="http://schemas.openxmlformats.org/officeDocument/2006/relationships/hyperlink" Target="https://talan.bank.gov.ua/get-user-certificate/45CElLnAShdbI-TE9uL6" TargetMode="External"/><Relationship Id="rId4827" Type="http://schemas.openxmlformats.org/officeDocument/2006/relationships/hyperlink" Target="https://talan.bank.gov.ua/get-user-certificate/45CElX1nt11TWZSLw97M" TargetMode="External"/><Relationship Id="rId1187" Type="http://schemas.openxmlformats.org/officeDocument/2006/relationships/hyperlink" Target="https://talan.bank.gov.ua/get-user-certificate/45CElPVZfrqSaphGj6Pd" TargetMode="External"/><Relationship Id="rId2585" Type="http://schemas.openxmlformats.org/officeDocument/2006/relationships/hyperlink" Target="https://talan.bank.gov.ua/get-user-certificate/45CElVtEDgTVPqooiOMC" TargetMode="External"/><Relationship Id="rId2792" Type="http://schemas.openxmlformats.org/officeDocument/2006/relationships/hyperlink" Target="https://talan.bank.gov.ua/get-user-certificate/45CEl0_E6Xx8QM8yNRus" TargetMode="External"/><Relationship Id="rId3636" Type="http://schemas.openxmlformats.org/officeDocument/2006/relationships/hyperlink" Target="https://talan.bank.gov.ua/get-user-certificate/45CEl-yYw66SJhDiBmJf" TargetMode="External"/><Relationship Id="rId3843" Type="http://schemas.openxmlformats.org/officeDocument/2006/relationships/hyperlink" Target="https://talan.bank.gov.ua/get-user-certificate/45CElH74gK3glExttqQK" TargetMode="External"/><Relationship Id="rId557" Type="http://schemas.openxmlformats.org/officeDocument/2006/relationships/hyperlink" Target="https://talan.bank.gov.ua/get-user-certificate/45CElPe9ig8ekKj8T4j7" TargetMode="External"/><Relationship Id="rId764" Type="http://schemas.openxmlformats.org/officeDocument/2006/relationships/hyperlink" Target="https://talan.bank.gov.ua/get-user-certificate/45CElLk4sYOlHouUwLno" TargetMode="External"/><Relationship Id="rId971" Type="http://schemas.openxmlformats.org/officeDocument/2006/relationships/hyperlink" Target="https://talan.bank.gov.ua/get-user-certificate/45CEl2O8V7_944y4Y1gv" TargetMode="External"/><Relationship Id="rId1394" Type="http://schemas.openxmlformats.org/officeDocument/2006/relationships/hyperlink" Target="https://talan.bank.gov.ua/get-user-certificate/45CElcXI96Ail5RMzw_P" TargetMode="External"/><Relationship Id="rId2238" Type="http://schemas.openxmlformats.org/officeDocument/2006/relationships/hyperlink" Target="https://talan.bank.gov.ua/get-user-certificate/45CElurjI7T_euBpQc8w" TargetMode="External"/><Relationship Id="rId2445" Type="http://schemas.openxmlformats.org/officeDocument/2006/relationships/hyperlink" Target="https://talan.bank.gov.ua/get-user-certificate/45CElChAgmxQaEhczInO" TargetMode="External"/><Relationship Id="rId2652" Type="http://schemas.openxmlformats.org/officeDocument/2006/relationships/hyperlink" Target="https://talan.bank.gov.ua/get-user-certificate/45CElrA6mdN7StMzRQgt" TargetMode="External"/><Relationship Id="rId3703" Type="http://schemas.openxmlformats.org/officeDocument/2006/relationships/hyperlink" Target="https://talan.bank.gov.ua/get-user-certificate/45CElD5MT8JJEQYIPGWW" TargetMode="External"/><Relationship Id="rId3910" Type="http://schemas.openxmlformats.org/officeDocument/2006/relationships/hyperlink" Target="https://talan.bank.gov.ua/get-user-certificate/45CEllmt5GkbubfGOp_i" TargetMode="External"/><Relationship Id="rId417" Type="http://schemas.openxmlformats.org/officeDocument/2006/relationships/hyperlink" Target="https://talan.bank.gov.ua/get-user-certificate/45CEl0U0n9fFxEnbZUsf" TargetMode="External"/><Relationship Id="rId624" Type="http://schemas.openxmlformats.org/officeDocument/2006/relationships/hyperlink" Target="https://talan.bank.gov.ua/get-user-certificate/45CElkpPgjhkZaE7Hn5Y" TargetMode="External"/><Relationship Id="rId831" Type="http://schemas.openxmlformats.org/officeDocument/2006/relationships/hyperlink" Target="https://talan.bank.gov.ua/get-user-certificate/45CElDeq__JZoUmdAkaD" TargetMode="External"/><Relationship Id="rId1047" Type="http://schemas.openxmlformats.org/officeDocument/2006/relationships/hyperlink" Target="https://talan.bank.gov.ua/get-user-certificate/45CElm5HPxOJGBphpQva" TargetMode="External"/><Relationship Id="rId1254" Type="http://schemas.openxmlformats.org/officeDocument/2006/relationships/hyperlink" Target="https://talan.bank.gov.ua/get-user-certificate/45CEljWPhlRQxEg9KgsD" TargetMode="External"/><Relationship Id="rId1461" Type="http://schemas.openxmlformats.org/officeDocument/2006/relationships/hyperlink" Target="https://talan.bank.gov.ua/get-user-certificate/45CElIwgoc-NmMYxoCP_" TargetMode="External"/><Relationship Id="rId2305" Type="http://schemas.openxmlformats.org/officeDocument/2006/relationships/hyperlink" Target="https://talan.bank.gov.ua/get-user-certificate/45CElbkYeNeFqM8NInQv" TargetMode="External"/><Relationship Id="rId2512" Type="http://schemas.openxmlformats.org/officeDocument/2006/relationships/hyperlink" Target="https://talan.bank.gov.ua/get-user-certificate/45CElWZP_WPZDWFHi9CE" TargetMode="External"/><Relationship Id="rId1114" Type="http://schemas.openxmlformats.org/officeDocument/2006/relationships/hyperlink" Target="https://talan.bank.gov.ua/get-user-certificate/45CElSMh1jQfppVYPYPb" TargetMode="External"/><Relationship Id="rId1321" Type="http://schemas.openxmlformats.org/officeDocument/2006/relationships/hyperlink" Target="https://talan.bank.gov.ua/get-user-certificate/45CElGSFggYpkA4E-gNN" TargetMode="External"/><Relationship Id="rId4477" Type="http://schemas.openxmlformats.org/officeDocument/2006/relationships/hyperlink" Target="https://talan.bank.gov.ua/get-user-certificate/45CElU1L4AnYv-aJuvDC" TargetMode="External"/><Relationship Id="rId4684" Type="http://schemas.openxmlformats.org/officeDocument/2006/relationships/hyperlink" Target="https://talan.bank.gov.ua/get-user-certificate/45CEltrB9eqI7ixdfuDH" TargetMode="External"/><Relationship Id="rId4891" Type="http://schemas.openxmlformats.org/officeDocument/2006/relationships/hyperlink" Target="https://talan.bank.gov.ua/get-user-certificate/45CElO3tcoyF6583UMJX" TargetMode="External"/><Relationship Id="rId3079" Type="http://schemas.openxmlformats.org/officeDocument/2006/relationships/hyperlink" Target="https://talan.bank.gov.ua/get-user-certificate/45CEl2zk180DIV-CTYOA" TargetMode="External"/><Relationship Id="rId3286" Type="http://schemas.openxmlformats.org/officeDocument/2006/relationships/hyperlink" Target="https://talan.bank.gov.ua/get-user-certificate/45CElM9XCEBA9q2YwZrQ" TargetMode="External"/><Relationship Id="rId3493" Type="http://schemas.openxmlformats.org/officeDocument/2006/relationships/hyperlink" Target="https://talan.bank.gov.ua/get-user-certificate/45CElJH3XWJ3yPcsGwy_" TargetMode="External"/><Relationship Id="rId4337" Type="http://schemas.openxmlformats.org/officeDocument/2006/relationships/hyperlink" Target="https://talan.bank.gov.ua/get-user-certificate/45CElqJaB4coSVhApGv5" TargetMode="External"/><Relationship Id="rId4544" Type="http://schemas.openxmlformats.org/officeDocument/2006/relationships/hyperlink" Target="https://talan.bank.gov.ua/get-user-certificate/45CElomo6YVXV-1RtxEa" TargetMode="External"/><Relationship Id="rId2095" Type="http://schemas.openxmlformats.org/officeDocument/2006/relationships/hyperlink" Target="https://talan.bank.gov.ua/get-user-certificate/45CElejKBE1sYF4eiivH" TargetMode="External"/><Relationship Id="rId3146" Type="http://schemas.openxmlformats.org/officeDocument/2006/relationships/hyperlink" Target="https://talan.bank.gov.ua/get-user-certificate/45CElm3QPngXCJF0Hx2k" TargetMode="External"/><Relationship Id="rId3353" Type="http://schemas.openxmlformats.org/officeDocument/2006/relationships/hyperlink" Target="https://talan.bank.gov.ua/get-user-certificate/45CElDnh_MrcccLKD8p8" TargetMode="External"/><Relationship Id="rId4751" Type="http://schemas.openxmlformats.org/officeDocument/2006/relationships/hyperlink" Target="https://talan.bank.gov.ua/get-user-certificate/45CElQSNVzh0IRajw9Ng" TargetMode="External"/><Relationship Id="rId274" Type="http://schemas.openxmlformats.org/officeDocument/2006/relationships/hyperlink" Target="https://talan.bank.gov.ua/get-user-certificate/45CEl9pkBTtfb5rVXCpo" TargetMode="External"/><Relationship Id="rId481" Type="http://schemas.openxmlformats.org/officeDocument/2006/relationships/hyperlink" Target="https://talan.bank.gov.ua/get-user-certificate/45CElp3GOFj_HkwUTMvx" TargetMode="External"/><Relationship Id="rId2162" Type="http://schemas.openxmlformats.org/officeDocument/2006/relationships/hyperlink" Target="https://talan.bank.gov.ua/get-user-certificate/45CElgE5ltPUU5hl3M-V" TargetMode="External"/><Relationship Id="rId3006" Type="http://schemas.openxmlformats.org/officeDocument/2006/relationships/hyperlink" Target="https://talan.bank.gov.ua/get-user-certificate/45CEl0IIeOGw1vQa4lZj" TargetMode="External"/><Relationship Id="rId3560" Type="http://schemas.openxmlformats.org/officeDocument/2006/relationships/hyperlink" Target="https://talan.bank.gov.ua/get-user-certificate/45CElERqm9bGccvWdNCZ" TargetMode="External"/><Relationship Id="rId4404" Type="http://schemas.openxmlformats.org/officeDocument/2006/relationships/hyperlink" Target="https://talan.bank.gov.ua/get-user-certificate/45CElZlH2MOq-AJQNGpb" TargetMode="External"/><Relationship Id="rId4611" Type="http://schemas.openxmlformats.org/officeDocument/2006/relationships/hyperlink" Target="https://talan.bank.gov.ua/get-user-certificate/45CElJaVdPdFYpRvJVbx" TargetMode="External"/><Relationship Id="rId134" Type="http://schemas.openxmlformats.org/officeDocument/2006/relationships/hyperlink" Target="https://talan.bank.gov.ua/get-user-certificate/45CElUsCpqMFjjkEHOTV" TargetMode="External"/><Relationship Id="rId3213" Type="http://schemas.openxmlformats.org/officeDocument/2006/relationships/hyperlink" Target="https://talan.bank.gov.ua/get-user-certificate/45CElpkA04L2JhY_Jpgt" TargetMode="External"/><Relationship Id="rId3420" Type="http://schemas.openxmlformats.org/officeDocument/2006/relationships/hyperlink" Target="https://talan.bank.gov.ua/get-user-certificate/45CEljb-NgXurOEryI7L" TargetMode="External"/><Relationship Id="rId341" Type="http://schemas.openxmlformats.org/officeDocument/2006/relationships/hyperlink" Target="https://talan.bank.gov.ua/get-user-certificate/45CElM13bmJGivST706Q" TargetMode="External"/><Relationship Id="rId2022" Type="http://schemas.openxmlformats.org/officeDocument/2006/relationships/hyperlink" Target="https://talan.bank.gov.ua/get-user-certificate/45CElye39YWPiSGXL60d" TargetMode="External"/><Relationship Id="rId2979" Type="http://schemas.openxmlformats.org/officeDocument/2006/relationships/hyperlink" Target="https://talan.bank.gov.ua/get-user-certificate/45CEl0oxYxgqb0dFwpVv" TargetMode="External"/><Relationship Id="rId201" Type="http://schemas.openxmlformats.org/officeDocument/2006/relationships/hyperlink" Target="https://talan.bank.gov.ua/get-user-certificate/45CElCBri-VYGYQA11i2" TargetMode="External"/><Relationship Id="rId1788" Type="http://schemas.openxmlformats.org/officeDocument/2006/relationships/hyperlink" Target="https://talan.bank.gov.ua/get-user-certificate/45CEl4_aXBL2LX-hK2Ip" TargetMode="External"/><Relationship Id="rId1995" Type="http://schemas.openxmlformats.org/officeDocument/2006/relationships/hyperlink" Target="https://talan.bank.gov.ua/get-user-certificate/45CEllqs2ep0uQblSJHy" TargetMode="External"/><Relationship Id="rId2839" Type="http://schemas.openxmlformats.org/officeDocument/2006/relationships/hyperlink" Target="https://talan.bank.gov.ua/get-user-certificate/45CElP_0H3rBNyoc4aBn" TargetMode="External"/><Relationship Id="rId4194" Type="http://schemas.openxmlformats.org/officeDocument/2006/relationships/hyperlink" Target="https://talan.bank.gov.ua/get-user-certificate/45CEleIaiIRuAo7Mr3UY" TargetMode="External"/><Relationship Id="rId1648" Type="http://schemas.openxmlformats.org/officeDocument/2006/relationships/hyperlink" Target="https://talan.bank.gov.ua/get-user-certificate/45CElrHxf5fdB0laA-aY" TargetMode="External"/><Relationship Id="rId4054" Type="http://schemas.openxmlformats.org/officeDocument/2006/relationships/hyperlink" Target="https://talan.bank.gov.ua/get-user-certificate/45CEl2ENQMVrvTyQjmXq" TargetMode="External"/><Relationship Id="rId4261" Type="http://schemas.openxmlformats.org/officeDocument/2006/relationships/hyperlink" Target="https://talan.bank.gov.ua/get-user-certificate/45CElV50ug-T6UKfb5eT" TargetMode="External"/><Relationship Id="rId1508" Type="http://schemas.openxmlformats.org/officeDocument/2006/relationships/hyperlink" Target="https://talan.bank.gov.ua/get-user-certificate/45CElm-8gOGxZwSPvgOf" TargetMode="External"/><Relationship Id="rId1855" Type="http://schemas.openxmlformats.org/officeDocument/2006/relationships/hyperlink" Target="https://talan.bank.gov.ua/get-user-certificate/45CElfM-hnGv22wjcqHZ" TargetMode="External"/><Relationship Id="rId2906" Type="http://schemas.openxmlformats.org/officeDocument/2006/relationships/hyperlink" Target="https://talan.bank.gov.ua/get-user-certificate/45CElkIiJC-72LYFigad" TargetMode="External"/><Relationship Id="rId3070" Type="http://schemas.openxmlformats.org/officeDocument/2006/relationships/hyperlink" Target="https://talan.bank.gov.ua/get-user-certificate/45CElZwi6WTzkHD7kubG" TargetMode="External"/><Relationship Id="rId4121" Type="http://schemas.openxmlformats.org/officeDocument/2006/relationships/hyperlink" Target="https://talan.bank.gov.ua/get-user-certificate/45CElzxFJqbvtdalzR4k" TargetMode="External"/><Relationship Id="rId1715" Type="http://schemas.openxmlformats.org/officeDocument/2006/relationships/hyperlink" Target="https://talan.bank.gov.ua/get-user-certificate/45CElrWHPH-waLWuZr5p" TargetMode="External"/><Relationship Id="rId1922" Type="http://schemas.openxmlformats.org/officeDocument/2006/relationships/hyperlink" Target="https://talan.bank.gov.ua/get-user-certificate/45CElRf84zqEn2T0cW7K" TargetMode="External"/><Relationship Id="rId3887" Type="http://schemas.openxmlformats.org/officeDocument/2006/relationships/hyperlink" Target="https://talan.bank.gov.ua/get-user-certificate/45CEldbnLKV93yn4gpLC" TargetMode="External"/><Relationship Id="rId4938" Type="http://schemas.openxmlformats.org/officeDocument/2006/relationships/hyperlink" Target="https://talan.bank.gov.ua/get-user-certificate/45CElaoj5kTV7VFP_n7x" TargetMode="External"/><Relationship Id="rId2489" Type="http://schemas.openxmlformats.org/officeDocument/2006/relationships/hyperlink" Target="https://talan.bank.gov.ua/get-user-certificate/45CEl_7ZwgABO3-4kG_a" TargetMode="External"/><Relationship Id="rId2696" Type="http://schemas.openxmlformats.org/officeDocument/2006/relationships/hyperlink" Target="https://talan.bank.gov.ua/get-user-certificate/45CEllDer5LfRQRuGqPY" TargetMode="External"/><Relationship Id="rId3747" Type="http://schemas.openxmlformats.org/officeDocument/2006/relationships/hyperlink" Target="https://talan.bank.gov.ua/get-user-certificate/45CElyqfSsBGgisSQIMI" TargetMode="External"/><Relationship Id="rId3954" Type="http://schemas.openxmlformats.org/officeDocument/2006/relationships/hyperlink" Target="https://talan.bank.gov.ua/get-user-certificate/45CElct77ZG7DaD6T_zq" TargetMode="External"/><Relationship Id="rId668" Type="http://schemas.openxmlformats.org/officeDocument/2006/relationships/hyperlink" Target="https://talan.bank.gov.ua/get-user-certificate/45CElIUzpx38NXlklx3M" TargetMode="External"/><Relationship Id="rId875" Type="http://schemas.openxmlformats.org/officeDocument/2006/relationships/hyperlink" Target="https://talan.bank.gov.ua/get-user-certificate/45CElSJHcvdbsb-6j8-U" TargetMode="External"/><Relationship Id="rId1298" Type="http://schemas.openxmlformats.org/officeDocument/2006/relationships/hyperlink" Target="https://talan.bank.gov.ua/get-user-certificate/45CElGsY1GLDgYzwfq7E" TargetMode="External"/><Relationship Id="rId2349" Type="http://schemas.openxmlformats.org/officeDocument/2006/relationships/hyperlink" Target="https://talan.bank.gov.ua/get-user-certificate/45CElj6hWVY9LERW9skZ" TargetMode="External"/><Relationship Id="rId2556" Type="http://schemas.openxmlformats.org/officeDocument/2006/relationships/hyperlink" Target="https://talan.bank.gov.ua/get-user-certificate/45CEln7V4VMts_YTPutO" TargetMode="External"/><Relationship Id="rId2763" Type="http://schemas.openxmlformats.org/officeDocument/2006/relationships/hyperlink" Target="https://talan.bank.gov.ua/get-user-certificate/45CElGRwTe8KGWY3egoc" TargetMode="External"/><Relationship Id="rId2970" Type="http://schemas.openxmlformats.org/officeDocument/2006/relationships/hyperlink" Target="https://talan.bank.gov.ua/get-user-certificate/45CElCXln1weHjW7WgNy" TargetMode="External"/><Relationship Id="rId3607" Type="http://schemas.openxmlformats.org/officeDocument/2006/relationships/hyperlink" Target="https://talan.bank.gov.ua/get-user-certificate/45CElxZo9eTq8rBYe7iK" TargetMode="External"/><Relationship Id="rId3814" Type="http://schemas.openxmlformats.org/officeDocument/2006/relationships/hyperlink" Target="https://talan.bank.gov.ua/get-user-certificate/45CEldC-24v-pduMwdcG" TargetMode="External"/><Relationship Id="rId528" Type="http://schemas.openxmlformats.org/officeDocument/2006/relationships/hyperlink" Target="https://talan.bank.gov.ua/get-user-certificate/45CEl_nQREqzUT6tOpZu" TargetMode="External"/><Relationship Id="rId735" Type="http://schemas.openxmlformats.org/officeDocument/2006/relationships/hyperlink" Target="https://talan.bank.gov.ua/get-user-certificate/45CElYRRo0e4WXlQBJO2" TargetMode="External"/><Relationship Id="rId942" Type="http://schemas.openxmlformats.org/officeDocument/2006/relationships/hyperlink" Target="https://talan.bank.gov.ua/get-user-certificate/45CElRw2k1a2agWT7GD4" TargetMode="External"/><Relationship Id="rId1158" Type="http://schemas.openxmlformats.org/officeDocument/2006/relationships/hyperlink" Target="https://talan.bank.gov.ua/get-user-certificate/45CElkg-KlGAmOC8LcLX" TargetMode="External"/><Relationship Id="rId1365" Type="http://schemas.openxmlformats.org/officeDocument/2006/relationships/hyperlink" Target="https://talan.bank.gov.ua/get-user-certificate/45CElZGhVRUuJ15CHoOA" TargetMode="External"/><Relationship Id="rId1572" Type="http://schemas.openxmlformats.org/officeDocument/2006/relationships/hyperlink" Target="https://talan.bank.gov.ua/get-user-certificate/45CElrUkeGUvj1Fpx7Ce" TargetMode="External"/><Relationship Id="rId2209" Type="http://schemas.openxmlformats.org/officeDocument/2006/relationships/hyperlink" Target="https://talan.bank.gov.ua/get-user-certificate/45CElyTx3kwlFnKAscd0" TargetMode="External"/><Relationship Id="rId2416" Type="http://schemas.openxmlformats.org/officeDocument/2006/relationships/hyperlink" Target="https://talan.bank.gov.ua/get-user-certificate/45CElowPjNgYAQVtqkSW" TargetMode="External"/><Relationship Id="rId2623" Type="http://schemas.openxmlformats.org/officeDocument/2006/relationships/hyperlink" Target="https://talan.bank.gov.ua/get-user-certificate/45CElYEEoiQkDUs5PzsG" TargetMode="External"/><Relationship Id="rId1018" Type="http://schemas.openxmlformats.org/officeDocument/2006/relationships/hyperlink" Target="https://talan.bank.gov.ua/get-user-certificate/45CEl8YzgHEmKwK_mCcu" TargetMode="External"/><Relationship Id="rId1225" Type="http://schemas.openxmlformats.org/officeDocument/2006/relationships/hyperlink" Target="https://talan.bank.gov.ua/get-user-certificate/45CEljyq3RlHnkXOBdUT" TargetMode="External"/><Relationship Id="rId1432" Type="http://schemas.openxmlformats.org/officeDocument/2006/relationships/hyperlink" Target="https://talan.bank.gov.ua/get-user-certificate/45CElR5l7iH1gnREfphD" TargetMode="External"/><Relationship Id="rId2830" Type="http://schemas.openxmlformats.org/officeDocument/2006/relationships/hyperlink" Target="https://talan.bank.gov.ua/get-user-certificate/45CElLZosZN1xBe8M18X" TargetMode="External"/><Relationship Id="rId4588" Type="http://schemas.openxmlformats.org/officeDocument/2006/relationships/hyperlink" Target="https://talan.bank.gov.ua/get-user-certificate/45CElzLtJBZLz9BgcvHi" TargetMode="External"/><Relationship Id="rId71" Type="http://schemas.openxmlformats.org/officeDocument/2006/relationships/hyperlink" Target="https://talan.bank.gov.ua/get-user-certificate/45CEli0XtMYfv8j07_bN" TargetMode="External"/><Relationship Id="rId802" Type="http://schemas.openxmlformats.org/officeDocument/2006/relationships/hyperlink" Target="https://talan.bank.gov.ua/get-user-certificate/45CElojwFE0gJ_OO9JK9" TargetMode="External"/><Relationship Id="rId3397" Type="http://schemas.openxmlformats.org/officeDocument/2006/relationships/hyperlink" Target="https://talan.bank.gov.ua/get-user-certificate/45CElk-j9VMY-zR-3638" TargetMode="External"/><Relationship Id="rId4795" Type="http://schemas.openxmlformats.org/officeDocument/2006/relationships/hyperlink" Target="https://talan.bank.gov.ua/get-user-certificate/45CElSiY2EJ0GUMzT_xt" TargetMode="External"/><Relationship Id="rId4448" Type="http://schemas.openxmlformats.org/officeDocument/2006/relationships/hyperlink" Target="https://talan.bank.gov.ua/get-user-certificate/45CElpoEMV-ZfgIjTmaf" TargetMode="External"/><Relationship Id="rId4655" Type="http://schemas.openxmlformats.org/officeDocument/2006/relationships/hyperlink" Target="https://talan.bank.gov.ua/get-user-certificate/45CElPnWBpUjpGG0LjmU" TargetMode="External"/><Relationship Id="rId4862" Type="http://schemas.openxmlformats.org/officeDocument/2006/relationships/hyperlink" Target="https://talan.bank.gov.ua/get-user-certificate/45CEl88nRb8oIDKJDRqr" TargetMode="External"/><Relationship Id="rId178" Type="http://schemas.openxmlformats.org/officeDocument/2006/relationships/hyperlink" Target="https://talan.bank.gov.ua/get-user-certificate/45CElP7fR8Y_zxdwCiNN" TargetMode="External"/><Relationship Id="rId3257" Type="http://schemas.openxmlformats.org/officeDocument/2006/relationships/hyperlink" Target="https://talan.bank.gov.ua/get-user-certificate/45CElZWcGW2Wl0wTXatr" TargetMode="External"/><Relationship Id="rId3464" Type="http://schemas.openxmlformats.org/officeDocument/2006/relationships/hyperlink" Target="https://talan.bank.gov.ua/get-user-certificate/45CElF7sf_BrqzdNQ28c" TargetMode="External"/><Relationship Id="rId3671" Type="http://schemas.openxmlformats.org/officeDocument/2006/relationships/hyperlink" Target="https://talan.bank.gov.ua/get-user-certificate/45CElsa-zrdKc3-ezpWe" TargetMode="External"/><Relationship Id="rId4308" Type="http://schemas.openxmlformats.org/officeDocument/2006/relationships/hyperlink" Target="https://talan.bank.gov.ua/get-user-certificate/45CEluzbrf_RjoPg0hyu" TargetMode="External"/><Relationship Id="rId4515" Type="http://schemas.openxmlformats.org/officeDocument/2006/relationships/hyperlink" Target="https://talan.bank.gov.ua/get-user-certificate/45CElnO5x5zMDegNU1Tm" TargetMode="External"/><Relationship Id="rId4722" Type="http://schemas.openxmlformats.org/officeDocument/2006/relationships/hyperlink" Target="https://talan.bank.gov.ua/get-user-certificate/45CEll37E6N6SN1YPnHi" TargetMode="External"/><Relationship Id="rId385" Type="http://schemas.openxmlformats.org/officeDocument/2006/relationships/hyperlink" Target="https://talan.bank.gov.ua/get-user-certificate/45CEldT5vqRCN6M18OQA" TargetMode="External"/><Relationship Id="rId592" Type="http://schemas.openxmlformats.org/officeDocument/2006/relationships/hyperlink" Target="https://talan.bank.gov.ua/get-user-certificate/45CElUnV86W7Rkx8BzmL" TargetMode="External"/><Relationship Id="rId2066" Type="http://schemas.openxmlformats.org/officeDocument/2006/relationships/hyperlink" Target="https://talan.bank.gov.ua/get-user-certificate/45CElw5btJlk_UGrlP8Y" TargetMode="External"/><Relationship Id="rId2273" Type="http://schemas.openxmlformats.org/officeDocument/2006/relationships/hyperlink" Target="https://talan.bank.gov.ua/get-user-certificate/45CEl_fIEX7VrNezM9C1" TargetMode="External"/><Relationship Id="rId2480" Type="http://schemas.openxmlformats.org/officeDocument/2006/relationships/hyperlink" Target="https://talan.bank.gov.ua/get-user-certificate/45CEl1m4QcfipSw8WEb7" TargetMode="External"/><Relationship Id="rId3117" Type="http://schemas.openxmlformats.org/officeDocument/2006/relationships/hyperlink" Target="https://talan.bank.gov.ua/get-user-certificate/45CElrWYME4N9NUm8_08" TargetMode="External"/><Relationship Id="rId3324" Type="http://schemas.openxmlformats.org/officeDocument/2006/relationships/hyperlink" Target="https://talan.bank.gov.ua/get-user-certificate/45CEl5CDPa2pWgHBCFWb" TargetMode="External"/><Relationship Id="rId3531" Type="http://schemas.openxmlformats.org/officeDocument/2006/relationships/hyperlink" Target="https://talan.bank.gov.ua/get-user-certificate/45CElxzFKp9Fm8cWuGBg" TargetMode="External"/><Relationship Id="rId245" Type="http://schemas.openxmlformats.org/officeDocument/2006/relationships/hyperlink" Target="https://talan.bank.gov.ua/get-user-certificate/45CElcDeHybMfHAI4AyV" TargetMode="External"/><Relationship Id="rId452" Type="http://schemas.openxmlformats.org/officeDocument/2006/relationships/hyperlink" Target="https://talan.bank.gov.ua/get-user-certificate/45CElwlVLpVNYcriq8m3" TargetMode="External"/><Relationship Id="rId1082" Type="http://schemas.openxmlformats.org/officeDocument/2006/relationships/hyperlink" Target="https://talan.bank.gov.ua/get-user-certificate/45CElMU2lDs__G5ijnfN" TargetMode="External"/><Relationship Id="rId2133" Type="http://schemas.openxmlformats.org/officeDocument/2006/relationships/hyperlink" Target="https://talan.bank.gov.ua/get-user-certificate/45CElsgRYMVvdOrxu87T" TargetMode="External"/><Relationship Id="rId2340" Type="http://schemas.openxmlformats.org/officeDocument/2006/relationships/hyperlink" Target="https://talan.bank.gov.ua/get-user-certificate/45CElsSD8Z0S16VXg1lm" TargetMode="External"/><Relationship Id="rId105" Type="http://schemas.openxmlformats.org/officeDocument/2006/relationships/hyperlink" Target="https://talan.bank.gov.ua/get-user-certificate/45CEl8vkDjhLZbHO69F9" TargetMode="External"/><Relationship Id="rId312" Type="http://schemas.openxmlformats.org/officeDocument/2006/relationships/hyperlink" Target="https://talan.bank.gov.ua/get-user-certificate/45CElVmlaNpVpguAKtxw" TargetMode="External"/><Relationship Id="rId2200" Type="http://schemas.openxmlformats.org/officeDocument/2006/relationships/hyperlink" Target="https://talan.bank.gov.ua/get-user-certificate/45CElJkhkyYbY2vuU2XI" TargetMode="External"/><Relationship Id="rId4098" Type="http://schemas.openxmlformats.org/officeDocument/2006/relationships/hyperlink" Target="https://talan.bank.gov.ua/get-user-certificate/45CEl_hZf5klPo-9n-d8" TargetMode="External"/><Relationship Id="rId1899" Type="http://schemas.openxmlformats.org/officeDocument/2006/relationships/hyperlink" Target="https://talan.bank.gov.ua/get-user-certificate/45CElq5DZqoRWbFbNTlQ" TargetMode="External"/><Relationship Id="rId4165" Type="http://schemas.openxmlformats.org/officeDocument/2006/relationships/hyperlink" Target="https://talan.bank.gov.ua/get-user-certificate/45CElAaOouFLPXwvdBGw" TargetMode="External"/><Relationship Id="rId4372" Type="http://schemas.openxmlformats.org/officeDocument/2006/relationships/hyperlink" Target="https://talan.bank.gov.ua/get-user-certificate/45CElSZNQf7WMes7a6Di" TargetMode="External"/><Relationship Id="rId5009" Type="http://schemas.openxmlformats.org/officeDocument/2006/relationships/hyperlink" Target="https://talan.bank.gov.ua/get-user-certificate/ki8TnEx4_WsISgu0coOy" TargetMode="External"/><Relationship Id="rId1759" Type="http://schemas.openxmlformats.org/officeDocument/2006/relationships/hyperlink" Target="https://talan.bank.gov.ua/get-user-certificate/45CElHgHb2lUpbwUyJR2" TargetMode="External"/><Relationship Id="rId1966" Type="http://schemas.openxmlformats.org/officeDocument/2006/relationships/hyperlink" Target="https://talan.bank.gov.ua/get-user-certificate/45CElWLlQD7FKy9dgz5G" TargetMode="External"/><Relationship Id="rId3181" Type="http://schemas.openxmlformats.org/officeDocument/2006/relationships/hyperlink" Target="https://talan.bank.gov.ua/get-user-certificate/45CEl7W0lizkMf3Qym_E" TargetMode="External"/><Relationship Id="rId4025" Type="http://schemas.openxmlformats.org/officeDocument/2006/relationships/hyperlink" Target="https://talan.bank.gov.ua/get-user-certificate/45CEl5zGv60GhGQsh5Jj" TargetMode="External"/><Relationship Id="rId1619" Type="http://schemas.openxmlformats.org/officeDocument/2006/relationships/hyperlink" Target="https://talan.bank.gov.ua/get-user-certificate/45CElYz9hNI7d5LQ-S6P" TargetMode="External"/><Relationship Id="rId1826" Type="http://schemas.openxmlformats.org/officeDocument/2006/relationships/hyperlink" Target="https://talan.bank.gov.ua/get-user-certificate/45CElWAN8W5UHhuJBQ22" TargetMode="External"/><Relationship Id="rId4232" Type="http://schemas.openxmlformats.org/officeDocument/2006/relationships/hyperlink" Target="https://talan.bank.gov.ua/get-user-certificate/45CElEK_C4kplZNRGj8v" TargetMode="External"/><Relationship Id="rId3041" Type="http://schemas.openxmlformats.org/officeDocument/2006/relationships/hyperlink" Target="https://talan.bank.gov.ua/get-user-certificate/45CEly0HtIPS2jCt0xOR" TargetMode="External"/><Relationship Id="rId3998" Type="http://schemas.openxmlformats.org/officeDocument/2006/relationships/hyperlink" Target="https://talan.bank.gov.ua/get-user-certificate/45CElr4DPuFNS1WC5Xep" TargetMode="External"/><Relationship Id="rId3858" Type="http://schemas.openxmlformats.org/officeDocument/2006/relationships/hyperlink" Target="https://talan.bank.gov.ua/get-user-certificate/45CEl8kkbX2uEZPrhaMH" TargetMode="External"/><Relationship Id="rId4909" Type="http://schemas.openxmlformats.org/officeDocument/2006/relationships/hyperlink" Target="https://talan.bank.gov.ua/get-user-certificate/45CEljktj8sumepRZ578" TargetMode="External"/><Relationship Id="rId779" Type="http://schemas.openxmlformats.org/officeDocument/2006/relationships/hyperlink" Target="https://talan.bank.gov.ua/get-user-certificate/45CEloKbYMl4nHFKatXL" TargetMode="External"/><Relationship Id="rId986" Type="http://schemas.openxmlformats.org/officeDocument/2006/relationships/hyperlink" Target="https://talan.bank.gov.ua/get-user-certificate/45CElbQnzCMOKj09wSwt" TargetMode="External"/><Relationship Id="rId2667" Type="http://schemas.openxmlformats.org/officeDocument/2006/relationships/hyperlink" Target="https://talan.bank.gov.ua/get-user-certificate/45CElz9wpDB_oDm_oMlH" TargetMode="External"/><Relationship Id="rId3718" Type="http://schemas.openxmlformats.org/officeDocument/2006/relationships/hyperlink" Target="https://talan.bank.gov.ua/get-user-certificate/45CElyLnYWN2sxK70f8a" TargetMode="External"/><Relationship Id="rId639" Type="http://schemas.openxmlformats.org/officeDocument/2006/relationships/hyperlink" Target="https://talan.bank.gov.ua/get-user-certificate/45CElW8C52IjKngMu0yv" TargetMode="External"/><Relationship Id="rId1269" Type="http://schemas.openxmlformats.org/officeDocument/2006/relationships/hyperlink" Target="https://talan.bank.gov.ua/get-user-certificate/45CElySaEjEIN7A-wEWh" TargetMode="External"/><Relationship Id="rId1476" Type="http://schemas.openxmlformats.org/officeDocument/2006/relationships/hyperlink" Target="https://talan.bank.gov.ua/get-user-certificate/45CElhhmSZFN7cdO5-nM" TargetMode="External"/><Relationship Id="rId2874" Type="http://schemas.openxmlformats.org/officeDocument/2006/relationships/hyperlink" Target="https://talan.bank.gov.ua/get-user-certificate/45CElhB62vgXUa65dFfm" TargetMode="External"/><Relationship Id="rId3925" Type="http://schemas.openxmlformats.org/officeDocument/2006/relationships/hyperlink" Target="https://talan.bank.gov.ua/get-user-certificate/45CElxyg6b8O9iZAHdhq" TargetMode="External"/><Relationship Id="rId846" Type="http://schemas.openxmlformats.org/officeDocument/2006/relationships/hyperlink" Target="https://talan.bank.gov.ua/get-user-certificate/45CElLR_JR7JQN9S0ZB2" TargetMode="External"/><Relationship Id="rId1129" Type="http://schemas.openxmlformats.org/officeDocument/2006/relationships/hyperlink" Target="https://talan.bank.gov.ua/get-user-certificate/45CEljG3Cm9_qFUZA_0q" TargetMode="External"/><Relationship Id="rId1683" Type="http://schemas.openxmlformats.org/officeDocument/2006/relationships/hyperlink" Target="https://talan.bank.gov.ua/get-user-certificate/45CEltULMrbZ3g3G3gl9" TargetMode="External"/><Relationship Id="rId1890" Type="http://schemas.openxmlformats.org/officeDocument/2006/relationships/hyperlink" Target="https://talan.bank.gov.ua/get-user-certificate/45CEluPbNHesDZVpVSrz" TargetMode="External"/><Relationship Id="rId2527" Type="http://schemas.openxmlformats.org/officeDocument/2006/relationships/hyperlink" Target="https://talan.bank.gov.ua/get-user-certificate/45CElxw2d0AihESBCyy7" TargetMode="External"/><Relationship Id="rId2734" Type="http://schemas.openxmlformats.org/officeDocument/2006/relationships/hyperlink" Target="https://talan.bank.gov.ua/get-user-certificate/45CElDvh5Nk7N-cwmKmN" TargetMode="External"/><Relationship Id="rId2941" Type="http://schemas.openxmlformats.org/officeDocument/2006/relationships/hyperlink" Target="https://talan.bank.gov.ua/get-user-certificate/45CElqnvON0j86x1lNkq" TargetMode="External"/><Relationship Id="rId5000" Type="http://schemas.openxmlformats.org/officeDocument/2006/relationships/hyperlink" Target="https://talan.bank.gov.ua/get-user-certificate/ki8Tnhfj0Pjfzl4nRHVm" TargetMode="External"/><Relationship Id="rId706" Type="http://schemas.openxmlformats.org/officeDocument/2006/relationships/hyperlink" Target="https://talan.bank.gov.ua/get-user-certificate/45CElE0IaaeH_JLmWm-v" TargetMode="External"/><Relationship Id="rId913" Type="http://schemas.openxmlformats.org/officeDocument/2006/relationships/hyperlink" Target="https://talan.bank.gov.ua/get-user-certificate/45CElTOsn9LZK_Yl9s-h" TargetMode="External"/><Relationship Id="rId1336" Type="http://schemas.openxmlformats.org/officeDocument/2006/relationships/hyperlink" Target="https://talan.bank.gov.ua/get-user-certificate/45CEllbTc-_Bcb8VifhV" TargetMode="External"/><Relationship Id="rId1543" Type="http://schemas.openxmlformats.org/officeDocument/2006/relationships/hyperlink" Target="https://talan.bank.gov.ua/get-user-certificate/45CElbFnpB1O2T0LANjH" TargetMode="External"/><Relationship Id="rId1750" Type="http://schemas.openxmlformats.org/officeDocument/2006/relationships/hyperlink" Target="https://talan.bank.gov.ua/get-user-certificate/45CEl8O54G1fv6ajytKC" TargetMode="External"/><Relationship Id="rId2801" Type="http://schemas.openxmlformats.org/officeDocument/2006/relationships/hyperlink" Target="https://talan.bank.gov.ua/get-user-certificate/45CEltWh2MYQ0ThhN8Fk" TargetMode="External"/><Relationship Id="rId4699" Type="http://schemas.openxmlformats.org/officeDocument/2006/relationships/hyperlink" Target="https://talan.bank.gov.ua/get-user-certificate/45CElb2XCyoTOHgwbKQI" TargetMode="External"/><Relationship Id="rId42" Type="http://schemas.openxmlformats.org/officeDocument/2006/relationships/hyperlink" Target="https://talan.bank.gov.ua/get-user-certificate/45CElwAJtV-2Add5snKg" TargetMode="External"/><Relationship Id="rId1403" Type="http://schemas.openxmlformats.org/officeDocument/2006/relationships/hyperlink" Target="https://talan.bank.gov.ua/get-user-certificate/45CElhv3iTr1SJe07ThW" TargetMode="External"/><Relationship Id="rId1610" Type="http://schemas.openxmlformats.org/officeDocument/2006/relationships/hyperlink" Target="https://talan.bank.gov.ua/get-user-certificate/45CElxEAr3BIDNub-s5G" TargetMode="External"/><Relationship Id="rId4559" Type="http://schemas.openxmlformats.org/officeDocument/2006/relationships/hyperlink" Target="https://talan.bank.gov.ua/get-user-certificate/45CElU1yGLToGiBc9S09" TargetMode="External"/><Relationship Id="rId4766" Type="http://schemas.openxmlformats.org/officeDocument/2006/relationships/hyperlink" Target="https://talan.bank.gov.ua/get-user-certificate/45CElo0X15cH2zExCY0r" TargetMode="External"/><Relationship Id="rId4973" Type="http://schemas.openxmlformats.org/officeDocument/2006/relationships/hyperlink" Target="https://talan.bank.gov.ua/get-user-certificate/45CEllYOAgsMfJO7kj0S" TargetMode="External"/><Relationship Id="rId3368" Type="http://schemas.openxmlformats.org/officeDocument/2006/relationships/hyperlink" Target="https://talan.bank.gov.ua/get-user-certificate/45CElG64n-KCpzW6dm2G" TargetMode="External"/><Relationship Id="rId3575" Type="http://schemas.openxmlformats.org/officeDocument/2006/relationships/hyperlink" Target="https://talan.bank.gov.ua/get-user-certificate/45CEl0xW8Jepzof-FUny" TargetMode="External"/><Relationship Id="rId3782" Type="http://schemas.openxmlformats.org/officeDocument/2006/relationships/hyperlink" Target="https://talan.bank.gov.ua/get-user-certificate/45CEl7-289LfS8_WekkF" TargetMode="External"/><Relationship Id="rId4419" Type="http://schemas.openxmlformats.org/officeDocument/2006/relationships/hyperlink" Target="https://talan.bank.gov.ua/get-user-certificate/45CElJ2PrGatzrnOIwX7" TargetMode="External"/><Relationship Id="rId4626" Type="http://schemas.openxmlformats.org/officeDocument/2006/relationships/hyperlink" Target="https://talan.bank.gov.ua/get-user-certificate/45CElTzrNs-JPcmfSnzw" TargetMode="External"/><Relationship Id="rId4833" Type="http://schemas.openxmlformats.org/officeDocument/2006/relationships/hyperlink" Target="https://talan.bank.gov.ua/get-user-certificate/45CElml4cBCUUPZ-eh0Q" TargetMode="External"/><Relationship Id="rId289" Type="http://schemas.openxmlformats.org/officeDocument/2006/relationships/hyperlink" Target="https://talan.bank.gov.ua/get-user-certificate/45CEllKa_5Jp0A4dz5Wo" TargetMode="External"/><Relationship Id="rId496" Type="http://schemas.openxmlformats.org/officeDocument/2006/relationships/hyperlink" Target="https://talan.bank.gov.ua/get-user-certificate/45CElXQ8haJJiYi5hd9d" TargetMode="External"/><Relationship Id="rId2177" Type="http://schemas.openxmlformats.org/officeDocument/2006/relationships/hyperlink" Target="https://talan.bank.gov.ua/get-user-certificate/45CEliqTQM57koL8W-UB" TargetMode="External"/><Relationship Id="rId2384" Type="http://schemas.openxmlformats.org/officeDocument/2006/relationships/hyperlink" Target="https://talan.bank.gov.ua/get-user-certificate/45CElgCZlRtcNsnMNxgf" TargetMode="External"/><Relationship Id="rId2591" Type="http://schemas.openxmlformats.org/officeDocument/2006/relationships/hyperlink" Target="https://talan.bank.gov.ua/get-user-certificate/45CElBgPtlmyVRu1TY7h" TargetMode="External"/><Relationship Id="rId3228" Type="http://schemas.openxmlformats.org/officeDocument/2006/relationships/hyperlink" Target="https://talan.bank.gov.ua/get-user-certificate/45CElv3fBCmfAGnRz1ly" TargetMode="External"/><Relationship Id="rId3435" Type="http://schemas.openxmlformats.org/officeDocument/2006/relationships/hyperlink" Target="https://talan.bank.gov.ua/get-user-certificate/45CElEgBbUE4h1zjolgO" TargetMode="External"/><Relationship Id="rId3642" Type="http://schemas.openxmlformats.org/officeDocument/2006/relationships/hyperlink" Target="https://talan.bank.gov.ua/get-user-certificate/45CElMm9YC7qD_NM3zuz" TargetMode="External"/><Relationship Id="rId149" Type="http://schemas.openxmlformats.org/officeDocument/2006/relationships/hyperlink" Target="https://talan.bank.gov.ua/get-user-certificate/45CElfNBlCtlwbGzMg8R" TargetMode="External"/><Relationship Id="rId356" Type="http://schemas.openxmlformats.org/officeDocument/2006/relationships/hyperlink" Target="https://talan.bank.gov.ua/get-user-certificate/45CElthufExeplm3T5T3" TargetMode="External"/><Relationship Id="rId563" Type="http://schemas.openxmlformats.org/officeDocument/2006/relationships/hyperlink" Target="https://talan.bank.gov.ua/get-user-certificate/45CEldVyMzD2TeT43AiS" TargetMode="External"/><Relationship Id="rId770" Type="http://schemas.openxmlformats.org/officeDocument/2006/relationships/hyperlink" Target="https://talan.bank.gov.ua/get-user-certificate/45CEljvnRND-YMG0JNEX" TargetMode="External"/><Relationship Id="rId1193" Type="http://schemas.openxmlformats.org/officeDocument/2006/relationships/hyperlink" Target="https://talan.bank.gov.ua/get-user-certificate/45CElsJowLvZ5Qb7c-Ws" TargetMode="External"/><Relationship Id="rId2037" Type="http://schemas.openxmlformats.org/officeDocument/2006/relationships/hyperlink" Target="https://talan.bank.gov.ua/get-user-certificate/45CElGCXCCaCOHmo9sI5" TargetMode="External"/><Relationship Id="rId2244" Type="http://schemas.openxmlformats.org/officeDocument/2006/relationships/hyperlink" Target="https://talan.bank.gov.ua/get-user-certificate/45CElJoqqUudTwAlD30E" TargetMode="External"/><Relationship Id="rId2451" Type="http://schemas.openxmlformats.org/officeDocument/2006/relationships/hyperlink" Target="https://talan.bank.gov.ua/get-user-certificate/45CElWfkirLlp8N1mb-G" TargetMode="External"/><Relationship Id="rId4900" Type="http://schemas.openxmlformats.org/officeDocument/2006/relationships/hyperlink" Target="https://talan.bank.gov.ua/get-user-certificate/45CElTM5vS2OvUeZ-vWX" TargetMode="External"/><Relationship Id="rId216" Type="http://schemas.openxmlformats.org/officeDocument/2006/relationships/hyperlink" Target="https://talan.bank.gov.ua/get-user-certificate/45CElSSn9wzi2hJlFX4-" TargetMode="External"/><Relationship Id="rId423" Type="http://schemas.openxmlformats.org/officeDocument/2006/relationships/hyperlink" Target="https://talan.bank.gov.ua/get-user-certificate/45CElqogZwyBURfJKzho" TargetMode="External"/><Relationship Id="rId1053" Type="http://schemas.openxmlformats.org/officeDocument/2006/relationships/hyperlink" Target="https://talan.bank.gov.ua/get-user-certificate/45CEliEeIi3cnN6S9QUP" TargetMode="External"/><Relationship Id="rId1260" Type="http://schemas.openxmlformats.org/officeDocument/2006/relationships/hyperlink" Target="https://talan.bank.gov.ua/get-user-certificate/45CEla46rgg1XO9lO4gT" TargetMode="External"/><Relationship Id="rId2104" Type="http://schemas.openxmlformats.org/officeDocument/2006/relationships/hyperlink" Target="https://talan.bank.gov.ua/get-user-certificate/45CElr4lrCATWiQ97ovU" TargetMode="External"/><Relationship Id="rId3502" Type="http://schemas.openxmlformats.org/officeDocument/2006/relationships/hyperlink" Target="https://talan.bank.gov.ua/get-user-certificate/45CElnHsa7j6ORSvhE6H" TargetMode="External"/><Relationship Id="rId630" Type="http://schemas.openxmlformats.org/officeDocument/2006/relationships/hyperlink" Target="https://talan.bank.gov.ua/get-user-certificate/45CElAVIbGJWfSkAgqOq" TargetMode="External"/><Relationship Id="rId2311" Type="http://schemas.openxmlformats.org/officeDocument/2006/relationships/hyperlink" Target="https://talan.bank.gov.ua/get-user-certificate/45CEl6hIDIiwRr7w3pdX" TargetMode="External"/><Relationship Id="rId4069" Type="http://schemas.openxmlformats.org/officeDocument/2006/relationships/hyperlink" Target="https://talan.bank.gov.ua/get-user-certificate/45CEl-TA0V8i2W52Q5rm" TargetMode="External"/><Relationship Id="rId1120" Type="http://schemas.openxmlformats.org/officeDocument/2006/relationships/hyperlink" Target="https://talan.bank.gov.ua/get-user-certificate/45CElyXcJWH62EFRu_au" TargetMode="External"/><Relationship Id="rId4276" Type="http://schemas.openxmlformats.org/officeDocument/2006/relationships/hyperlink" Target="https://talan.bank.gov.ua/get-user-certificate/45CElzdwPCSyd6zndNA_" TargetMode="External"/><Relationship Id="rId4483" Type="http://schemas.openxmlformats.org/officeDocument/2006/relationships/hyperlink" Target="https://talan.bank.gov.ua/get-user-certificate/45CElgHpVtC-cVNWtWsG" TargetMode="External"/><Relationship Id="rId4690" Type="http://schemas.openxmlformats.org/officeDocument/2006/relationships/hyperlink" Target="https://talan.bank.gov.ua/get-user-certificate/45CElRMJSgcuigCciYXz" TargetMode="External"/><Relationship Id="rId1937" Type="http://schemas.openxmlformats.org/officeDocument/2006/relationships/hyperlink" Target="https://talan.bank.gov.ua/get-user-certificate/45CElC9rhAf0Y2Ym5Zwa" TargetMode="External"/><Relationship Id="rId3085" Type="http://schemas.openxmlformats.org/officeDocument/2006/relationships/hyperlink" Target="https://talan.bank.gov.ua/get-user-certificate/45CElUNbG8vpEjceyDXZ" TargetMode="External"/><Relationship Id="rId3292" Type="http://schemas.openxmlformats.org/officeDocument/2006/relationships/hyperlink" Target="https://talan.bank.gov.ua/get-user-certificate/45CElCy30d5sBwp6LYRZ" TargetMode="External"/><Relationship Id="rId4136" Type="http://schemas.openxmlformats.org/officeDocument/2006/relationships/hyperlink" Target="https://talan.bank.gov.ua/get-user-certificate/45CElQWVaAXk8MVta3Zh" TargetMode="External"/><Relationship Id="rId4343" Type="http://schemas.openxmlformats.org/officeDocument/2006/relationships/hyperlink" Target="https://talan.bank.gov.ua/get-user-certificate/45CElQnWu056Ga-Ndg9j" TargetMode="External"/><Relationship Id="rId4550" Type="http://schemas.openxmlformats.org/officeDocument/2006/relationships/hyperlink" Target="https://talan.bank.gov.ua/get-user-certificate/45CElvcOgdjhtIsDvK95" TargetMode="External"/><Relationship Id="rId3152" Type="http://schemas.openxmlformats.org/officeDocument/2006/relationships/hyperlink" Target="https://talan.bank.gov.ua/get-user-certificate/45CElOYq9TqvWvHXw2kv" TargetMode="External"/><Relationship Id="rId4203" Type="http://schemas.openxmlformats.org/officeDocument/2006/relationships/hyperlink" Target="https://talan.bank.gov.ua/get-user-certificate/45CElL9VjacRsMq6Z6w-" TargetMode="External"/><Relationship Id="rId4410" Type="http://schemas.openxmlformats.org/officeDocument/2006/relationships/hyperlink" Target="https://talan.bank.gov.ua/get-user-certificate/45CElL2lFlmL_cHKGsmr" TargetMode="External"/><Relationship Id="rId280" Type="http://schemas.openxmlformats.org/officeDocument/2006/relationships/hyperlink" Target="https://talan.bank.gov.ua/get-user-certificate/45CElo_gS0s_IuoZZk6V" TargetMode="External"/><Relationship Id="rId3012" Type="http://schemas.openxmlformats.org/officeDocument/2006/relationships/hyperlink" Target="https://talan.bank.gov.ua/get-user-certificate/45CEl8C_xaqqHdAlczX4" TargetMode="External"/><Relationship Id="rId140" Type="http://schemas.openxmlformats.org/officeDocument/2006/relationships/hyperlink" Target="https://talan.bank.gov.ua/get-user-certificate/45CEluezdm4Yxhv7ZlWB" TargetMode="External"/><Relationship Id="rId3969" Type="http://schemas.openxmlformats.org/officeDocument/2006/relationships/hyperlink" Target="https://talan.bank.gov.ua/get-user-certificate/45CEldDhTtc7mH6zi7Bn" TargetMode="External"/><Relationship Id="rId6" Type="http://schemas.openxmlformats.org/officeDocument/2006/relationships/hyperlink" Target="https://talan.bank.gov.ua/get-user-certificate/45CEll6BgS1a4G446ZNx" TargetMode="External"/><Relationship Id="rId2778" Type="http://schemas.openxmlformats.org/officeDocument/2006/relationships/hyperlink" Target="https://talan.bank.gov.ua/get-user-certificate/45CEl-wjVfEEoR3U0yb7" TargetMode="External"/><Relationship Id="rId2985" Type="http://schemas.openxmlformats.org/officeDocument/2006/relationships/hyperlink" Target="https://talan.bank.gov.ua/get-user-certificate/45CEl2HEGO1xGj0Sll24" TargetMode="External"/><Relationship Id="rId3829" Type="http://schemas.openxmlformats.org/officeDocument/2006/relationships/hyperlink" Target="https://talan.bank.gov.ua/get-user-certificate/45CElBM5SJhyElkWWnyD" TargetMode="External"/><Relationship Id="rId957" Type="http://schemas.openxmlformats.org/officeDocument/2006/relationships/hyperlink" Target="https://talan.bank.gov.ua/get-user-certificate/45CElcbRFRvwo-UZ3y_U" TargetMode="External"/><Relationship Id="rId1587" Type="http://schemas.openxmlformats.org/officeDocument/2006/relationships/hyperlink" Target="https://talan.bank.gov.ua/get-user-certificate/45CElg7N86W5NnA1KeZ5" TargetMode="External"/><Relationship Id="rId1794" Type="http://schemas.openxmlformats.org/officeDocument/2006/relationships/hyperlink" Target="https://talan.bank.gov.ua/get-user-certificate/45CElFrhkXZldpEbwMjm" TargetMode="External"/><Relationship Id="rId2638" Type="http://schemas.openxmlformats.org/officeDocument/2006/relationships/hyperlink" Target="https://talan.bank.gov.ua/get-user-certificate/45CElOlqEpxVLghz6I7Y" TargetMode="External"/><Relationship Id="rId2845" Type="http://schemas.openxmlformats.org/officeDocument/2006/relationships/hyperlink" Target="https://talan.bank.gov.ua/get-user-certificate/45CEl4OiciKKxSirRT09" TargetMode="External"/><Relationship Id="rId86" Type="http://schemas.openxmlformats.org/officeDocument/2006/relationships/hyperlink" Target="https://talan.bank.gov.ua/get-user-certificate/45CElLQQ6ddqrmek8jhW" TargetMode="External"/><Relationship Id="rId817" Type="http://schemas.openxmlformats.org/officeDocument/2006/relationships/hyperlink" Target="https://talan.bank.gov.ua/get-user-certificate/45CElh442zNVpkjuRxgO" TargetMode="External"/><Relationship Id="rId1447" Type="http://schemas.openxmlformats.org/officeDocument/2006/relationships/hyperlink" Target="https://talan.bank.gov.ua/get-user-certificate/45CElPJW_x1AcQBJpOYA" TargetMode="External"/><Relationship Id="rId1654" Type="http://schemas.openxmlformats.org/officeDocument/2006/relationships/hyperlink" Target="https://talan.bank.gov.ua/get-user-certificate/45CElwmPsG2MtAFvVZOX" TargetMode="External"/><Relationship Id="rId1861" Type="http://schemas.openxmlformats.org/officeDocument/2006/relationships/hyperlink" Target="https://talan.bank.gov.ua/get-user-certificate/45CElAWruywE1n33tvLa" TargetMode="External"/><Relationship Id="rId2705" Type="http://schemas.openxmlformats.org/officeDocument/2006/relationships/hyperlink" Target="https://talan.bank.gov.ua/get-user-certificate/45CElxJCxNdNgh8A7MNc" TargetMode="External"/><Relationship Id="rId2912" Type="http://schemas.openxmlformats.org/officeDocument/2006/relationships/hyperlink" Target="https://talan.bank.gov.ua/get-user-certificate/45CEln94TmA_DGePSlmZ" TargetMode="External"/><Relationship Id="rId4060" Type="http://schemas.openxmlformats.org/officeDocument/2006/relationships/hyperlink" Target="https://talan.bank.gov.ua/get-user-certificate/45CElckLCeBAeFy7G7HM" TargetMode="External"/><Relationship Id="rId1307" Type="http://schemas.openxmlformats.org/officeDocument/2006/relationships/hyperlink" Target="https://talan.bank.gov.ua/get-user-certificate/45CElTPpDMf5e9xjstWY" TargetMode="External"/><Relationship Id="rId1514" Type="http://schemas.openxmlformats.org/officeDocument/2006/relationships/hyperlink" Target="https://talan.bank.gov.ua/get-user-certificate/45CElxdnU-ERBqE2xyXG" TargetMode="External"/><Relationship Id="rId1721" Type="http://schemas.openxmlformats.org/officeDocument/2006/relationships/hyperlink" Target="https://talan.bank.gov.ua/get-user-certificate/45CElXBUVLYym9LyTZ_6" TargetMode="External"/><Relationship Id="rId4877" Type="http://schemas.openxmlformats.org/officeDocument/2006/relationships/hyperlink" Target="https://talan.bank.gov.ua/get-user-certificate/45CElDK-qde9s9oMfCTN" TargetMode="External"/><Relationship Id="rId13" Type="http://schemas.openxmlformats.org/officeDocument/2006/relationships/hyperlink" Target="https://talan.bank.gov.ua/get-user-certificate/45CElAkhmtxYFUme8x0s" TargetMode="External"/><Relationship Id="rId3479" Type="http://schemas.openxmlformats.org/officeDocument/2006/relationships/hyperlink" Target="https://talan.bank.gov.ua/get-user-certificate/45CElKxb2yDpOdFb7u-f" TargetMode="External"/><Relationship Id="rId3686" Type="http://schemas.openxmlformats.org/officeDocument/2006/relationships/hyperlink" Target="https://talan.bank.gov.ua/get-user-certificate/45CEl0L9ANPRCDGwgzDX" TargetMode="External"/><Relationship Id="rId2288" Type="http://schemas.openxmlformats.org/officeDocument/2006/relationships/hyperlink" Target="https://talan.bank.gov.ua/get-user-certificate/45CElnReJNdjq27OEE-V" TargetMode="External"/><Relationship Id="rId2495" Type="http://schemas.openxmlformats.org/officeDocument/2006/relationships/hyperlink" Target="https://talan.bank.gov.ua/get-user-certificate/45CElRRvemBNiLJe3Oua" TargetMode="External"/><Relationship Id="rId3339" Type="http://schemas.openxmlformats.org/officeDocument/2006/relationships/hyperlink" Target="https://talan.bank.gov.ua/get-user-certificate/45CElTAJYNhE6tUOTmrJ" TargetMode="External"/><Relationship Id="rId3893" Type="http://schemas.openxmlformats.org/officeDocument/2006/relationships/hyperlink" Target="https://talan.bank.gov.ua/get-user-certificate/45CEliT_oQyp4ibaFdSm" TargetMode="External"/><Relationship Id="rId4737" Type="http://schemas.openxmlformats.org/officeDocument/2006/relationships/hyperlink" Target="https://talan.bank.gov.ua/get-user-certificate/45CElAS6h8swahIi1-Am" TargetMode="External"/><Relationship Id="rId4944" Type="http://schemas.openxmlformats.org/officeDocument/2006/relationships/hyperlink" Target="https://talan.bank.gov.ua/get-user-certificate/45CEl8oAEVBlID-NaISw" TargetMode="External"/><Relationship Id="rId467" Type="http://schemas.openxmlformats.org/officeDocument/2006/relationships/hyperlink" Target="https://talan.bank.gov.ua/get-user-certificate/45CElypkoyq2lyknqxV5" TargetMode="External"/><Relationship Id="rId1097" Type="http://schemas.openxmlformats.org/officeDocument/2006/relationships/hyperlink" Target="https://talan.bank.gov.ua/get-user-certificate/45CElrELqr7o5KliPtAp" TargetMode="External"/><Relationship Id="rId2148" Type="http://schemas.openxmlformats.org/officeDocument/2006/relationships/hyperlink" Target="https://talan.bank.gov.ua/get-user-certificate/45CElNovTOyhNBTEbJGJ" TargetMode="External"/><Relationship Id="rId3546" Type="http://schemas.openxmlformats.org/officeDocument/2006/relationships/hyperlink" Target="https://talan.bank.gov.ua/get-user-certificate/45CEl-5Zbn3BYTDdjb2n" TargetMode="External"/><Relationship Id="rId3753" Type="http://schemas.openxmlformats.org/officeDocument/2006/relationships/hyperlink" Target="https://talan.bank.gov.ua/get-user-certificate/45CElrZ3eaL2Ile1jWfn" TargetMode="External"/><Relationship Id="rId3960" Type="http://schemas.openxmlformats.org/officeDocument/2006/relationships/hyperlink" Target="https://talan.bank.gov.ua/get-user-certificate/45CElzxRbBxQzGVr_4L2" TargetMode="External"/><Relationship Id="rId4804" Type="http://schemas.openxmlformats.org/officeDocument/2006/relationships/hyperlink" Target="https://talan.bank.gov.ua/get-user-certificate/45CEl0vgfYnoG_u1eclH" TargetMode="External"/><Relationship Id="rId674" Type="http://schemas.openxmlformats.org/officeDocument/2006/relationships/hyperlink" Target="https://talan.bank.gov.ua/get-user-certificate/45CElb6cK0OMI5agl849" TargetMode="External"/><Relationship Id="rId881" Type="http://schemas.openxmlformats.org/officeDocument/2006/relationships/hyperlink" Target="https://talan.bank.gov.ua/get-user-certificate/45CElqG0BqodE_mVNOUQ" TargetMode="External"/><Relationship Id="rId2355" Type="http://schemas.openxmlformats.org/officeDocument/2006/relationships/hyperlink" Target="https://talan.bank.gov.ua/get-user-certificate/45CElrvkg-f722b3pnuP" TargetMode="External"/><Relationship Id="rId2562" Type="http://schemas.openxmlformats.org/officeDocument/2006/relationships/hyperlink" Target="https://talan.bank.gov.ua/get-user-certificate/45CElz1WuLHzhzl93Lfx" TargetMode="External"/><Relationship Id="rId3406" Type="http://schemas.openxmlformats.org/officeDocument/2006/relationships/hyperlink" Target="https://talan.bank.gov.ua/get-user-certificate/45CElHHL4ruZpiMH_2Jn" TargetMode="External"/><Relationship Id="rId3613" Type="http://schemas.openxmlformats.org/officeDocument/2006/relationships/hyperlink" Target="https://talan.bank.gov.ua/get-user-certificate/45CElbsn5PMbi4c4D_rd" TargetMode="External"/><Relationship Id="rId3820" Type="http://schemas.openxmlformats.org/officeDocument/2006/relationships/hyperlink" Target="https://talan.bank.gov.ua/get-user-certificate/45CElVniFc0XoYbqTEKp" TargetMode="External"/><Relationship Id="rId327" Type="http://schemas.openxmlformats.org/officeDocument/2006/relationships/hyperlink" Target="https://talan.bank.gov.ua/get-user-certificate/45CElasK_DHjQYzJtZ3V" TargetMode="External"/><Relationship Id="rId534" Type="http://schemas.openxmlformats.org/officeDocument/2006/relationships/hyperlink" Target="https://talan.bank.gov.ua/get-user-certificate/45CElQiwzrNyDqlnt33f" TargetMode="External"/><Relationship Id="rId741" Type="http://schemas.openxmlformats.org/officeDocument/2006/relationships/hyperlink" Target="https://talan.bank.gov.ua/get-user-certificate/45CElLzI2MpRys-7tI38" TargetMode="External"/><Relationship Id="rId1164" Type="http://schemas.openxmlformats.org/officeDocument/2006/relationships/hyperlink" Target="https://talan.bank.gov.ua/get-user-certificate/45CElPefv3V2tO4IEwzx" TargetMode="External"/><Relationship Id="rId1371" Type="http://schemas.openxmlformats.org/officeDocument/2006/relationships/hyperlink" Target="https://talan.bank.gov.ua/get-user-certificate/45CElAmqInfiw5Qk_NOz" TargetMode="External"/><Relationship Id="rId2008" Type="http://schemas.openxmlformats.org/officeDocument/2006/relationships/hyperlink" Target="https://talan.bank.gov.ua/get-user-certificate/45CElrt-7y668PoP-_aV" TargetMode="External"/><Relationship Id="rId2215" Type="http://schemas.openxmlformats.org/officeDocument/2006/relationships/hyperlink" Target="https://talan.bank.gov.ua/get-user-certificate/45CElFw0sCCGOftpsZvV" TargetMode="External"/><Relationship Id="rId2422" Type="http://schemas.openxmlformats.org/officeDocument/2006/relationships/hyperlink" Target="https://talan.bank.gov.ua/get-user-certificate/45CEl1W0c6VS3jATvQm3" TargetMode="External"/><Relationship Id="rId601" Type="http://schemas.openxmlformats.org/officeDocument/2006/relationships/hyperlink" Target="https://talan.bank.gov.ua/get-user-certificate/45CEl6328OPwVXVCiHMq" TargetMode="External"/><Relationship Id="rId1024" Type="http://schemas.openxmlformats.org/officeDocument/2006/relationships/hyperlink" Target="https://talan.bank.gov.ua/get-user-certificate/45CEl3k7qHkVKXyFq2pm" TargetMode="External"/><Relationship Id="rId1231" Type="http://schemas.openxmlformats.org/officeDocument/2006/relationships/hyperlink" Target="https://talan.bank.gov.ua/get-user-certificate/45CEloNnN0eoMxr0qgHN" TargetMode="External"/><Relationship Id="rId4387" Type="http://schemas.openxmlformats.org/officeDocument/2006/relationships/hyperlink" Target="https://talan.bank.gov.ua/get-user-certificate/45CElEtCCgHFCaiXYFXq" TargetMode="External"/><Relationship Id="rId4594" Type="http://schemas.openxmlformats.org/officeDocument/2006/relationships/hyperlink" Target="https://talan.bank.gov.ua/get-user-certificate/45CElLmihDzZoU2-1wBj" TargetMode="External"/><Relationship Id="rId3196" Type="http://schemas.openxmlformats.org/officeDocument/2006/relationships/hyperlink" Target="https://talan.bank.gov.ua/get-user-certificate/45CElGaeWUX9K0yiESai" TargetMode="External"/><Relationship Id="rId4247" Type="http://schemas.openxmlformats.org/officeDocument/2006/relationships/hyperlink" Target="https://talan.bank.gov.ua/get-user-certificate/45CEll72mj9BC1nN-W9K" TargetMode="External"/><Relationship Id="rId4454" Type="http://schemas.openxmlformats.org/officeDocument/2006/relationships/hyperlink" Target="https://talan.bank.gov.ua/get-user-certificate/45CEldqhQ3eqoND1JEfJ" TargetMode="External"/><Relationship Id="rId4661" Type="http://schemas.openxmlformats.org/officeDocument/2006/relationships/hyperlink" Target="https://talan.bank.gov.ua/get-user-certificate/45CEl5AnLuJdDybCJ1oo" TargetMode="External"/><Relationship Id="rId3056" Type="http://schemas.openxmlformats.org/officeDocument/2006/relationships/hyperlink" Target="https://talan.bank.gov.ua/get-user-certificate/45CElWMqASf5OC4OkCz2" TargetMode="External"/><Relationship Id="rId3263" Type="http://schemas.openxmlformats.org/officeDocument/2006/relationships/hyperlink" Target="https://talan.bank.gov.ua/get-user-certificate/45CElJHFLSaS5UjfURli" TargetMode="External"/><Relationship Id="rId3470" Type="http://schemas.openxmlformats.org/officeDocument/2006/relationships/hyperlink" Target="https://talan.bank.gov.ua/get-user-certificate/45CElr7-65-vziiBnHIj" TargetMode="External"/><Relationship Id="rId4107" Type="http://schemas.openxmlformats.org/officeDocument/2006/relationships/hyperlink" Target="https://talan.bank.gov.ua/get-user-certificate/45CEl6Sec9TdJZGC9igu" TargetMode="External"/><Relationship Id="rId4314" Type="http://schemas.openxmlformats.org/officeDocument/2006/relationships/hyperlink" Target="https://talan.bank.gov.ua/get-user-certificate/45CElkfgUq4VNX--xmhG" TargetMode="External"/><Relationship Id="rId184" Type="http://schemas.openxmlformats.org/officeDocument/2006/relationships/hyperlink" Target="https://talan.bank.gov.ua/get-user-certificate/45CElDAnUCNYUty3ZT1E" TargetMode="External"/><Relationship Id="rId391" Type="http://schemas.openxmlformats.org/officeDocument/2006/relationships/hyperlink" Target="https://talan.bank.gov.ua/get-user-certificate/45CElL9UbJnWdOB1T3pp" TargetMode="External"/><Relationship Id="rId1908" Type="http://schemas.openxmlformats.org/officeDocument/2006/relationships/hyperlink" Target="https://talan.bank.gov.ua/get-user-certificate/45CElcR2CuPSxX4kItyP" TargetMode="External"/><Relationship Id="rId2072" Type="http://schemas.openxmlformats.org/officeDocument/2006/relationships/hyperlink" Target="https://talan.bank.gov.ua/get-user-certificate/45CElG3D15RC3WgW1_Za" TargetMode="External"/><Relationship Id="rId3123" Type="http://schemas.openxmlformats.org/officeDocument/2006/relationships/hyperlink" Target="https://talan.bank.gov.ua/get-user-certificate/45CElmRbyZcex131WGCW" TargetMode="External"/><Relationship Id="rId4521" Type="http://schemas.openxmlformats.org/officeDocument/2006/relationships/hyperlink" Target="https://talan.bank.gov.ua/get-user-certificate/45CElbhs5N1zJftBlFA3" TargetMode="External"/><Relationship Id="rId251" Type="http://schemas.openxmlformats.org/officeDocument/2006/relationships/hyperlink" Target="https://talan.bank.gov.ua/get-user-certificate/45CElN0dEl15NulxHX4M" TargetMode="External"/><Relationship Id="rId3330" Type="http://schemas.openxmlformats.org/officeDocument/2006/relationships/hyperlink" Target="https://talan.bank.gov.ua/get-user-certificate/45CElXETPmFoN9jQKfNJ" TargetMode="External"/><Relationship Id="rId2889" Type="http://schemas.openxmlformats.org/officeDocument/2006/relationships/hyperlink" Target="https://talan.bank.gov.ua/get-user-certificate/45CEl-uaA9G312Whs_4K" TargetMode="External"/><Relationship Id="rId111" Type="http://schemas.openxmlformats.org/officeDocument/2006/relationships/hyperlink" Target="https://talan.bank.gov.ua/get-user-certificate/45CEl4a4TGw1o-k9SC8v" TargetMode="External"/><Relationship Id="rId1698" Type="http://schemas.openxmlformats.org/officeDocument/2006/relationships/hyperlink" Target="https://talan.bank.gov.ua/get-user-certificate/45CElEeT0e8GC_IovaM7" TargetMode="External"/><Relationship Id="rId2749" Type="http://schemas.openxmlformats.org/officeDocument/2006/relationships/hyperlink" Target="https://talan.bank.gov.ua/get-user-certificate/45CEllHjoGV99qNq1G_E" TargetMode="External"/><Relationship Id="rId2956" Type="http://schemas.openxmlformats.org/officeDocument/2006/relationships/hyperlink" Target="https://talan.bank.gov.ua/get-user-certificate/45CElYm-bRgUzTCtQUPh" TargetMode="External"/><Relationship Id="rId928" Type="http://schemas.openxmlformats.org/officeDocument/2006/relationships/hyperlink" Target="https://talan.bank.gov.ua/get-user-certificate/45CElG-JoBLKLuDv4Wva" TargetMode="External"/><Relationship Id="rId1558" Type="http://schemas.openxmlformats.org/officeDocument/2006/relationships/hyperlink" Target="https://talan.bank.gov.ua/get-user-certificate/45CElgzc9Yl_lcEzvlHH" TargetMode="External"/><Relationship Id="rId1765" Type="http://schemas.openxmlformats.org/officeDocument/2006/relationships/hyperlink" Target="https://talan.bank.gov.ua/get-user-certificate/45CElUmVMVesKvlvuphC" TargetMode="External"/><Relationship Id="rId2609" Type="http://schemas.openxmlformats.org/officeDocument/2006/relationships/hyperlink" Target="https://talan.bank.gov.ua/get-user-certificate/45CElYhfDV6JSZSvZdCv" TargetMode="External"/><Relationship Id="rId4171" Type="http://schemas.openxmlformats.org/officeDocument/2006/relationships/hyperlink" Target="https://talan.bank.gov.ua/get-user-certificate/45CElo2z5C013hBlwLMl" TargetMode="External"/><Relationship Id="rId5015" Type="http://schemas.openxmlformats.org/officeDocument/2006/relationships/hyperlink" Target="https://talan.bank.gov.ua/get-user-certificate/ki8Tn5xnfh-ZTHfcCtxm" TargetMode="External"/><Relationship Id="rId57" Type="http://schemas.openxmlformats.org/officeDocument/2006/relationships/hyperlink" Target="https://talan.bank.gov.ua/get-user-certificate/45CEly6GOyDgh16IURwa" TargetMode="External"/><Relationship Id="rId1418" Type="http://schemas.openxmlformats.org/officeDocument/2006/relationships/hyperlink" Target="https://talan.bank.gov.ua/get-user-certificate/45CEldUpJUdS2tdBllXW" TargetMode="External"/><Relationship Id="rId1972" Type="http://schemas.openxmlformats.org/officeDocument/2006/relationships/hyperlink" Target="https://talan.bank.gov.ua/get-user-certificate/45CEln8HmMdA6GKiusFc" TargetMode="External"/><Relationship Id="rId2816" Type="http://schemas.openxmlformats.org/officeDocument/2006/relationships/hyperlink" Target="https://talan.bank.gov.ua/get-user-certificate/45CElr1shBcfZB18wsGb" TargetMode="External"/><Relationship Id="rId4031" Type="http://schemas.openxmlformats.org/officeDocument/2006/relationships/hyperlink" Target="https://talan.bank.gov.ua/get-user-certificate/45CElPb4X5CEfm41MfDJ" TargetMode="External"/><Relationship Id="rId1625" Type="http://schemas.openxmlformats.org/officeDocument/2006/relationships/hyperlink" Target="https://talan.bank.gov.ua/get-user-certificate/45CElpPk8X7FdjWktzdj" TargetMode="External"/><Relationship Id="rId1832" Type="http://schemas.openxmlformats.org/officeDocument/2006/relationships/hyperlink" Target="https://talan.bank.gov.ua/get-user-certificate/45CElrF69P1GJtAP0Q5m" TargetMode="External"/><Relationship Id="rId4988" Type="http://schemas.openxmlformats.org/officeDocument/2006/relationships/hyperlink" Target="https://talan.bank.gov.ua/get-user-certificate/ki8Tna5pIT1BSDXiFKpK" TargetMode="External"/><Relationship Id="rId3797" Type="http://schemas.openxmlformats.org/officeDocument/2006/relationships/hyperlink" Target="https://talan.bank.gov.ua/get-user-certificate/45CElDas428rXqrlQI0n" TargetMode="External"/><Relationship Id="rId4848" Type="http://schemas.openxmlformats.org/officeDocument/2006/relationships/hyperlink" Target="https://talan.bank.gov.ua/get-user-certificate/45CElorikanf-JfsFFq8" TargetMode="External"/><Relationship Id="rId2399" Type="http://schemas.openxmlformats.org/officeDocument/2006/relationships/hyperlink" Target="https://talan.bank.gov.ua/get-user-certificate/45CEl8ghr16zwOMPEXN7" TargetMode="External"/><Relationship Id="rId3657" Type="http://schemas.openxmlformats.org/officeDocument/2006/relationships/hyperlink" Target="https://talan.bank.gov.ua/get-user-certificate/45CElYjXAoywnK0TqsJ3" TargetMode="External"/><Relationship Id="rId3864" Type="http://schemas.openxmlformats.org/officeDocument/2006/relationships/hyperlink" Target="https://talan.bank.gov.ua/get-user-certificate/45CElhyuxCjPVuJzm7xX" TargetMode="External"/><Relationship Id="rId4708" Type="http://schemas.openxmlformats.org/officeDocument/2006/relationships/hyperlink" Target="https://talan.bank.gov.ua/get-user-certificate/45CEl55yqpULzOZpjEJz" TargetMode="External"/><Relationship Id="rId4915" Type="http://schemas.openxmlformats.org/officeDocument/2006/relationships/hyperlink" Target="https://talan.bank.gov.ua/get-user-certificate/45CEl2TdOGfs15VNNEGX" TargetMode="External"/><Relationship Id="rId578" Type="http://schemas.openxmlformats.org/officeDocument/2006/relationships/hyperlink" Target="https://talan.bank.gov.ua/get-user-certificate/45CEl84EbpShIWUxcOZr" TargetMode="External"/><Relationship Id="rId785" Type="http://schemas.openxmlformats.org/officeDocument/2006/relationships/hyperlink" Target="https://talan.bank.gov.ua/get-user-certificate/45CElGidyYtMJJQzce4A" TargetMode="External"/><Relationship Id="rId992" Type="http://schemas.openxmlformats.org/officeDocument/2006/relationships/hyperlink" Target="https://talan.bank.gov.ua/get-user-certificate/45CElYDSn-ZuEqQaZb0c" TargetMode="External"/><Relationship Id="rId2259" Type="http://schemas.openxmlformats.org/officeDocument/2006/relationships/hyperlink" Target="https://talan.bank.gov.ua/get-user-certificate/45CEl7-YOihQE0EeaNvu" TargetMode="External"/><Relationship Id="rId2466" Type="http://schemas.openxmlformats.org/officeDocument/2006/relationships/hyperlink" Target="https://talan.bank.gov.ua/get-user-certificate/45CElhuDERaYBsLf26Oa" TargetMode="External"/><Relationship Id="rId2673" Type="http://schemas.openxmlformats.org/officeDocument/2006/relationships/hyperlink" Target="https://talan.bank.gov.ua/get-user-certificate/45CElkKlkFWnZrzqWWSD" TargetMode="External"/><Relationship Id="rId2880" Type="http://schemas.openxmlformats.org/officeDocument/2006/relationships/hyperlink" Target="https://talan.bank.gov.ua/get-user-certificate/45CElwQrF4saTd7k1Ymg" TargetMode="External"/><Relationship Id="rId3517" Type="http://schemas.openxmlformats.org/officeDocument/2006/relationships/hyperlink" Target="https://talan.bank.gov.ua/get-user-certificate/45CElOruYwc1dfwuYZ-_" TargetMode="External"/><Relationship Id="rId3724" Type="http://schemas.openxmlformats.org/officeDocument/2006/relationships/hyperlink" Target="https://talan.bank.gov.ua/get-user-certificate/45CElEFVsAxPqX2cabMH" TargetMode="External"/><Relationship Id="rId3931" Type="http://schemas.openxmlformats.org/officeDocument/2006/relationships/hyperlink" Target="https://talan.bank.gov.ua/get-user-certificate/45CElKPbHqdFMPzVf2Xy" TargetMode="External"/><Relationship Id="rId438" Type="http://schemas.openxmlformats.org/officeDocument/2006/relationships/hyperlink" Target="https://talan.bank.gov.ua/get-user-certificate/45CElwdpJ29x3yXyma1g" TargetMode="External"/><Relationship Id="rId645" Type="http://schemas.openxmlformats.org/officeDocument/2006/relationships/hyperlink" Target="https://talan.bank.gov.ua/get-user-certificate/45CElTSGAr5BoRz7AE-d" TargetMode="External"/><Relationship Id="rId852" Type="http://schemas.openxmlformats.org/officeDocument/2006/relationships/hyperlink" Target="https://talan.bank.gov.ua/get-user-certificate/45CElTh3XI7EP3UZPfFY" TargetMode="External"/><Relationship Id="rId1068" Type="http://schemas.openxmlformats.org/officeDocument/2006/relationships/hyperlink" Target="https://talan.bank.gov.ua/get-user-certificate/45CEl9Ka4pWFwlBAtHp1" TargetMode="External"/><Relationship Id="rId1275" Type="http://schemas.openxmlformats.org/officeDocument/2006/relationships/hyperlink" Target="https://talan.bank.gov.ua/get-user-certificate/45CElhUg4BBITZ8t600I" TargetMode="External"/><Relationship Id="rId1482" Type="http://schemas.openxmlformats.org/officeDocument/2006/relationships/hyperlink" Target="https://talan.bank.gov.ua/get-user-certificate/45CElokqai4b8ALVA3hC" TargetMode="External"/><Relationship Id="rId2119" Type="http://schemas.openxmlformats.org/officeDocument/2006/relationships/hyperlink" Target="https://talan.bank.gov.ua/get-user-certificate/45CEl37n6ICyFLILnLvE" TargetMode="External"/><Relationship Id="rId2326" Type="http://schemas.openxmlformats.org/officeDocument/2006/relationships/hyperlink" Target="https://talan.bank.gov.ua/get-user-certificate/45CElCRD3j2F3EPtkRPw" TargetMode="External"/><Relationship Id="rId2533" Type="http://schemas.openxmlformats.org/officeDocument/2006/relationships/hyperlink" Target="https://talan.bank.gov.ua/get-user-certificate/45CEl1QCus31B9tw1WC-" TargetMode="External"/><Relationship Id="rId2740" Type="http://schemas.openxmlformats.org/officeDocument/2006/relationships/hyperlink" Target="https://talan.bank.gov.ua/get-user-certificate/45CEl9DdBRht6cgAkh3Y" TargetMode="External"/><Relationship Id="rId505" Type="http://schemas.openxmlformats.org/officeDocument/2006/relationships/hyperlink" Target="https://talan.bank.gov.ua/get-user-certificate/45CElFoX5yXi9OEProMd" TargetMode="External"/><Relationship Id="rId712" Type="http://schemas.openxmlformats.org/officeDocument/2006/relationships/hyperlink" Target="https://talan.bank.gov.ua/get-user-certificate/45CElcAHuAGI72yO-fKP" TargetMode="External"/><Relationship Id="rId1135" Type="http://schemas.openxmlformats.org/officeDocument/2006/relationships/hyperlink" Target="https://talan.bank.gov.ua/get-user-certificate/45CElQapL9ByGeBTuzTm" TargetMode="External"/><Relationship Id="rId1342" Type="http://schemas.openxmlformats.org/officeDocument/2006/relationships/hyperlink" Target="https://talan.bank.gov.ua/get-user-certificate/45CElki6JQPLebk8jnJx" TargetMode="External"/><Relationship Id="rId4498" Type="http://schemas.openxmlformats.org/officeDocument/2006/relationships/hyperlink" Target="https://talan.bank.gov.ua/get-user-certificate/45CElOFeCIYdCDO8gH_N" TargetMode="External"/><Relationship Id="rId1202" Type="http://schemas.openxmlformats.org/officeDocument/2006/relationships/hyperlink" Target="https://talan.bank.gov.ua/get-user-certificate/45CEl4_PG2Mk9LV1YO7L" TargetMode="External"/><Relationship Id="rId2600" Type="http://schemas.openxmlformats.org/officeDocument/2006/relationships/hyperlink" Target="https://talan.bank.gov.ua/get-user-certificate/45CElLahn5U-lEAeRT0U" TargetMode="External"/><Relationship Id="rId4358" Type="http://schemas.openxmlformats.org/officeDocument/2006/relationships/hyperlink" Target="https://talan.bank.gov.ua/get-user-certificate/45CElP7fpLcOG7q7j4Su" TargetMode="External"/><Relationship Id="rId3167" Type="http://schemas.openxmlformats.org/officeDocument/2006/relationships/hyperlink" Target="https://talan.bank.gov.ua/get-user-certificate/45CElqYDpVsSR7HQS8uq" TargetMode="External"/><Relationship Id="rId4565" Type="http://schemas.openxmlformats.org/officeDocument/2006/relationships/hyperlink" Target="https://talan.bank.gov.ua/get-user-certificate/45CElQFnWAro2YTSOY_I" TargetMode="External"/><Relationship Id="rId4772" Type="http://schemas.openxmlformats.org/officeDocument/2006/relationships/hyperlink" Target="https://talan.bank.gov.ua/get-user-certificate/45CElQJuNhmlA7kimVWL" TargetMode="External"/><Relationship Id="rId295" Type="http://schemas.openxmlformats.org/officeDocument/2006/relationships/hyperlink" Target="https://talan.bank.gov.ua/get-user-certificate/45CElPcF8HtLjfyyEdHZ" TargetMode="External"/><Relationship Id="rId3374" Type="http://schemas.openxmlformats.org/officeDocument/2006/relationships/hyperlink" Target="https://talan.bank.gov.ua/get-user-certificate/45CElOrokipsoGc8s8EA" TargetMode="External"/><Relationship Id="rId3581" Type="http://schemas.openxmlformats.org/officeDocument/2006/relationships/hyperlink" Target="https://talan.bank.gov.ua/get-user-certificate/45CEl30-PNcdnn2pl3v4" TargetMode="External"/><Relationship Id="rId4218" Type="http://schemas.openxmlformats.org/officeDocument/2006/relationships/hyperlink" Target="https://talan.bank.gov.ua/get-user-certificate/45CEljqf8asiaG6EY8lF" TargetMode="External"/><Relationship Id="rId4425" Type="http://schemas.openxmlformats.org/officeDocument/2006/relationships/hyperlink" Target="https://talan.bank.gov.ua/get-user-certificate/45CElYSvbD_FEJZ-4_f_" TargetMode="External"/><Relationship Id="rId4632" Type="http://schemas.openxmlformats.org/officeDocument/2006/relationships/hyperlink" Target="https://talan.bank.gov.ua/get-user-certificate/45CElf736NfxrtHvlHoU" TargetMode="External"/><Relationship Id="rId2183" Type="http://schemas.openxmlformats.org/officeDocument/2006/relationships/hyperlink" Target="https://talan.bank.gov.ua/get-user-certificate/45CElc_Aj6-tUBmbOEpp" TargetMode="External"/><Relationship Id="rId2390" Type="http://schemas.openxmlformats.org/officeDocument/2006/relationships/hyperlink" Target="https://talan.bank.gov.ua/get-user-certificate/45CElP3lNgGRxHw-eoqV" TargetMode="External"/><Relationship Id="rId3027" Type="http://schemas.openxmlformats.org/officeDocument/2006/relationships/hyperlink" Target="https://talan.bank.gov.ua/get-user-certificate/45CEl35ip-0tZLnQTseR" TargetMode="External"/><Relationship Id="rId3234" Type="http://schemas.openxmlformats.org/officeDocument/2006/relationships/hyperlink" Target="https://talan.bank.gov.ua/get-user-certificate/45CElhwn4owSxpOM0Rxk" TargetMode="External"/><Relationship Id="rId3441" Type="http://schemas.openxmlformats.org/officeDocument/2006/relationships/hyperlink" Target="https://talan.bank.gov.ua/get-user-certificate/45CEl8FAYfITjWOqb3Q3" TargetMode="External"/><Relationship Id="rId155" Type="http://schemas.openxmlformats.org/officeDocument/2006/relationships/hyperlink" Target="https://talan.bank.gov.ua/get-user-certificate/45CElVwaHj7L8u89gwkv" TargetMode="External"/><Relationship Id="rId362" Type="http://schemas.openxmlformats.org/officeDocument/2006/relationships/hyperlink" Target="https://talan.bank.gov.ua/get-user-certificate/45CElKpnMaEhVFRHaKtr" TargetMode="External"/><Relationship Id="rId2043" Type="http://schemas.openxmlformats.org/officeDocument/2006/relationships/hyperlink" Target="https://talan.bank.gov.ua/get-user-certificate/45CEls54Jo1I1ZlFt5_5" TargetMode="External"/><Relationship Id="rId2250" Type="http://schemas.openxmlformats.org/officeDocument/2006/relationships/hyperlink" Target="https://talan.bank.gov.ua/get-user-certificate/45CEl2bwdXULCfoH0oe-" TargetMode="External"/><Relationship Id="rId3301" Type="http://schemas.openxmlformats.org/officeDocument/2006/relationships/hyperlink" Target="https://talan.bank.gov.ua/get-user-certificate/45CElryO5e4m8t7J6RoN" TargetMode="External"/><Relationship Id="rId222" Type="http://schemas.openxmlformats.org/officeDocument/2006/relationships/hyperlink" Target="https://talan.bank.gov.ua/get-user-certificate/45CElKCrWZ9443vAOYBz" TargetMode="External"/><Relationship Id="rId2110" Type="http://schemas.openxmlformats.org/officeDocument/2006/relationships/hyperlink" Target="https://talan.bank.gov.ua/get-user-certificate/45CEldcrz7zzHoci4-NH" TargetMode="External"/><Relationship Id="rId4075" Type="http://schemas.openxmlformats.org/officeDocument/2006/relationships/hyperlink" Target="https://talan.bank.gov.ua/get-user-certificate/45CElxKN2Xfe9Exp1ugv" TargetMode="External"/><Relationship Id="rId4282" Type="http://schemas.openxmlformats.org/officeDocument/2006/relationships/hyperlink" Target="https://talan.bank.gov.ua/get-user-certificate/45CEl4DpUvgOJ7RM4ThJ" TargetMode="External"/><Relationship Id="rId1669" Type="http://schemas.openxmlformats.org/officeDocument/2006/relationships/hyperlink" Target="https://talan.bank.gov.ua/get-user-certificate/45CEleYkDHV8zFyVMvmN" TargetMode="External"/><Relationship Id="rId1876" Type="http://schemas.openxmlformats.org/officeDocument/2006/relationships/hyperlink" Target="https://talan.bank.gov.ua/get-user-certificate/45CElKb8N_5gMCPOPf6m" TargetMode="External"/><Relationship Id="rId2927" Type="http://schemas.openxmlformats.org/officeDocument/2006/relationships/hyperlink" Target="https://talan.bank.gov.ua/get-user-certificate/45CEl3UWZJvLaH87rslb" TargetMode="External"/><Relationship Id="rId3091" Type="http://schemas.openxmlformats.org/officeDocument/2006/relationships/hyperlink" Target="https://talan.bank.gov.ua/get-user-certificate/45CElaRY8oftPyZ3aiZm" TargetMode="External"/><Relationship Id="rId4142" Type="http://schemas.openxmlformats.org/officeDocument/2006/relationships/hyperlink" Target="https://talan.bank.gov.ua/get-user-certificate/45CElG7nHeY37U-8E826" TargetMode="External"/><Relationship Id="rId1529" Type="http://schemas.openxmlformats.org/officeDocument/2006/relationships/hyperlink" Target="https://talan.bank.gov.ua/get-user-certificate/45CElGZEAOsiVGTTcrBB" TargetMode="External"/><Relationship Id="rId1736" Type="http://schemas.openxmlformats.org/officeDocument/2006/relationships/hyperlink" Target="https://talan.bank.gov.ua/get-user-certificate/45CElMR1xgVGdaFWC38b" TargetMode="External"/><Relationship Id="rId1943" Type="http://schemas.openxmlformats.org/officeDocument/2006/relationships/hyperlink" Target="https://talan.bank.gov.ua/get-user-certificate/45CElfwEhvUgieskPZi_" TargetMode="External"/><Relationship Id="rId28" Type="http://schemas.openxmlformats.org/officeDocument/2006/relationships/hyperlink" Target="https://talan.bank.gov.ua/get-user-certificate/45CElXCmekRURJtXP8vA" TargetMode="External"/><Relationship Id="rId1803" Type="http://schemas.openxmlformats.org/officeDocument/2006/relationships/hyperlink" Target="https://talan.bank.gov.ua/get-user-certificate/45CElQEPfStvpwOPNqx9" TargetMode="External"/><Relationship Id="rId4002" Type="http://schemas.openxmlformats.org/officeDocument/2006/relationships/hyperlink" Target="https://talan.bank.gov.ua/get-user-certificate/45CEl2lgWVcunt8sV5Ne" TargetMode="External"/><Relationship Id="rId4959" Type="http://schemas.openxmlformats.org/officeDocument/2006/relationships/hyperlink" Target="https://talan.bank.gov.ua/get-user-certificate/45CEl1WSiJdT28Gdkwjo" TargetMode="External"/><Relationship Id="rId3768" Type="http://schemas.openxmlformats.org/officeDocument/2006/relationships/hyperlink" Target="https://talan.bank.gov.ua/get-user-certificate/45CEl44kVI79yCnFhUjo" TargetMode="External"/><Relationship Id="rId3975" Type="http://schemas.openxmlformats.org/officeDocument/2006/relationships/hyperlink" Target="https://talan.bank.gov.ua/get-user-certificate/45CElKN9DVp42EXCmUD0" TargetMode="External"/><Relationship Id="rId4819" Type="http://schemas.openxmlformats.org/officeDocument/2006/relationships/hyperlink" Target="https://talan.bank.gov.ua/get-user-certificate/45CElXm9QpNzCgcbMfhc" TargetMode="External"/><Relationship Id="rId689" Type="http://schemas.openxmlformats.org/officeDocument/2006/relationships/hyperlink" Target="https://talan.bank.gov.ua/get-user-certificate/45CElx4Tws2ft3ZqWRUj" TargetMode="External"/><Relationship Id="rId896" Type="http://schemas.openxmlformats.org/officeDocument/2006/relationships/hyperlink" Target="https://talan.bank.gov.ua/get-user-certificate/45CElHB_uvf8iAvMPvGQ" TargetMode="External"/><Relationship Id="rId2577" Type="http://schemas.openxmlformats.org/officeDocument/2006/relationships/hyperlink" Target="https://talan.bank.gov.ua/get-user-certificate/45CElI4061STL3LBRlts" TargetMode="External"/><Relationship Id="rId2784" Type="http://schemas.openxmlformats.org/officeDocument/2006/relationships/hyperlink" Target="https://talan.bank.gov.ua/get-user-certificate/45CElPRUaubjjM0G27Wt" TargetMode="External"/><Relationship Id="rId3628" Type="http://schemas.openxmlformats.org/officeDocument/2006/relationships/hyperlink" Target="https://talan.bank.gov.ua/get-user-certificate/45CEl44PbMoDljMLKpC_" TargetMode="External"/><Relationship Id="rId549" Type="http://schemas.openxmlformats.org/officeDocument/2006/relationships/hyperlink" Target="https://talan.bank.gov.ua/get-user-certificate/45CElpvYMPv63thjGtdh" TargetMode="External"/><Relationship Id="rId756" Type="http://schemas.openxmlformats.org/officeDocument/2006/relationships/hyperlink" Target="https://talan.bank.gov.ua/get-user-certificate/45CEl_8PxGV0joX14qW3" TargetMode="External"/><Relationship Id="rId1179" Type="http://schemas.openxmlformats.org/officeDocument/2006/relationships/hyperlink" Target="https://talan.bank.gov.ua/get-user-certificate/45CElYrKlOyc_Dm99iDX" TargetMode="External"/><Relationship Id="rId1386" Type="http://schemas.openxmlformats.org/officeDocument/2006/relationships/hyperlink" Target="https://talan.bank.gov.ua/get-user-certificate/45CEloRRpY-hZdhRZUvl" TargetMode="External"/><Relationship Id="rId1593" Type="http://schemas.openxmlformats.org/officeDocument/2006/relationships/hyperlink" Target="https://talan.bank.gov.ua/get-user-certificate/45CElUnAKPyJ0zYPPLKl" TargetMode="External"/><Relationship Id="rId2437" Type="http://schemas.openxmlformats.org/officeDocument/2006/relationships/hyperlink" Target="https://talan.bank.gov.ua/get-user-certificate/45CElSE4j_xBtgtUwn9g" TargetMode="External"/><Relationship Id="rId2991" Type="http://schemas.openxmlformats.org/officeDocument/2006/relationships/hyperlink" Target="https://talan.bank.gov.ua/get-user-certificate/45CElE9oRKg9ZhJu7doX" TargetMode="External"/><Relationship Id="rId3835" Type="http://schemas.openxmlformats.org/officeDocument/2006/relationships/hyperlink" Target="https://talan.bank.gov.ua/get-user-certificate/45CElBeG0tuxoNh5ogTr" TargetMode="External"/><Relationship Id="rId409" Type="http://schemas.openxmlformats.org/officeDocument/2006/relationships/hyperlink" Target="https://talan.bank.gov.ua/get-user-certificate/45CEld15to9FFjhi3FG_" TargetMode="External"/><Relationship Id="rId963" Type="http://schemas.openxmlformats.org/officeDocument/2006/relationships/hyperlink" Target="https://talan.bank.gov.ua/get-user-certificate/45CElQbkTx2IXebozNto" TargetMode="External"/><Relationship Id="rId1039" Type="http://schemas.openxmlformats.org/officeDocument/2006/relationships/hyperlink" Target="https://talan.bank.gov.ua/get-user-certificate/45CElrViItRjrY-Kduxe" TargetMode="External"/><Relationship Id="rId1246" Type="http://schemas.openxmlformats.org/officeDocument/2006/relationships/hyperlink" Target="https://talan.bank.gov.ua/get-user-certificate/45CElsDeARGFkYuRSr2w" TargetMode="External"/><Relationship Id="rId2644" Type="http://schemas.openxmlformats.org/officeDocument/2006/relationships/hyperlink" Target="https://talan.bank.gov.ua/get-user-certificate/45CElU2m3mueCND7kPaF" TargetMode="External"/><Relationship Id="rId2851" Type="http://schemas.openxmlformats.org/officeDocument/2006/relationships/hyperlink" Target="https://talan.bank.gov.ua/get-user-certificate/45CEl047oUqSATuIqEHA" TargetMode="External"/><Relationship Id="rId3902" Type="http://schemas.openxmlformats.org/officeDocument/2006/relationships/hyperlink" Target="https://talan.bank.gov.ua/get-user-certificate/45CElHGbPGEj4L5oox1i" TargetMode="External"/><Relationship Id="rId92" Type="http://schemas.openxmlformats.org/officeDocument/2006/relationships/hyperlink" Target="https://talan.bank.gov.ua/get-user-certificate/45CElr38AzEr6H2t-t91" TargetMode="External"/><Relationship Id="rId616" Type="http://schemas.openxmlformats.org/officeDocument/2006/relationships/hyperlink" Target="https://talan.bank.gov.ua/get-user-certificate/45CElozYf2YhSMqvdmDH" TargetMode="External"/><Relationship Id="rId823" Type="http://schemas.openxmlformats.org/officeDocument/2006/relationships/hyperlink" Target="https://talan.bank.gov.ua/get-user-certificate/45CElTJIeJnbWYPq9CEM" TargetMode="External"/><Relationship Id="rId1453" Type="http://schemas.openxmlformats.org/officeDocument/2006/relationships/hyperlink" Target="https://talan.bank.gov.ua/get-user-certificate/45CElQPo9XJq7TjVzq1g" TargetMode="External"/><Relationship Id="rId1660" Type="http://schemas.openxmlformats.org/officeDocument/2006/relationships/hyperlink" Target="https://talan.bank.gov.ua/get-user-certificate/45CEl8UJjYbgp-HNQ1wD" TargetMode="External"/><Relationship Id="rId2504" Type="http://schemas.openxmlformats.org/officeDocument/2006/relationships/hyperlink" Target="https://talan.bank.gov.ua/get-user-certificate/45CEleNOM8ta72X_AcZg" TargetMode="External"/><Relationship Id="rId2711" Type="http://schemas.openxmlformats.org/officeDocument/2006/relationships/hyperlink" Target="https://talan.bank.gov.ua/get-user-certificate/45CElTg7lKb6hA2u3mMM" TargetMode="External"/><Relationship Id="rId1106" Type="http://schemas.openxmlformats.org/officeDocument/2006/relationships/hyperlink" Target="https://talan.bank.gov.ua/get-user-certificate/45CEl_slp1UzlU7BYkif" TargetMode="External"/><Relationship Id="rId1313" Type="http://schemas.openxmlformats.org/officeDocument/2006/relationships/hyperlink" Target="https://talan.bank.gov.ua/get-user-certificate/45CElbHLWHyNWVF_XAeh" TargetMode="External"/><Relationship Id="rId1520" Type="http://schemas.openxmlformats.org/officeDocument/2006/relationships/hyperlink" Target="https://talan.bank.gov.ua/get-user-certificate/45CEl-uSdV494hGJfN2e" TargetMode="External"/><Relationship Id="rId4469" Type="http://schemas.openxmlformats.org/officeDocument/2006/relationships/hyperlink" Target="https://talan.bank.gov.ua/get-user-certificate/45CElSDourc-iXqkH_0N" TargetMode="External"/><Relationship Id="rId4676" Type="http://schemas.openxmlformats.org/officeDocument/2006/relationships/hyperlink" Target="https://talan.bank.gov.ua/get-user-certificate/45CElovuJCHWy3NLR772" TargetMode="External"/><Relationship Id="rId4883" Type="http://schemas.openxmlformats.org/officeDocument/2006/relationships/hyperlink" Target="https://talan.bank.gov.ua/get-user-certificate/45CElnuQ0dKrzuk9fV8x" TargetMode="External"/><Relationship Id="rId3278" Type="http://schemas.openxmlformats.org/officeDocument/2006/relationships/hyperlink" Target="https://talan.bank.gov.ua/get-user-certificate/45CElXdL1THkui2ib7VP" TargetMode="External"/><Relationship Id="rId3485" Type="http://schemas.openxmlformats.org/officeDocument/2006/relationships/hyperlink" Target="https://talan.bank.gov.ua/get-user-certificate/45CElDosaM2_GmJrn7W2" TargetMode="External"/><Relationship Id="rId3692" Type="http://schemas.openxmlformats.org/officeDocument/2006/relationships/hyperlink" Target="https://talan.bank.gov.ua/get-user-certificate/45CElCKFkkz-UCW6IiPZ" TargetMode="External"/><Relationship Id="rId4329" Type="http://schemas.openxmlformats.org/officeDocument/2006/relationships/hyperlink" Target="https://talan.bank.gov.ua/get-user-certificate/45CEl3b46QCWl80LvBBv" TargetMode="External"/><Relationship Id="rId4536" Type="http://schemas.openxmlformats.org/officeDocument/2006/relationships/hyperlink" Target="https://talan.bank.gov.ua/get-user-certificate/45CElMrM6kR9iJveJLjV" TargetMode="External"/><Relationship Id="rId4743" Type="http://schemas.openxmlformats.org/officeDocument/2006/relationships/hyperlink" Target="https://talan.bank.gov.ua/get-user-certificate/45CElE9MW1r7K1X5siU2" TargetMode="External"/><Relationship Id="rId4950" Type="http://schemas.openxmlformats.org/officeDocument/2006/relationships/hyperlink" Target="https://talan.bank.gov.ua/get-user-certificate/45CElriz8Y_6CW50X8kD" TargetMode="External"/><Relationship Id="rId199" Type="http://schemas.openxmlformats.org/officeDocument/2006/relationships/hyperlink" Target="https://talan.bank.gov.ua/get-user-certificate/45CElLE4THK4rWLLnXEv" TargetMode="External"/><Relationship Id="rId2087" Type="http://schemas.openxmlformats.org/officeDocument/2006/relationships/hyperlink" Target="https://talan.bank.gov.ua/get-user-certificate/45CElgcCpx0OthJfvHtS" TargetMode="External"/><Relationship Id="rId2294" Type="http://schemas.openxmlformats.org/officeDocument/2006/relationships/hyperlink" Target="https://talan.bank.gov.ua/get-user-certificate/45CElmUg_Z6nC-HvHjNI" TargetMode="External"/><Relationship Id="rId3138" Type="http://schemas.openxmlformats.org/officeDocument/2006/relationships/hyperlink" Target="https://talan.bank.gov.ua/get-user-certificate/45CElsvZ498kOSyi2-_k" TargetMode="External"/><Relationship Id="rId3345" Type="http://schemas.openxmlformats.org/officeDocument/2006/relationships/hyperlink" Target="https://talan.bank.gov.ua/get-user-certificate/45CEl7HukIh-GRNpshuC" TargetMode="External"/><Relationship Id="rId3552" Type="http://schemas.openxmlformats.org/officeDocument/2006/relationships/hyperlink" Target="https://talan.bank.gov.ua/get-user-certificate/45CEl8nKBHO4tDUWctRQ" TargetMode="External"/><Relationship Id="rId4603" Type="http://schemas.openxmlformats.org/officeDocument/2006/relationships/hyperlink" Target="https://talan.bank.gov.ua/get-user-certificate/45CEl86zneAWfxsFPUbV" TargetMode="External"/><Relationship Id="rId266" Type="http://schemas.openxmlformats.org/officeDocument/2006/relationships/hyperlink" Target="https://talan.bank.gov.ua/get-user-certificate/45CEltFpVZiZXs2gq_zw" TargetMode="External"/><Relationship Id="rId473" Type="http://schemas.openxmlformats.org/officeDocument/2006/relationships/hyperlink" Target="https://talan.bank.gov.ua/get-user-certificate/45CElu1zdZ-jlbdbI7oS" TargetMode="External"/><Relationship Id="rId680" Type="http://schemas.openxmlformats.org/officeDocument/2006/relationships/hyperlink" Target="https://talan.bank.gov.ua/get-user-certificate/45CEl9MhHzJX6Q-Tc86v" TargetMode="External"/><Relationship Id="rId2154" Type="http://schemas.openxmlformats.org/officeDocument/2006/relationships/hyperlink" Target="https://talan.bank.gov.ua/get-user-certificate/45CElXFQK15aoNK8Z9kS" TargetMode="External"/><Relationship Id="rId2361" Type="http://schemas.openxmlformats.org/officeDocument/2006/relationships/hyperlink" Target="https://talan.bank.gov.ua/get-user-certificate/45CElfzZgLemmNBsXPmE" TargetMode="External"/><Relationship Id="rId3205" Type="http://schemas.openxmlformats.org/officeDocument/2006/relationships/hyperlink" Target="https://talan.bank.gov.ua/get-user-certificate/45CElkeqO5TM6E0xoZWC" TargetMode="External"/><Relationship Id="rId3412" Type="http://schemas.openxmlformats.org/officeDocument/2006/relationships/hyperlink" Target="https://talan.bank.gov.ua/get-user-certificate/45CElYZSaRi_KNQ9Y-V7" TargetMode="External"/><Relationship Id="rId4810" Type="http://schemas.openxmlformats.org/officeDocument/2006/relationships/hyperlink" Target="https://talan.bank.gov.ua/get-user-certificate/45CEl_z5AaqBCgqXzQ4X" TargetMode="External"/><Relationship Id="rId126" Type="http://schemas.openxmlformats.org/officeDocument/2006/relationships/hyperlink" Target="https://talan.bank.gov.ua/get-user-certificate/45CEl9z0avG7R7m9xfYv" TargetMode="External"/><Relationship Id="rId333" Type="http://schemas.openxmlformats.org/officeDocument/2006/relationships/hyperlink" Target="https://talan.bank.gov.ua/get-user-certificate/45CEl-BpCGUs82uP0lIx" TargetMode="External"/><Relationship Id="rId540" Type="http://schemas.openxmlformats.org/officeDocument/2006/relationships/hyperlink" Target="https://talan.bank.gov.ua/get-user-certificate/45CElSy_hkPtGPxTF-Lv" TargetMode="External"/><Relationship Id="rId1170" Type="http://schemas.openxmlformats.org/officeDocument/2006/relationships/hyperlink" Target="https://talan.bank.gov.ua/get-user-certificate/45CEl47F-Cc_mshQpEL6" TargetMode="External"/><Relationship Id="rId2014" Type="http://schemas.openxmlformats.org/officeDocument/2006/relationships/hyperlink" Target="https://talan.bank.gov.ua/get-user-certificate/45CElYh5bUQ29DGL_t2l" TargetMode="External"/><Relationship Id="rId2221" Type="http://schemas.openxmlformats.org/officeDocument/2006/relationships/hyperlink" Target="https://talan.bank.gov.ua/get-user-certificate/45CElHEI3Vzrux1jtsyP" TargetMode="External"/><Relationship Id="rId1030" Type="http://schemas.openxmlformats.org/officeDocument/2006/relationships/hyperlink" Target="https://talan.bank.gov.ua/get-user-certificate/45CElU6QWRwRtMcm_B0g" TargetMode="External"/><Relationship Id="rId4186" Type="http://schemas.openxmlformats.org/officeDocument/2006/relationships/hyperlink" Target="https://talan.bank.gov.ua/get-user-certificate/45CElbdxqClD2U7tPpEy" TargetMode="External"/><Relationship Id="rId400" Type="http://schemas.openxmlformats.org/officeDocument/2006/relationships/hyperlink" Target="https://talan.bank.gov.ua/get-user-certificate/45CElyg77CC76PY71Byx" TargetMode="External"/><Relationship Id="rId1987" Type="http://schemas.openxmlformats.org/officeDocument/2006/relationships/hyperlink" Target="https://talan.bank.gov.ua/get-user-certificate/45CElAjsyqtB2-HzCiab" TargetMode="External"/><Relationship Id="rId4393" Type="http://schemas.openxmlformats.org/officeDocument/2006/relationships/hyperlink" Target="https://talan.bank.gov.ua/get-user-certificate/45CEla4ZcHdZotkiAz9W" TargetMode="External"/><Relationship Id="rId1847" Type="http://schemas.openxmlformats.org/officeDocument/2006/relationships/hyperlink" Target="https://talan.bank.gov.ua/get-user-certificate/45CEl5MBLD3CKqnSu6Nf" TargetMode="External"/><Relationship Id="rId4046" Type="http://schemas.openxmlformats.org/officeDocument/2006/relationships/hyperlink" Target="https://talan.bank.gov.ua/get-user-certificate/45CEl9ReIRGfgV35_zc_" TargetMode="External"/><Relationship Id="rId4253" Type="http://schemas.openxmlformats.org/officeDocument/2006/relationships/hyperlink" Target="https://talan.bank.gov.ua/get-user-certificate/45CElyWwZP3q0yzobr0n" TargetMode="External"/><Relationship Id="rId4460" Type="http://schemas.openxmlformats.org/officeDocument/2006/relationships/hyperlink" Target="https://talan.bank.gov.ua/get-user-certificate/45CElS3zi0Ayys8Fgqpi" TargetMode="External"/><Relationship Id="rId1707" Type="http://schemas.openxmlformats.org/officeDocument/2006/relationships/hyperlink" Target="https://talan.bank.gov.ua/get-user-certificate/45CElHlMNoN754gP_ULc" TargetMode="External"/><Relationship Id="rId3062" Type="http://schemas.openxmlformats.org/officeDocument/2006/relationships/hyperlink" Target="https://talan.bank.gov.ua/get-user-certificate/45CElcHn2qXiy_AqdjLh" TargetMode="External"/><Relationship Id="rId4113" Type="http://schemas.openxmlformats.org/officeDocument/2006/relationships/hyperlink" Target="https://talan.bank.gov.ua/get-user-certificate/45CElZrA4n7rRnl0ySE8" TargetMode="External"/><Relationship Id="rId4320" Type="http://schemas.openxmlformats.org/officeDocument/2006/relationships/hyperlink" Target="https://talan.bank.gov.ua/get-user-certificate/45CElm7M8Ftq5O65UJOQ" TargetMode="External"/><Relationship Id="rId190" Type="http://schemas.openxmlformats.org/officeDocument/2006/relationships/hyperlink" Target="https://talan.bank.gov.ua/get-user-certificate/45CEltO66y6Q3e_zPzKy" TargetMode="External"/><Relationship Id="rId1914" Type="http://schemas.openxmlformats.org/officeDocument/2006/relationships/hyperlink" Target="https://talan.bank.gov.ua/get-user-certificate/45CEljvzl-6Y4dxDd8VR" TargetMode="External"/><Relationship Id="rId3879" Type="http://schemas.openxmlformats.org/officeDocument/2006/relationships/hyperlink" Target="https://talan.bank.gov.ua/get-user-certificate/45CElkUqvJT4SIUqAd-H" TargetMode="External"/><Relationship Id="rId2688" Type="http://schemas.openxmlformats.org/officeDocument/2006/relationships/hyperlink" Target="https://talan.bank.gov.ua/get-user-certificate/45CEl4hABi81QTuDcstB" TargetMode="External"/><Relationship Id="rId2895" Type="http://schemas.openxmlformats.org/officeDocument/2006/relationships/hyperlink" Target="https://talan.bank.gov.ua/get-user-certificate/45CElQ_Jq5fd_lM9ICQD" TargetMode="External"/><Relationship Id="rId3739" Type="http://schemas.openxmlformats.org/officeDocument/2006/relationships/hyperlink" Target="https://talan.bank.gov.ua/get-user-certificate/45CElm_a_m-ozoELKEhX" TargetMode="External"/><Relationship Id="rId3946" Type="http://schemas.openxmlformats.org/officeDocument/2006/relationships/hyperlink" Target="https://talan.bank.gov.ua/get-user-certificate/45CElRNMeD3qRMi_Mvks" TargetMode="External"/><Relationship Id="rId867" Type="http://schemas.openxmlformats.org/officeDocument/2006/relationships/hyperlink" Target="https://talan.bank.gov.ua/get-user-certificate/45CElXzvOyso7zoTF78i" TargetMode="External"/><Relationship Id="rId1497" Type="http://schemas.openxmlformats.org/officeDocument/2006/relationships/hyperlink" Target="https://talan.bank.gov.ua/get-user-certificate/45CElnk3TW8iHfOzc_pT" TargetMode="External"/><Relationship Id="rId2548" Type="http://schemas.openxmlformats.org/officeDocument/2006/relationships/hyperlink" Target="https://talan.bank.gov.ua/get-user-certificate/45CElQx2GB0HP-_43TyG" TargetMode="External"/><Relationship Id="rId2755" Type="http://schemas.openxmlformats.org/officeDocument/2006/relationships/hyperlink" Target="https://talan.bank.gov.ua/get-user-certificate/45CEl6OOR71SJqINEdvN" TargetMode="External"/><Relationship Id="rId2962" Type="http://schemas.openxmlformats.org/officeDocument/2006/relationships/hyperlink" Target="https://talan.bank.gov.ua/get-user-certificate/45CEldBv1oqO-D9Iq1Jf" TargetMode="External"/><Relationship Id="rId3806" Type="http://schemas.openxmlformats.org/officeDocument/2006/relationships/hyperlink" Target="https://talan.bank.gov.ua/get-user-certificate/45CEl95_Vg9GeXMh60Sf" TargetMode="External"/><Relationship Id="rId727" Type="http://schemas.openxmlformats.org/officeDocument/2006/relationships/hyperlink" Target="https://talan.bank.gov.ua/get-user-certificate/45CElVvx6VawN_wSBd6z" TargetMode="External"/><Relationship Id="rId934" Type="http://schemas.openxmlformats.org/officeDocument/2006/relationships/hyperlink" Target="https://talan.bank.gov.ua/get-user-certificate/45CEldTKtaYsbPBM9Q3p" TargetMode="External"/><Relationship Id="rId1357" Type="http://schemas.openxmlformats.org/officeDocument/2006/relationships/hyperlink" Target="https://talan.bank.gov.ua/get-user-certificate/45CEl8tZiWTsAah0dO07" TargetMode="External"/><Relationship Id="rId1564" Type="http://schemas.openxmlformats.org/officeDocument/2006/relationships/hyperlink" Target="https://talan.bank.gov.ua/get-user-certificate/45CEl3IyrHhLIRlcgpcA" TargetMode="External"/><Relationship Id="rId1771" Type="http://schemas.openxmlformats.org/officeDocument/2006/relationships/hyperlink" Target="https://talan.bank.gov.ua/get-user-certificate/45CElLH08LL0IkS4r9GD" TargetMode="External"/><Relationship Id="rId2408" Type="http://schemas.openxmlformats.org/officeDocument/2006/relationships/hyperlink" Target="https://talan.bank.gov.ua/get-user-certificate/45CElCoXUFq1P75_8YCJ" TargetMode="External"/><Relationship Id="rId2615" Type="http://schemas.openxmlformats.org/officeDocument/2006/relationships/hyperlink" Target="https://talan.bank.gov.ua/get-user-certificate/45CElZw4W0Zy3lYbYgm-" TargetMode="External"/><Relationship Id="rId2822" Type="http://schemas.openxmlformats.org/officeDocument/2006/relationships/hyperlink" Target="https://talan.bank.gov.ua/get-user-certificate/45CEliZNlGwyCjGfGBaD" TargetMode="External"/><Relationship Id="rId5021" Type="http://schemas.openxmlformats.org/officeDocument/2006/relationships/hyperlink" Target="https://talan.bank.gov.ua/get-user-certificate/ki8TnSDL1zC1MBQWw4S-" TargetMode="External"/><Relationship Id="rId63" Type="http://schemas.openxmlformats.org/officeDocument/2006/relationships/hyperlink" Target="https://talan.bank.gov.ua/get-user-certificate/45CElepR9_0-gJ6m0jC3" TargetMode="External"/><Relationship Id="rId1217" Type="http://schemas.openxmlformats.org/officeDocument/2006/relationships/hyperlink" Target="https://talan.bank.gov.ua/get-user-certificate/45CElxmTcxBXi7Qiypj9" TargetMode="External"/><Relationship Id="rId1424" Type="http://schemas.openxmlformats.org/officeDocument/2006/relationships/hyperlink" Target="https://talan.bank.gov.ua/get-user-certificate/45CEl5GZZ9HpxCzDq9XP" TargetMode="External"/><Relationship Id="rId1631" Type="http://schemas.openxmlformats.org/officeDocument/2006/relationships/hyperlink" Target="https://talan.bank.gov.ua/get-user-certificate/45CElWfOI0m2HRHxMGou" TargetMode="External"/><Relationship Id="rId4787" Type="http://schemas.openxmlformats.org/officeDocument/2006/relationships/hyperlink" Target="https://talan.bank.gov.ua/get-user-certificate/45CElHb_FfWL4XasZHY9" TargetMode="External"/><Relationship Id="rId4994" Type="http://schemas.openxmlformats.org/officeDocument/2006/relationships/hyperlink" Target="https://talan.bank.gov.ua/get-user-certificate/ki8TnI8CuydJQpG52msu" TargetMode="External"/><Relationship Id="rId3389" Type="http://schemas.openxmlformats.org/officeDocument/2006/relationships/hyperlink" Target="https://talan.bank.gov.ua/get-user-certificate/45CEljweWXvnJ12_m_iA" TargetMode="External"/><Relationship Id="rId3596" Type="http://schemas.openxmlformats.org/officeDocument/2006/relationships/hyperlink" Target="https://talan.bank.gov.ua/get-user-certificate/45CElKkZTeQ0eYRizKNJ" TargetMode="External"/><Relationship Id="rId4647" Type="http://schemas.openxmlformats.org/officeDocument/2006/relationships/hyperlink" Target="https://talan.bank.gov.ua/get-user-certificate/45CElxnrmp81cxQ5WUOk" TargetMode="External"/><Relationship Id="rId2198" Type="http://schemas.openxmlformats.org/officeDocument/2006/relationships/hyperlink" Target="https://talan.bank.gov.ua/get-user-certificate/45CEl3jo_x-0k8UHPrPf" TargetMode="External"/><Relationship Id="rId3249" Type="http://schemas.openxmlformats.org/officeDocument/2006/relationships/hyperlink" Target="https://talan.bank.gov.ua/get-user-certificate/45CElaVHHTowuDXeL0Tp" TargetMode="External"/><Relationship Id="rId3456" Type="http://schemas.openxmlformats.org/officeDocument/2006/relationships/hyperlink" Target="https://talan.bank.gov.ua/get-user-certificate/45CEljd3SdqqowN0n-CT" TargetMode="External"/><Relationship Id="rId4854" Type="http://schemas.openxmlformats.org/officeDocument/2006/relationships/hyperlink" Target="https://talan.bank.gov.ua/get-user-certificate/45CElvf9VF387F_jWitQ" TargetMode="External"/><Relationship Id="rId377" Type="http://schemas.openxmlformats.org/officeDocument/2006/relationships/hyperlink" Target="https://talan.bank.gov.ua/get-user-certificate/45CEle4AhHReQ69Zb488" TargetMode="External"/><Relationship Id="rId584" Type="http://schemas.openxmlformats.org/officeDocument/2006/relationships/hyperlink" Target="https://talan.bank.gov.ua/get-user-certificate/45CEl3dJS56coHykTkGc" TargetMode="External"/><Relationship Id="rId2058" Type="http://schemas.openxmlformats.org/officeDocument/2006/relationships/hyperlink" Target="https://talan.bank.gov.ua/get-user-certificate/45CElIGAaClZ2Fc7oJwA" TargetMode="External"/><Relationship Id="rId2265" Type="http://schemas.openxmlformats.org/officeDocument/2006/relationships/hyperlink" Target="https://talan.bank.gov.ua/get-user-certificate/45CEl8eiyP3gwzFldg_P" TargetMode="External"/><Relationship Id="rId3109" Type="http://schemas.openxmlformats.org/officeDocument/2006/relationships/hyperlink" Target="https://talan.bank.gov.ua/get-user-certificate/45CEly-PNS8HUkw5z3-q" TargetMode="External"/><Relationship Id="rId3663" Type="http://schemas.openxmlformats.org/officeDocument/2006/relationships/hyperlink" Target="https://talan.bank.gov.ua/get-user-certificate/45CElbFHsfP0vt6xjzaz" TargetMode="External"/><Relationship Id="rId3870" Type="http://schemas.openxmlformats.org/officeDocument/2006/relationships/hyperlink" Target="https://talan.bank.gov.ua/get-user-certificate/45CElAisepR1On4Z8p4_" TargetMode="External"/><Relationship Id="rId4507" Type="http://schemas.openxmlformats.org/officeDocument/2006/relationships/hyperlink" Target="https://talan.bank.gov.ua/get-user-certificate/45CElV3MugFYfn81dfJn" TargetMode="External"/><Relationship Id="rId4714" Type="http://schemas.openxmlformats.org/officeDocument/2006/relationships/hyperlink" Target="https://talan.bank.gov.ua/get-user-certificate/45CElqcg-32Q5tfV_3gY" TargetMode="External"/><Relationship Id="rId4921" Type="http://schemas.openxmlformats.org/officeDocument/2006/relationships/hyperlink" Target="https://talan.bank.gov.ua/get-user-certificate/45CEl5yoHgFYem1zB5nu" TargetMode="External"/><Relationship Id="rId237" Type="http://schemas.openxmlformats.org/officeDocument/2006/relationships/hyperlink" Target="https://talan.bank.gov.ua/get-user-certificate/45CEl9MITghpTS1ig6Gr" TargetMode="External"/><Relationship Id="rId791" Type="http://schemas.openxmlformats.org/officeDocument/2006/relationships/hyperlink" Target="https://talan.bank.gov.ua/get-user-certificate/45CEla9DP660ujcksA92" TargetMode="External"/><Relationship Id="rId1074" Type="http://schemas.openxmlformats.org/officeDocument/2006/relationships/hyperlink" Target="https://talan.bank.gov.ua/get-user-certificate/45CElRaQg0td1h9mD-Q1" TargetMode="External"/><Relationship Id="rId2472" Type="http://schemas.openxmlformats.org/officeDocument/2006/relationships/hyperlink" Target="https://talan.bank.gov.ua/get-user-certificate/45CElrRmKo-bmYsh4hCU" TargetMode="External"/><Relationship Id="rId3316" Type="http://schemas.openxmlformats.org/officeDocument/2006/relationships/hyperlink" Target="https://talan.bank.gov.ua/get-user-certificate/45CEl4sLOaM2itpkDVcK" TargetMode="External"/><Relationship Id="rId3523" Type="http://schemas.openxmlformats.org/officeDocument/2006/relationships/hyperlink" Target="https://talan.bank.gov.ua/get-user-certificate/45CElcKcaGCb7k5_BaSg" TargetMode="External"/><Relationship Id="rId3730" Type="http://schemas.openxmlformats.org/officeDocument/2006/relationships/hyperlink" Target="https://talan.bank.gov.ua/get-user-certificate/45CElmLxDU0rL2YPQZ1N" TargetMode="External"/><Relationship Id="rId444" Type="http://schemas.openxmlformats.org/officeDocument/2006/relationships/hyperlink" Target="https://talan.bank.gov.ua/get-user-certificate/45CEl5rDIxltFHLJUqK2" TargetMode="External"/><Relationship Id="rId651" Type="http://schemas.openxmlformats.org/officeDocument/2006/relationships/hyperlink" Target="https://talan.bank.gov.ua/get-user-certificate/45CElKmTTwTf6gLS10Dh" TargetMode="External"/><Relationship Id="rId1281" Type="http://schemas.openxmlformats.org/officeDocument/2006/relationships/hyperlink" Target="https://talan.bank.gov.ua/get-user-certificate/45CEl1TBN0Pmj0MmsGwP" TargetMode="External"/><Relationship Id="rId2125" Type="http://schemas.openxmlformats.org/officeDocument/2006/relationships/hyperlink" Target="https://talan.bank.gov.ua/get-user-certificate/45CElOHpLvvo1J_nRvle" TargetMode="External"/><Relationship Id="rId2332" Type="http://schemas.openxmlformats.org/officeDocument/2006/relationships/hyperlink" Target="https://talan.bank.gov.ua/get-user-certificate/45CEl24bHutkOKsUw1s3" TargetMode="External"/><Relationship Id="rId304" Type="http://schemas.openxmlformats.org/officeDocument/2006/relationships/hyperlink" Target="https://talan.bank.gov.ua/get-user-certificate/45CEl0tZzJrmoyLRFExy" TargetMode="External"/><Relationship Id="rId511" Type="http://schemas.openxmlformats.org/officeDocument/2006/relationships/hyperlink" Target="https://talan.bank.gov.ua/get-user-certificate/45CElA74RdypLQFfbtmW" TargetMode="External"/><Relationship Id="rId1141" Type="http://schemas.openxmlformats.org/officeDocument/2006/relationships/hyperlink" Target="https://talan.bank.gov.ua/get-user-certificate/45CElW58tGoj7QxnGnpH" TargetMode="External"/><Relationship Id="rId4297" Type="http://schemas.openxmlformats.org/officeDocument/2006/relationships/hyperlink" Target="https://talan.bank.gov.ua/get-user-certificate/45CEllT-frOK6J3NoKFp" TargetMode="External"/><Relationship Id="rId1001" Type="http://schemas.openxmlformats.org/officeDocument/2006/relationships/hyperlink" Target="https://talan.bank.gov.ua/get-user-certificate/45CElwTiCiOOr2URtcvq" TargetMode="External"/><Relationship Id="rId4157" Type="http://schemas.openxmlformats.org/officeDocument/2006/relationships/hyperlink" Target="https://talan.bank.gov.ua/get-user-certificate/45CElNrAFunpdgkRHbOr" TargetMode="External"/><Relationship Id="rId4364" Type="http://schemas.openxmlformats.org/officeDocument/2006/relationships/hyperlink" Target="https://talan.bank.gov.ua/get-user-certificate/45CElkPjBgB2nkUcGqp0" TargetMode="External"/><Relationship Id="rId4571" Type="http://schemas.openxmlformats.org/officeDocument/2006/relationships/hyperlink" Target="https://talan.bank.gov.ua/get-user-certificate/45CElTdVehbqK4f_Z3Wc" TargetMode="External"/><Relationship Id="rId1958" Type="http://schemas.openxmlformats.org/officeDocument/2006/relationships/hyperlink" Target="https://talan.bank.gov.ua/get-user-certificate/45CElMBGVvxnmZg0V1gL" TargetMode="External"/><Relationship Id="rId3173" Type="http://schemas.openxmlformats.org/officeDocument/2006/relationships/hyperlink" Target="https://talan.bank.gov.ua/get-user-certificate/45CElKxttIB9At8s3I7l" TargetMode="External"/><Relationship Id="rId3380" Type="http://schemas.openxmlformats.org/officeDocument/2006/relationships/hyperlink" Target="https://talan.bank.gov.ua/get-user-certificate/45CEl91fKbw8hRu1e1zy" TargetMode="External"/><Relationship Id="rId4017" Type="http://schemas.openxmlformats.org/officeDocument/2006/relationships/hyperlink" Target="https://talan.bank.gov.ua/get-user-certificate/45CEl_j8EDjgV1xk653s" TargetMode="External"/><Relationship Id="rId4224" Type="http://schemas.openxmlformats.org/officeDocument/2006/relationships/hyperlink" Target="https://talan.bank.gov.ua/get-user-certificate/45CElA7G6oORpnuBlmAK" TargetMode="External"/><Relationship Id="rId4431" Type="http://schemas.openxmlformats.org/officeDocument/2006/relationships/hyperlink" Target="https://talan.bank.gov.ua/get-user-certificate/45CElVWwEi3e-a1WGHlV" TargetMode="External"/><Relationship Id="rId1818" Type="http://schemas.openxmlformats.org/officeDocument/2006/relationships/hyperlink" Target="https://talan.bank.gov.ua/get-user-certificate/45CElp1xNJBblia3prsy" TargetMode="External"/><Relationship Id="rId3033" Type="http://schemas.openxmlformats.org/officeDocument/2006/relationships/hyperlink" Target="https://talan.bank.gov.ua/get-user-certificate/45CElOvEiX7qXRLxw4zz" TargetMode="External"/><Relationship Id="rId3240" Type="http://schemas.openxmlformats.org/officeDocument/2006/relationships/hyperlink" Target="https://talan.bank.gov.ua/get-user-certificate/45CEl8oslRneFcHMNSbw" TargetMode="External"/><Relationship Id="rId161" Type="http://schemas.openxmlformats.org/officeDocument/2006/relationships/hyperlink" Target="https://talan.bank.gov.ua/get-user-certificate/45CElYAhwp2iRQkGYC0r" TargetMode="External"/><Relationship Id="rId2799" Type="http://schemas.openxmlformats.org/officeDocument/2006/relationships/hyperlink" Target="https://talan.bank.gov.ua/get-user-certificate/45CElZcB16f1_SzLi2WR" TargetMode="External"/><Relationship Id="rId3100" Type="http://schemas.openxmlformats.org/officeDocument/2006/relationships/hyperlink" Target="https://talan.bank.gov.ua/get-user-certificate/45CEl92cvDEX_ZKgoqmp" TargetMode="External"/><Relationship Id="rId978" Type="http://schemas.openxmlformats.org/officeDocument/2006/relationships/hyperlink" Target="https://talan.bank.gov.ua/get-user-certificate/45CElfEEEWcqzvw_M2vd" TargetMode="External"/><Relationship Id="rId2659" Type="http://schemas.openxmlformats.org/officeDocument/2006/relationships/hyperlink" Target="https://talan.bank.gov.ua/get-user-certificate/45CElLTKGPvr6q7MwScc" TargetMode="External"/><Relationship Id="rId2866" Type="http://schemas.openxmlformats.org/officeDocument/2006/relationships/hyperlink" Target="https://talan.bank.gov.ua/get-user-certificate/45CEl0LnYLnASh1vHgyM" TargetMode="External"/><Relationship Id="rId3917" Type="http://schemas.openxmlformats.org/officeDocument/2006/relationships/hyperlink" Target="https://talan.bank.gov.ua/get-user-certificate/45CElBJ1PIeLlwFROHb-" TargetMode="External"/><Relationship Id="rId838" Type="http://schemas.openxmlformats.org/officeDocument/2006/relationships/hyperlink" Target="https://talan.bank.gov.ua/get-user-certificate/45CElEOAY2BjZ8LIo63i" TargetMode="External"/><Relationship Id="rId1468" Type="http://schemas.openxmlformats.org/officeDocument/2006/relationships/hyperlink" Target="https://talan.bank.gov.ua/get-user-certificate/45CElxtt3qeXyg9k6mNm" TargetMode="External"/><Relationship Id="rId1675" Type="http://schemas.openxmlformats.org/officeDocument/2006/relationships/hyperlink" Target="https://talan.bank.gov.ua/get-user-certificate/45CEllxbI8iRa2-dA0HO" TargetMode="External"/><Relationship Id="rId1882" Type="http://schemas.openxmlformats.org/officeDocument/2006/relationships/hyperlink" Target="https://talan.bank.gov.ua/get-user-certificate/45CEl5dB4ptdw1uvfmsC" TargetMode="External"/><Relationship Id="rId2519" Type="http://schemas.openxmlformats.org/officeDocument/2006/relationships/hyperlink" Target="https://talan.bank.gov.ua/get-user-certificate/45CElwhxQoGe_5o2Vil_" TargetMode="External"/><Relationship Id="rId2726" Type="http://schemas.openxmlformats.org/officeDocument/2006/relationships/hyperlink" Target="https://talan.bank.gov.ua/get-user-certificate/45CEluRzA4nlTE-RB7R9" TargetMode="External"/><Relationship Id="rId4081" Type="http://schemas.openxmlformats.org/officeDocument/2006/relationships/hyperlink" Target="https://talan.bank.gov.ua/get-user-certificate/45CElqO2-ve9-kDkJa74" TargetMode="External"/><Relationship Id="rId1328" Type="http://schemas.openxmlformats.org/officeDocument/2006/relationships/hyperlink" Target="https://talan.bank.gov.ua/get-user-certificate/45CElvaeHuwvsIpZeQuU" TargetMode="External"/><Relationship Id="rId1535" Type="http://schemas.openxmlformats.org/officeDocument/2006/relationships/hyperlink" Target="https://talan.bank.gov.ua/get-user-certificate/45CElgRSVFNsLQ87ozAx" TargetMode="External"/><Relationship Id="rId2933" Type="http://schemas.openxmlformats.org/officeDocument/2006/relationships/hyperlink" Target="https://talan.bank.gov.ua/get-user-certificate/45CEluSSnSH3kEikyvzn" TargetMode="External"/><Relationship Id="rId905" Type="http://schemas.openxmlformats.org/officeDocument/2006/relationships/hyperlink" Target="https://talan.bank.gov.ua/get-user-certificate/45CElIevUr3PZ2-B2st6" TargetMode="External"/><Relationship Id="rId1742" Type="http://schemas.openxmlformats.org/officeDocument/2006/relationships/hyperlink" Target="https://talan.bank.gov.ua/get-user-certificate/45CElVwJQS4zC-DA5AWA" TargetMode="External"/><Relationship Id="rId4898" Type="http://schemas.openxmlformats.org/officeDocument/2006/relationships/hyperlink" Target="https://talan.bank.gov.ua/get-user-certificate/45CElMqXlHtibzUeY_08" TargetMode="External"/><Relationship Id="rId34" Type="http://schemas.openxmlformats.org/officeDocument/2006/relationships/hyperlink" Target="https://talan.bank.gov.ua/get-user-certificate/45CEln1n7j_2Kybs-c3X" TargetMode="External"/><Relationship Id="rId1602" Type="http://schemas.openxmlformats.org/officeDocument/2006/relationships/hyperlink" Target="https://talan.bank.gov.ua/get-user-certificate/45CEluF9eBDHl4ExVNQ1" TargetMode="External"/><Relationship Id="rId4758" Type="http://schemas.openxmlformats.org/officeDocument/2006/relationships/hyperlink" Target="https://talan.bank.gov.ua/get-user-certificate/45CEliVqxAr77KF-z1aR" TargetMode="External"/><Relationship Id="rId4965" Type="http://schemas.openxmlformats.org/officeDocument/2006/relationships/hyperlink" Target="https://talan.bank.gov.ua/get-user-certificate/45CElRCXXkb_mWHBfXfv" TargetMode="External"/><Relationship Id="rId3567" Type="http://schemas.openxmlformats.org/officeDocument/2006/relationships/hyperlink" Target="https://talan.bank.gov.ua/get-user-certificate/45CElJjrEizXXhoonR5S" TargetMode="External"/><Relationship Id="rId3774" Type="http://schemas.openxmlformats.org/officeDocument/2006/relationships/hyperlink" Target="https://talan.bank.gov.ua/get-user-certificate/45CElFXKxWMZ6BsBEYX9" TargetMode="External"/><Relationship Id="rId3981" Type="http://schemas.openxmlformats.org/officeDocument/2006/relationships/hyperlink" Target="https://talan.bank.gov.ua/get-user-certificate/45CElBiNrYnZQYR_7d1o" TargetMode="External"/><Relationship Id="rId4618" Type="http://schemas.openxmlformats.org/officeDocument/2006/relationships/hyperlink" Target="https://talan.bank.gov.ua/get-user-certificate/45CElTWQxsNr1idF6xCE" TargetMode="External"/><Relationship Id="rId4825" Type="http://schemas.openxmlformats.org/officeDocument/2006/relationships/hyperlink" Target="https://talan.bank.gov.ua/get-user-certificate/45CEl6sSRm1IvrwDYnlS" TargetMode="External"/><Relationship Id="rId488" Type="http://schemas.openxmlformats.org/officeDocument/2006/relationships/hyperlink" Target="https://talan.bank.gov.ua/get-user-certificate/45CElKdSeWz79qz9d-V5" TargetMode="External"/><Relationship Id="rId695" Type="http://schemas.openxmlformats.org/officeDocument/2006/relationships/hyperlink" Target="https://talan.bank.gov.ua/get-user-certificate/45CEllfWYFf1gKrwVFko" TargetMode="External"/><Relationship Id="rId2169" Type="http://schemas.openxmlformats.org/officeDocument/2006/relationships/hyperlink" Target="https://talan.bank.gov.ua/get-user-certificate/45CEl7cjgpwb07NW9AGi" TargetMode="External"/><Relationship Id="rId2376" Type="http://schemas.openxmlformats.org/officeDocument/2006/relationships/hyperlink" Target="https://talan.bank.gov.ua/get-user-certificate/45CElN3BA9nEcGKK_NFM" TargetMode="External"/><Relationship Id="rId2583" Type="http://schemas.openxmlformats.org/officeDocument/2006/relationships/hyperlink" Target="https://talan.bank.gov.ua/get-user-certificate/45CEl81Pt_Mk23hev5OP" TargetMode="External"/><Relationship Id="rId2790" Type="http://schemas.openxmlformats.org/officeDocument/2006/relationships/hyperlink" Target="https://talan.bank.gov.ua/get-user-certificate/45CElmZGTSdrDKcztt--" TargetMode="External"/><Relationship Id="rId3427" Type="http://schemas.openxmlformats.org/officeDocument/2006/relationships/hyperlink" Target="https://talan.bank.gov.ua/get-user-certificate/45CElhOYz8vAvGg4OD29" TargetMode="External"/><Relationship Id="rId3634" Type="http://schemas.openxmlformats.org/officeDocument/2006/relationships/hyperlink" Target="https://talan.bank.gov.ua/get-user-certificate/45CEleDMRHDtxPNLRCwR" TargetMode="External"/><Relationship Id="rId3841" Type="http://schemas.openxmlformats.org/officeDocument/2006/relationships/hyperlink" Target="https://talan.bank.gov.ua/get-user-certificate/45CElkJzkKe5nk0bZ-TD" TargetMode="External"/><Relationship Id="rId348" Type="http://schemas.openxmlformats.org/officeDocument/2006/relationships/hyperlink" Target="https://talan.bank.gov.ua/get-user-certificate/45CElvcWkXj0C1LC-Kzw" TargetMode="External"/><Relationship Id="rId555" Type="http://schemas.openxmlformats.org/officeDocument/2006/relationships/hyperlink" Target="https://talan.bank.gov.ua/get-user-certificate/45CElBHuKFvi6nx_DCkf" TargetMode="External"/><Relationship Id="rId762" Type="http://schemas.openxmlformats.org/officeDocument/2006/relationships/hyperlink" Target="https://talan.bank.gov.ua/get-user-certificate/45CEl_wiIAPuSDzUzhAf" TargetMode="External"/><Relationship Id="rId1185" Type="http://schemas.openxmlformats.org/officeDocument/2006/relationships/hyperlink" Target="https://talan.bank.gov.ua/get-user-certificate/45CEl2iCIFhJVwCAvbWK" TargetMode="External"/><Relationship Id="rId1392" Type="http://schemas.openxmlformats.org/officeDocument/2006/relationships/hyperlink" Target="https://talan.bank.gov.ua/get-user-certificate/45CElBIjQlrtGHncmEK3" TargetMode="External"/><Relationship Id="rId2029" Type="http://schemas.openxmlformats.org/officeDocument/2006/relationships/hyperlink" Target="https://talan.bank.gov.ua/get-user-certificate/45CEl-uNhhFwFGzi-wGr" TargetMode="External"/><Relationship Id="rId2236" Type="http://schemas.openxmlformats.org/officeDocument/2006/relationships/hyperlink" Target="https://talan.bank.gov.ua/get-user-certificate/45CElD244jmbBw6h8AMI" TargetMode="External"/><Relationship Id="rId2443" Type="http://schemas.openxmlformats.org/officeDocument/2006/relationships/hyperlink" Target="https://talan.bank.gov.ua/get-user-certificate/45CEld5eBzre1MtFPI7z" TargetMode="External"/><Relationship Id="rId2650" Type="http://schemas.openxmlformats.org/officeDocument/2006/relationships/hyperlink" Target="https://talan.bank.gov.ua/get-user-certificate/45CElxINPsWFENyJNXoC" TargetMode="External"/><Relationship Id="rId3701" Type="http://schemas.openxmlformats.org/officeDocument/2006/relationships/hyperlink" Target="https://talan.bank.gov.ua/get-user-certificate/45CElpgZC9mz6X-zslRe" TargetMode="External"/><Relationship Id="rId208" Type="http://schemas.openxmlformats.org/officeDocument/2006/relationships/hyperlink" Target="https://talan.bank.gov.ua/get-user-certificate/45CElGO_mdBMRyd03wlk" TargetMode="External"/><Relationship Id="rId415" Type="http://schemas.openxmlformats.org/officeDocument/2006/relationships/hyperlink" Target="https://talan.bank.gov.ua/get-user-certificate/45CEllcYEtucCgQtWPSn" TargetMode="External"/><Relationship Id="rId622" Type="http://schemas.openxmlformats.org/officeDocument/2006/relationships/hyperlink" Target="https://talan.bank.gov.ua/get-user-certificate/45CElWDxwmpUZu3P4ZDV" TargetMode="External"/><Relationship Id="rId1045" Type="http://schemas.openxmlformats.org/officeDocument/2006/relationships/hyperlink" Target="https://talan.bank.gov.ua/get-user-certificate/45CElMqc-KxqbfTMjFGu" TargetMode="External"/><Relationship Id="rId1252" Type="http://schemas.openxmlformats.org/officeDocument/2006/relationships/hyperlink" Target="https://talan.bank.gov.ua/get-user-certificate/45CElzfbmm-66E0RjobU" TargetMode="External"/><Relationship Id="rId2303" Type="http://schemas.openxmlformats.org/officeDocument/2006/relationships/hyperlink" Target="https://talan.bank.gov.ua/get-user-certificate/45CEliAlWLe3m_9r3JZS" TargetMode="External"/><Relationship Id="rId2510" Type="http://schemas.openxmlformats.org/officeDocument/2006/relationships/hyperlink" Target="https://talan.bank.gov.ua/get-user-certificate/45CEl9uQ3ut19vkf-0n6" TargetMode="External"/><Relationship Id="rId1112" Type="http://schemas.openxmlformats.org/officeDocument/2006/relationships/hyperlink" Target="https://talan.bank.gov.ua/get-user-certificate/45CElhVnQpaZBeRjYir2" TargetMode="External"/><Relationship Id="rId4268" Type="http://schemas.openxmlformats.org/officeDocument/2006/relationships/hyperlink" Target="https://talan.bank.gov.ua/get-user-certificate/45CElMc86jnQeNQWXQbi" TargetMode="External"/><Relationship Id="rId4475" Type="http://schemas.openxmlformats.org/officeDocument/2006/relationships/hyperlink" Target="https://talan.bank.gov.ua/get-user-certificate/45CElqvrrncdB2iq26H8" TargetMode="External"/><Relationship Id="rId3077" Type="http://schemas.openxmlformats.org/officeDocument/2006/relationships/hyperlink" Target="https://talan.bank.gov.ua/get-user-certificate/45CElyJ5a_m02MA9QAwE" TargetMode="External"/><Relationship Id="rId3284" Type="http://schemas.openxmlformats.org/officeDocument/2006/relationships/hyperlink" Target="https://talan.bank.gov.ua/get-user-certificate/45CEl7G5KMi6_zmZJLgb" TargetMode="External"/><Relationship Id="rId4128" Type="http://schemas.openxmlformats.org/officeDocument/2006/relationships/hyperlink" Target="https://talan.bank.gov.ua/get-user-certificate/45CElgBs-Gk9nGlZDaT8" TargetMode="External"/><Relationship Id="rId4682" Type="http://schemas.openxmlformats.org/officeDocument/2006/relationships/hyperlink" Target="https://talan.bank.gov.ua/get-user-certificate/45CElc1W3I4T0HFykl5t" TargetMode="External"/><Relationship Id="rId1929" Type="http://schemas.openxmlformats.org/officeDocument/2006/relationships/hyperlink" Target="https://talan.bank.gov.ua/get-user-certificate/45CElJvHfN2Id_36g3WJ" TargetMode="External"/><Relationship Id="rId2093" Type="http://schemas.openxmlformats.org/officeDocument/2006/relationships/hyperlink" Target="https://talan.bank.gov.ua/get-user-certificate/45CElaqokw5aK8rlahk9" TargetMode="External"/><Relationship Id="rId3491" Type="http://schemas.openxmlformats.org/officeDocument/2006/relationships/hyperlink" Target="https://talan.bank.gov.ua/get-user-certificate/45CEla1hmpaimv8F31bZ" TargetMode="External"/><Relationship Id="rId4335" Type="http://schemas.openxmlformats.org/officeDocument/2006/relationships/hyperlink" Target="https://talan.bank.gov.ua/get-user-certificate/45CElgpgqJPzlAbUnbMV" TargetMode="External"/><Relationship Id="rId4542" Type="http://schemas.openxmlformats.org/officeDocument/2006/relationships/hyperlink" Target="https://talan.bank.gov.ua/get-user-certificate/45CElM_7kqFV7a779JrO" TargetMode="External"/><Relationship Id="rId3144" Type="http://schemas.openxmlformats.org/officeDocument/2006/relationships/hyperlink" Target="https://talan.bank.gov.ua/get-user-certificate/45CElVgZRosx6vcMQpz6" TargetMode="External"/><Relationship Id="rId3351" Type="http://schemas.openxmlformats.org/officeDocument/2006/relationships/hyperlink" Target="https://talan.bank.gov.ua/get-user-certificate/45CElbx3s2Xjqg41nGwT" TargetMode="External"/><Relationship Id="rId4402" Type="http://schemas.openxmlformats.org/officeDocument/2006/relationships/hyperlink" Target="https://talan.bank.gov.ua/get-user-certificate/45CElcieaCAY_d5_J9U1" TargetMode="External"/><Relationship Id="rId272" Type="http://schemas.openxmlformats.org/officeDocument/2006/relationships/hyperlink" Target="https://talan.bank.gov.ua/get-user-certificate/45CElA8KJH_XWOj8oWQg" TargetMode="External"/><Relationship Id="rId2160" Type="http://schemas.openxmlformats.org/officeDocument/2006/relationships/hyperlink" Target="https://talan.bank.gov.ua/get-user-certificate/45CEllJgUq3-PTrIyajd" TargetMode="External"/><Relationship Id="rId3004" Type="http://schemas.openxmlformats.org/officeDocument/2006/relationships/hyperlink" Target="https://talan.bank.gov.ua/get-user-certificate/45CElt-F3L6o4B8Co7KK" TargetMode="External"/><Relationship Id="rId3211" Type="http://schemas.openxmlformats.org/officeDocument/2006/relationships/hyperlink" Target="https://talan.bank.gov.ua/get-user-certificate/45CEl8V3u8yhtqsGYL4u" TargetMode="External"/><Relationship Id="rId132" Type="http://schemas.openxmlformats.org/officeDocument/2006/relationships/hyperlink" Target="https://talan.bank.gov.ua/get-user-certificate/45CElUoGSdCtZOFHAmHj" TargetMode="External"/><Relationship Id="rId2020" Type="http://schemas.openxmlformats.org/officeDocument/2006/relationships/hyperlink" Target="https://talan.bank.gov.ua/get-user-certificate/45CEl8UOMSdoFGI5J6yS" TargetMode="External"/><Relationship Id="rId1579" Type="http://schemas.openxmlformats.org/officeDocument/2006/relationships/hyperlink" Target="https://talan.bank.gov.ua/get-user-certificate/45CElhz6ym16vZUm1D06" TargetMode="External"/><Relationship Id="rId2977" Type="http://schemas.openxmlformats.org/officeDocument/2006/relationships/hyperlink" Target="https://talan.bank.gov.ua/get-user-certificate/45CElFX15tYf5YeLwm1i" TargetMode="External"/><Relationship Id="rId4192" Type="http://schemas.openxmlformats.org/officeDocument/2006/relationships/hyperlink" Target="https://talan.bank.gov.ua/get-user-certificate/45CElXtmOwmaXiUF33Bv" TargetMode="External"/><Relationship Id="rId949" Type="http://schemas.openxmlformats.org/officeDocument/2006/relationships/hyperlink" Target="https://talan.bank.gov.ua/get-user-certificate/45CElixigQDmdu1E4s23" TargetMode="External"/><Relationship Id="rId1786" Type="http://schemas.openxmlformats.org/officeDocument/2006/relationships/hyperlink" Target="https://talan.bank.gov.ua/get-user-certificate/45CElTa3VisT8YnfJAmu" TargetMode="External"/><Relationship Id="rId1993" Type="http://schemas.openxmlformats.org/officeDocument/2006/relationships/hyperlink" Target="https://talan.bank.gov.ua/get-user-certificate/45CEl8se9LMkIKpjbG0D" TargetMode="External"/><Relationship Id="rId2837" Type="http://schemas.openxmlformats.org/officeDocument/2006/relationships/hyperlink" Target="https://talan.bank.gov.ua/get-user-certificate/45CElru9Gnc2lVBnmSlF" TargetMode="External"/><Relationship Id="rId4052" Type="http://schemas.openxmlformats.org/officeDocument/2006/relationships/hyperlink" Target="https://talan.bank.gov.ua/get-user-certificate/45CElFxRmrQngm9mahGF" TargetMode="External"/><Relationship Id="rId78" Type="http://schemas.openxmlformats.org/officeDocument/2006/relationships/hyperlink" Target="https://talan.bank.gov.ua/get-user-certificate/45CElTEejLCWAToLl7yw" TargetMode="External"/><Relationship Id="rId809" Type="http://schemas.openxmlformats.org/officeDocument/2006/relationships/hyperlink" Target="https://talan.bank.gov.ua/get-user-certificate/45CEloK9f2IVbc2cHvnG" TargetMode="External"/><Relationship Id="rId1439" Type="http://schemas.openxmlformats.org/officeDocument/2006/relationships/hyperlink" Target="https://talan.bank.gov.ua/get-user-certificate/45CElREzelipc58hBDr9" TargetMode="External"/><Relationship Id="rId1646" Type="http://schemas.openxmlformats.org/officeDocument/2006/relationships/hyperlink" Target="https://talan.bank.gov.ua/get-user-certificate/45CElYSWBg8XqNrVmdBL" TargetMode="External"/><Relationship Id="rId1853" Type="http://schemas.openxmlformats.org/officeDocument/2006/relationships/hyperlink" Target="https://talan.bank.gov.ua/get-user-certificate/45CElE5rKDCpaFpwSJbM" TargetMode="External"/><Relationship Id="rId2904" Type="http://schemas.openxmlformats.org/officeDocument/2006/relationships/hyperlink" Target="https://talan.bank.gov.ua/get-user-certificate/45CEl3JqDXj-AEprHdp1" TargetMode="External"/><Relationship Id="rId1506" Type="http://schemas.openxmlformats.org/officeDocument/2006/relationships/hyperlink" Target="https://talan.bank.gov.ua/get-user-certificate/45CElRmHQjArxXTUNoY6" TargetMode="External"/><Relationship Id="rId1713" Type="http://schemas.openxmlformats.org/officeDocument/2006/relationships/hyperlink" Target="https://talan.bank.gov.ua/get-user-certificate/45CElI9ShTQtAKU8jbxF" TargetMode="External"/><Relationship Id="rId1920" Type="http://schemas.openxmlformats.org/officeDocument/2006/relationships/hyperlink" Target="https://talan.bank.gov.ua/get-user-certificate/45CEl65KX2JIeDTS_Mju" TargetMode="External"/><Relationship Id="rId4869" Type="http://schemas.openxmlformats.org/officeDocument/2006/relationships/hyperlink" Target="https://talan.bank.gov.ua/get-user-certificate/45CEl0qX5jWpb_0ErCWy" TargetMode="External"/><Relationship Id="rId3678" Type="http://schemas.openxmlformats.org/officeDocument/2006/relationships/hyperlink" Target="https://talan.bank.gov.ua/get-user-certificate/45CElplL27UUi-WldRtW" TargetMode="External"/><Relationship Id="rId3885" Type="http://schemas.openxmlformats.org/officeDocument/2006/relationships/hyperlink" Target="https://talan.bank.gov.ua/get-user-certificate/45CEllRLrnELbw5ngTYH" TargetMode="External"/><Relationship Id="rId4729" Type="http://schemas.openxmlformats.org/officeDocument/2006/relationships/hyperlink" Target="https://talan.bank.gov.ua/get-user-certificate/45CEl63pY9unazWa296-" TargetMode="External"/><Relationship Id="rId4936" Type="http://schemas.openxmlformats.org/officeDocument/2006/relationships/hyperlink" Target="https://talan.bank.gov.ua/get-user-certificate/45CElS1ckjtB6GBbMAu4" TargetMode="External"/><Relationship Id="rId599" Type="http://schemas.openxmlformats.org/officeDocument/2006/relationships/hyperlink" Target="https://talan.bank.gov.ua/get-user-certificate/45CElBqT40FdlhX9KZzh" TargetMode="External"/><Relationship Id="rId2487" Type="http://schemas.openxmlformats.org/officeDocument/2006/relationships/hyperlink" Target="https://talan.bank.gov.ua/get-user-certificate/45CEl_nlJsUVALKF6cn2" TargetMode="External"/><Relationship Id="rId2694" Type="http://schemas.openxmlformats.org/officeDocument/2006/relationships/hyperlink" Target="https://talan.bank.gov.ua/get-user-certificate/45CElOdtdCsvgLtrocsK" TargetMode="External"/><Relationship Id="rId3538" Type="http://schemas.openxmlformats.org/officeDocument/2006/relationships/hyperlink" Target="https://talan.bank.gov.ua/get-user-certificate/45CElYeA1LRSurVVdoh3" TargetMode="External"/><Relationship Id="rId3745" Type="http://schemas.openxmlformats.org/officeDocument/2006/relationships/hyperlink" Target="https://talan.bank.gov.ua/get-user-certificate/45CEl_VkC0AGn0ucSbr_" TargetMode="External"/><Relationship Id="rId459" Type="http://schemas.openxmlformats.org/officeDocument/2006/relationships/hyperlink" Target="https://talan.bank.gov.ua/get-user-certificate/45CElSsCiX8ADJwgyaNt" TargetMode="External"/><Relationship Id="rId666" Type="http://schemas.openxmlformats.org/officeDocument/2006/relationships/hyperlink" Target="https://talan.bank.gov.ua/get-user-certificate/45CElGLdksjIZVXOtdCI" TargetMode="External"/><Relationship Id="rId873" Type="http://schemas.openxmlformats.org/officeDocument/2006/relationships/hyperlink" Target="https://talan.bank.gov.ua/get-user-certificate/45CElmtqGMlIY-WrshSF" TargetMode="External"/><Relationship Id="rId1089" Type="http://schemas.openxmlformats.org/officeDocument/2006/relationships/hyperlink" Target="https://talan.bank.gov.ua/get-user-certificate/45CElNSxJDTGWp3iXiU_" TargetMode="External"/><Relationship Id="rId1296" Type="http://schemas.openxmlformats.org/officeDocument/2006/relationships/hyperlink" Target="https://talan.bank.gov.ua/get-user-certificate/45CEl5lX-WEGnt6HFztN" TargetMode="External"/><Relationship Id="rId2347" Type="http://schemas.openxmlformats.org/officeDocument/2006/relationships/hyperlink" Target="https://talan.bank.gov.ua/get-user-certificate/45CElKCw0JM3WVGe8hg0" TargetMode="External"/><Relationship Id="rId2554" Type="http://schemas.openxmlformats.org/officeDocument/2006/relationships/hyperlink" Target="https://talan.bank.gov.ua/get-user-certificate/45CElNRyKxeujFwtLDDf" TargetMode="External"/><Relationship Id="rId3952" Type="http://schemas.openxmlformats.org/officeDocument/2006/relationships/hyperlink" Target="https://talan.bank.gov.ua/get-user-certificate/45CElizFsX3jXUfXeTYa" TargetMode="External"/><Relationship Id="rId319" Type="http://schemas.openxmlformats.org/officeDocument/2006/relationships/hyperlink" Target="https://talan.bank.gov.ua/get-user-certificate/45CEldAoSZ6dUZjm-INH" TargetMode="External"/><Relationship Id="rId526" Type="http://schemas.openxmlformats.org/officeDocument/2006/relationships/hyperlink" Target="https://talan.bank.gov.ua/get-user-certificate/45CElgX-lUL-nIZd2HJ5" TargetMode="External"/><Relationship Id="rId1156" Type="http://schemas.openxmlformats.org/officeDocument/2006/relationships/hyperlink" Target="https://talan.bank.gov.ua/get-user-certificate/45CEluqQhb8sWdMExE4U" TargetMode="External"/><Relationship Id="rId1363" Type="http://schemas.openxmlformats.org/officeDocument/2006/relationships/hyperlink" Target="https://talan.bank.gov.ua/get-user-certificate/45CElL2lk0eK6HnTmTJT" TargetMode="External"/><Relationship Id="rId2207" Type="http://schemas.openxmlformats.org/officeDocument/2006/relationships/hyperlink" Target="https://talan.bank.gov.ua/get-user-certificate/45CEl5Az-Ksw8tELjhIu" TargetMode="External"/><Relationship Id="rId2761" Type="http://schemas.openxmlformats.org/officeDocument/2006/relationships/hyperlink" Target="https://talan.bank.gov.ua/get-user-certificate/45CElYxlYzj6oiqhKXXE" TargetMode="External"/><Relationship Id="rId3605" Type="http://schemas.openxmlformats.org/officeDocument/2006/relationships/hyperlink" Target="https://talan.bank.gov.ua/get-user-certificate/45CElphQ9oCMhz8gJ8gO" TargetMode="External"/><Relationship Id="rId3812" Type="http://schemas.openxmlformats.org/officeDocument/2006/relationships/hyperlink" Target="https://talan.bank.gov.ua/get-user-certificate/45CElL3SdHo0L9A7W5EE" TargetMode="External"/><Relationship Id="rId733" Type="http://schemas.openxmlformats.org/officeDocument/2006/relationships/hyperlink" Target="https://talan.bank.gov.ua/get-user-certificate/45CElxq84ulu9TsGG4Rh" TargetMode="External"/><Relationship Id="rId940" Type="http://schemas.openxmlformats.org/officeDocument/2006/relationships/hyperlink" Target="https://talan.bank.gov.ua/get-user-certificate/45CElnYE_zCClONEg_Az" TargetMode="External"/><Relationship Id="rId1016" Type="http://schemas.openxmlformats.org/officeDocument/2006/relationships/hyperlink" Target="https://talan.bank.gov.ua/get-user-certificate/45CEl46lzH-KluUi2XrR" TargetMode="External"/><Relationship Id="rId1570" Type="http://schemas.openxmlformats.org/officeDocument/2006/relationships/hyperlink" Target="https://talan.bank.gov.ua/get-user-certificate/45CEl5okZw3cudl4bMl6" TargetMode="External"/><Relationship Id="rId2414" Type="http://schemas.openxmlformats.org/officeDocument/2006/relationships/hyperlink" Target="https://talan.bank.gov.ua/get-user-certificate/45CElUsPuuXHT_fBM1a3" TargetMode="External"/><Relationship Id="rId2621" Type="http://schemas.openxmlformats.org/officeDocument/2006/relationships/hyperlink" Target="https://talan.bank.gov.ua/get-user-certificate/45CEl90IxURvi0COM2W8" TargetMode="External"/><Relationship Id="rId800" Type="http://schemas.openxmlformats.org/officeDocument/2006/relationships/hyperlink" Target="https://talan.bank.gov.ua/get-user-certificate/45CElVpji_Oi1s1z55xV" TargetMode="External"/><Relationship Id="rId1223" Type="http://schemas.openxmlformats.org/officeDocument/2006/relationships/hyperlink" Target="https://talan.bank.gov.ua/get-user-certificate/45CElm1hFtgu6ZSgtPnz" TargetMode="External"/><Relationship Id="rId1430" Type="http://schemas.openxmlformats.org/officeDocument/2006/relationships/hyperlink" Target="https://talan.bank.gov.ua/get-user-certificate/45CElFiZHJQz-TwIlEd_" TargetMode="External"/><Relationship Id="rId4379" Type="http://schemas.openxmlformats.org/officeDocument/2006/relationships/hyperlink" Target="https://talan.bank.gov.ua/get-user-certificate/45CElCCTR-poNS9QM89U" TargetMode="External"/><Relationship Id="rId4586" Type="http://schemas.openxmlformats.org/officeDocument/2006/relationships/hyperlink" Target="https://talan.bank.gov.ua/get-user-certificate/45CElOM7QUbhr5iDYHA2" TargetMode="External"/><Relationship Id="rId4793" Type="http://schemas.openxmlformats.org/officeDocument/2006/relationships/hyperlink" Target="https://talan.bank.gov.ua/get-user-certificate/45CElOi99wUKvGf2D8LS" TargetMode="External"/><Relationship Id="rId3188" Type="http://schemas.openxmlformats.org/officeDocument/2006/relationships/hyperlink" Target="https://talan.bank.gov.ua/get-user-certificate/45CElFSLhvb8DgKyGlzz" TargetMode="External"/><Relationship Id="rId3395" Type="http://schemas.openxmlformats.org/officeDocument/2006/relationships/hyperlink" Target="https://talan.bank.gov.ua/get-user-certificate/45CElehnaY4Es49UDwxH" TargetMode="External"/><Relationship Id="rId4239" Type="http://schemas.openxmlformats.org/officeDocument/2006/relationships/hyperlink" Target="https://talan.bank.gov.ua/get-user-certificate/45CElCRQW6kT8mA8d3f9" TargetMode="External"/><Relationship Id="rId4446" Type="http://schemas.openxmlformats.org/officeDocument/2006/relationships/hyperlink" Target="https://talan.bank.gov.ua/get-user-certificate/45CElvaFSezUMdssimHv" TargetMode="External"/><Relationship Id="rId4653" Type="http://schemas.openxmlformats.org/officeDocument/2006/relationships/hyperlink" Target="https://talan.bank.gov.ua/get-user-certificate/45CElI2hcvXrU29BS1dE" TargetMode="External"/><Relationship Id="rId4860" Type="http://schemas.openxmlformats.org/officeDocument/2006/relationships/hyperlink" Target="https://talan.bank.gov.ua/get-user-certificate/45CEli6zijQpTXHhMeo4" TargetMode="External"/><Relationship Id="rId3048" Type="http://schemas.openxmlformats.org/officeDocument/2006/relationships/hyperlink" Target="https://talan.bank.gov.ua/get-user-certificate/45CElxpAbSSZLDcBFKKG" TargetMode="External"/><Relationship Id="rId3255" Type="http://schemas.openxmlformats.org/officeDocument/2006/relationships/hyperlink" Target="https://talan.bank.gov.ua/get-user-certificate/45CEltQq1N1jM-MJIqrf" TargetMode="External"/><Relationship Id="rId3462" Type="http://schemas.openxmlformats.org/officeDocument/2006/relationships/hyperlink" Target="https://talan.bank.gov.ua/get-user-certificate/45CElocsC7O-h7Z2VR9m" TargetMode="External"/><Relationship Id="rId4306" Type="http://schemas.openxmlformats.org/officeDocument/2006/relationships/hyperlink" Target="https://talan.bank.gov.ua/get-user-certificate/45CEl6oGgWwDXR16UBX2" TargetMode="External"/><Relationship Id="rId4513" Type="http://schemas.openxmlformats.org/officeDocument/2006/relationships/hyperlink" Target="https://talan.bank.gov.ua/get-user-certificate/45CElJaK8C8GkV0IisJI" TargetMode="External"/><Relationship Id="rId4720" Type="http://schemas.openxmlformats.org/officeDocument/2006/relationships/hyperlink" Target="https://talan.bank.gov.ua/get-user-certificate/45CEl1zh91sS9gsiPGE7" TargetMode="External"/><Relationship Id="rId176" Type="http://schemas.openxmlformats.org/officeDocument/2006/relationships/hyperlink" Target="https://talan.bank.gov.ua/get-user-certificate/45CElhRP_-no21J9Gpnv" TargetMode="External"/><Relationship Id="rId383" Type="http://schemas.openxmlformats.org/officeDocument/2006/relationships/hyperlink" Target="https://talan.bank.gov.ua/get-user-certificate/45CEl5_aR6YMzrZ6I0hR" TargetMode="External"/><Relationship Id="rId590" Type="http://schemas.openxmlformats.org/officeDocument/2006/relationships/hyperlink" Target="https://talan.bank.gov.ua/get-user-certificate/45CElt8nZTbeN9xe-kjp" TargetMode="External"/><Relationship Id="rId2064" Type="http://schemas.openxmlformats.org/officeDocument/2006/relationships/hyperlink" Target="https://talan.bank.gov.ua/get-user-certificate/45CElZZ88AYWxMVfnChJ" TargetMode="External"/><Relationship Id="rId2271" Type="http://schemas.openxmlformats.org/officeDocument/2006/relationships/hyperlink" Target="https://talan.bank.gov.ua/get-user-certificate/45CElWb4OAdJtNoyAjrE" TargetMode="External"/><Relationship Id="rId3115" Type="http://schemas.openxmlformats.org/officeDocument/2006/relationships/hyperlink" Target="https://talan.bank.gov.ua/get-user-certificate/45CElL5HEYXqW_vPMvVO" TargetMode="External"/><Relationship Id="rId3322" Type="http://schemas.openxmlformats.org/officeDocument/2006/relationships/hyperlink" Target="https://talan.bank.gov.ua/get-user-certificate/45CElEVd3iL-Ke_Bzo8L" TargetMode="External"/><Relationship Id="rId243" Type="http://schemas.openxmlformats.org/officeDocument/2006/relationships/hyperlink" Target="https://talan.bank.gov.ua/get-user-certificate/45CElqHmz8iqDyQm0h7e" TargetMode="External"/><Relationship Id="rId450" Type="http://schemas.openxmlformats.org/officeDocument/2006/relationships/hyperlink" Target="https://talan.bank.gov.ua/get-user-certificate/45CEle8SbMNEsATNlqq7" TargetMode="External"/><Relationship Id="rId1080" Type="http://schemas.openxmlformats.org/officeDocument/2006/relationships/hyperlink" Target="https://talan.bank.gov.ua/get-user-certificate/45CElXIkQrK9oqtXd0gA" TargetMode="External"/><Relationship Id="rId2131" Type="http://schemas.openxmlformats.org/officeDocument/2006/relationships/hyperlink" Target="https://talan.bank.gov.ua/get-user-certificate/45CEll4XdMdrFvWE-OfU" TargetMode="External"/><Relationship Id="rId103" Type="http://schemas.openxmlformats.org/officeDocument/2006/relationships/hyperlink" Target="https://talan.bank.gov.ua/get-user-certificate/45CElEQLidD94s1kFg0W" TargetMode="External"/><Relationship Id="rId310" Type="http://schemas.openxmlformats.org/officeDocument/2006/relationships/hyperlink" Target="https://talan.bank.gov.ua/get-user-certificate/45CElgbo7KXYjkECPtO8" TargetMode="External"/><Relationship Id="rId4096" Type="http://schemas.openxmlformats.org/officeDocument/2006/relationships/hyperlink" Target="https://talan.bank.gov.ua/get-user-certificate/45CEllaJVKZAKdM0IcMr" TargetMode="External"/><Relationship Id="rId1897" Type="http://schemas.openxmlformats.org/officeDocument/2006/relationships/hyperlink" Target="https://talan.bank.gov.ua/get-user-certificate/45CEl0eFfauqrTqfpWJ5" TargetMode="External"/><Relationship Id="rId2948" Type="http://schemas.openxmlformats.org/officeDocument/2006/relationships/hyperlink" Target="https://talan.bank.gov.ua/get-user-certificate/45CElUhwkZpep52AT27m" TargetMode="External"/><Relationship Id="rId1757" Type="http://schemas.openxmlformats.org/officeDocument/2006/relationships/hyperlink" Target="https://talan.bank.gov.ua/get-user-certificate/45CEl3tAXBz3lq0d69Ib" TargetMode="External"/><Relationship Id="rId1964" Type="http://schemas.openxmlformats.org/officeDocument/2006/relationships/hyperlink" Target="https://talan.bank.gov.ua/get-user-certificate/45CEllS46ECHnQz9-vSK" TargetMode="External"/><Relationship Id="rId2808" Type="http://schemas.openxmlformats.org/officeDocument/2006/relationships/hyperlink" Target="https://talan.bank.gov.ua/get-user-certificate/45CEl8UpTETYp_P4A_z4" TargetMode="External"/><Relationship Id="rId4163" Type="http://schemas.openxmlformats.org/officeDocument/2006/relationships/hyperlink" Target="https://talan.bank.gov.ua/get-user-certificate/45CElBC5otGdZTDruiH7" TargetMode="External"/><Relationship Id="rId4370" Type="http://schemas.openxmlformats.org/officeDocument/2006/relationships/hyperlink" Target="https://talan.bank.gov.ua/get-user-certificate/45CElSnWZ9v3UUuVfEjB" TargetMode="External"/><Relationship Id="rId5007" Type="http://schemas.openxmlformats.org/officeDocument/2006/relationships/hyperlink" Target="https://talan.bank.gov.ua/get-user-certificate/ki8Tnvi7hSfLHekMr2cO" TargetMode="External"/><Relationship Id="rId49" Type="http://schemas.openxmlformats.org/officeDocument/2006/relationships/hyperlink" Target="https://talan.bank.gov.ua/get-user-certificate/45CElop1Cgicmuiz1EfJ" TargetMode="External"/><Relationship Id="rId1617" Type="http://schemas.openxmlformats.org/officeDocument/2006/relationships/hyperlink" Target="https://talan.bank.gov.ua/get-user-certificate/45CEllnSOFSqzGajp9eX" TargetMode="External"/><Relationship Id="rId1824" Type="http://schemas.openxmlformats.org/officeDocument/2006/relationships/hyperlink" Target="https://talan.bank.gov.ua/get-user-certificate/45CEl_Bz9irpRf_HWIAG" TargetMode="External"/><Relationship Id="rId4023" Type="http://schemas.openxmlformats.org/officeDocument/2006/relationships/hyperlink" Target="https://talan.bank.gov.ua/get-user-certificate/45CElENgjewJ77KG-t_j" TargetMode="External"/><Relationship Id="rId4230" Type="http://schemas.openxmlformats.org/officeDocument/2006/relationships/hyperlink" Target="https://talan.bank.gov.ua/get-user-certificate/45CElH1v5C9GnZrIIgQy" TargetMode="External"/><Relationship Id="rId3789" Type="http://schemas.openxmlformats.org/officeDocument/2006/relationships/hyperlink" Target="https://talan.bank.gov.ua/get-user-certificate/45CEl_Erw6BoElpR7Igw" TargetMode="External"/><Relationship Id="rId2598" Type="http://schemas.openxmlformats.org/officeDocument/2006/relationships/hyperlink" Target="https://talan.bank.gov.ua/get-user-certificate/45CElVE2Y89BXAnDaK6s" TargetMode="External"/><Relationship Id="rId3996" Type="http://schemas.openxmlformats.org/officeDocument/2006/relationships/hyperlink" Target="https://talan.bank.gov.ua/get-user-certificate/45CElVmZzndvlHsaInqR" TargetMode="External"/><Relationship Id="rId3649" Type="http://schemas.openxmlformats.org/officeDocument/2006/relationships/hyperlink" Target="https://talan.bank.gov.ua/get-user-certificate/45CElfJvz_0uUFtpjb5k" TargetMode="External"/><Relationship Id="rId3856" Type="http://schemas.openxmlformats.org/officeDocument/2006/relationships/hyperlink" Target="https://talan.bank.gov.ua/get-user-certificate/45CEloIF6G0rKxf4KWhe" TargetMode="External"/><Relationship Id="rId4907" Type="http://schemas.openxmlformats.org/officeDocument/2006/relationships/hyperlink" Target="https://talan.bank.gov.ua/get-user-certificate/45CElH4XuC4vEpmAs7JB" TargetMode="External"/><Relationship Id="rId777" Type="http://schemas.openxmlformats.org/officeDocument/2006/relationships/hyperlink" Target="https://talan.bank.gov.ua/get-user-certificate/45CEltcP2Roxl0oIgix4" TargetMode="External"/><Relationship Id="rId984" Type="http://schemas.openxmlformats.org/officeDocument/2006/relationships/hyperlink" Target="https://talan.bank.gov.ua/get-user-certificate/45CElSbPcd4JSEM3wZNv" TargetMode="External"/><Relationship Id="rId2458" Type="http://schemas.openxmlformats.org/officeDocument/2006/relationships/hyperlink" Target="https://talan.bank.gov.ua/get-user-certificate/45CElGwCUTMgU5wNaU4f" TargetMode="External"/><Relationship Id="rId2665" Type="http://schemas.openxmlformats.org/officeDocument/2006/relationships/hyperlink" Target="https://talan.bank.gov.ua/get-user-certificate/45CEleQq7Vbw-wO415UR" TargetMode="External"/><Relationship Id="rId2872" Type="http://schemas.openxmlformats.org/officeDocument/2006/relationships/hyperlink" Target="https://talan.bank.gov.ua/get-user-certificate/45CEl75ClJVz0om3SeXi" TargetMode="External"/><Relationship Id="rId3509" Type="http://schemas.openxmlformats.org/officeDocument/2006/relationships/hyperlink" Target="https://talan.bank.gov.ua/get-user-certificate/45CElspCQUeUevJwIWRL" TargetMode="External"/><Relationship Id="rId3716" Type="http://schemas.openxmlformats.org/officeDocument/2006/relationships/hyperlink" Target="https://talan.bank.gov.ua/get-user-certificate/45CElhvjV4uvxBn9OsNy" TargetMode="External"/><Relationship Id="rId3923" Type="http://schemas.openxmlformats.org/officeDocument/2006/relationships/hyperlink" Target="https://talan.bank.gov.ua/get-user-certificate/45CElQq9xV9wGWLGdRgH" TargetMode="External"/><Relationship Id="rId637" Type="http://schemas.openxmlformats.org/officeDocument/2006/relationships/hyperlink" Target="https://talan.bank.gov.ua/get-user-certificate/45CElMY2UYH8TbEXyqwz" TargetMode="External"/><Relationship Id="rId844" Type="http://schemas.openxmlformats.org/officeDocument/2006/relationships/hyperlink" Target="https://talan.bank.gov.ua/get-user-certificate/45CElXrxAndEIqz1o_jg" TargetMode="External"/><Relationship Id="rId1267" Type="http://schemas.openxmlformats.org/officeDocument/2006/relationships/hyperlink" Target="https://talan.bank.gov.ua/get-user-certificate/45CEln9oIjLYRJ9T-Mym" TargetMode="External"/><Relationship Id="rId1474" Type="http://schemas.openxmlformats.org/officeDocument/2006/relationships/hyperlink" Target="https://talan.bank.gov.ua/get-user-certificate/45CElQgRwXbH_Jsx8Ayt" TargetMode="External"/><Relationship Id="rId1681" Type="http://schemas.openxmlformats.org/officeDocument/2006/relationships/hyperlink" Target="https://talan.bank.gov.ua/get-user-certificate/45CElcFv522DV-HlVBER" TargetMode="External"/><Relationship Id="rId2318" Type="http://schemas.openxmlformats.org/officeDocument/2006/relationships/hyperlink" Target="https://talan.bank.gov.ua/get-user-certificate/45CElPRYfuIs5NXO-FhD" TargetMode="External"/><Relationship Id="rId2525" Type="http://schemas.openxmlformats.org/officeDocument/2006/relationships/hyperlink" Target="https://talan.bank.gov.ua/get-user-certificate/45CElsVzPsKwilAmhnKY" TargetMode="External"/><Relationship Id="rId2732" Type="http://schemas.openxmlformats.org/officeDocument/2006/relationships/hyperlink" Target="https://talan.bank.gov.ua/get-user-certificate/45CEliPJaAZcagL4wJQV" TargetMode="External"/><Relationship Id="rId704" Type="http://schemas.openxmlformats.org/officeDocument/2006/relationships/hyperlink" Target="https://talan.bank.gov.ua/get-user-certificate/45CElOwbsWPuJqkH5nHE" TargetMode="External"/><Relationship Id="rId911" Type="http://schemas.openxmlformats.org/officeDocument/2006/relationships/hyperlink" Target="https://talan.bank.gov.ua/get-user-certificate/45CEl1M2ylXwQJSU8S2p" TargetMode="External"/><Relationship Id="rId1127" Type="http://schemas.openxmlformats.org/officeDocument/2006/relationships/hyperlink" Target="https://talan.bank.gov.ua/get-user-certificate/45CEl7I6zxc4uZHDoKWR" TargetMode="External"/><Relationship Id="rId1334" Type="http://schemas.openxmlformats.org/officeDocument/2006/relationships/hyperlink" Target="https://talan.bank.gov.ua/get-user-certificate/45CEldsXjRL0YY_0qfKe" TargetMode="External"/><Relationship Id="rId1541" Type="http://schemas.openxmlformats.org/officeDocument/2006/relationships/hyperlink" Target="https://talan.bank.gov.ua/get-user-certificate/45CElCKXdSswl8GlTCTS" TargetMode="External"/><Relationship Id="rId4697" Type="http://schemas.openxmlformats.org/officeDocument/2006/relationships/hyperlink" Target="https://talan.bank.gov.ua/get-user-certificate/45CElXQpGJ_OPz-M6U4Q" TargetMode="External"/><Relationship Id="rId40" Type="http://schemas.openxmlformats.org/officeDocument/2006/relationships/hyperlink" Target="https://talan.bank.gov.ua/get-user-certificate/45CEl7iy9r0xlffNwDHz" TargetMode="External"/><Relationship Id="rId1401" Type="http://schemas.openxmlformats.org/officeDocument/2006/relationships/hyperlink" Target="https://talan.bank.gov.ua/get-user-certificate/45CElikvd1-P9DESHvLn" TargetMode="External"/><Relationship Id="rId3299" Type="http://schemas.openxmlformats.org/officeDocument/2006/relationships/hyperlink" Target="https://talan.bank.gov.ua/get-user-certificate/45CEluSaE1LZWqtI4Wm5" TargetMode="External"/><Relationship Id="rId4557" Type="http://schemas.openxmlformats.org/officeDocument/2006/relationships/hyperlink" Target="https://talan.bank.gov.ua/get-user-certificate/45CElNEHWuqNS_V3_dv5" TargetMode="External"/><Relationship Id="rId4764" Type="http://schemas.openxmlformats.org/officeDocument/2006/relationships/hyperlink" Target="https://talan.bank.gov.ua/get-user-certificate/45CElBA9Mryp_e0Gsvdm" TargetMode="External"/><Relationship Id="rId3159" Type="http://schemas.openxmlformats.org/officeDocument/2006/relationships/hyperlink" Target="https://talan.bank.gov.ua/get-user-certificate/45CElFlYLnVY7StaZuKk" TargetMode="External"/><Relationship Id="rId3366" Type="http://schemas.openxmlformats.org/officeDocument/2006/relationships/hyperlink" Target="https://talan.bank.gov.ua/get-user-certificate/45CEltbR6-RmBx1cgWC0" TargetMode="External"/><Relationship Id="rId3573" Type="http://schemas.openxmlformats.org/officeDocument/2006/relationships/hyperlink" Target="https://talan.bank.gov.ua/get-user-certificate/45CEldafOD3vK7Q4Njxi" TargetMode="External"/><Relationship Id="rId4417" Type="http://schemas.openxmlformats.org/officeDocument/2006/relationships/hyperlink" Target="https://talan.bank.gov.ua/get-user-certificate/45CElxfVT6v4AQBGeR6Q" TargetMode="External"/><Relationship Id="rId4971" Type="http://schemas.openxmlformats.org/officeDocument/2006/relationships/hyperlink" Target="https://talan.bank.gov.ua/get-user-certificate/45CEluxYYcGXoScK37Xy" TargetMode="External"/><Relationship Id="rId287" Type="http://schemas.openxmlformats.org/officeDocument/2006/relationships/hyperlink" Target="https://talan.bank.gov.ua/get-user-certificate/45CElfr8sjOfa9WOJTKp" TargetMode="External"/><Relationship Id="rId494" Type="http://schemas.openxmlformats.org/officeDocument/2006/relationships/hyperlink" Target="https://talan.bank.gov.ua/get-user-certificate/45CElSg-L1E19oZgPECP" TargetMode="External"/><Relationship Id="rId2175" Type="http://schemas.openxmlformats.org/officeDocument/2006/relationships/hyperlink" Target="https://talan.bank.gov.ua/get-user-certificate/45CEldJSQWSghNl61Dnw" TargetMode="External"/><Relationship Id="rId2382" Type="http://schemas.openxmlformats.org/officeDocument/2006/relationships/hyperlink" Target="https://talan.bank.gov.ua/get-user-certificate/45CElxa8iQCpB2r8zST6" TargetMode="External"/><Relationship Id="rId3019" Type="http://schemas.openxmlformats.org/officeDocument/2006/relationships/hyperlink" Target="https://talan.bank.gov.ua/get-user-certificate/45CElmIg5-ORlHHpTAmt" TargetMode="External"/><Relationship Id="rId3226" Type="http://schemas.openxmlformats.org/officeDocument/2006/relationships/hyperlink" Target="https://talan.bank.gov.ua/get-user-certificate/45CElIURkHIcq0OIcgJk" TargetMode="External"/><Relationship Id="rId3780" Type="http://schemas.openxmlformats.org/officeDocument/2006/relationships/hyperlink" Target="https://talan.bank.gov.ua/get-user-certificate/45CEl8pmUpmPe9y48f4q" TargetMode="External"/><Relationship Id="rId4624" Type="http://schemas.openxmlformats.org/officeDocument/2006/relationships/hyperlink" Target="https://talan.bank.gov.ua/get-user-certificate/45CEluOGycFLEn2lDJq-" TargetMode="External"/><Relationship Id="rId4831" Type="http://schemas.openxmlformats.org/officeDocument/2006/relationships/hyperlink" Target="https://talan.bank.gov.ua/get-user-certificate/45CEl73sHRKjolz56m88" TargetMode="External"/><Relationship Id="rId147" Type="http://schemas.openxmlformats.org/officeDocument/2006/relationships/hyperlink" Target="https://talan.bank.gov.ua/get-user-certificate/45CEl89mVK7v1Qt9uaXI" TargetMode="External"/><Relationship Id="rId354" Type="http://schemas.openxmlformats.org/officeDocument/2006/relationships/hyperlink" Target="https://talan.bank.gov.ua/get-user-certificate/45CElnRMh1o2AGR660rF" TargetMode="External"/><Relationship Id="rId1191" Type="http://schemas.openxmlformats.org/officeDocument/2006/relationships/hyperlink" Target="https://talan.bank.gov.ua/get-user-certificate/45CElbd-UvH4enkRmm1w" TargetMode="External"/><Relationship Id="rId2035" Type="http://schemas.openxmlformats.org/officeDocument/2006/relationships/hyperlink" Target="https://talan.bank.gov.ua/get-user-certificate/45CEllbMVR_mDLn0mdo0" TargetMode="External"/><Relationship Id="rId3433" Type="http://schemas.openxmlformats.org/officeDocument/2006/relationships/hyperlink" Target="https://talan.bank.gov.ua/get-user-certificate/45CElg2_qrbaJLTQiUtx" TargetMode="External"/><Relationship Id="rId3640" Type="http://schemas.openxmlformats.org/officeDocument/2006/relationships/hyperlink" Target="https://talan.bank.gov.ua/get-user-certificate/45CEllzeE4l9DnHrD-Ay" TargetMode="External"/><Relationship Id="rId561" Type="http://schemas.openxmlformats.org/officeDocument/2006/relationships/hyperlink" Target="https://talan.bank.gov.ua/get-user-certificate/45CElbEnDZSWwaDPvCMG" TargetMode="External"/><Relationship Id="rId2242" Type="http://schemas.openxmlformats.org/officeDocument/2006/relationships/hyperlink" Target="https://talan.bank.gov.ua/get-user-certificate/45CEl7ZqIffV9fZq6YVT" TargetMode="External"/><Relationship Id="rId3500" Type="http://schemas.openxmlformats.org/officeDocument/2006/relationships/hyperlink" Target="https://talan.bank.gov.ua/get-user-certificate/45CElhP-wXhkDWxTFCEB" TargetMode="External"/><Relationship Id="rId214" Type="http://schemas.openxmlformats.org/officeDocument/2006/relationships/hyperlink" Target="https://talan.bank.gov.ua/get-user-certificate/45CElGa7QRJiPuzJx7W3" TargetMode="External"/><Relationship Id="rId421" Type="http://schemas.openxmlformats.org/officeDocument/2006/relationships/hyperlink" Target="https://talan.bank.gov.ua/get-user-certificate/45CElx15BpZctyBziLAY" TargetMode="External"/><Relationship Id="rId1051" Type="http://schemas.openxmlformats.org/officeDocument/2006/relationships/hyperlink" Target="https://talan.bank.gov.ua/get-user-certificate/45CElcZXi110zRzVVEDy" TargetMode="External"/><Relationship Id="rId2102" Type="http://schemas.openxmlformats.org/officeDocument/2006/relationships/hyperlink" Target="https://talan.bank.gov.ua/get-user-certificate/45CEl1X6TdTcDlNHt1dK" TargetMode="External"/><Relationship Id="rId1868" Type="http://schemas.openxmlformats.org/officeDocument/2006/relationships/hyperlink" Target="https://talan.bank.gov.ua/get-user-certificate/45CElfJ9fAOyswovYLIb" TargetMode="External"/><Relationship Id="rId4067" Type="http://schemas.openxmlformats.org/officeDocument/2006/relationships/hyperlink" Target="https://talan.bank.gov.ua/get-user-certificate/45CEleJS1UXRUbdNHpVN" TargetMode="External"/><Relationship Id="rId4274" Type="http://schemas.openxmlformats.org/officeDocument/2006/relationships/hyperlink" Target="https://talan.bank.gov.ua/get-user-certificate/45CEldkbUJzaK-6mrNhG" TargetMode="External"/><Relationship Id="rId4481" Type="http://schemas.openxmlformats.org/officeDocument/2006/relationships/hyperlink" Target="https://talan.bank.gov.ua/get-user-certificate/45CElVnXlXEBW0mGCoPI" TargetMode="External"/><Relationship Id="rId2919" Type="http://schemas.openxmlformats.org/officeDocument/2006/relationships/hyperlink" Target="https://talan.bank.gov.ua/get-user-certificate/45CEle3GkvEpLP3Qff3i" TargetMode="External"/><Relationship Id="rId3083" Type="http://schemas.openxmlformats.org/officeDocument/2006/relationships/hyperlink" Target="https://talan.bank.gov.ua/get-user-certificate/45CElhjlItoo4t8aB_ey" TargetMode="External"/><Relationship Id="rId3290" Type="http://schemas.openxmlformats.org/officeDocument/2006/relationships/hyperlink" Target="https://talan.bank.gov.ua/get-user-certificate/45CEliqMD2ZFgWuusfY8" TargetMode="External"/><Relationship Id="rId4134" Type="http://schemas.openxmlformats.org/officeDocument/2006/relationships/hyperlink" Target="https://talan.bank.gov.ua/get-user-certificate/45CElyZi12lcsRB7QyyB" TargetMode="External"/><Relationship Id="rId4341" Type="http://schemas.openxmlformats.org/officeDocument/2006/relationships/hyperlink" Target="https://talan.bank.gov.ua/get-user-certificate/45CElnb1Tec251KSdK0V" TargetMode="External"/><Relationship Id="rId1728" Type="http://schemas.openxmlformats.org/officeDocument/2006/relationships/hyperlink" Target="https://talan.bank.gov.ua/get-user-certificate/45CElDdilXppmeKu2iXf" TargetMode="External"/><Relationship Id="rId1935" Type="http://schemas.openxmlformats.org/officeDocument/2006/relationships/hyperlink" Target="https://talan.bank.gov.ua/get-user-certificate/45CEllhjvLXFNnSMiawZ" TargetMode="External"/><Relationship Id="rId3150" Type="http://schemas.openxmlformats.org/officeDocument/2006/relationships/hyperlink" Target="https://talan.bank.gov.ua/get-user-certificate/45CEl13JF8N5qqoMc_Cc" TargetMode="External"/><Relationship Id="rId4201" Type="http://schemas.openxmlformats.org/officeDocument/2006/relationships/hyperlink" Target="https://talan.bank.gov.ua/get-user-certificate/45CElunBZcHe7qNLSVe-" TargetMode="External"/><Relationship Id="rId3010" Type="http://schemas.openxmlformats.org/officeDocument/2006/relationships/hyperlink" Target="https://talan.bank.gov.ua/get-user-certificate/45CElIYL-LMyoj7EGMKC" TargetMode="External"/><Relationship Id="rId3967" Type="http://schemas.openxmlformats.org/officeDocument/2006/relationships/hyperlink" Target="https://talan.bank.gov.ua/get-user-certificate/45CElmhb_zPjoQpupEvZ" TargetMode="External"/><Relationship Id="rId4" Type="http://schemas.openxmlformats.org/officeDocument/2006/relationships/hyperlink" Target="https://talan.bank.gov.ua/get-user-certificate/45CElX6p4hIr-gVHq_YY" TargetMode="External"/><Relationship Id="rId888" Type="http://schemas.openxmlformats.org/officeDocument/2006/relationships/hyperlink" Target="https://talan.bank.gov.ua/get-user-certificate/45CElL-prkFmJW9s8kVp" TargetMode="External"/><Relationship Id="rId2569" Type="http://schemas.openxmlformats.org/officeDocument/2006/relationships/hyperlink" Target="https://talan.bank.gov.ua/get-user-certificate/45CElLJlwfJnfze1xVdM" TargetMode="External"/><Relationship Id="rId2776" Type="http://schemas.openxmlformats.org/officeDocument/2006/relationships/hyperlink" Target="https://talan.bank.gov.ua/get-user-certificate/45CEl8MNyvFcsIL26FqS" TargetMode="External"/><Relationship Id="rId2983" Type="http://schemas.openxmlformats.org/officeDocument/2006/relationships/hyperlink" Target="https://talan.bank.gov.ua/get-user-certificate/45CEl-i_AheLSf1xU-J0" TargetMode="External"/><Relationship Id="rId3827" Type="http://schemas.openxmlformats.org/officeDocument/2006/relationships/hyperlink" Target="https://talan.bank.gov.ua/get-user-certificate/45CEl18foMDEcEQONQIM" TargetMode="External"/><Relationship Id="rId748" Type="http://schemas.openxmlformats.org/officeDocument/2006/relationships/hyperlink" Target="https://talan.bank.gov.ua/get-user-certificate/45CElcbEz_u_2RH9wQRO" TargetMode="External"/><Relationship Id="rId955" Type="http://schemas.openxmlformats.org/officeDocument/2006/relationships/hyperlink" Target="https://talan.bank.gov.ua/get-user-certificate/45CEljRuD2-X__VZrfxA" TargetMode="External"/><Relationship Id="rId1378" Type="http://schemas.openxmlformats.org/officeDocument/2006/relationships/hyperlink" Target="https://talan.bank.gov.ua/get-user-certificate/45CElA4jR0gBAlpMGWpc" TargetMode="External"/><Relationship Id="rId1585" Type="http://schemas.openxmlformats.org/officeDocument/2006/relationships/hyperlink" Target="https://talan.bank.gov.ua/get-user-certificate/45CElw856_Jf3m0YnMma" TargetMode="External"/><Relationship Id="rId1792" Type="http://schemas.openxmlformats.org/officeDocument/2006/relationships/hyperlink" Target="https://talan.bank.gov.ua/get-user-certificate/45CEl5evwtWXuWG_8vhg" TargetMode="External"/><Relationship Id="rId2429" Type="http://schemas.openxmlformats.org/officeDocument/2006/relationships/hyperlink" Target="https://talan.bank.gov.ua/get-user-certificate/45CEl1OvUoy6az__VngC" TargetMode="External"/><Relationship Id="rId2636" Type="http://schemas.openxmlformats.org/officeDocument/2006/relationships/hyperlink" Target="https://talan.bank.gov.ua/get-user-certificate/45CEl9yKBP828BnQInho" TargetMode="External"/><Relationship Id="rId2843" Type="http://schemas.openxmlformats.org/officeDocument/2006/relationships/hyperlink" Target="https://talan.bank.gov.ua/get-user-certificate/45CElodp2sP2XTvYQ2st" TargetMode="External"/><Relationship Id="rId84" Type="http://schemas.openxmlformats.org/officeDocument/2006/relationships/hyperlink" Target="https://talan.bank.gov.ua/get-user-certificate/45CEl9GFmX6SDd-ygBGK" TargetMode="External"/><Relationship Id="rId608" Type="http://schemas.openxmlformats.org/officeDocument/2006/relationships/hyperlink" Target="https://talan.bank.gov.ua/get-user-certificate/45CEl5k1WOdczIULOjuH" TargetMode="External"/><Relationship Id="rId815" Type="http://schemas.openxmlformats.org/officeDocument/2006/relationships/hyperlink" Target="https://talan.bank.gov.ua/get-user-certificate/45CElHIZGW_tiL6A5o0q" TargetMode="External"/><Relationship Id="rId1238" Type="http://schemas.openxmlformats.org/officeDocument/2006/relationships/hyperlink" Target="https://talan.bank.gov.ua/get-user-certificate/45CElREq0k5kiUYk6o5-" TargetMode="External"/><Relationship Id="rId1445" Type="http://schemas.openxmlformats.org/officeDocument/2006/relationships/hyperlink" Target="https://talan.bank.gov.ua/get-user-certificate/45CElNmxKMdHCXjhBNFb" TargetMode="External"/><Relationship Id="rId1652" Type="http://schemas.openxmlformats.org/officeDocument/2006/relationships/hyperlink" Target="https://talan.bank.gov.ua/get-user-certificate/45CElO96uTPRU0vcdHp5" TargetMode="External"/><Relationship Id="rId1305" Type="http://schemas.openxmlformats.org/officeDocument/2006/relationships/hyperlink" Target="https://talan.bank.gov.ua/get-user-certificate/45CElr1jNhi0S27RG5f_" TargetMode="External"/><Relationship Id="rId2703" Type="http://schemas.openxmlformats.org/officeDocument/2006/relationships/hyperlink" Target="https://talan.bank.gov.ua/get-user-certificate/45CEl_HjZtWon5b-rCRv" TargetMode="External"/><Relationship Id="rId2910" Type="http://schemas.openxmlformats.org/officeDocument/2006/relationships/hyperlink" Target="https://talan.bank.gov.ua/get-user-certificate/45CElfGHkqJ4uEvVUXjo" TargetMode="External"/><Relationship Id="rId1512" Type="http://schemas.openxmlformats.org/officeDocument/2006/relationships/hyperlink" Target="https://talan.bank.gov.ua/get-user-certificate/45CEl_BnxffbgT3n-pw4" TargetMode="External"/><Relationship Id="rId4668" Type="http://schemas.openxmlformats.org/officeDocument/2006/relationships/hyperlink" Target="https://talan.bank.gov.ua/get-user-certificate/45CEl3TUYeHR_l1IVbqD" TargetMode="External"/><Relationship Id="rId4875" Type="http://schemas.openxmlformats.org/officeDocument/2006/relationships/hyperlink" Target="https://talan.bank.gov.ua/get-user-certificate/45CElFqIz8MfdVpq7BdO" TargetMode="External"/><Relationship Id="rId11" Type="http://schemas.openxmlformats.org/officeDocument/2006/relationships/hyperlink" Target="https://talan.bank.gov.ua/get-user-certificate/45CElInzEYzLZlQIx3xZ" TargetMode="External"/><Relationship Id="rId398" Type="http://schemas.openxmlformats.org/officeDocument/2006/relationships/hyperlink" Target="https://talan.bank.gov.ua/get-user-certificate/45CElHsw56sfIlhY_BkX" TargetMode="External"/><Relationship Id="rId2079" Type="http://schemas.openxmlformats.org/officeDocument/2006/relationships/hyperlink" Target="https://talan.bank.gov.ua/get-user-certificate/45CEl-QOL10q_Vf-d9zI" TargetMode="External"/><Relationship Id="rId3477" Type="http://schemas.openxmlformats.org/officeDocument/2006/relationships/hyperlink" Target="https://talan.bank.gov.ua/get-user-certificate/45CEl4vYz5pE4t6PnDHd" TargetMode="External"/><Relationship Id="rId3684" Type="http://schemas.openxmlformats.org/officeDocument/2006/relationships/hyperlink" Target="https://talan.bank.gov.ua/get-user-certificate/45CEld45h0cc5Ya97Xay" TargetMode="External"/><Relationship Id="rId3891" Type="http://schemas.openxmlformats.org/officeDocument/2006/relationships/hyperlink" Target="https://talan.bank.gov.ua/get-user-certificate/45CElJLBmdxPRcEHjzLi" TargetMode="External"/><Relationship Id="rId4528" Type="http://schemas.openxmlformats.org/officeDocument/2006/relationships/hyperlink" Target="https://talan.bank.gov.ua/get-user-certificate/45CElzTRsiLHwltd0l_H" TargetMode="External"/><Relationship Id="rId4735" Type="http://schemas.openxmlformats.org/officeDocument/2006/relationships/hyperlink" Target="https://talan.bank.gov.ua/get-user-certificate/45CElZHo-8u7Px9JLjWW" TargetMode="External"/><Relationship Id="rId4942" Type="http://schemas.openxmlformats.org/officeDocument/2006/relationships/hyperlink" Target="https://talan.bank.gov.ua/get-user-certificate/45CElZLaZTkD_5MLyBko" TargetMode="External"/><Relationship Id="rId2286" Type="http://schemas.openxmlformats.org/officeDocument/2006/relationships/hyperlink" Target="https://talan.bank.gov.ua/get-user-certificate/45CElajHLabrzXy-unp4" TargetMode="External"/><Relationship Id="rId2493" Type="http://schemas.openxmlformats.org/officeDocument/2006/relationships/hyperlink" Target="https://talan.bank.gov.ua/get-user-certificate/45CElATLhr0rwiXgLKW7" TargetMode="External"/><Relationship Id="rId3337" Type="http://schemas.openxmlformats.org/officeDocument/2006/relationships/hyperlink" Target="https://talan.bank.gov.ua/get-user-certificate/45CElwLYhh5T4vm-ujuY" TargetMode="External"/><Relationship Id="rId3544" Type="http://schemas.openxmlformats.org/officeDocument/2006/relationships/hyperlink" Target="https://talan.bank.gov.ua/get-user-certificate/45CEl16YgxaDl8_035l3" TargetMode="External"/><Relationship Id="rId3751" Type="http://schemas.openxmlformats.org/officeDocument/2006/relationships/hyperlink" Target="https://talan.bank.gov.ua/get-user-certificate/45CElxoMpeMZAP1EJUAU" TargetMode="External"/><Relationship Id="rId4802" Type="http://schemas.openxmlformats.org/officeDocument/2006/relationships/hyperlink" Target="https://talan.bank.gov.ua/get-user-certificate/45CElxI-8uR4iG3OO957" TargetMode="External"/><Relationship Id="rId258" Type="http://schemas.openxmlformats.org/officeDocument/2006/relationships/hyperlink" Target="https://talan.bank.gov.ua/get-user-certificate/45CElrlrwGPeEOgRqvZt" TargetMode="External"/><Relationship Id="rId465" Type="http://schemas.openxmlformats.org/officeDocument/2006/relationships/hyperlink" Target="https://talan.bank.gov.ua/get-user-certificate/45CElDF36nrLUP5hWoIk" TargetMode="External"/><Relationship Id="rId672" Type="http://schemas.openxmlformats.org/officeDocument/2006/relationships/hyperlink" Target="https://talan.bank.gov.ua/get-user-certificate/45CElPeMyQlqttGj25Iz" TargetMode="External"/><Relationship Id="rId1095" Type="http://schemas.openxmlformats.org/officeDocument/2006/relationships/hyperlink" Target="https://talan.bank.gov.ua/get-user-certificate/45CElUyeEv_jVabBoYTS" TargetMode="External"/><Relationship Id="rId2146" Type="http://schemas.openxmlformats.org/officeDocument/2006/relationships/hyperlink" Target="https://talan.bank.gov.ua/get-user-certificate/45CEln2pd3zlF-iF0tvW" TargetMode="External"/><Relationship Id="rId2353" Type="http://schemas.openxmlformats.org/officeDocument/2006/relationships/hyperlink" Target="https://talan.bank.gov.ua/get-user-certificate/45CElO5S2OX54Xtn_92x" TargetMode="External"/><Relationship Id="rId2560" Type="http://schemas.openxmlformats.org/officeDocument/2006/relationships/hyperlink" Target="https://talan.bank.gov.ua/get-user-certificate/45CEll7tKwf1NASQPw2V" TargetMode="External"/><Relationship Id="rId3404" Type="http://schemas.openxmlformats.org/officeDocument/2006/relationships/hyperlink" Target="https://talan.bank.gov.ua/get-user-certificate/45CElyVVMQtyqU9eAe9M" TargetMode="External"/><Relationship Id="rId3611" Type="http://schemas.openxmlformats.org/officeDocument/2006/relationships/hyperlink" Target="https://talan.bank.gov.ua/get-user-certificate/45CElqlhwgdllVgYrJmJ" TargetMode="External"/><Relationship Id="rId118" Type="http://schemas.openxmlformats.org/officeDocument/2006/relationships/hyperlink" Target="https://talan.bank.gov.ua/get-user-certificate/45CElWaOdNs5zZLvX09X" TargetMode="External"/><Relationship Id="rId325" Type="http://schemas.openxmlformats.org/officeDocument/2006/relationships/hyperlink" Target="https://talan.bank.gov.ua/get-user-certificate/45CElLRTKsTmIX33rmE-" TargetMode="External"/><Relationship Id="rId532" Type="http://schemas.openxmlformats.org/officeDocument/2006/relationships/hyperlink" Target="https://talan.bank.gov.ua/get-user-certificate/45CElWOVsZUdqTPiKpVp" TargetMode="External"/><Relationship Id="rId1162" Type="http://schemas.openxmlformats.org/officeDocument/2006/relationships/hyperlink" Target="https://talan.bank.gov.ua/get-user-certificate/45CElFlQvxv2eJ75-rEB" TargetMode="External"/><Relationship Id="rId2006" Type="http://schemas.openxmlformats.org/officeDocument/2006/relationships/hyperlink" Target="https://talan.bank.gov.ua/get-user-certificate/45CElNtfbyRuZ4obiEiG" TargetMode="External"/><Relationship Id="rId2213" Type="http://schemas.openxmlformats.org/officeDocument/2006/relationships/hyperlink" Target="https://talan.bank.gov.ua/get-user-certificate/45CElNNQOQzPvkS1mQHC" TargetMode="External"/><Relationship Id="rId2420" Type="http://schemas.openxmlformats.org/officeDocument/2006/relationships/hyperlink" Target="https://talan.bank.gov.ua/get-user-certificate/45CElgVvnP6f8e4CMg-y" TargetMode="External"/><Relationship Id="rId1022" Type="http://schemas.openxmlformats.org/officeDocument/2006/relationships/hyperlink" Target="https://talan.bank.gov.ua/get-user-certificate/45CElrgzsd9awSzU35Rx" TargetMode="External"/><Relationship Id="rId4178" Type="http://schemas.openxmlformats.org/officeDocument/2006/relationships/hyperlink" Target="https://talan.bank.gov.ua/get-user-certificate/45CEl5lqO2l0l_gGcmhL" TargetMode="External"/><Relationship Id="rId4385" Type="http://schemas.openxmlformats.org/officeDocument/2006/relationships/hyperlink" Target="https://talan.bank.gov.ua/get-user-certificate/45CEliRDS9WwM86ssZ2c" TargetMode="External"/><Relationship Id="rId4592" Type="http://schemas.openxmlformats.org/officeDocument/2006/relationships/hyperlink" Target="https://talan.bank.gov.ua/get-user-certificate/45CEl00JySRWnsACi5h1" TargetMode="External"/><Relationship Id="rId1979" Type="http://schemas.openxmlformats.org/officeDocument/2006/relationships/hyperlink" Target="https://talan.bank.gov.ua/get-user-certificate/45CElzyusVh-M_IjLtwj" TargetMode="External"/><Relationship Id="rId3194" Type="http://schemas.openxmlformats.org/officeDocument/2006/relationships/hyperlink" Target="https://talan.bank.gov.ua/get-user-certificate/45CElVwCuY1ZztqrN2FL" TargetMode="External"/><Relationship Id="rId4038" Type="http://schemas.openxmlformats.org/officeDocument/2006/relationships/hyperlink" Target="https://talan.bank.gov.ua/get-user-certificate/45CElcRT9MLdExtshzws" TargetMode="External"/><Relationship Id="rId4245" Type="http://schemas.openxmlformats.org/officeDocument/2006/relationships/hyperlink" Target="https://talan.bank.gov.ua/get-user-certificate/45CElO7q54quu83UyfSI" TargetMode="External"/><Relationship Id="rId1839" Type="http://schemas.openxmlformats.org/officeDocument/2006/relationships/hyperlink" Target="https://talan.bank.gov.ua/get-user-certificate/45CEl9PnQwAEfKvs0aJI" TargetMode="External"/><Relationship Id="rId3054" Type="http://schemas.openxmlformats.org/officeDocument/2006/relationships/hyperlink" Target="https://talan.bank.gov.ua/get-user-certificate/45CElnleEJ1C6U52jVg3" TargetMode="External"/><Relationship Id="rId4452" Type="http://schemas.openxmlformats.org/officeDocument/2006/relationships/hyperlink" Target="https://talan.bank.gov.ua/get-user-certificate/45CElGFVlsYzRH1g721g" TargetMode="External"/><Relationship Id="rId182" Type="http://schemas.openxmlformats.org/officeDocument/2006/relationships/hyperlink" Target="https://talan.bank.gov.ua/get-user-certificate/45CElEkujEzXeeOGorBW" TargetMode="External"/><Relationship Id="rId1906" Type="http://schemas.openxmlformats.org/officeDocument/2006/relationships/hyperlink" Target="https://talan.bank.gov.ua/get-user-certificate/45CElcjxf8nBan9EiVCE" TargetMode="External"/><Relationship Id="rId3261" Type="http://schemas.openxmlformats.org/officeDocument/2006/relationships/hyperlink" Target="https://talan.bank.gov.ua/get-user-certificate/45CElXjct8H_nI8_Lfn4" TargetMode="External"/><Relationship Id="rId4105" Type="http://schemas.openxmlformats.org/officeDocument/2006/relationships/hyperlink" Target="https://talan.bank.gov.ua/get-user-certificate/45CElNKLkIrZ3CxMGAc0" TargetMode="External"/><Relationship Id="rId4312" Type="http://schemas.openxmlformats.org/officeDocument/2006/relationships/hyperlink" Target="https://talan.bank.gov.ua/get-user-certificate/45CEl5WVF_q-NsMR-hBk" TargetMode="External"/><Relationship Id="rId2070" Type="http://schemas.openxmlformats.org/officeDocument/2006/relationships/hyperlink" Target="https://talan.bank.gov.ua/get-user-certificate/45CElv6VnQsyvp_5zIdt" TargetMode="External"/><Relationship Id="rId3121" Type="http://schemas.openxmlformats.org/officeDocument/2006/relationships/hyperlink" Target="https://talan.bank.gov.ua/get-user-certificate/45CElljjTnWH9uv3clPo" TargetMode="External"/><Relationship Id="rId999" Type="http://schemas.openxmlformats.org/officeDocument/2006/relationships/hyperlink" Target="https://talan.bank.gov.ua/get-user-certificate/45CElXobSM4ztamSyw2k" TargetMode="External"/><Relationship Id="rId2887" Type="http://schemas.openxmlformats.org/officeDocument/2006/relationships/hyperlink" Target="https://talan.bank.gov.ua/get-user-certificate/45CElxNS5jhMwBxWLakY" TargetMode="External"/><Relationship Id="rId859" Type="http://schemas.openxmlformats.org/officeDocument/2006/relationships/hyperlink" Target="https://talan.bank.gov.ua/get-user-certificate/45CElPd07hIHvE8BT2FF" TargetMode="External"/><Relationship Id="rId1489" Type="http://schemas.openxmlformats.org/officeDocument/2006/relationships/hyperlink" Target="https://talan.bank.gov.ua/get-user-certificate/45CElm5LSWrQXPosoMUm" TargetMode="External"/><Relationship Id="rId1696" Type="http://schemas.openxmlformats.org/officeDocument/2006/relationships/hyperlink" Target="https://talan.bank.gov.ua/get-user-certificate/45CElcCGKrVzlzBGHx1l" TargetMode="External"/><Relationship Id="rId3938" Type="http://schemas.openxmlformats.org/officeDocument/2006/relationships/hyperlink" Target="https://talan.bank.gov.ua/get-user-certificate/45CEluupcE0Me5JNXwFC" TargetMode="External"/><Relationship Id="rId1349" Type="http://schemas.openxmlformats.org/officeDocument/2006/relationships/hyperlink" Target="https://talan.bank.gov.ua/get-user-certificate/45CElC7ckgOv-CiGaXdT" TargetMode="External"/><Relationship Id="rId2747" Type="http://schemas.openxmlformats.org/officeDocument/2006/relationships/hyperlink" Target="https://talan.bank.gov.ua/get-user-certificate/45CEluqzqndUxVUhPB3G" TargetMode="External"/><Relationship Id="rId2954" Type="http://schemas.openxmlformats.org/officeDocument/2006/relationships/hyperlink" Target="https://talan.bank.gov.ua/get-user-certificate/45CEl6rX0jURlwTmkbw7" TargetMode="External"/><Relationship Id="rId5013" Type="http://schemas.openxmlformats.org/officeDocument/2006/relationships/hyperlink" Target="https://talan.bank.gov.ua/get-user-certificate/ki8Tni2zmXpoWd9LM81A" TargetMode="External"/><Relationship Id="rId719" Type="http://schemas.openxmlformats.org/officeDocument/2006/relationships/hyperlink" Target="https://talan.bank.gov.ua/get-user-certificate/45CElnxqt_pvqCGq-GnI" TargetMode="External"/><Relationship Id="rId926" Type="http://schemas.openxmlformats.org/officeDocument/2006/relationships/hyperlink" Target="https://talan.bank.gov.ua/get-user-certificate/45CElZe8BunDofkajTkv" TargetMode="External"/><Relationship Id="rId1556" Type="http://schemas.openxmlformats.org/officeDocument/2006/relationships/hyperlink" Target="https://talan.bank.gov.ua/get-user-certificate/45CElruDHMSg6KFrCFe_" TargetMode="External"/><Relationship Id="rId1763" Type="http://schemas.openxmlformats.org/officeDocument/2006/relationships/hyperlink" Target="https://talan.bank.gov.ua/get-user-certificate/45CElxb97C7U5LRz9a3s" TargetMode="External"/><Relationship Id="rId1970" Type="http://schemas.openxmlformats.org/officeDocument/2006/relationships/hyperlink" Target="https://talan.bank.gov.ua/get-user-certificate/45CEl6WpdPR1YBb9p74g" TargetMode="External"/><Relationship Id="rId2607" Type="http://schemas.openxmlformats.org/officeDocument/2006/relationships/hyperlink" Target="https://talan.bank.gov.ua/get-user-certificate/45CElibf6ilypp6Qkn4j" TargetMode="External"/><Relationship Id="rId2814" Type="http://schemas.openxmlformats.org/officeDocument/2006/relationships/hyperlink" Target="https://talan.bank.gov.ua/get-user-certificate/45CElt2b0AlcM8Vlf3jQ" TargetMode="External"/><Relationship Id="rId55" Type="http://schemas.openxmlformats.org/officeDocument/2006/relationships/hyperlink" Target="https://talan.bank.gov.ua/get-user-certificate/45CElGCtu9RO42gPWixP" TargetMode="External"/><Relationship Id="rId1209" Type="http://schemas.openxmlformats.org/officeDocument/2006/relationships/hyperlink" Target="https://talan.bank.gov.ua/get-user-certificate/45CElJLVG6Tw1H-wtpeq" TargetMode="External"/><Relationship Id="rId1416" Type="http://schemas.openxmlformats.org/officeDocument/2006/relationships/hyperlink" Target="https://talan.bank.gov.ua/get-user-certificate/45CEl-OteospRx4-fPtm" TargetMode="External"/><Relationship Id="rId1623" Type="http://schemas.openxmlformats.org/officeDocument/2006/relationships/hyperlink" Target="https://talan.bank.gov.ua/get-user-certificate/45CElsrj4svOI4ad2Qbr" TargetMode="External"/><Relationship Id="rId1830" Type="http://schemas.openxmlformats.org/officeDocument/2006/relationships/hyperlink" Target="https://talan.bank.gov.ua/get-user-certificate/45CElsIxFzTZphI1Oy2d" TargetMode="External"/><Relationship Id="rId4779" Type="http://schemas.openxmlformats.org/officeDocument/2006/relationships/hyperlink" Target="https://talan.bank.gov.ua/get-user-certificate/45CEl7PrR6pGA5nnXldh" TargetMode="External"/><Relationship Id="rId4986" Type="http://schemas.openxmlformats.org/officeDocument/2006/relationships/hyperlink" Target="https://talan.bank.gov.ua/get-user-certificate/ki8TnqeOKLqBjdRCZCD4" TargetMode="External"/><Relationship Id="rId3588" Type="http://schemas.openxmlformats.org/officeDocument/2006/relationships/hyperlink" Target="https://talan.bank.gov.ua/get-user-certificate/45CElFN3Kp_LLGhiQxLQ" TargetMode="External"/><Relationship Id="rId3795" Type="http://schemas.openxmlformats.org/officeDocument/2006/relationships/hyperlink" Target="https://talan.bank.gov.ua/get-user-certificate/45CElEFjI6DBslezYtGt" TargetMode="External"/><Relationship Id="rId4639" Type="http://schemas.openxmlformats.org/officeDocument/2006/relationships/hyperlink" Target="https://talan.bank.gov.ua/get-user-certificate/45CEll7DQOXWsmSE8eeC" TargetMode="External"/><Relationship Id="rId4846" Type="http://schemas.openxmlformats.org/officeDocument/2006/relationships/hyperlink" Target="https://talan.bank.gov.ua/get-user-certificate/45CEl-6rsNCGbKPKazLE" TargetMode="External"/><Relationship Id="rId2397" Type="http://schemas.openxmlformats.org/officeDocument/2006/relationships/hyperlink" Target="https://talan.bank.gov.ua/get-user-certificate/45CEleaPDsQb96JZuTfl" TargetMode="External"/><Relationship Id="rId3448" Type="http://schemas.openxmlformats.org/officeDocument/2006/relationships/hyperlink" Target="https://talan.bank.gov.ua/get-user-certificate/45CElvlGCiGSJFNVat4i" TargetMode="External"/><Relationship Id="rId3655" Type="http://schemas.openxmlformats.org/officeDocument/2006/relationships/hyperlink" Target="https://talan.bank.gov.ua/get-user-certificate/45CEljSYL8u0X8maX8T7" TargetMode="External"/><Relationship Id="rId3862" Type="http://schemas.openxmlformats.org/officeDocument/2006/relationships/hyperlink" Target="https://talan.bank.gov.ua/get-user-certificate/45CEluO_AP05xkfNGyKS" TargetMode="External"/><Relationship Id="rId4706" Type="http://schemas.openxmlformats.org/officeDocument/2006/relationships/hyperlink" Target="https://talan.bank.gov.ua/get-user-certificate/45CElySjWW-4XdSL4O84" TargetMode="External"/><Relationship Id="rId369" Type="http://schemas.openxmlformats.org/officeDocument/2006/relationships/hyperlink" Target="https://talan.bank.gov.ua/get-user-certificate/45CEl9fzrpMWxst9Hrvb" TargetMode="External"/><Relationship Id="rId576" Type="http://schemas.openxmlformats.org/officeDocument/2006/relationships/hyperlink" Target="https://talan.bank.gov.ua/get-user-certificate/45CEloIrL6ZMGIEernFs" TargetMode="External"/><Relationship Id="rId783" Type="http://schemas.openxmlformats.org/officeDocument/2006/relationships/hyperlink" Target="https://talan.bank.gov.ua/get-user-certificate/45CElqysCBVoLh9vEeuf" TargetMode="External"/><Relationship Id="rId990" Type="http://schemas.openxmlformats.org/officeDocument/2006/relationships/hyperlink" Target="https://talan.bank.gov.ua/get-user-certificate/45CElG7avmc_QGXZsNo0" TargetMode="External"/><Relationship Id="rId2257" Type="http://schemas.openxmlformats.org/officeDocument/2006/relationships/hyperlink" Target="https://talan.bank.gov.ua/get-user-certificate/45CEl0uXIXY2BaNuUBYw" TargetMode="External"/><Relationship Id="rId2464" Type="http://schemas.openxmlformats.org/officeDocument/2006/relationships/hyperlink" Target="https://talan.bank.gov.ua/get-user-certificate/45CElI3wQZXR1Q2e7iD1" TargetMode="External"/><Relationship Id="rId2671" Type="http://schemas.openxmlformats.org/officeDocument/2006/relationships/hyperlink" Target="https://talan.bank.gov.ua/get-user-certificate/45CEljWEU1L2imdc8AkD" TargetMode="External"/><Relationship Id="rId3308" Type="http://schemas.openxmlformats.org/officeDocument/2006/relationships/hyperlink" Target="https://talan.bank.gov.ua/get-user-certificate/45CEldYNpgafIRmlemRM" TargetMode="External"/><Relationship Id="rId3515" Type="http://schemas.openxmlformats.org/officeDocument/2006/relationships/hyperlink" Target="https://talan.bank.gov.ua/get-user-certificate/45CElodngSoYu-yUylGW" TargetMode="External"/><Relationship Id="rId4913" Type="http://schemas.openxmlformats.org/officeDocument/2006/relationships/hyperlink" Target="https://talan.bank.gov.ua/get-user-certificate/45CElLnnrchdsQwucw_J" TargetMode="External"/><Relationship Id="rId229" Type="http://schemas.openxmlformats.org/officeDocument/2006/relationships/hyperlink" Target="https://talan.bank.gov.ua/get-user-certificate/45CElA_LxjOrGXMzcgVN" TargetMode="External"/><Relationship Id="rId436" Type="http://schemas.openxmlformats.org/officeDocument/2006/relationships/hyperlink" Target="https://talan.bank.gov.ua/get-user-certificate/45CElxd4IAqDB1Tvu6QL" TargetMode="External"/><Relationship Id="rId643" Type="http://schemas.openxmlformats.org/officeDocument/2006/relationships/hyperlink" Target="https://talan.bank.gov.ua/get-user-certificate/45CElANO7FEMG4_P3f_y" TargetMode="External"/><Relationship Id="rId1066" Type="http://schemas.openxmlformats.org/officeDocument/2006/relationships/hyperlink" Target="https://talan.bank.gov.ua/get-user-certificate/45CElgdxC9Ff15u5ARru" TargetMode="External"/><Relationship Id="rId1273" Type="http://schemas.openxmlformats.org/officeDocument/2006/relationships/hyperlink" Target="https://talan.bank.gov.ua/get-user-certificate/45CElA2gWB_qY6VP7tMs" TargetMode="External"/><Relationship Id="rId1480" Type="http://schemas.openxmlformats.org/officeDocument/2006/relationships/hyperlink" Target="https://talan.bank.gov.ua/get-user-certificate/45CElwSBBqXlZD_J29ND" TargetMode="External"/><Relationship Id="rId2117" Type="http://schemas.openxmlformats.org/officeDocument/2006/relationships/hyperlink" Target="https://talan.bank.gov.ua/get-user-certificate/45CElQCJLbbLYaq-OB2J" TargetMode="External"/><Relationship Id="rId2324" Type="http://schemas.openxmlformats.org/officeDocument/2006/relationships/hyperlink" Target="https://talan.bank.gov.ua/get-user-certificate/45CEljO1W2nyhsd9lk5w" TargetMode="External"/><Relationship Id="rId3722" Type="http://schemas.openxmlformats.org/officeDocument/2006/relationships/hyperlink" Target="https://talan.bank.gov.ua/get-user-certificate/45CElbUn5lcf5CNQDsZv" TargetMode="External"/><Relationship Id="rId850" Type="http://schemas.openxmlformats.org/officeDocument/2006/relationships/hyperlink" Target="https://talan.bank.gov.ua/get-user-certificate/45CEleQ6KBsCLDoOUp34" TargetMode="External"/><Relationship Id="rId1133" Type="http://schemas.openxmlformats.org/officeDocument/2006/relationships/hyperlink" Target="https://talan.bank.gov.ua/get-user-certificate/45CEl7YrOeYKLd4n1gzA" TargetMode="External"/><Relationship Id="rId2531" Type="http://schemas.openxmlformats.org/officeDocument/2006/relationships/hyperlink" Target="https://talan.bank.gov.ua/get-user-certificate/45CEloAzkfYSc20Mliwu" TargetMode="External"/><Relationship Id="rId4289" Type="http://schemas.openxmlformats.org/officeDocument/2006/relationships/hyperlink" Target="https://talan.bank.gov.ua/get-user-certificate/45CEl5kQLnxvx-o3m7bQ" TargetMode="External"/><Relationship Id="rId503" Type="http://schemas.openxmlformats.org/officeDocument/2006/relationships/hyperlink" Target="https://talan.bank.gov.ua/get-user-certificate/45CElMlPq4cOsvlgJ4XN" TargetMode="External"/><Relationship Id="rId710" Type="http://schemas.openxmlformats.org/officeDocument/2006/relationships/hyperlink" Target="https://talan.bank.gov.ua/get-user-certificate/45CElG6RAcuN7mtD23q0" TargetMode="External"/><Relationship Id="rId1340" Type="http://schemas.openxmlformats.org/officeDocument/2006/relationships/hyperlink" Target="https://talan.bank.gov.ua/get-user-certificate/45CElA9XY497kEaoEA5Q" TargetMode="External"/><Relationship Id="rId3098" Type="http://schemas.openxmlformats.org/officeDocument/2006/relationships/hyperlink" Target="https://talan.bank.gov.ua/get-user-certificate/45CElyUuXO4Yolch_LPc" TargetMode="External"/><Relationship Id="rId4496" Type="http://schemas.openxmlformats.org/officeDocument/2006/relationships/hyperlink" Target="https://talan.bank.gov.ua/get-user-certificate/45CEl8zFhzRuTj41apjH" TargetMode="External"/><Relationship Id="rId1200" Type="http://schemas.openxmlformats.org/officeDocument/2006/relationships/hyperlink" Target="https://talan.bank.gov.ua/get-user-certificate/45CElvx-KCkpLxi4lbUh" TargetMode="External"/><Relationship Id="rId4149" Type="http://schemas.openxmlformats.org/officeDocument/2006/relationships/hyperlink" Target="https://talan.bank.gov.ua/get-user-certificate/45CElAAZPI34DUNwe6JD" TargetMode="External"/><Relationship Id="rId4356" Type="http://schemas.openxmlformats.org/officeDocument/2006/relationships/hyperlink" Target="https://talan.bank.gov.ua/get-user-certificate/45CEl8gaVZlxiDdiTM9l" TargetMode="External"/><Relationship Id="rId4563" Type="http://schemas.openxmlformats.org/officeDocument/2006/relationships/hyperlink" Target="https://talan.bank.gov.ua/get-user-certificate/45CEljlYBmlkppNdstL1" TargetMode="External"/><Relationship Id="rId4770" Type="http://schemas.openxmlformats.org/officeDocument/2006/relationships/hyperlink" Target="https://talan.bank.gov.ua/get-user-certificate/45CElSp94ObxzMYEwOI7" TargetMode="External"/><Relationship Id="rId3165" Type="http://schemas.openxmlformats.org/officeDocument/2006/relationships/hyperlink" Target="https://talan.bank.gov.ua/get-user-certificate/45CElMEXnDmwRe6qERaX" TargetMode="External"/><Relationship Id="rId3372" Type="http://schemas.openxmlformats.org/officeDocument/2006/relationships/hyperlink" Target="https://talan.bank.gov.ua/get-user-certificate/45CEls7Ywe0zWEtHKMty" TargetMode="External"/><Relationship Id="rId4009" Type="http://schemas.openxmlformats.org/officeDocument/2006/relationships/hyperlink" Target="https://talan.bank.gov.ua/get-user-certificate/45CEltVx0xrAtg78gUmJ" TargetMode="External"/><Relationship Id="rId4216" Type="http://schemas.openxmlformats.org/officeDocument/2006/relationships/hyperlink" Target="https://talan.bank.gov.ua/get-user-certificate/45CElm8J0pCbJkCmkOAX" TargetMode="External"/><Relationship Id="rId4423" Type="http://schemas.openxmlformats.org/officeDocument/2006/relationships/hyperlink" Target="https://talan.bank.gov.ua/get-user-certificate/45CEl73uRKmVQyChCaCK" TargetMode="External"/><Relationship Id="rId4630" Type="http://schemas.openxmlformats.org/officeDocument/2006/relationships/hyperlink" Target="https://talan.bank.gov.ua/get-user-certificate/45CEl9ICBGieCxcrk9Vo" TargetMode="External"/><Relationship Id="rId293" Type="http://schemas.openxmlformats.org/officeDocument/2006/relationships/hyperlink" Target="https://talan.bank.gov.ua/get-user-certificate/45CElls3EBRenzkMMXOn" TargetMode="External"/><Relationship Id="rId2181" Type="http://schemas.openxmlformats.org/officeDocument/2006/relationships/hyperlink" Target="https://talan.bank.gov.ua/get-user-certificate/45CEl7Jg2VRuAmTYKwk6" TargetMode="External"/><Relationship Id="rId3025" Type="http://schemas.openxmlformats.org/officeDocument/2006/relationships/hyperlink" Target="https://talan.bank.gov.ua/get-user-certificate/45CElbFPID5wAQKQlsiM" TargetMode="External"/><Relationship Id="rId3232" Type="http://schemas.openxmlformats.org/officeDocument/2006/relationships/hyperlink" Target="https://talan.bank.gov.ua/get-user-certificate/45CElynZk88TTUQugUL9" TargetMode="External"/><Relationship Id="rId153" Type="http://schemas.openxmlformats.org/officeDocument/2006/relationships/hyperlink" Target="https://talan.bank.gov.ua/get-user-certificate/45CEldgnFlYaZrhW7nTn" TargetMode="External"/><Relationship Id="rId360" Type="http://schemas.openxmlformats.org/officeDocument/2006/relationships/hyperlink" Target="https://talan.bank.gov.ua/get-user-certificate/45CEljwOG2O36plgQ0IG" TargetMode="External"/><Relationship Id="rId2041" Type="http://schemas.openxmlformats.org/officeDocument/2006/relationships/hyperlink" Target="https://talan.bank.gov.ua/get-user-certificate/45CElQaVXrnI-b_ibBJ2" TargetMode="External"/><Relationship Id="rId220" Type="http://schemas.openxmlformats.org/officeDocument/2006/relationships/hyperlink" Target="https://talan.bank.gov.ua/get-user-certificate/45CElhoEttWMxVXnxTpX" TargetMode="External"/><Relationship Id="rId2998" Type="http://schemas.openxmlformats.org/officeDocument/2006/relationships/hyperlink" Target="https://talan.bank.gov.ua/get-user-certificate/45CElYaBQdhgQqyYSnGL" TargetMode="External"/><Relationship Id="rId2858" Type="http://schemas.openxmlformats.org/officeDocument/2006/relationships/hyperlink" Target="https://talan.bank.gov.ua/get-user-certificate/45CEl-TcKZ5UGJWzV4MC" TargetMode="External"/><Relationship Id="rId3909" Type="http://schemas.openxmlformats.org/officeDocument/2006/relationships/hyperlink" Target="https://talan.bank.gov.ua/get-user-certificate/45CElMp6-VRa5WqilCtm" TargetMode="External"/><Relationship Id="rId4073" Type="http://schemas.openxmlformats.org/officeDocument/2006/relationships/hyperlink" Target="https://talan.bank.gov.ua/get-user-certificate/45CElXUrl7mvlYRZ64YB" TargetMode="External"/><Relationship Id="rId99" Type="http://schemas.openxmlformats.org/officeDocument/2006/relationships/hyperlink" Target="https://talan.bank.gov.ua/get-user-certificate/45CElJnkypYmQu3FWogZ" TargetMode="External"/><Relationship Id="rId1667" Type="http://schemas.openxmlformats.org/officeDocument/2006/relationships/hyperlink" Target="https://talan.bank.gov.ua/get-user-certificate/45CElt_G6f8cknVyFOg_" TargetMode="External"/><Relationship Id="rId1874" Type="http://schemas.openxmlformats.org/officeDocument/2006/relationships/hyperlink" Target="https://talan.bank.gov.ua/get-user-certificate/45CElnkgBqxHsRDYlZr8" TargetMode="External"/><Relationship Id="rId2718" Type="http://schemas.openxmlformats.org/officeDocument/2006/relationships/hyperlink" Target="https://talan.bank.gov.ua/get-user-certificate/45CEl568bqWDD8iF8nIq" TargetMode="External"/><Relationship Id="rId2925" Type="http://schemas.openxmlformats.org/officeDocument/2006/relationships/hyperlink" Target="https://talan.bank.gov.ua/get-user-certificate/45CElwIq_RGcoKlkQH2T" TargetMode="External"/><Relationship Id="rId4280" Type="http://schemas.openxmlformats.org/officeDocument/2006/relationships/hyperlink" Target="https://talan.bank.gov.ua/get-user-certificate/45CElOQ-73O87U80vmiJ" TargetMode="External"/><Relationship Id="rId1527" Type="http://schemas.openxmlformats.org/officeDocument/2006/relationships/hyperlink" Target="https://talan.bank.gov.ua/get-user-certificate/45CEl3I0H5lj3pdcKUww" TargetMode="External"/><Relationship Id="rId1734" Type="http://schemas.openxmlformats.org/officeDocument/2006/relationships/hyperlink" Target="https://talan.bank.gov.ua/get-user-certificate/45CEl6VCAjXakuxUDUy-" TargetMode="External"/><Relationship Id="rId1941" Type="http://schemas.openxmlformats.org/officeDocument/2006/relationships/hyperlink" Target="https://talan.bank.gov.ua/get-user-certificate/45CEl4shpeCZBcGrZ6LE" TargetMode="External"/><Relationship Id="rId4140" Type="http://schemas.openxmlformats.org/officeDocument/2006/relationships/hyperlink" Target="https://talan.bank.gov.ua/get-user-certificate/45CElMnzRM6hTPQ6iJaU" TargetMode="External"/><Relationship Id="rId26" Type="http://schemas.openxmlformats.org/officeDocument/2006/relationships/hyperlink" Target="https://talan.bank.gov.ua/get-user-certificate/45CEl3mOakjkH8fXV7Nj" TargetMode="External"/><Relationship Id="rId3699" Type="http://schemas.openxmlformats.org/officeDocument/2006/relationships/hyperlink" Target="https://talan.bank.gov.ua/get-user-certificate/45CElod7lV6CiJBonQcP" TargetMode="External"/><Relationship Id="rId4000" Type="http://schemas.openxmlformats.org/officeDocument/2006/relationships/hyperlink" Target="https://talan.bank.gov.ua/get-user-certificate/45CEln2-0Sc_MfJyuiVx" TargetMode="External"/><Relationship Id="rId1801" Type="http://schemas.openxmlformats.org/officeDocument/2006/relationships/hyperlink" Target="https://talan.bank.gov.ua/get-user-certificate/45CElPa5ZdXRKRyEQ7Pt" TargetMode="External"/><Relationship Id="rId3559" Type="http://schemas.openxmlformats.org/officeDocument/2006/relationships/hyperlink" Target="https://talan.bank.gov.ua/get-user-certificate/45CElRBI-5FQzD7lIKyT" TargetMode="External"/><Relationship Id="rId4957" Type="http://schemas.openxmlformats.org/officeDocument/2006/relationships/hyperlink" Target="https://talan.bank.gov.ua/get-user-certificate/45CElV8_OdAI74yPcOoD" TargetMode="External"/><Relationship Id="rId687" Type="http://schemas.openxmlformats.org/officeDocument/2006/relationships/hyperlink" Target="https://talan.bank.gov.ua/get-user-certificate/45CElTeDeJ5pDsCEpUhY" TargetMode="External"/><Relationship Id="rId2368" Type="http://schemas.openxmlformats.org/officeDocument/2006/relationships/hyperlink" Target="https://talan.bank.gov.ua/get-user-certificate/45CElPvwu6owLjkKlxN4" TargetMode="External"/><Relationship Id="rId3766" Type="http://schemas.openxmlformats.org/officeDocument/2006/relationships/hyperlink" Target="https://talan.bank.gov.ua/get-user-certificate/45CElO8XztO0HaehPdpF" TargetMode="External"/><Relationship Id="rId3973" Type="http://schemas.openxmlformats.org/officeDocument/2006/relationships/hyperlink" Target="https://talan.bank.gov.ua/get-user-certificate/45CEl1XrGGY43BpaLPoI" TargetMode="External"/><Relationship Id="rId4817" Type="http://schemas.openxmlformats.org/officeDocument/2006/relationships/hyperlink" Target="https://talan.bank.gov.ua/get-user-certificate/45CElHAKugKHBMoJPxZS" TargetMode="External"/><Relationship Id="rId894" Type="http://schemas.openxmlformats.org/officeDocument/2006/relationships/hyperlink" Target="https://talan.bank.gov.ua/get-user-certificate/45CElPaAgV2IINmkmmer" TargetMode="External"/><Relationship Id="rId1177" Type="http://schemas.openxmlformats.org/officeDocument/2006/relationships/hyperlink" Target="https://talan.bank.gov.ua/get-user-certificate/45CElmvY0qF4FTyNO2Ul" TargetMode="External"/><Relationship Id="rId2575" Type="http://schemas.openxmlformats.org/officeDocument/2006/relationships/hyperlink" Target="https://talan.bank.gov.ua/get-user-certificate/45CElXCh2ToMX64pq6mm" TargetMode="External"/><Relationship Id="rId2782" Type="http://schemas.openxmlformats.org/officeDocument/2006/relationships/hyperlink" Target="https://talan.bank.gov.ua/get-user-certificate/45CEljWshbym_IK4G8FA" TargetMode="External"/><Relationship Id="rId3419" Type="http://schemas.openxmlformats.org/officeDocument/2006/relationships/hyperlink" Target="https://talan.bank.gov.ua/get-user-certificate/45CElD_LxTkyt4UBnOD1" TargetMode="External"/><Relationship Id="rId3626" Type="http://schemas.openxmlformats.org/officeDocument/2006/relationships/hyperlink" Target="https://talan.bank.gov.ua/get-user-certificate/45CElsxUp0JiZr77ByuH" TargetMode="External"/><Relationship Id="rId3833" Type="http://schemas.openxmlformats.org/officeDocument/2006/relationships/hyperlink" Target="https://talan.bank.gov.ua/get-user-certificate/45CElmb2V_4jL2xv9mbA" TargetMode="External"/><Relationship Id="rId547" Type="http://schemas.openxmlformats.org/officeDocument/2006/relationships/hyperlink" Target="https://talan.bank.gov.ua/get-user-certificate/45CElvwkGONYGnATYIN4" TargetMode="External"/><Relationship Id="rId754" Type="http://schemas.openxmlformats.org/officeDocument/2006/relationships/hyperlink" Target="https://talan.bank.gov.ua/get-user-certificate/45CElIp8EGf2gSzBeTIc" TargetMode="External"/><Relationship Id="rId961" Type="http://schemas.openxmlformats.org/officeDocument/2006/relationships/hyperlink" Target="https://talan.bank.gov.ua/get-user-certificate/45CEl1oSJ4wvj7S1X6Z7" TargetMode="External"/><Relationship Id="rId1384" Type="http://schemas.openxmlformats.org/officeDocument/2006/relationships/hyperlink" Target="https://talan.bank.gov.ua/get-user-certificate/45CElYg8jW2e9hFl7KEY" TargetMode="External"/><Relationship Id="rId1591" Type="http://schemas.openxmlformats.org/officeDocument/2006/relationships/hyperlink" Target="https://talan.bank.gov.ua/get-user-certificate/45CElT4fe1YtJvMBVWs3" TargetMode="External"/><Relationship Id="rId2228" Type="http://schemas.openxmlformats.org/officeDocument/2006/relationships/hyperlink" Target="https://talan.bank.gov.ua/get-user-certificate/45CElYzMiQyA7bj6LpN5" TargetMode="External"/><Relationship Id="rId2435" Type="http://schemas.openxmlformats.org/officeDocument/2006/relationships/hyperlink" Target="https://talan.bank.gov.ua/get-user-certificate/45CElxR9DgZLYQIsgzdI" TargetMode="External"/><Relationship Id="rId2642" Type="http://schemas.openxmlformats.org/officeDocument/2006/relationships/hyperlink" Target="https://talan.bank.gov.ua/get-user-certificate/45CEldfFZwr4F_50FJx9" TargetMode="External"/><Relationship Id="rId3900" Type="http://schemas.openxmlformats.org/officeDocument/2006/relationships/hyperlink" Target="https://talan.bank.gov.ua/get-user-certificate/45CElkwHdL-ujgJvnOxo" TargetMode="External"/><Relationship Id="rId90" Type="http://schemas.openxmlformats.org/officeDocument/2006/relationships/hyperlink" Target="https://talan.bank.gov.ua/get-user-certificate/45CElzOTNz-BZS0-ctSm" TargetMode="External"/><Relationship Id="rId407" Type="http://schemas.openxmlformats.org/officeDocument/2006/relationships/hyperlink" Target="https://talan.bank.gov.ua/get-user-certificate/45CEl9bYEa16G4IfLr1M" TargetMode="External"/><Relationship Id="rId614" Type="http://schemas.openxmlformats.org/officeDocument/2006/relationships/hyperlink" Target="https://talan.bank.gov.ua/get-user-certificate/45CElaLQxjEzXvtmDYo-" TargetMode="External"/><Relationship Id="rId821" Type="http://schemas.openxmlformats.org/officeDocument/2006/relationships/hyperlink" Target="https://talan.bank.gov.ua/get-user-certificate/45CElVv3jhegq5TcUecw" TargetMode="External"/><Relationship Id="rId1037" Type="http://schemas.openxmlformats.org/officeDocument/2006/relationships/hyperlink" Target="https://talan.bank.gov.ua/get-user-certificate/45CElbiczH2uODbvmX_Y" TargetMode="External"/><Relationship Id="rId1244" Type="http://schemas.openxmlformats.org/officeDocument/2006/relationships/hyperlink" Target="https://talan.bank.gov.ua/get-user-certificate/45CElf5vgQQymrgeok27" TargetMode="External"/><Relationship Id="rId1451" Type="http://schemas.openxmlformats.org/officeDocument/2006/relationships/hyperlink" Target="https://talan.bank.gov.ua/get-user-certificate/45CElRXcFpUrcwLWn4O8" TargetMode="External"/><Relationship Id="rId2502" Type="http://schemas.openxmlformats.org/officeDocument/2006/relationships/hyperlink" Target="https://talan.bank.gov.ua/get-user-certificate/45CElAY2Oh4zZYbqr785" TargetMode="External"/><Relationship Id="rId1104" Type="http://schemas.openxmlformats.org/officeDocument/2006/relationships/hyperlink" Target="https://talan.bank.gov.ua/get-user-certificate/45CElxScaQbWfSxeQ49f" TargetMode="External"/><Relationship Id="rId1311" Type="http://schemas.openxmlformats.org/officeDocument/2006/relationships/hyperlink" Target="https://talan.bank.gov.ua/get-user-certificate/45CElN9qJCzk75XdscFM" TargetMode="External"/><Relationship Id="rId4467" Type="http://schemas.openxmlformats.org/officeDocument/2006/relationships/hyperlink" Target="https://talan.bank.gov.ua/get-user-certificate/45CElMAh49w9o1OgCUGm" TargetMode="External"/><Relationship Id="rId4674" Type="http://schemas.openxmlformats.org/officeDocument/2006/relationships/hyperlink" Target="https://talan.bank.gov.ua/get-user-certificate/45CEl8E4apQDjYxZLO1q" TargetMode="External"/><Relationship Id="rId4881" Type="http://schemas.openxmlformats.org/officeDocument/2006/relationships/hyperlink" Target="https://talan.bank.gov.ua/get-user-certificate/45CElFrx57W_rukd_RYg" TargetMode="External"/><Relationship Id="rId3069" Type="http://schemas.openxmlformats.org/officeDocument/2006/relationships/hyperlink" Target="https://talan.bank.gov.ua/get-user-certificate/45CElqNmMTgPQ5dJ1fxK" TargetMode="External"/><Relationship Id="rId3276" Type="http://schemas.openxmlformats.org/officeDocument/2006/relationships/hyperlink" Target="https://talan.bank.gov.ua/get-user-certificate/45CEl-Vh4pja-U4hYzv_" TargetMode="External"/><Relationship Id="rId3483" Type="http://schemas.openxmlformats.org/officeDocument/2006/relationships/hyperlink" Target="https://talan.bank.gov.ua/get-user-certificate/45CElYHCaPM5tdX2EWEc" TargetMode="External"/><Relationship Id="rId3690" Type="http://schemas.openxmlformats.org/officeDocument/2006/relationships/hyperlink" Target="https://talan.bank.gov.ua/get-user-certificate/45CElk2hTlPpfwWXgfv0" TargetMode="External"/><Relationship Id="rId4327" Type="http://schemas.openxmlformats.org/officeDocument/2006/relationships/hyperlink" Target="https://talan.bank.gov.ua/get-user-certificate/45CElrkBmYr5albuTP8n" TargetMode="External"/><Relationship Id="rId4534" Type="http://schemas.openxmlformats.org/officeDocument/2006/relationships/hyperlink" Target="https://talan.bank.gov.ua/get-user-certificate/45CElmj-eWadnqRqennq" TargetMode="External"/><Relationship Id="rId197" Type="http://schemas.openxmlformats.org/officeDocument/2006/relationships/hyperlink" Target="https://talan.bank.gov.ua/get-user-certificate/45CElXzRJpooQA4_H051" TargetMode="External"/><Relationship Id="rId2085" Type="http://schemas.openxmlformats.org/officeDocument/2006/relationships/hyperlink" Target="https://talan.bank.gov.ua/get-user-certificate/45CElD1LTdedhVF46YRA" TargetMode="External"/><Relationship Id="rId2292" Type="http://schemas.openxmlformats.org/officeDocument/2006/relationships/hyperlink" Target="https://talan.bank.gov.ua/get-user-certificate/45CEl66aiGR_ZIhkY6wp" TargetMode="External"/><Relationship Id="rId3136" Type="http://schemas.openxmlformats.org/officeDocument/2006/relationships/hyperlink" Target="https://talan.bank.gov.ua/get-user-certificate/45CElu_WrJV_FgtLAXxq" TargetMode="External"/><Relationship Id="rId3343" Type="http://schemas.openxmlformats.org/officeDocument/2006/relationships/hyperlink" Target="https://talan.bank.gov.ua/get-user-certificate/45CEl3upSSezqi_FEd7q" TargetMode="External"/><Relationship Id="rId4741" Type="http://schemas.openxmlformats.org/officeDocument/2006/relationships/hyperlink" Target="https://talan.bank.gov.ua/get-user-certificate/45CElMMgJOdsMFE8fJBG" TargetMode="External"/><Relationship Id="rId264" Type="http://schemas.openxmlformats.org/officeDocument/2006/relationships/hyperlink" Target="https://talan.bank.gov.ua/get-user-certificate/45CElHP8bUVxEQM5_okY" TargetMode="External"/><Relationship Id="rId471" Type="http://schemas.openxmlformats.org/officeDocument/2006/relationships/hyperlink" Target="https://talan.bank.gov.ua/get-user-certificate/45CEl29xLgAlN21hMvJ2" TargetMode="External"/><Relationship Id="rId2152" Type="http://schemas.openxmlformats.org/officeDocument/2006/relationships/hyperlink" Target="https://talan.bank.gov.ua/get-user-certificate/45CElDCFEJ5ypq_xgq_U" TargetMode="External"/><Relationship Id="rId3550" Type="http://schemas.openxmlformats.org/officeDocument/2006/relationships/hyperlink" Target="https://talan.bank.gov.ua/get-user-certificate/45CElhZ-z9efp7NgPOSL" TargetMode="External"/><Relationship Id="rId4601" Type="http://schemas.openxmlformats.org/officeDocument/2006/relationships/hyperlink" Target="https://talan.bank.gov.ua/get-user-certificate/45CElf5W5-9-LpxCra1j" TargetMode="External"/><Relationship Id="rId124" Type="http://schemas.openxmlformats.org/officeDocument/2006/relationships/hyperlink" Target="https://talan.bank.gov.ua/get-user-certificate/45CEly1AsXb-q_frqgoG" TargetMode="External"/><Relationship Id="rId3203" Type="http://schemas.openxmlformats.org/officeDocument/2006/relationships/hyperlink" Target="https://talan.bank.gov.ua/get-user-certificate/45CElWqOvIJR3mB206bK" TargetMode="External"/><Relationship Id="rId3410" Type="http://schemas.openxmlformats.org/officeDocument/2006/relationships/hyperlink" Target="https://talan.bank.gov.ua/get-user-certificate/45CElneNebZrtPNort--" TargetMode="External"/><Relationship Id="rId331" Type="http://schemas.openxmlformats.org/officeDocument/2006/relationships/hyperlink" Target="https://talan.bank.gov.ua/get-user-certificate/45CElaDKT-YTP-ihympo" TargetMode="External"/><Relationship Id="rId2012" Type="http://schemas.openxmlformats.org/officeDocument/2006/relationships/hyperlink" Target="https://talan.bank.gov.ua/get-user-certificate/45CEl1JYNpn8N9l7dXeB" TargetMode="External"/><Relationship Id="rId2969" Type="http://schemas.openxmlformats.org/officeDocument/2006/relationships/hyperlink" Target="https://talan.bank.gov.ua/get-user-certificate/45CEln3Shlgkt_SjenMY" TargetMode="External"/><Relationship Id="rId1778" Type="http://schemas.openxmlformats.org/officeDocument/2006/relationships/hyperlink" Target="https://talan.bank.gov.ua/get-user-certificate/45CElJeXaLAOoy2AAeoB" TargetMode="External"/><Relationship Id="rId1985" Type="http://schemas.openxmlformats.org/officeDocument/2006/relationships/hyperlink" Target="https://talan.bank.gov.ua/get-user-certificate/45CEl39ilA29-M-SWGFD" TargetMode="External"/><Relationship Id="rId2829" Type="http://schemas.openxmlformats.org/officeDocument/2006/relationships/hyperlink" Target="https://talan.bank.gov.ua/get-user-certificate/45CElyzKtrennHTGDYcl" TargetMode="External"/><Relationship Id="rId4184" Type="http://schemas.openxmlformats.org/officeDocument/2006/relationships/hyperlink" Target="https://talan.bank.gov.ua/get-user-certificate/45CEluK6MM63luJBNsd4" TargetMode="External"/><Relationship Id="rId4391" Type="http://schemas.openxmlformats.org/officeDocument/2006/relationships/hyperlink" Target="https://talan.bank.gov.ua/get-user-certificate/45CElTtDgb80N0eS-omX" TargetMode="External"/><Relationship Id="rId1638" Type="http://schemas.openxmlformats.org/officeDocument/2006/relationships/hyperlink" Target="https://talan.bank.gov.ua/get-user-certificate/45CEln46O1MfxAuXNsau" TargetMode="External"/><Relationship Id="rId4044" Type="http://schemas.openxmlformats.org/officeDocument/2006/relationships/hyperlink" Target="https://talan.bank.gov.ua/get-user-certificate/45CElmvICG9H5O2ax9sC" TargetMode="External"/><Relationship Id="rId4251" Type="http://schemas.openxmlformats.org/officeDocument/2006/relationships/hyperlink" Target="https://talan.bank.gov.ua/get-user-certificate/45CElWSebRgAIdYf6D1g" TargetMode="External"/><Relationship Id="rId1845" Type="http://schemas.openxmlformats.org/officeDocument/2006/relationships/hyperlink" Target="https://talan.bank.gov.ua/get-user-certificate/45CEldQaRV7arhADF3xD" TargetMode="External"/><Relationship Id="rId3060" Type="http://schemas.openxmlformats.org/officeDocument/2006/relationships/hyperlink" Target="https://talan.bank.gov.ua/get-user-certificate/45CElQRoLrfZRc1WLonh" TargetMode="External"/><Relationship Id="rId4111" Type="http://schemas.openxmlformats.org/officeDocument/2006/relationships/hyperlink" Target="https://talan.bank.gov.ua/get-user-certificate/45CElr7m2lFHqIuQPByv" TargetMode="External"/><Relationship Id="rId1705" Type="http://schemas.openxmlformats.org/officeDocument/2006/relationships/hyperlink" Target="https://talan.bank.gov.ua/get-user-certificate/45CElOAnJeZfCllhuFNl" TargetMode="External"/><Relationship Id="rId1912" Type="http://schemas.openxmlformats.org/officeDocument/2006/relationships/hyperlink" Target="https://talan.bank.gov.ua/get-user-certificate/45CEl2KoYbLb3hcycKEC" TargetMode="External"/><Relationship Id="rId3877" Type="http://schemas.openxmlformats.org/officeDocument/2006/relationships/hyperlink" Target="https://talan.bank.gov.ua/get-user-certificate/45CEla1IixHT3LcT4RGA" TargetMode="External"/><Relationship Id="rId4928" Type="http://schemas.openxmlformats.org/officeDocument/2006/relationships/hyperlink" Target="https://talan.bank.gov.ua/get-user-certificate/45CElo2zd3IAI3GfdBzX" TargetMode="External"/><Relationship Id="rId798" Type="http://schemas.openxmlformats.org/officeDocument/2006/relationships/hyperlink" Target="https://talan.bank.gov.ua/get-user-certificate/45CEl6ZT72sKraIbbp7r" TargetMode="External"/><Relationship Id="rId2479" Type="http://schemas.openxmlformats.org/officeDocument/2006/relationships/hyperlink" Target="https://talan.bank.gov.ua/get-user-certificate/45CElpytH_sOHIUEo054" TargetMode="External"/><Relationship Id="rId2686" Type="http://schemas.openxmlformats.org/officeDocument/2006/relationships/hyperlink" Target="https://talan.bank.gov.ua/get-user-certificate/45CElMMR54DlYXXiRG71" TargetMode="External"/><Relationship Id="rId2893" Type="http://schemas.openxmlformats.org/officeDocument/2006/relationships/hyperlink" Target="https://talan.bank.gov.ua/get-user-certificate/45CElntrBCZicmFwFJJt" TargetMode="External"/><Relationship Id="rId3737" Type="http://schemas.openxmlformats.org/officeDocument/2006/relationships/hyperlink" Target="https://talan.bank.gov.ua/get-user-certificate/45CElZQXwtjGxkoiuGMd" TargetMode="External"/><Relationship Id="rId3944" Type="http://schemas.openxmlformats.org/officeDocument/2006/relationships/hyperlink" Target="https://talan.bank.gov.ua/get-user-certificate/45CElUBcFp19KL5YVmLn" TargetMode="External"/><Relationship Id="rId658" Type="http://schemas.openxmlformats.org/officeDocument/2006/relationships/hyperlink" Target="https://talan.bank.gov.ua/get-user-certificate/45CEld98v1vEUzqQ5l6u" TargetMode="External"/><Relationship Id="rId865" Type="http://schemas.openxmlformats.org/officeDocument/2006/relationships/hyperlink" Target="https://talan.bank.gov.ua/get-user-certificate/45CElVdifQ94VQ3JPTMW" TargetMode="External"/><Relationship Id="rId1288" Type="http://schemas.openxmlformats.org/officeDocument/2006/relationships/hyperlink" Target="https://talan.bank.gov.ua/get-user-certificate/45CElCAK7eVhX8_tKH4M" TargetMode="External"/><Relationship Id="rId1495" Type="http://schemas.openxmlformats.org/officeDocument/2006/relationships/hyperlink" Target="https://talan.bank.gov.ua/get-user-certificate/45CEluTV4y8aESankIf5" TargetMode="External"/><Relationship Id="rId2339" Type="http://schemas.openxmlformats.org/officeDocument/2006/relationships/hyperlink" Target="https://talan.bank.gov.ua/get-user-certificate/45CElkTI7_48876N1mk3" TargetMode="External"/><Relationship Id="rId2546" Type="http://schemas.openxmlformats.org/officeDocument/2006/relationships/hyperlink" Target="https://talan.bank.gov.ua/get-user-certificate/45CEllOPPgGsESJapDm5" TargetMode="External"/><Relationship Id="rId2753" Type="http://schemas.openxmlformats.org/officeDocument/2006/relationships/hyperlink" Target="https://talan.bank.gov.ua/get-user-certificate/45CEl8E3Y6cR1jp3Xtob" TargetMode="External"/><Relationship Id="rId2960" Type="http://schemas.openxmlformats.org/officeDocument/2006/relationships/hyperlink" Target="https://talan.bank.gov.ua/get-user-certificate/45CElLV_QM0irf3Kl0be" TargetMode="External"/><Relationship Id="rId3804" Type="http://schemas.openxmlformats.org/officeDocument/2006/relationships/hyperlink" Target="https://talan.bank.gov.ua/get-user-certificate/45CElDlcOoUIK3Z53KDl" TargetMode="External"/><Relationship Id="rId518" Type="http://schemas.openxmlformats.org/officeDocument/2006/relationships/hyperlink" Target="https://talan.bank.gov.ua/get-user-certificate/45CElbimHcj3f63WdkXd" TargetMode="External"/><Relationship Id="rId725" Type="http://schemas.openxmlformats.org/officeDocument/2006/relationships/hyperlink" Target="https://talan.bank.gov.ua/get-user-certificate/45CElAFxmdNFz6mzViEZ" TargetMode="External"/><Relationship Id="rId932" Type="http://schemas.openxmlformats.org/officeDocument/2006/relationships/hyperlink" Target="https://talan.bank.gov.ua/get-user-certificate/45CElNMI_d_ZFpwpltOW" TargetMode="External"/><Relationship Id="rId1148" Type="http://schemas.openxmlformats.org/officeDocument/2006/relationships/hyperlink" Target="https://talan.bank.gov.ua/get-user-certificate/45CEllmo0H2jCSkxSkTZ" TargetMode="External"/><Relationship Id="rId1355" Type="http://schemas.openxmlformats.org/officeDocument/2006/relationships/hyperlink" Target="https://talan.bank.gov.ua/get-user-certificate/45CElhdurhHWdY-id7Ws" TargetMode="External"/><Relationship Id="rId1562" Type="http://schemas.openxmlformats.org/officeDocument/2006/relationships/hyperlink" Target="https://talan.bank.gov.ua/get-user-certificate/45CElTke8tx_KAweqfPx" TargetMode="External"/><Relationship Id="rId2406" Type="http://schemas.openxmlformats.org/officeDocument/2006/relationships/hyperlink" Target="https://talan.bank.gov.ua/get-user-certificate/45CElVUNQyiq8iz0oagN" TargetMode="External"/><Relationship Id="rId2613" Type="http://schemas.openxmlformats.org/officeDocument/2006/relationships/hyperlink" Target="https://talan.bank.gov.ua/get-user-certificate/45CElRGkxnAfjb8s6Bi_" TargetMode="External"/><Relationship Id="rId1008" Type="http://schemas.openxmlformats.org/officeDocument/2006/relationships/hyperlink" Target="https://talan.bank.gov.ua/get-user-certificate/45CEl8OnFHT65KJsr-TT" TargetMode="External"/><Relationship Id="rId1215" Type="http://schemas.openxmlformats.org/officeDocument/2006/relationships/hyperlink" Target="https://talan.bank.gov.ua/get-user-certificate/45CElIzOfQE-qB3r0aHr" TargetMode="External"/><Relationship Id="rId1422" Type="http://schemas.openxmlformats.org/officeDocument/2006/relationships/hyperlink" Target="https://talan.bank.gov.ua/get-user-certificate/45CElXpn5CzurveGrVN0" TargetMode="External"/><Relationship Id="rId2820" Type="http://schemas.openxmlformats.org/officeDocument/2006/relationships/hyperlink" Target="https://talan.bank.gov.ua/get-user-certificate/45CEl9RvVAVoZwI_N_LD" TargetMode="External"/><Relationship Id="rId4578" Type="http://schemas.openxmlformats.org/officeDocument/2006/relationships/hyperlink" Target="https://talan.bank.gov.ua/get-user-certificate/45CEl7HbHmKOfcgbEPWC" TargetMode="External"/><Relationship Id="rId61" Type="http://schemas.openxmlformats.org/officeDocument/2006/relationships/hyperlink" Target="https://talan.bank.gov.ua/get-user-certificate/45CElpr8L_f5yWDXd00s" TargetMode="External"/><Relationship Id="rId3387" Type="http://schemas.openxmlformats.org/officeDocument/2006/relationships/hyperlink" Target="https://talan.bank.gov.ua/get-user-certificate/45CElfYFDZPxOsSaURoy" TargetMode="External"/><Relationship Id="rId4785" Type="http://schemas.openxmlformats.org/officeDocument/2006/relationships/hyperlink" Target="https://talan.bank.gov.ua/get-user-certificate/45CElSq475wLHU9HH5e6" TargetMode="External"/><Relationship Id="rId4992" Type="http://schemas.openxmlformats.org/officeDocument/2006/relationships/hyperlink" Target="https://talan.bank.gov.ua/get-user-certificate/ki8TnYmB2kip9MXU7QGC" TargetMode="External"/><Relationship Id="rId2196" Type="http://schemas.openxmlformats.org/officeDocument/2006/relationships/hyperlink" Target="https://talan.bank.gov.ua/get-user-certificate/45CEl27dHKvrmF4BgExB" TargetMode="External"/><Relationship Id="rId3594" Type="http://schemas.openxmlformats.org/officeDocument/2006/relationships/hyperlink" Target="https://talan.bank.gov.ua/get-user-certificate/45CElI_qdD0FJds_x8RH" TargetMode="External"/><Relationship Id="rId4438" Type="http://schemas.openxmlformats.org/officeDocument/2006/relationships/hyperlink" Target="https://talan.bank.gov.ua/get-user-certificate/45CElcswG8hdo-RK5h3v" TargetMode="External"/><Relationship Id="rId4645" Type="http://schemas.openxmlformats.org/officeDocument/2006/relationships/hyperlink" Target="https://talan.bank.gov.ua/get-user-certificate/45CElUtqBsMVHXmSctOs" TargetMode="External"/><Relationship Id="rId4852" Type="http://schemas.openxmlformats.org/officeDocument/2006/relationships/hyperlink" Target="https://talan.bank.gov.ua/get-user-certificate/45CElIyc6nQvBBkhFwp2" TargetMode="External"/><Relationship Id="rId168" Type="http://schemas.openxmlformats.org/officeDocument/2006/relationships/hyperlink" Target="https://talan.bank.gov.ua/get-user-certificate/45CElKyBpkTrUDdLoGMO" TargetMode="External"/><Relationship Id="rId3247" Type="http://schemas.openxmlformats.org/officeDocument/2006/relationships/hyperlink" Target="https://talan.bank.gov.ua/get-user-certificate/45CElSs30wt2Vsveepp8" TargetMode="External"/><Relationship Id="rId3454" Type="http://schemas.openxmlformats.org/officeDocument/2006/relationships/hyperlink" Target="https://talan.bank.gov.ua/get-user-certificate/45CElLx6d0BV8uTC3kCN" TargetMode="External"/><Relationship Id="rId3661" Type="http://schemas.openxmlformats.org/officeDocument/2006/relationships/hyperlink" Target="https://talan.bank.gov.ua/get-user-certificate/45CEl-uIrYmi2RqpIMYn" TargetMode="External"/><Relationship Id="rId4505" Type="http://schemas.openxmlformats.org/officeDocument/2006/relationships/hyperlink" Target="https://talan.bank.gov.ua/get-user-certificate/45CElae0miLN8DlzbkQs" TargetMode="External"/><Relationship Id="rId4712" Type="http://schemas.openxmlformats.org/officeDocument/2006/relationships/hyperlink" Target="https://talan.bank.gov.ua/get-user-certificate/45CEld2L7KeblS2Cf_VO" TargetMode="External"/><Relationship Id="rId375" Type="http://schemas.openxmlformats.org/officeDocument/2006/relationships/hyperlink" Target="https://talan.bank.gov.ua/get-user-certificate/45CEl4ZnxdzSp-bqqYso" TargetMode="External"/><Relationship Id="rId582" Type="http://schemas.openxmlformats.org/officeDocument/2006/relationships/hyperlink" Target="https://talan.bank.gov.ua/get-user-certificate/45CElar1pgm3FHCFHGr3" TargetMode="External"/><Relationship Id="rId2056" Type="http://schemas.openxmlformats.org/officeDocument/2006/relationships/hyperlink" Target="https://talan.bank.gov.ua/get-user-certificate/45CElNfHdPYptpB0ZUte" TargetMode="External"/><Relationship Id="rId2263" Type="http://schemas.openxmlformats.org/officeDocument/2006/relationships/hyperlink" Target="https://talan.bank.gov.ua/get-user-certificate/45CElhQAixG48-dvhf2R" TargetMode="External"/><Relationship Id="rId2470" Type="http://schemas.openxmlformats.org/officeDocument/2006/relationships/hyperlink" Target="https://talan.bank.gov.ua/get-user-certificate/45CElmvhwj8i16fk328Y" TargetMode="External"/><Relationship Id="rId3107" Type="http://schemas.openxmlformats.org/officeDocument/2006/relationships/hyperlink" Target="https://talan.bank.gov.ua/get-user-certificate/45CElxZDAEf9OTlSXQB5" TargetMode="External"/><Relationship Id="rId3314" Type="http://schemas.openxmlformats.org/officeDocument/2006/relationships/hyperlink" Target="https://talan.bank.gov.ua/get-user-certificate/45CElgh1VRklnCz8cg0X" TargetMode="External"/><Relationship Id="rId3521" Type="http://schemas.openxmlformats.org/officeDocument/2006/relationships/hyperlink" Target="https://talan.bank.gov.ua/get-user-certificate/45CEl_dFH8xwQ2_GLIEI" TargetMode="External"/><Relationship Id="rId235" Type="http://schemas.openxmlformats.org/officeDocument/2006/relationships/hyperlink" Target="https://talan.bank.gov.ua/get-user-certificate/45CElLLXtiq20m65XjhZ" TargetMode="External"/><Relationship Id="rId442" Type="http://schemas.openxmlformats.org/officeDocument/2006/relationships/hyperlink" Target="https://talan.bank.gov.ua/get-user-certificate/45CEl-W6ocUMVChj1fxU" TargetMode="External"/><Relationship Id="rId1072" Type="http://schemas.openxmlformats.org/officeDocument/2006/relationships/hyperlink" Target="https://talan.bank.gov.ua/get-user-certificate/45CEl8z_Zhn60myXP95q" TargetMode="External"/><Relationship Id="rId2123" Type="http://schemas.openxmlformats.org/officeDocument/2006/relationships/hyperlink" Target="https://talan.bank.gov.ua/get-user-certificate/45CElpvcueWn3UivzT1u" TargetMode="External"/><Relationship Id="rId2330" Type="http://schemas.openxmlformats.org/officeDocument/2006/relationships/hyperlink" Target="https://talan.bank.gov.ua/get-user-certificate/45CEln_hF9poXJA9LoxE" TargetMode="External"/><Relationship Id="rId302" Type="http://schemas.openxmlformats.org/officeDocument/2006/relationships/hyperlink" Target="https://talan.bank.gov.ua/get-user-certificate/45CElO_crJOpH8TJ1-lK" TargetMode="External"/><Relationship Id="rId4088" Type="http://schemas.openxmlformats.org/officeDocument/2006/relationships/hyperlink" Target="https://talan.bank.gov.ua/get-user-certificate/45CElZX9OPZ-HaH6vMxr" TargetMode="External"/><Relationship Id="rId4295" Type="http://schemas.openxmlformats.org/officeDocument/2006/relationships/hyperlink" Target="https://talan.bank.gov.ua/get-user-certificate/45CEluvwdUigYyVBmA-G" TargetMode="External"/><Relationship Id="rId1889" Type="http://schemas.openxmlformats.org/officeDocument/2006/relationships/hyperlink" Target="https://talan.bank.gov.ua/get-user-certificate/45CEleFqrC3JS1-3wBSl" TargetMode="External"/><Relationship Id="rId4155" Type="http://schemas.openxmlformats.org/officeDocument/2006/relationships/hyperlink" Target="https://talan.bank.gov.ua/get-user-certificate/45CElau7by_VFiEeQSUk" TargetMode="External"/><Relationship Id="rId4362" Type="http://schemas.openxmlformats.org/officeDocument/2006/relationships/hyperlink" Target="https://talan.bank.gov.ua/get-user-certificate/45CElEBl0fK_KoM69xWj" TargetMode="External"/><Relationship Id="rId1749" Type="http://schemas.openxmlformats.org/officeDocument/2006/relationships/hyperlink" Target="https://talan.bank.gov.ua/get-user-certificate/45CEl871xRyrOIBvv016" TargetMode="External"/><Relationship Id="rId1956" Type="http://schemas.openxmlformats.org/officeDocument/2006/relationships/hyperlink" Target="https://talan.bank.gov.ua/get-user-certificate/45CElm_R5T3MEI0squAH" TargetMode="External"/><Relationship Id="rId3171" Type="http://schemas.openxmlformats.org/officeDocument/2006/relationships/hyperlink" Target="https://talan.bank.gov.ua/get-user-certificate/45CElGv13vUqecjLup_s" TargetMode="External"/><Relationship Id="rId4015" Type="http://schemas.openxmlformats.org/officeDocument/2006/relationships/hyperlink" Target="https://talan.bank.gov.ua/get-user-certificate/45CElDlTky0iV-efc-VQ" TargetMode="External"/><Relationship Id="rId1609" Type="http://schemas.openxmlformats.org/officeDocument/2006/relationships/hyperlink" Target="https://talan.bank.gov.ua/get-user-certificate/45CElZ_aFflZGu8wBp3K" TargetMode="External"/><Relationship Id="rId1816" Type="http://schemas.openxmlformats.org/officeDocument/2006/relationships/hyperlink" Target="https://talan.bank.gov.ua/get-user-certificate/45CEl0y_dok_07RJPbma" TargetMode="External"/><Relationship Id="rId4222" Type="http://schemas.openxmlformats.org/officeDocument/2006/relationships/hyperlink" Target="https://talan.bank.gov.ua/get-user-certificate/45CEl5f9zIG3jGlRMxe-" TargetMode="External"/><Relationship Id="rId3031" Type="http://schemas.openxmlformats.org/officeDocument/2006/relationships/hyperlink" Target="https://talan.bank.gov.ua/get-user-certificate/45CElbKKD4S6sDKyhkHu" TargetMode="External"/><Relationship Id="rId3988" Type="http://schemas.openxmlformats.org/officeDocument/2006/relationships/hyperlink" Target="https://talan.bank.gov.ua/get-user-certificate/45CElrDPC8WCT6PsLJEM" TargetMode="External"/><Relationship Id="rId2797" Type="http://schemas.openxmlformats.org/officeDocument/2006/relationships/hyperlink" Target="https://talan.bank.gov.ua/get-user-certificate/45CEld4V6K0cxLCDA3wd" TargetMode="External"/><Relationship Id="rId3848" Type="http://schemas.openxmlformats.org/officeDocument/2006/relationships/hyperlink" Target="https://talan.bank.gov.ua/get-user-certificate/45CEl_nMpn6ObI-P-o12" TargetMode="External"/><Relationship Id="rId769" Type="http://schemas.openxmlformats.org/officeDocument/2006/relationships/hyperlink" Target="https://talan.bank.gov.ua/get-user-certificate/45CElcjKvXFGJ3mou8At" TargetMode="External"/><Relationship Id="rId976" Type="http://schemas.openxmlformats.org/officeDocument/2006/relationships/hyperlink" Target="https://talan.bank.gov.ua/get-user-certificate/45CElXwFdo8Clr8MTklD" TargetMode="External"/><Relationship Id="rId1399" Type="http://schemas.openxmlformats.org/officeDocument/2006/relationships/hyperlink" Target="https://talan.bank.gov.ua/get-user-certificate/45CElTt7udVP1a_nupWK" TargetMode="External"/><Relationship Id="rId2657" Type="http://schemas.openxmlformats.org/officeDocument/2006/relationships/hyperlink" Target="https://talan.bank.gov.ua/get-user-certificate/45CElPxtinV_gTTfXq4C" TargetMode="External"/><Relationship Id="rId629" Type="http://schemas.openxmlformats.org/officeDocument/2006/relationships/hyperlink" Target="https://talan.bank.gov.ua/get-user-certificate/45CElVI99CbSwW5dlAuk" TargetMode="External"/><Relationship Id="rId1259" Type="http://schemas.openxmlformats.org/officeDocument/2006/relationships/hyperlink" Target="https://talan.bank.gov.ua/get-user-certificate/45CElskqnjJ3hfE5QcXc" TargetMode="External"/><Relationship Id="rId1466" Type="http://schemas.openxmlformats.org/officeDocument/2006/relationships/hyperlink" Target="https://talan.bank.gov.ua/get-user-certificate/45CElgQiyRSIg4WixwNz" TargetMode="External"/><Relationship Id="rId2864" Type="http://schemas.openxmlformats.org/officeDocument/2006/relationships/hyperlink" Target="https://talan.bank.gov.ua/get-user-certificate/45CElqza51NDhuwhxS0s" TargetMode="External"/><Relationship Id="rId3708" Type="http://schemas.openxmlformats.org/officeDocument/2006/relationships/hyperlink" Target="https://talan.bank.gov.ua/get-user-certificate/45CElegDc-_hjWkQX3du" TargetMode="External"/><Relationship Id="rId3915" Type="http://schemas.openxmlformats.org/officeDocument/2006/relationships/hyperlink" Target="https://talan.bank.gov.ua/get-user-certificate/45CEl_UZSoPnCvYQlxvH" TargetMode="External"/><Relationship Id="rId836" Type="http://schemas.openxmlformats.org/officeDocument/2006/relationships/hyperlink" Target="https://talan.bank.gov.ua/get-user-certificate/45CElql9a0T3sEJdyOeY" TargetMode="External"/><Relationship Id="rId1119" Type="http://schemas.openxmlformats.org/officeDocument/2006/relationships/hyperlink" Target="https://talan.bank.gov.ua/get-user-certificate/45CElw9FOGX-_MM8nyj5" TargetMode="External"/><Relationship Id="rId1673" Type="http://schemas.openxmlformats.org/officeDocument/2006/relationships/hyperlink" Target="https://talan.bank.gov.ua/get-user-certificate/45CEl0o1w5g52p1GFRYf" TargetMode="External"/><Relationship Id="rId1880" Type="http://schemas.openxmlformats.org/officeDocument/2006/relationships/hyperlink" Target="https://talan.bank.gov.ua/get-user-certificate/45CElZZY-W0qysPw10bQ" TargetMode="External"/><Relationship Id="rId2517" Type="http://schemas.openxmlformats.org/officeDocument/2006/relationships/hyperlink" Target="https://talan.bank.gov.ua/get-user-certificate/45CElxPo8cM7Y13BWhPQ" TargetMode="External"/><Relationship Id="rId2724" Type="http://schemas.openxmlformats.org/officeDocument/2006/relationships/hyperlink" Target="https://talan.bank.gov.ua/get-user-certificate/45CElMZDcIBUtZfatUeh" TargetMode="External"/><Relationship Id="rId2931" Type="http://schemas.openxmlformats.org/officeDocument/2006/relationships/hyperlink" Target="https://talan.bank.gov.ua/get-user-certificate/45CElkATG_udoZoWspPo" TargetMode="External"/><Relationship Id="rId903" Type="http://schemas.openxmlformats.org/officeDocument/2006/relationships/hyperlink" Target="https://talan.bank.gov.ua/get-user-certificate/45CElOK5mynpJXO5ADs2" TargetMode="External"/><Relationship Id="rId1326" Type="http://schemas.openxmlformats.org/officeDocument/2006/relationships/hyperlink" Target="https://talan.bank.gov.ua/get-user-certificate/45CElxzM0SpcAf4PJ3hU" TargetMode="External"/><Relationship Id="rId1533" Type="http://schemas.openxmlformats.org/officeDocument/2006/relationships/hyperlink" Target="https://talan.bank.gov.ua/get-user-certificate/45CEl1MURlKLC_ZPZf07" TargetMode="External"/><Relationship Id="rId1740" Type="http://schemas.openxmlformats.org/officeDocument/2006/relationships/hyperlink" Target="https://talan.bank.gov.ua/get-user-certificate/45CEl0T6VobtmSC7L8OI" TargetMode="External"/><Relationship Id="rId4689" Type="http://schemas.openxmlformats.org/officeDocument/2006/relationships/hyperlink" Target="https://talan.bank.gov.ua/get-user-certificate/45CElveCbG3VemCyANop" TargetMode="External"/><Relationship Id="rId4896" Type="http://schemas.openxmlformats.org/officeDocument/2006/relationships/hyperlink" Target="https://talan.bank.gov.ua/get-user-certificate/45CElin892ylZuDRABCn" TargetMode="External"/><Relationship Id="rId32" Type="http://schemas.openxmlformats.org/officeDocument/2006/relationships/hyperlink" Target="https://talan.bank.gov.ua/get-user-certificate/45CElWUozRAchDZTyKHj" TargetMode="External"/><Relationship Id="rId1600" Type="http://schemas.openxmlformats.org/officeDocument/2006/relationships/hyperlink" Target="https://talan.bank.gov.ua/get-user-certificate/45CElXO2NzACC1JvrD1z" TargetMode="External"/><Relationship Id="rId3498" Type="http://schemas.openxmlformats.org/officeDocument/2006/relationships/hyperlink" Target="https://talan.bank.gov.ua/get-user-certificate/45CElROnPt8icFQUlzot" TargetMode="External"/><Relationship Id="rId4549" Type="http://schemas.openxmlformats.org/officeDocument/2006/relationships/hyperlink" Target="https://talan.bank.gov.ua/get-user-certificate/45CElz0NTyW6A5suoP-2" TargetMode="External"/><Relationship Id="rId4756" Type="http://schemas.openxmlformats.org/officeDocument/2006/relationships/hyperlink" Target="https://talan.bank.gov.ua/get-user-certificate/45CElk3ewHF105QKPfAU" TargetMode="External"/><Relationship Id="rId4963" Type="http://schemas.openxmlformats.org/officeDocument/2006/relationships/hyperlink" Target="https://talan.bank.gov.ua/get-user-certificate/45CElYP_3hTPt5Jj-6Nf" TargetMode="External"/><Relationship Id="rId3358" Type="http://schemas.openxmlformats.org/officeDocument/2006/relationships/hyperlink" Target="https://talan.bank.gov.ua/get-user-certificate/45CElDJizh7F3qV8hn0D" TargetMode="External"/><Relationship Id="rId3565" Type="http://schemas.openxmlformats.org/officeDocument/2006/relationships/hyperlink" Target="https://talan.bank.gov.ua/get-user-certificate/45CEl_8iQm6-GZzwOtRu" TargetMode="External"/><Relationship Id="rId3772" Type="http://schemas.openxmlformats.org/officeDocument/2006/relationships/hyperlink" Target="https://talan.bank.gov.ua/get-user-certificate/45CElLt1J0NRtbC-QNSd" TargetMode="External"/><Relationship Id="rId4409" Type="http://schemas.openxmlformats.org/officeDocument/2006/relationships/hyperlink" Target="https://talan.bank.gov.ua/get-user-certificate/45CElSaOZAo1yPtZDH_R" TargetMode="External"/><Relationship Id="rId4616" Type="http://schemas.openxmlformats.org/officeDocument/2006/relationships/hyperlink" Target="https://talan.bank.gov.ua/get-user-certificate/45CElkOaVDKRGZloEWI_" TargetMode="External"/><Relationship Id="rId4823" Type="http://schemas.openxmlformats.org/officeDocument/2006/relationships/hyperlink" Target="https://talan.bank.gov.ua/get-user-certificate/45CElLhzgvM-JM2VE9ZS" TargetMode="External"/><Relationship Id="rId279" Type="http://schemas.openxmlformats.org/officeDocument/2006/relationships/hyperlink" Target="https://talan.bank.gov.ua/get-user-certificate/45CEllYXrNtugqApOaet" TargetMode="External"/><Relationship Id="rId486" Type="http://schemas.openxmlformats.org/officeDocument/2006/relationships/hyperlink" Target="https://talan.bank.gov.ua/get-user-certificate/45CElprErwacCnO7gB2c" TargetMode="External"/><Relationship Id="rId693" Type="http://schemas.openxmlformats.org/officeDocument/2006/relationships/hyperlink" Target="https://talan.bank.gov.ua/get-user-certificate/45CElmuTd_XBen2DyZMU" TargetMode="External"/><Relationship Id="rId2167" Type="http://schemas.openxmlformats.org/officeDocument/2006/relationships/hyperlink" Target="https://talan.bank.gov.ua/get-user-certificate/45CElmKPURK9W6uAKnhs" TargetMode="External"/><Relationship Id="rId2374" Type="http://schemas.openxmlformats.org/officeDocument/2006/relationships/hyperlink" Target="https://talan.bank.gov.ua/get-user-certificate/45CElHwjVXYzTzQzhiHz" TargetMode="External"/><Relationship Id="rId2581" Type="http://schemas.openxmlformats.org/officeDocument/2006/relationships/hyperlink" Target="https://talan.bank.gov.ua/get-user-certificate/45CEl7aLtfV_eoHU3LHV" TargetMode="External"/><Relationship Id="rId3218" Type="http://schemas.openxmlformats.org/officeDocument/2006/relationships/hyperlink" Target="https://talan.bank.gov.ua/get-user-certificate/45CElAJ8ZRMKJjdj3SLB" TargetMode="External"/><Relationship Id="rId3425" Type="http://schemas.openxmlformats.org/officeDocument/2006/relationships/hyperlink" Target="https://talan.bank.gov.ua/get-user-certificate/45CElETPmBgpFV2H5wit" TargetMode="External"/><Relationship Id="rId3632" Type="http://schemas.openxmlformats.org/officeDocument/2006/relationships/hyperlink" Target="https://talan.bank.gov.ua/get-user-certificate/45CEld9XWM1uDG8jIct7" TargetMode="External"/><Relationship Id="rId139" Type="http://schemas.openxmlformats.org/officeDocument/2006/relationships/hyperlink" Target="https://talan.bank.gov.ua/get-user-certificate/45CElYrPbMzB53olXfBq" TargetMode="External"/><Relationship Id="rId346" Type="http://schemas.openxmlformats.org/officeDocument/2006/relationships/hyperlink" Target="https://talan.bank.gov.ua/get-user-certificate/45CElhGHHS_eejSPh0r2" TargetMode="External"/><Relationship Id="rId553" Type="http://schemas.openxmlformats.org/officeDocument/2006/relationships/hyperlink" Target="https://talan.bank.gov.ua/get-user-certificate/45CElZr4lm6iQVfNQ_68" TargetMode="External"/><Relationship Id="rId760" Type="http://schemas.openxmlformats.org/officeDocument/2006/relationships/hyperlink" Target="https://talan.bank.gov.ua/get-user-certificate/45CElvfPbOwz6fBrr-hl" TargetMode="External"/><Relationship Id="rId1183" Type="http://schemas.openxmlformats.org/officeDocument/2006/relationships/hyperlink" Target="https://talan.bank.gov.ua/get-user-certificate/45CEl9iwmN4KJ4rUigEi" TargetMode="External"/><Relationship Id="rId1390" Type="http://schemas.openxmlformats.org/officeDocument/2006/relationships/hyperlink" Target="https://talan.bank.gov.ua/get-user-certificate/45CElIHH2A5P63y8aR-O" TargetMode="External"/><Relationship Id="rId2027" Type="http://schemas.openxmlformats.org/officeDocument/2006/relationships/hyperlink" Target="https://talan.bank.gov.ua/get-user-certificate/45CEl8aET33M47r7CA7M" TargetMode="External"/><Relationship Id="rId2234" Type="http://schemas.openxmlformats.org/officeDocument/2006/relationships/hyperlink" Target="https://talan.bank.gov.ua/get-user-certificate/45CElTzKlev6kwvF1lhW" TargetMode="External"/><Relationship Id="rId2441" Type="http://schemas.openxmlformats.org/officeDocument/2006/relationships/hyperlink" Target="https://talan.bank.gov.ua/get-user-certificate/45CEl38a7id5ncWrupXI" TargetMode="External"/><Relationship Id="rId206" Type="http://schemas.openxmlformats.org/officeDocument/2006/relationships/hyperlink" Target="https://talan.bank.gov.ua/get-user-certificate/45CElbqiN_XEpvpbfLPc" TargetMode="External"/><Relationship Id="rId413" Type="http://schemas.openxmlformats.org/officeDocument/2006/relationships/hyperlink" Target="https://talan.bank.gov.ua/get-user-certificate/45CElkiy7e0kkSGHTy6v" TargetMode="External"/><Relationship Id="rId1043" Type="http://schemas.openxmlformats.org/officeDocument/2006/relationships/hyperlink" Target="https://talan.bank.gov.ua/get-user-certificate/45CElzASPTP105W6uaqC" TargetMode="External"/><Relationship Id="rId4199" Type="http://schemas.openxmlformats.org/officeDocument/2006/relationships/hyperlink" Target="https://talan.bank.gov.ua/get-user-certificate/45CElpjxyF_vDCBhen7j" TargetMode="External"/><Relationship Id="rId620" Type="http://schemas.openxmlformats.org/officeDocument/2006/relationships/hyperlink" Target="https://talan.bank.gov.ua/get-user-certificate/45CElO-80QG8cQG0vdsn" TargetMode="External"/><Relationship Id="rId1250" Type="http://schemas.openxmlformats.org/officeDocument/2006/relationships/hyperlink" Target="https://talan.bank.gov.ua/get-user-certificate/45CEl8hm_fzcz5O6z7he" TargetMode="External"/><Relationship Id="rId2301" Type="http://schemas.openxmlformats.org/officeDocument/2006/relationships/hyperlink" Target="https://talan.bank.gov.ua/get-user-certificate/45CElp0IrCaJPHU-nCLo" TargetMode="External"/><Relationship Id="rId4059" Type="http://schemas.openxmlformats.org/officeDocument/2006/relationships/hyperlink" Target="https://talan.bank.gov.ua/get-user-certificate/45CEl4WPHfuAAWdenGxb" TargetMode="External"/><Relationship Id="rId1110" Type="http://schemas.openxmlformats.org/officeDocument/2006/relationships/hyperlink" Target="https://talan.bank.gov.ua/get-user-certificate/45CElAx9WM5PGhcbqYiS" TargetMode="External"/><Relationship Id="rId4266" Type="http://schemas.openxmlformats.org/officeDocument/2006/relationships/hyperlink" Target="https://talan.bank.gov.ua/get-user-certificate/45CElrWVSExWGYl4GCj_" TargetMode="External"/><Relationship Id="rId4473" Type="http://schemas.openxmlformats.org/officeDocument/2006/relationships/hyperlink" Target="https://talan.bank.gov.ua/get-user-certificate/45CEl4UeXFulzUea2pu7" TargetMode="External"/><Relationship Id="rId4680" Type="http://schemas.openxmlformats.org/officeDocument/2006/relationships/hyperlink" Target="https://talan.bank.gov.ua/get-user-certificate/45CElMfQQqgKN0oSen14" TargetMode="External"/><Relationship Id="rId1927" Type="http://schemas.openxmlformats.org/officeDocument/2006/relationships/hyperlink" Target="https://talan.bank.gov.ua/get-user-certificate/45CElXfi5jAA8ecI7M6U" TargetMode="External"/><Relationship Id="rId3075" Type="http://schemas.openxmlformats.org/officeDocument/2006/relationships/hyperlink" Target="https://talan.bank.gov.ua/get-user-certificate/45CEl5HKJhhh2_CxLTjn" TargetMode="External"/><Relationship Id="rId3282" Type="http://schemas.openxmlformats.org/officeDocument/2006/relationships/hyperlink" Target="https://talan.bank.gov.ua/get-user-certificate/45CElyKxUA0syT1LIQt2" TargetMode="External"/><Relationship Id="rId4126" Type="http://schemas.openxmlformats.org/officeDocument/2006/relationships/hyperlink" Target="https://talan.bank.gov.ua/get-user-certificate/45CEl1wftRpFkcAuqw5D" TargetMode="External"/><Relationship Id="rId4333" Type="http://schemas.openxmlformats.org/officeDocument/2006/relationships/hyperlink" Target="https://talan.bank.gov.ua/get-user-certificate/45CElbqwpHb9KgUWnoN5" TargetMode="External"/><Relationship Id="rId4540" Type="http://schemas.openxmlformats.org/officeDocument/2006/relationships/hyperlink" Target="https://talan.bank.gov.ua/get-user-certificate/45CEl0j7KSSqaZjHESY3" TargetMode="External"/><Relationship Id="rId2091" Type="http://schemas.openxmlformats.org/officeDocument/2006/relationships/hyperlink" Target="https://talan.bank.gov.ua/get-user-certificate/45CElpuXqTsCne4SAM5Y" TargetMode="External"/><Relationship Id="rId3142" Type="http://schemas.openxmlformats.org/officeDocument/2006/relationships/hyperlink" Target="https://talan.bank.gov.ua/get-user-certificate/45CElwb6mvIQg9OX4sY6" TargetMode="External"/><Relationship Id="rId4400" Type="http://schemas.openxmlformats.org/officeDocument/2006/relationships/hyperlink" Target="https://talan.bank.gov.ua/get-user-certificate/45CElK5Q2mCRloAR1Pgd" TargetMode="External"/><Relationship Id="rId270" Type="http://schemas.openxmlformats.org/officeDocument/2006/relationships/hyperlink" Target="https://talan.bank.gov.ua/get-user-certificate/45CElz_yDlgpOPvTVXVc" TargetMode="External"/><Relationship Id="rId3002" Type="http://schemas.openxmlformats.org/officeDocument/2006/relationships/hyperlink" Target="https://talan.bank.gov.ua/get-user-certificate/45CElTVxF6M_SyhddxCb" TargetMode="External"/><Relationship Id="rId130" Type="http://schemas.openxmlformats.org/officeDocument/2006/relationships/hyperlink" Target="https://talan.bank.gov.ua/get-user-certificate/45CElxyJqiwNo4Ml_pYY" TargetMode="External"/><Relationship Id="rId3959" Type="http://schemas.openxmlformats.org/officeDocument/2006/relationships/hyperlink" Target="https://talan.bank.gov.ua/get-user-certificate/45CElkHqArJE7i-Tk3GN" TargetMode="External"/><Relationship Id="rId2768" Type="http://schemas.openxmlformats.org/officeDocument/2006/relationships/hyperlink" Target="https://talan.bank.gov.ua/get-user-certificate/45CElxA_6ZkQVNtR_h4I" TargetMode="External"/><Relationship Id="rId2975" Type="http://schemas.openxmlformats.org/officeDocument/2006/relationships/hyperlink" Target="https://talan.bank.gov.ua/get-user-certificate/45CElWAnQ6AKkwiBGZjf" TargetMode="External"/><Relationship Id="rId3819" Type="http://schemas.openxmlformats.org/officeDocument/2006/relationships/hyperlink" Target="https://talan.bank.gov.ua/get-user-certificate/45CEl5qFQR90HBJ-Q3Cw" TargetMode="External"/><Relationship Id="rId947" Type="http://schemas.openxmlformats.org/officeDocument/2006/relationships/hyperlink" Target="https://talan.bank.gov.ua/get-user-certificate/45CElwNjPlad399RNh_N" TargetMode="External"/><Relationship Id="rId1577" Type="http://schemas.openxmlformats.org/officeDocument/2006/relationships/hyperlink" Target="https://talan.bank.gov.ua/get-user-certificate/45CEl5cOtcAVwSeDc74m" TargetMode="External"/><Relationship Id="rId1784" Type="http://schemas.openxmlformats.org/officeDocument/2006/relationships/hyperlink" Target="https://talan.bank.gov.ua/get-user-certificate/45CEle6vJT2oniT1zfOo" TargetMode="External"/><Relationship Id="rId1991" Type="http://schemas.openxmlformats.org/officeDocument/2006/relationships/hyperlink" Target="https://talan.bank.gov.ua/get-user-certificate/45CElVgnobCWc7K4qQJo" TargetMode="External"/><Relationship Id="rId2628" Type="http://schemas.openxmlformats.org/officeDocument/2006/relationships/hyperlink" Target="https://talan.bank.gov.ua/get-user-certificate/45CEl831vVNJ7LBoMI_q" TargetMode="External"/><Relationship Id="rId2835" Type="http://schemas.openxmlformats.org/officeDocument/2006/relationships/hyperlink" Target="https://talan.bank.gov.ua/get-user-certificate/45CElmQlXSmHDrzqGgj9" TargetMode="External"/><Relationship Id="rId4190" Type="http://schemas.openxmlformats.org/officeDocument/2006/relationships/hyperlink" Target="https://talan.bank.gov.ua/get-user-certificate/45CElSc1bk_4GHQ1VwEv" TargetMode="External"/><Relationship Id="rId76" Type="http://schemas.openxmlformats.org/officeDocument/2006/relationships/hyperlink" Target="https://talan.bank.gov.ua/get-user-certificate/45CElppMEVuxOaaZcCmD" TargetMode="External"/><Relationship Id="rId807" Type="http://schemas.openxmlformats.org/officeDocument/2006/relationships/hyperlink" Target="https://talan.bank.gov.ua/get-user-certificate/45CEljalhPuP4Yp8iYuW" TargetMode="External"/><Relationship Id="rId1437" Type="http://schemas.openxmlformats.org/officeDocument/2006/relationships/hyperlink" Target="https://talan.bank.gov.ua/get-user-certificate/45CElVVgunksxXh89DK8" TargetMode="External"/><Relationship Id="rId1644" Type="http://schemas.openxmlformats.org/officeDocument/2006/relationships/hyperlink" Target="https://talan.bank.gov.ua/get-user-certificate/45CElMFgFCeDg5w51Z5y" TargetMode="External"/><Relationship Id="rId1851" Type="http://schemas.openxmlformats.org/officeDocument/2006/relationships/hyperlink" Target="https://talan.bank.gov.ua/get-user-certificate/45CElmuHyLFQhUVpuGQA" TargetMode="External"/><Relationship Id="rId2902" Type="http://schemas.openxmlformats.org/officeDocument/2006/relationships/hyperlink" Target="https://talan.bank.gov.ua/get-user-certificate/45CEl5KbpfStWJpa--DI" TargetMode="External"/><Relationship Id="rId4050" Type="http://schemas.openxmlformats.org/officeDocument/2006/relationships/hyperlink" Target="https://talan.bank.gov.ua/get-user-certificate/45CElJ_2AwAAZhh8TOc9" TargetMode="External"/><Relationship Id="rId1504" Type="http://schemas.openxmlformats.org/officeDocument/2006/relationships/hyperlink" Target="https://talan.bank.gov.ua/get-user-certificate/45CElAupEcfvkU3e-IEi" TargetMode="External"/><Relationship Id="rId1711" Type="http://schemas.openxmlformats.org/officeDocument/2006/relationships/hyperlink" Target="https://talan.bank.gov.ua/get-user-certificate/45CElb5Thj3rJtoX5PPS" TargetMode="External"/><Relationship Id="rId4867" Type="http://schemas.openxmlformats.org/officeDocument/2006/relationships/hyperlink" Target="https://talan.bank.gov.ua/get-user-certificate/45CElG-B5fNHLrSfzkmE" TargetMode="External"/><Relationship Id="rId3469" Type="http://schemas.openxmlformats.org/officeDocument/2006/relationships/hyperlink" Target="https://talan.bank.gov.ua/get-user-certificate/45CElXjOtI76QQvd-FFm" TargetMode="External"/><Relationship Id="rId3676" Type="http://schemas.openxmlformats.org/officeDocument/2006/relationships/hyperlink" Target="https://talan.bank.gov.ua/get-user-certificate/45CEl_0P878jz3n7iw2e" TargetMode="External"/><Relationship Id="rId597" Type="http://schemas.openxmlformats.org/officeDocument/2006/relationships/hyperlink" Target="https://talan.bank.gov.ua/get-user-certificate/45CEl5vqXANRU57VICk0" TargetMode="External"/><Relationship Id="rId2278" Type="http://schemas.openxmlformats.org/officeDocument/2006/relationships/hyperlink" Target="https://talan.bank.gov.ua/get-user-certificate/45CElLJjCNarq0xF2qTl" TargetMode="External"/><Relationship Id="rId2485" Type="http://schemas.openxmlformats.org/officeDocument/2006/relationships/hyperlink" Target="https://talan.bank.gov.ua/get-user-certificate/45CEl3fqJ_6LmA1q_vrE" TargetMode="External"/><Relationship Id="rId3329" Type="http://schemas.openxmlformats.org/officeDocument/2006/relationships/hyperlink" Target="https://talan.bank.gov.ua/get-user-certificate/45CElCrr0POEui_VmIiE" TargetMode="External"/><Relationship Id="rId3883" Type="http://schemas.openxmlformats.org/officeDocument/2006/relationships/hyperlink" Target="https://talan.bank.gov.ua/get-user-certificate/45CElZPGkDdaDovc0XwZ" TargetMode="External"/><Relationship Id="rId4727" Type="http://schemas.openxmlformats.org/officeDocument/2006/relationships/hyperlink" Target="https://talan.bank.gov.ua/get-user-certificate/45CElXEYlmlMbAvuzxbX" TargetMode="External"/><Relationship Id="rId4934" Type="http://schemas.openxmlformats.org/officeDocument/2006/relationships/hyperlink" Target="https://talan.bank.gov.ua/get-user-certificate/45CElrYUO7ol6R0Bc0ic" TargetMode="External"/><Relationship Id="rId457" Type="http://schemas.openxmlformats.org/officeDocument/2006/relationships/hyperlink" Target="https://talan.bank.gov.ua/get-user-certificate/45CElAYpmdBnY-caxCmz" TargetMode="External"/><Relationship Id="rId1087" Type="http://schemas.openxmlformats.org/officeDocument/2006/relationships/hyperlink" Target="https://talan.bank.gov.ua/get-user-certificate/45CEleh3V0cCL_Rvmeuq" TargetMode="External"/><Relationship Id="rId1294" Type="http://schemas.openxmlformats.org/officeDocument/2006/relationships/hyperlink" Target="https://talan.bank.gov.ua/get-user-certificate/45CEl25YHwKkqQlpX_xW" TargetMode="External"/><Relationship Id="rId2138" Type="http://schemas.openxmlformats.org/officeDocument/2006/relationships/hyperlink" Target="https://talan.bank.gov.ua/get-user-certificate/45CEleKop-kIJ09HHQNx" TargetMode="External"/><Relationship Id="rId2692" Type="http://schemas.openxmlformats.org/officeDocument/2006/relationships/hyperlink" Target="https://talan.bank.gov.ua/get-user-certificate/45CEliezCRIuXLOJ4mVK" TargetMode="External"/><Relationship Id="rId3536" Type="http://schemas.openxmlformats.org/officeDocument/2006/relationships/hyperlink" Target="https://talan.bank.gov.ua/get-user-certificate/45CElPhCbfcUicrr6AKW" TargetMode="External"/><Relationship Id="rId3743" Type="http://schemas.openxmlformats.org/officeDocument/2006/relationships/hyperlink" Target="https://talan.bank.gov.ua/get-user-certificate/45CElzz6P9U2l4B3Q826" TargetMode="External"/><Relationship Id="rId3950" Type="http://schemas.openxmlformats.org/officeDocument/2006/relationships/hyperlink" Target="https://talan.bank.gov.ua/get-user-certificate/45CEldRaiIlrL8aXoSBf" TargetMode="External"/><Relationship Id="rId664" Type="http://schemas.openxmlformats.org/officeDocument/2006/relationships/hyperlink" Target="https://talan.bank.gov.ua/get-user-certificate/45CElEW7B9PVG4-VUg0G" TargetMode="External"/><Relationship Id="rId871" Type="http://schemas.openxmlformats.org/officeDocument/2006/relationships/hyperlink" Target="https://talan.bank.gov.ua/get-user-certificate/45CElx0Iy-43SzhN8Ka9" TargetMode="External"/><Relationship Id="rId2345" Type="http://schemas.openxmlformats.org/officeDocument/2006/relationships/hyperlink" Target="https://talan.bank.gov.ua/get-user-certificate/45CElxQ9XA2PXI8tdZfi" TargetMode="External"/><Relationship Id="rId2552" Type="http://schemas.openxmlformats.org/officeDocument/2006/relationships/hyperlink" Target="https://talan.bank.gov.ua/get-user-certificate/45CEl-pi8Jmu5COlyZ9u" TargetMode="External"/><Relationship Id="rId3603" Type="http://schemas.openxmlformats.org/officeDocument/2006/relationships/hyperlink" Target="https://talan.bank.gov.ua/get-user-certificate/45CElylpiLXP9lh0DSdp" TargetMode="External"/><Relationship Id="rId3810" Type="http://schemas.openxmlformats.org/officeDocument/2006/relationships/hyperlink" Target="https://talan.bank.gov.ua/get-user-certificate/45CEl4onJ0NpcrMuitpe" TargetMode="External"/><Relationship Id="rId317" Type="http://schemas.openxmlformats.org/officeDocument/2006/relationships/hyperlink" Target="https://talan.bank.gov.ua/get-user-certificate/45CElzm4GBHHlVxZbV4o" TargetMode="External"/><Relationship Id="rId524" Type="http://schemas.openxmlformats.org/officeDocument/2006/relationships/hyperlink" Target="https://talan.bank.gov.ua/get-user-certificate/45CEl7yc_rjCmvTo0mGH" TargetMode="External"/><Relationship Id="rId731" Type="http://schemas.openxmlformats.org/officeDocument/2006/relationships/hyperlink" Target="https://talan.bank.gov.ua/get-user-certificate/45CElA3NfiHdVPrrrhgd" TargetMode="External"/><Relationship Id="rId1154" Type="http://schemas.openxmlformats.org/officeDocument/2006/relationships/hyperlink" Target="https://talan.bank.gov.ua/get-user-certificate/45CElypQePj384f_YohS" TargetMode="External"/><Relationship Id="rId1361" Type="http://schemas.openxmlformats.org/officeDocument/2006/relationships/hyperlink" Target="https://talan.bank.gov.ua/get-user-certificate/45CElVy005lAjvYuy--h" TargetMode="External"/><Relationship Id="rId2205" Type="http://schemas.openxmlformats.org/officeDocument/2006/relationships/hyperlink" Target="https://talan.bank.gov.ua/get-user-certificate/45CElkqrvl6BR17VpNYe" TargetMode="External"/><Relationship Id="rId2412" Type="http://schemas.openxmlformats.org/officeDocument/2006/relationships/hyperlink" Target="https://talan.bank.gov.ua/get-user-certificate/45CElRPLUkJ1m0rQsOFY" TargetMode="External"/><Relationship Id="rId1014" Type="http://schemas.openxmlformats.org/officeDocument/2006/relationships/hyperlink" Target="https://talan.bank.gov.ua/get-user-certificate/45CElaPuKwgg-0x9o3P0" TargetMode="External"/><Relationship Id="rId1221" Type="http://schemas.openxmlformats.org/officeDocument/2006/relationships/hyperlink" Target="https://talan.bank.gov.ua/get-user-certificate/45CElipHSNIAAgxSItYu" TargetMode="External"/><Relationship Id="rId4377" Type="http://schemas.openxmlformats.org/officeDocument/2006/relationships/hyperlink" Target="https://talan.bank.gov.ua/get-user-certificate/45CEl15cRstpQ4uouory" TargetMode="External"/><Relationship Id="rId4584" Type="http://schemas.openxmlformats.org/officeDocument/2006/relationships/hyperlink" Target="https://talan.bank.gov.ua/get-user-certificate/45CEl58Gw_RGsXk6CVD2" TargetMode="External"/><Relationship Id="rId4791" Type="http://schemas.openxmlformats.org/officeDocument/2006/relationships/hyperlink" Target="https://talan.bank.gov.ua/get-user-certificate/45CElRlrErsPK2vtQd9i" TargetMode="External"/><Relationship Id="rId3186" Type="http://schemas.openxmlformats.org/officeDocument/2006/relationships/hyperlink" Target="https://talan.bank.gov.ua/get-user-certificate/45CEls1m8HDY26dhJ-8s" TargetMode="External"/><Relationship Id="rId3393" Type="http://schemas.openxmlformats.org/officeDocument/2006/relationships/hyperlink" Target="https://talan.bank.gov.ua/get-user-certificate/45CElPaaD2bAdf9ijPPm" TargetMode="External"/><Relationship Id="rId4237" Type="http://schemas.openxmlformats.org/officeDocument/2006/relationships/hyperlink" Target="https://talan.bank.gov.ua/get-user-certificate/45CElJgczuxLCv31TCJY" TargetMode="External"/><Relationship Id="rId4444" Type="http://schemas.openxmlformats.org/officeDocument/2006/relationships/hyperlink" Target="https://talan.bank.gov.ua/get-user-certificate/45CElzWXTeXt3emh0sc4" TargetMode="External"/><Relationship Id="rId4651" Type="http://schemas.openxmlformats.org/officeDocument/2006/relationships/hyperlink" Target="https://talan.bank.gov.ua/get-user-certificate/45CEl-P1-DPCKtDgc6a7" TargetMode="External"/><Relationship Id="rId3046" Type="http://schemas.openxmlformats.org/officeDocument/2006/relationships/hyperlink" Target="https://talan.bank.gov.ua/get-user-certificate/45CElrbIMInt9UOKVXJh" TargetMode="External"/><Relationship Id="rId3253" Type="http://schemas.openxmlformats.org/officeDocument/2006/relationships/hyperlink" Target="https://talan.bank.gov.ua/get-user-certificate/45CElr4V3vO41o4MFuGO" TargetMode="External"/><Relationship Id="rId3460" Type="http://schemas.openxmlformats.org/officeDocument/2006/relationships/hyperlink" Target="https://talan.bank.gov.ua/get-user-certificate/45CEl1TA26KxBpkAJ5ip" TargetMode="External"/><Relationship Id="rId4304" Type="http://schemas.openxmlformats.org/officeDocument/2006/relationships/hyperlink" Target="https://talan.bank.gov.ua/get-user-certificate/45CElvwoTov9eIRU0GOC" TargetMode="External"/><Relationship Id="rId174" Type="http://schemas.openxmlformats.org/officeDocument/2006/relationships/hyperlink" Target="https://talan.bank.gov.ua/get-user-certificate/45CEl5etn7AiHpZ84_pT" TargetMode="External"/><Relationship Id="rId381" Type="http://schemas.openxmlformats.org/officeDocument/2006/relationships/hyperlink" Target="https://talan.bank.gov.ua/get-user-certificate/45CElLNcACfg05zsZ8Sw" TargetMode="External"/><Relationship Id="rId2062" Type="http://schemas.openxmlformats.org/officeDocument/2006/relationships/hyperlink" Target="https://talan.bank.gov.ua/get-user-certificate/45CElOtygGX_4irKtMy4" TargetMode="External"/><Relationship Id="rId3113" Type="http://schemas.openxmlformats.org/officeDocument/2006/relationships/hyperlink" Target="https://talan.bank.gov.ua/get-user-certificate/45CElArvG4IoAzyemOyS" TargetMode="External"/><Relationship Id="rId4511" Type="http://schemas.openxmlformats.org/officeDocument/2006/relationships/hyperlink" Target="https://talan.bank.gov.ua/get-user-certificate/45CEl0kmLPXFTGLMpwbG" TargetMode="External"/><Relationship Id="rId241" Type="http://schemas.openxmlformats.org/officeDocument/2006/relationships/hyperlink" Target="https://talan.bank.gov.ua/get-user-certificate/45CElqNeuyVTPQoY8Pvp" TargetMode="External"/><Relationship Id="rId3320" Type="http://schemas.openxmlformats.org/officeDocument/2006/relationships/hyperlink" Target="https://talan.bank.gov.ua/get-user-certificate/45CElm3v9I4cLhuhlWHY" TargetMode="External"/><Relationship Id="rId2879" Type="http://schemas.openxmlformats.org/officeDocument/2006/relationships/hyperlink" Target="https://talan.bank.gov.ua/get-user-certificate/45CElZP7ddZPMd10Uh3i" TargetMode="External"/><Relationship Id="rId101" Type="http://schemas.openxmlformats.org/officeDocument/2006/relationships/hyperlink" Target="https://talan.bank.gov.ua/get-user-certificate/45CEluUkirUaS5pGBdrp" TargetMode="External"/><Relationship Id="rId1688" Type="http://schemas.openxmlformats.org/officeDocument/2006/relationships/hyperlink" Target="https://talan.bank.gov.ua/get-user-certificate/45CElBcvn_Z7u8oM-BBx" TargetMode="External"/><Relationship Id="rId1895" Type="http://schemas.openxmlformats.org/officeDocument/2006/relationships/hyperlink" Target="https://talan.bank.gov.ua/get-user-certificate/45CEl9e9KmjNdM-2H0-P" TargetMode="External"/><Relationship Id="rId2739" Type="http://schemas.openxmlformats.org/officeDocument/2006/relationships/hyperlink" Target="https://talan.bank.gov.ua/get-user-certificate/45CElW3-rnIFOwJT_64b" TargetMode="External"/><Relationship Id="rId2946" Type="http://schemas.openxmlformats.org/officeDocument/2006/relationships/hyperlink" Target="https://talan.bank.gov.ua/get-user-certificate/45CElBlDmVA_H_H51rej" TargetMode="External"/><Relationship Id="rId4094" Type="http://schemas.openxmlformats.org/officeDocument/2006/relationships/hyperlink" Target="https://talan.bank.gov.ua/get-user-certificate/45CElcfLLJERaHL1nhZI" TargetMode="External"/><Relationship Id="rId918" Type="http://schemas.openxmlformats.org/officeDocument/2006/relationships/hyperlink" Target="https://talan.bank.gov.ua/get-user-certificate/45CElvnbku93C3uqxTGi" TargetMode="External"/><Relationship Id="rId1548" Type="http://schemas.openxmlformats.org/officeDocument/2006/relationships/hyperlink" Target="https://talan.bank.gov.ua/get-user-certificate/45CElPwM_Cs3tU3vO1rZ" TargetMode="External"/><Relationship Id="rId1755" Type="http://schemas.openxmlformats.org/officeDocument/2006/relationships/hyperlink" Target="https://talan.bank.gov.ua/get-user-certificate/45CEltmmWVfSlNX0d0ok" TargetMode="External"/><Relationship Id="rId4161" Type="http://schemas.openxmlformats.org/officeDocument/2006/relationships/hyperlink" Target="https://talan.bank.gov.ua/get-user-certificate/45CElZe-XYsxai9DdrDJ" TargetMode="External"/><Relationship Id="rId5005" Type="http://schemas.openxmlformats.org/officeDocument/2006/relationships/hyperlink" Target="https://talan.bank.gov.ua/get-user-certificate/ki8Tn1s_HELpAxPGb_Uj" TargetMode="External"/><Relationship Id="rId1408" Type="http://schemas.openxmlformats.org/officeDocument/2006/relationships/hyperlink" Target="https://talan.bank.gov.ua/get-user-certificate/45CElDujv9nej98s7Was" TargetMode="External"/><Relationship Id="rId1962" Type="http://schemas.openxmlformats.org/officeDocument/2006/relationships/hyperlink" Target="https://talan.bank.gov.ua/get-user-certificate/45CEllG3oPPLo8roF3q4" TargetMode="External"/><Relationship Id="rId2806" Type="http://schemas.openxmlformats.org/officeDocument/2006/relationships/hyperlink" Target="https://talan.bank.gov.ua/get-user-certificate/45CElATScX7AGG2IYoI_" TargetMode="External"/><Relationship Id="rId4021" Type="http://schemas.openxmlformats.org/officeDocument/2006/relationships/hyperlink" Target="https://talan.bank.gov.ua/get-user-certificate/45CElPTVWIHU6uiNHsF0" TargetMode="External"/><Relationship Id="rId47" Type="http://schemas.openxmlformats.org/officeDocument/2006/relationships/hyperlink" Target="https://talan.bank.gov.ua/get-user-certificate/45CElZVbV7NcFN96fHtL" TargetMode="External"/><Relationship Id="rId1615" Type="http://schemas.openxmlformats.org/officeDocument/2006/relationships/hyperlink" Target="https://talan.bank.gov.ua/get-user-certificate/45CEleBAOFuCDYfu_yta" TargetMode="External"/><Relationship Id="rId1822" Type="http://schemas.openxmlformats.org/officeDocument/2006/relationships/hyperlink" Target="https://talan.bank.gov.ua/get-user-certificate/45CEltHtgiL5rLnFw63G" TargetMode="External"/><Relationship Id="rId4978" Type="http://schemas.openxmlformats.org/officeDocument/2006/relationships/hyperlink" Target="https://talan.bank.gov.ua/get-user-certificate/45CElhjLN-yarYu0X7Uu" TargetMode="External"/><Relationship Id="rId3787" Type="http://schemas.openxmlformats.org/officeDocument/2006/relationships/hyperlink" Target="https://talan.bank.gov.ua/get-user-certificate/45CElmoLSkYnYxe_YPNY" TargetMode="External"/><Relationship Id="rId3994" Type="http://schemas.openxmlformats.org/officeDocument/2006/relationships/hyperlink" Target="https://talan.bank.gov.ua/get-user-certificate/45CElyHN0zC6Ll42TAMY" TargetMode="External"/><Relationship Id="rId4838" Type="http://schemas.openxmlformats.org/officeDocument/2006/relationships/hyperlink" Target="https://talan.bank.gov.ua/get-user-certificate/45CElzwZfSDvPlxAWFD0" TargetMode="External"/><Relationship Id="rId2389" Type="http://schemas.openxmlformats.org/officeDocument/2006/relationships/hyperlink" Target="https://talan.bank.gov.ua/get-user-certificate/45CElF2ZWEpfnnEZrGYk" TargetMode="External"/><Relationship Id="rId2596" Type="http://schemas.openxmlformats.org/officeDocument/2006/relationships/hyperlink" Target="https://talan.bank.gov.ua/get-user-certificate/45CElmvUHgb1JCDqS8xo" TargetMode="External"/><Relationship Id="rId3647" Type="http://schemas.openxmlformats.org/officeDocument/2006/relationships/hyperlink" Target="https://talan.bank.gov.ua/get-user-certificate/45CEl9Mc05cW2Dk1-7A8" TargetMode="External"/><Relationship Id="rId3854" Type="http://schemas.openxmlformats.org/officeDocument/2006/relationships/hyperlink" Target="https://talan.bank.gov.ua/get-user-certificate/45CEl3SFFvfZENQWJkGR" TargetMode="External"/><Relationship Id="rId4905" Type="http://schemas.openxmlformats.org/officeDocument/2006/relationships/hyperlink" Target="https://talan.bank.gov.ua/get-user-certificate/45CElwRjIrbU_P8hofKI" TargetMode="External"/><Relationship Id="rId568" Type="http://schemas.openxmlformats.org/officeDocument/2006/relationships/hyperlink" Target="https://talan.bank.gov.ua/get-user-certificate/45CEluZe9j_c6h0AIVms" TargetMode="External"/><Relationship Id="rId775" Type="http://schemas.openxmlformats.org/officeDocument/2006/relationships/hyperlink" Target="https://talan.bank.gov.ua/get-user-certificate/45CEl5Njt7Rf5cKZ0xv3" TargetMode="External"/><Relationship Id="rId982" Type="http://schemas.openxmlformats.org/officeDocument/2006/relationships/hyperlink" Target="https://talan.bank.gov.ua/get-user-certificate/45CElSgh8DjzVU5SKI1Q" TargetMode="External"/><Relationship Id="rId1198" Type="http://schemas.openxmlformats.org/officeDocument/2006/relationships/hyperlink" Target="https://talan.bank.gov.ua/get-user-certificate/45CElm7USnT1jilQBpVL" TargetMode="External"/><Relationship Id="rId2249" Type="http://schemas.openxmlformats.org/officeDocument/2006/relationships/hyperlink" Target="https://talan.bank.gov.ua/get-user-certificate/45CElGeR6XhHqBHxsgSo" TargetMode="External"/><Relationship Id="rId2456" Type="http://schemas.openxmlformats.org/officeDocument/2006/relationships/hyperlink" Target="https://talan.bank.gov.ua/get-user-certificate/45CElgzAW5-_d9Hv6qXf" TargetMode="External"/><Relationship Id="rId2663" Type="http://schemas.openxmlformats.org/officeDocument/2006/relationships/hyperlink" Target="https://talan.bank.gov.ua/get-user-certificate/45CEld7BVH9rcpoe9WwP" TargetMode="External"/><Relationship Id="rId2870" Type="http://schemas.openxmlformats.org/officeDocument/2006/relationships/hyperlink" Target="https://talan.bank.gov.ua/get-user-certificate/45CElVQPqK-NZ_LL7obi" TargetMode="External"/><Relationship Id="rId3507" Type="http://schemas.openxmlformats.org/officeDocument/2006/relationships/hyperlink" Target="https://talan.bank.gov.ua/get-user-certificate/45CElCHzWFuDeKAmuRva" TargetMode="External"/><Relationship Id="rId3714" Type="http://schemas.openxmlformats.org/officeDocument/2006/relationships/hyperlink" Target="https://talan.bank.gov.ua/get-user-certificate/45CElSVRaJpXlriVZ7cH" TargetMode="External"/><Relationship Id="rId3921" Type="http://schemas.openxmlformats.org/officeDocument/2006/relationships/hyperlink" Target="https://talan.bank.gov.ua/get-user-certificate/45CElPV8r9eAtSvTGJIt" TargetMode="External"/><Relationship Id="rId428" Type="http://schemas.openxmlformats.org/officeDocument/2006/relationships/hyperlink" Target="https://talan.bank.gov.ua/get-user-certificate/45CElkxUOc659S-YSocZ" TargetMode="External"/><Relationship Id="rId635" Type="http://schemas.openxmlformats.org/officeDocument/2006/relationships/hyperlink" Target="https://talan.bank.gov.ua/get-user-certificate/45CElf0sHUW9svs4L1ka" TargetMode="External"/><Relationship Id="rId842" Type="http://schemas.openxmlformats.org/officeDocument/2006/relationships/hyperlink" Target="https://talan.bank.gov.ua/get-user-certificate/45CElkcKFBCOmCv_QHIV" TargetMode="External"/><Relationship Id="rId1058" Type="http://schemas.openxmlformats.org/officeDocument/2006/relationships/hyperlink" Target="https://talan.bank.gov.ua/get-user-certificate/45CElUBaGhCVde_BSaSk" TargetMode="External"/><Relationship Id="rId1265" Type="http://schemas.openxmlformats.org/officeDocument/2006/relationships/hyperlink" Target="https://talan.bank.gov.ua/get-user-certificate/45CElMGMvfQwcykAZxaf" TargetMode="External"/><Relationship Id="rId1472" Type="http://schemas.openxmlformats.org/officeDocument/2006/relationships/hyperlink" Target="https://talan.bank.gov.ua/get-user-certificate/45CElo__ypW-dChLczyQ" TargetMode="External"/><Relationship Id="rId2109" Type="http://schemas.openxmlformats.org/officeDocument/2006/relationships/hyperlink" Target="https://talan.bank.gov.ua/get-user-certificate/45CElxsVYJg8l4LICaID" TargetMode="External"/><Relationship Id="rId2316" Type="http://schemas.openxmlformats.org/officeDocument/2006/relationships/hyperlink" Target="https://talan.bank.gov.ua/get-user-certificate/45CElCRm2sArZd4Vj5V9" TargetMode="External"/><Relationship Id="rId2523" Type="http://schemas.openxmlformats.org/officeDocument/2006/relationships/hyperlink" Target="https://talan.bank.gov.ua/get-user-certificate/45CEloiOjvAyw98cfWQ6" TargetMode="External"/><Relationship Id="rId2730" Type="http://schemas.openxmlformats.org/officeDocument/2006/relationships/hyperlink" Target="https://talan.bank.gov.ua/get-user-certificate/45CElLHv3noKEWPXn1pv" TargetMode="External"/><Relationship Id="rId702" Type="http://schemas.openxmlformats.org/officeDocument/2006/relationships/hyperlink" Target="https://talan.bank.gov.ua/get-user-certificate/45CElBw8BWe79rVWatqD" TargetMode="External"/><Relationship Id="rId1125" Type="http://schemas.openxmlformats.org/officeDocument/2006/relationships/hyperlink" Target="https://talan.bank.gov.ua/get-user-certificate/45CElTDyviE7bPMx5Adi" TargetMode="External"/><Relationship Id="rId1332" Type="http://schemas.openxmlformats.org/officeDocument/2006/relationships/hyperlink" Target="https://talan.bank.gov.ua/get-user-certificate/45CElREfVvmJk1AWcGOl" TargetMode="External"/><Relationship Id="rId4488" Type="http://schemas.openxmlformats.org/officeDocument/2006/relationships/hyperlink" Target="https://talan.bank.gov.ua/get-user-certificate/45CElBJhZ-Ou6_EK_bVy" TargetMode="External"/><Relationship Id="rId4695" Type="http://schemas.openxmlformats.org/officeDocument/2006/relationships/hyperlink" Target="https://talan.bank.gov.ua/get-user-certificate/45CEladObEBT3TvjH2J8" TargetMode="External"/><Relationship Id="rId3297" Type="http://schemas.openxmlformats.org/officeDocument/2006/relationships/hyperlink" Target="https://talan.bank.gov.ua/get-user-certificate/45CEliZjcU03iGKLh-Pv" TargetMode="External"/><Relationship Id="rId4348" Type="http://schemas.openxmlformats.org/officeDocument/2006/relationships/hyperlink" Target="https://talan.bank.gov.ua/get-user-certificate/45CElm1Fbm_mi6Uxr_PW" TargetMode="External"/><Relationship Id="rId3157" Type="http://schemas.openxmlformats.org/officeDocument/2006/relationships/hyperlink" Target="https://talan.bank.gov.ua/get-user-certificate/45CElef2VJV0EqNA7gy7" TargetMode="External"/><Relationship Id="rId4555" Type="http://schemas.openxmlformats.org/officeDocument/2006/relationships/hyperlink" Target="https://talan.bank.gov.ua/get-user-certificate/45CEllfSuYHd5l2JCasS" TargetMode="External"/><Relationship Id="rId4762" Type="http://schemas.openxmlformats.org/officeDocument/2006/relationships/hyperlink" Target="https://talan.bank.gov.ua/get-user-certificate/45CElI2GWBA-M_JaxikF" TargetMode="External"/><Relationship Id="rId285" Type="http://schemas.openxmlformats.org/officeDocument/2006/relationships/hyperlink" Target="https://talan.bank.gov.ua/get-user-certificate/45CElJsqCH0EIG7EWTPf" TargetMode="External"/><Relationship Id="rId3364" Type="http://schemas.openxmlformats.org/officeDocument/2006/relationships/hyperlink" Target="https://talan.bank.gov.ua/get-user-certificate/45CEl6581Ht-v-M4E_SH" TargetMode="External"/><Relationship Id="rId3571" Type="http://schemas.openxmlformats.org/officeDocument/2006/relationships/hyperlink" Target="https://talan.bank.gov.ua/get-user-certificate/45CElb4Y2msA1bZCT_5D" TargetMode="External"/><Relationship Id="rId4208" Type="http://schemas.openxmlformats.org/officeDocument/2006/relationships/hyperlink" Target="https://talan.bank.gov.ua/get-user-certificate/45CElpxEJA38arZgl35j" TargetMode="External"/><Relationship Id="rId4415" Type="http://schemas.openxmlformats.org/officeDocument/2006/relationships/hyperlink" Target="https://talan.bank.gov.ua/get-user-certificate/45CElqgJtHyOpcpurKSs" TargetMode="External"/><Relationship Id="rId4622" Type="http://schemas.openxmlformats.org/officeDocument/2006/relationships/hyperlink" Target="https://talan.bank.gov.ua/get-user-certificate/45CElvO56uxKmo8AchUQ" TargetMode="External"/><Relationship Id="rId492" Type="http://schemas.openxmlformats.org/officeDocument/2006/relationships/hyperlink" Target="https://talan.bank.gov.ua/get-user-certificate/45CElb0h7nCerTdd4Eus" TargetMode="External"/><Relationship Id="rId2173" Type="http://schemas.openxmlformats.org/officeDocument/2006/relationships/hyperlink" Target="https://talan.bank.gov.ua/get-user-certificate/45CEl7izoMJWl41Q3rZo" TargetMode="External"/><Relationship Id="rId2380" Type="http://schemas.openxmlformats.org/officeDocument/2006/relationships/hyperlink" Target="https://talan.bank.gov.ua/get-user-certificate/45CEl2IxAlyCogSmi1GH" TargetMode="External"/><Relationship Id="rId3017" Type="http://schemas.openxmlformats.org/officeDocument/2006/relationships/hyperlink" Target="https://talan.bank.gov.ua/get-user-certificate/45CElCE67AYCyic_txrc" TargetMode="External"/><Relationship Id="rId3224" Type="http://schemas.openxmlformats.org/officeDocument/2006/relationships/hyperlink" Target="https://talan.bank.gov.ua/get-user-certificate/45CElQfwJqWDanthyLaF" TargetMode="External"/><Relationship Id="rId3431" Type="http://schemas.openxmlformats.org/officeDocument/2006/relationships/hyperlink" Target="https://talan.bank.gov.ua/get-user-certificate/45CEl1dwDNU-NfhZjkA7" TargetMode="External"/><Relationship Id="rId145" Type="http://schemas.openxmlformats.org/officeDocument/2006/relationships/hyperlink" Target="https://talan.bank.gov.ua/get-user-certificate/45CElpzvcJgJhu_vTaGb" TargetMode="External"/><Relationship Id="rId352" Type="http://schemas.openxmlformats.org/officeDocument/2006/relationships/hyperlink" Target="https://talan.bank.gov.ua/get-user-certificate/45CEl3j23Fwnehmg6scL" TargetMode="External"/><Relationship Id="rId2033" Type="http://schemas.openxmlformats.org/officeDocument/2006/relationships/hyperlink" Target="https://talan.bank.gov.ua/get-user-certificate/45CElagMeCt0iT893nJU" TargetMode="External"/><Relationship Id="rId2240" Type="http://schemas.openxmlformats.org/officeDocument/2006/relationships/hyperlink" Target="https://talan.bank.gov.ua/get-user-certificate/45CElxW91aOybgGj9syf" TargetMode="External"/><Relationship Id="rId212" Type="http://schemas.openxmlformats.org/officeDocument/2006/relationships/hyperlink" Target="https://talan.bank.gov.ua/get-user-certificate/45CElyJInj2risSaIblw" TargetMode="External"/><Relationship Id="rId1799" Type="http://schemas.openxmlformats.org/officeDocument/2006/relationships/hyperlink" Target="https://talan.bank.gov.ua/get-user-certificate/45CEl9xU8KD0uwT4NTCB" TargetMode="External"/><Relationship Id="rId2100" Type="http://schemas.openxmlformats.org/officeDocument/2006/relationships/hyperlink" Target="https://talan.bank.gov.ua/get-user-certificate/45CElRvlvMqdiSwEOMXP" TargetMode="External"/><Relationship Id="rId4065" Type="http://schemas.openxmlformats.org/officeDocument/2006/relationships/hyperlink" Target="https://talan.bank.gov.ua/get-user-certificate/45CElsPXzwYaGC3DASj4" TargetMode="External"/><Relationship Id="rId4272" Type="http://schemas.openxmlformats.org/officeDocument/2006/relationships/hyperlink" Target="https://talan.bank.gov.ua/get-user-certificate/45CEluOp7FSEJl_UGsIK" TargetMode="External"/><Relationship Id="rId1659" Type="http://schemas.openxmlformats.org/officeDocument/2006/relationships/hyperlink" Target="https://talan.bank.gov.ua/get-user-certificate/45CEl7feU--x_6hL_TP7" TargetMode="External"/><Relationship Id="rId1866" Type="http://schemas.openxmlformats.org/officeDocument/2006/relationships/hyperlink" Target="https://talan.bank.gov.ua/get-user-certificate/45CEl0oBWYfJ_P5ncg5J" TargetMode="External"/><Relationship Id="rId2917" Type="http://schemas.openxmlformats.org/officeDocument/2006/relationships/hyperlink" Target="https://talan.bank.gov.ua/get-user-certificate/45CElMj3Qp9SyIRbkm6N" TargetMode="External"/><Relationship Id="rId3081" Type="http://schemas.openxmlformats.org/officeDocument/2006/relationships/hyperlink" Target="https://talan.bank.gov.ua/get-user-certificate/45CEluFn51b7EzVr7WAW" TargetMode="External"/><Relationship Id="rId4132" Type="http://schemas.openxmlformats.org/officeDocument/2006/relationships/hyperlink" Target="https://talan.bank.gov.ua/get-user-certificate/45CElflnKKU8kdn5Vvpe" TargetMode="External"/><Relationship Id="rId1519" Type="http://schemas.openxmlformats.org/officeDocument/2006/relationships/hyperlink" Target="https://talan.bank.gov.ua/get-user-certificate/45CElIpkC_DeYeudJiAf" TargetMode="External"/><Relationship Id="rId1726" Type="http://schemas.openxmlformats.org/officeDocument/2006/relationships/hyperlink" Target="https://talan.bank.gov.ua/get-user-certificate/45CElwNPxwDTxe-hEIlh" TargetMode="External"/><Relationship Id="rId1933" Type="http://schemas.openxmlformats.org/officeDocument/2006/relationships/hyperlink" Target="https://talan.bank.gov.ua/get-user-certificate/45CElq7znTB5dWRJhvOx" TargetMode="External"/><Relationship Id="rId18" Type="http://schemas.openxmlformats.org/officeDocument/2006/relationships/hyperlink" Target="https://talan.bank.gov.ua/get-user-certificate/45CElJDSg22OlO836IcI" TargetMode="External"/><Relationship Id="rId3898" Type="http://schemas.openxmlformats.org/officeDocument/2006/relationships/hyperlink" Target="https://talan.bank.gov.ua/get-user-certificate/45CEl1T8z_pDx0LRXMU0" TargetMode="External"/><Relationship Id="rId4949" Type="http://schemas.openxmlformats.org/officeDocument/2006/relationships/hyperlink" Target="https://talan.bank.gov.ua/get-user-certificate/45CElsW-7J32W8wr3M1r" TargetMode="External"/><Relationship Id="rId3758" Type="http://schemas.openxmlformats.org/officeDocument/2006/relationships/hyperlink" Target="https://talan.bank.gov.ua/get-user-certificate/45CEluDMx2SWpe45WF1E" TargetMode="External"/><Relationship Id="rId3965" Type="http://schemas.openxmlformats.org/officeDocument/2006/relationships/hyperlink" Target="https://talan.bank.gov.ua/get-user-certificate/45CElP16qgjefVvQ-Yer" TargetMode="External"/><Relationship Id="rId4809" Type="http://schemas.openxmlformats.org/officeDocument/2006/relationships/hyperlink" Target="https://talan.bank.gov.ua/get-user-certificate/45CEljzp_pLnfrJcZ4V4" TargetMode="External"/><Relationship Id="rId679" Type="http://schemas.openxmlformats.org/officeDocument/2006/relationships/hyperlink" Target="https://talan.bank.gov.ua/get-user-certificate/45CEl6xzXMirQz7eH0id" TargetMode="External"/><Relationship Id="rId886" Type="http://schemas.openxmlformats.org/officeDocument/2006/relationships/hyperlink" Target="https://talan.bank.gov.ua/get-user-certificate/45CEl9YFA4Xfqy8R-Pt8" TargetMode="External"/><Relationship Id="rId2567" Type="http://schemas.openxmlformats.org/officeDocument/2006/relationships/hyperlink" Target="https://talan.bank.gov.ua/get-user-certificate/45CElbDBP79dJG2qtwRs" TargetMode="External"/><Relationship Id="rId2774" Type="http://schemas.openxmlformats.org/officeDocument/2006/relationships/hyperlink" Target="https://talan.bank.gov.ua/get-user-certificate/45CElsZYVSLAVlFRfJNV" TargetMode="External"/><Relationship Id="rId3618" Type="http://schemas.openxmlformats.org/officeDocument/2006/relationships/hyperlink" Target="https://talan.bank.gov.ua/get-user-certificate/45CElETkVenhTfmfB97T" TargetMode="External"/><Relationship Id="rId2" Type="http://schemas.openxmlformats.org/officeDocument/2006/relationships/hyperlink" Target="https://talan.bank.gov.ua/get-user-certificate/45CElkX4-t96zugZM46Q" TargetMode="External"/><Relationship Id="rId539" Type="http://schemas.openxmlformats.org/officeDocument/2006/relationships/hyperlink" Target="https://talan.bank.gov.ua/get-user-certificate/45CElnpkg47trZqG92Hi" TargetMode="External"/><Relationship Id="rId746" Type="http://schemas.openxmlformats.org/officeDocument/2006/relationships/hyperlink" Target="https://talan.bank.gov.ua/get-user-certificate/45CEl495VHuyrUpHcibp" TargetMode="External"/><Relationship Id="rId1169" Type="http://schemas.openxmlformats.org/officeDocument/2006/relationships/hyperlink" Target="https://talan.bank.gov.ua/get-user-certificate/45CElL_DOTPXK4T37bu0" TargetMode="External"/><Relationship Id="rId1376" Type="http://schemas.openxmlformats.org/officeDocument/2006/relationships/hyperlink" Target="https://talan.bank.gov.ua/get-user-certificate/45CElsj6vx4oP6Iv_6Gw" TargetMode="External"/><Relationship Id="rId1583" Type="http://schemas.openxmlformats.org/officeDocument/2006/relationships/hyperlink" Target="https://talan.bank.gov.ua/get-user-certificate/45CEl4gvfitGysHVFqQD" TargetMode="External"/><Relationship Id="rId2427" Type="http://schemas.openxmlformats.org/officeDocument/2006/relationships/hyperlink" Target="https://talan.bank.gov.ua/get-user-certificate/45CElPb7ra5dwYgV_xFK" TargetMode="External"/><Relationship Id="rId2981" Type="http://schemas.openxmlformats.org/officeDocument/2006/relationships/hyperlink" Target="https://talan.bank.gov.ua/get-user-certificate/45CElhGZPAV9eDCF4fwv" TargetMode="External"/><Relationship Id="rId3825" Type="http://schemas.openxmlformats.org/officeDocument/2006/relationships/hyperlink" Target="https://talan.bank.gov.ua/get-user-certificate/45CElddzbv0Grabg3hW9" TargetMode="External"/><Relationship Id="rId953" Type="http://schemas.openxmlformats.org/officeDocument/2006/relationships/hyperlink" Target="https://talan.bank.gov.ua/get-user-certificate/45CElp5QPEtOMHIUCcbN" TargetMode="External"/><Relationship Id="rId1029" Type="http://schemas.openxmlformats.org/officeDocument/2006/relationships/hyperlink" Target="https://talan.bank.gov.ua/get-user-certificate/45CElST1Mm_eQPME7wOv" TargetMode="External"/><Relationship Id="rId1236" Type="http://schemas.openxmlformats.org/officeDocument/2006/relationships/hyperlink" Target="https://talan.bank.gov.ua/get-user-certificate/45CElGIkDR2oK4dSNiQt" TargetMode="External"/><Relationship Id="rId1790" Type="http://schemas.openxmlformats.org/officeDocument/2006/relationships/hyperlink" Target="https://talan.bank.gov.ua/get-user-certificate/45CElVZk7XwGx-_mViYd" TargetMode="External"/><Relationship Id="rId2634" Type="http://schemas.openxmlformats.org/officeDocument/2006/relationships/hyperlink" Target="https://talan.bank.gov.ua/get-user-certificate/45CElpuz-KyA278LNefT" TargetMode="External"/><Relationship Id="rId2841" Type="http://schemas.openxmlformats.org/officeDocument/2006/relationships/hyperlink" Target="https://talan.bank.gov.ua/get-user-certificate/45CElJuYqjoioWyM_UIy" TargetMode="External"/><Relationship Id="rId82" Type="http://schemas.openxmlformats.org/officeDocument/2006/relationships/hyperlink" Target="https://talan.bank.gov.ua/get-user-certificate/45CElHDfsolANx8_x9iV" TargetMode="External"/><Relationship Id="rId606" Type="http://schemas.openxmlformats.org/officeDocument/2006/relationships/hyperlink" Target="https://talan.bank.gov.ua/get-user-certificate/45CElzyc6TBFvPJT17Cq" TargetMode="External"/><Relationship Id="rId813" Type="http://schemas.openxmlformats.org/officeDocument/2006/relationships/hyperlink" Target="https://talan.bank.gov.ua/get-user-certificate/45CEla7hcjYKRaCl56ql" TargetMode="External"/><Relationship Id="rId1443" Type="http://schemas.openxmlformats.org/officeDocument/2006/relationships/hyperlink" Target="https://talan.bank.gov.ua/get-user-certificate/45CElq-vstrsbdkUQeNJ" TargetMode="External"/><Relationship Id="rId1650" Type="http://schemas.openxmlformats.org/officeDocument/2006/relationships/hyperlink" Target="https://talan.bank.gov.ua/get-user-certificate/45CEl_JuiPP6qEetEzmt" TargetMode="External"/><Relationship Id="rId2701" Type="http://schemas.openxmlformats.org/officeDocument/2006/relationships/hyperlink" Target="https://talan.bank.gov.ua/get-user-certificate/45CElEdiEQwu6aKJB5cU" TargetMode="External"/><Relationship Id="rId4599" Type="http://schemas.openxmlformats.org/officeDocument/2006/relationships/hyperlink" Target="https://talan.bank.gov.ua/get-user-certificate/45CElPZA731vwczCayfV" TargetMode="External"/><Relationship Id="rId1303" Type="http://schemas.openxmlformats.org/officeDocument/2006/relationships/hyperlink" Target="https://talan.bank.gov.ua/get-user-certificate/45CElZ_OW7724esbkBm5" TargetMode="External"/><Relationship Id="rId1510" Type="http://schemas.openxmlformats.org/officeDocument/2006/relationships/hyperlink" Target="https://talan.bank.gov.ua/get-user-certificate/45CElIwH3Ax8VgH9ayhW" TargetMode="External"/><Relationship Id="rId4459" Type="http://schemas.openxmlformats.org/officeDocument/2006/relationships/hyperlink" Target="https://talan.bank.gov.ua/get-user-certificate/45CElwZvfyT91gbJnF9r" TargetMode="External"/><Relationship Id="rId4666" Type="http://schemas.openxmlformats.org/officeDocument/2006/relationships/hyperlink" Target="https://talan.bank.gov.ua/get-user-certificate/45CElBAikUEP8mwNhblA" TargetMode="External"/><Relationship Id="rId4873" Type="http://schemas.openxmlformats.org/officeDocument/2006/relationships/hyperlink" Target="https://talan.bank.gov.ua/get-user-certificate/45CElWa7NptU890fmobW" TargetMode="External"/><Relationship Id="rId3268" Type="http://schemas.openxmlformats.org/officeDocument/2006/relationships/hyperlink" Target="https://talan.bank.gov.ua/get-user-certificate/45CEl5OB5KeKq6VJtW98" TargetMode="External"/><Relationship Id="rId3475" Type="http://schemas.openxmlformats.org/officeDocument/2006/relationships/hyperlink" Target="https://talan.bank.gov.ua/get-user-certificate/45CElzgNrELirroaQTzc" TargetMode="External"/><Relationship Id="rId3682" Type="http://schemas.openxmlformats.org/officeDocument/2006/relationships/hyperlink" Target="https://talan.bank.gov.ua/get-user-certificate/45CElsEGkmX7uSifxQNv" TargetMode="External"/><Relationship Id="rId4319" Type="http://schemas.openxmlformats.org/officeDocument/2006/relationships/hyperlink" Target="https://talan.bank.gov.ua/get-user-certificate/45CElXl9U2mfp7pX-WGf" TargetMode="External"/><Relationship Id="rId4526" Type="http://schemas.openxmlformats.org/officeDocument/2006/relationships/hyperlink" Target="https://talan.bank.gov.ua/get-user-certificate/45CElZMiYiMgZyh8HUXl" TargetMode="External"/><Relationship Id="rId4733" Type="http://schemas.openxmlformats.org/officeDocument/2006/relationships/hyperlink" Target="https://talan.bank.gov.ua/get-user-certificate/45CElkUu7kGL579F7fb8" TargetMode="External"/><Relationship Id="rId4940" Type="http://schemas.openxmlformats.org/officeDocument/2006/relationships/hyperlink" Target="https://talan.bank.gov.ua/get-user-certificate/45CElGBVbjOaygsW9kWi" TargetMode="External"/><Relationship Id="rId189" Type="http://schemas.openxmlformats.org/officeDocument/2006/relationships/hyperlink" Target="https://talan.bank.gov.ua/get-user-certificate/45CElQ9P4XM8gcJz5Bf0" TargetMode="External"/><Relationship Id="rId396" Type="http://schemas.openxmlformats.org/officeDocument/2006/relationships/hyperlink" Target="https://talan.bank.gov.ua/get-user-certificate/45CElpg4c9IW3b4D02xD" TargetMode="External"/><Relationship Id="rId2077" Type="http://schemas.openxmlformats.org/officeDocument/2006/relationships/hyperlink" Target="https://talan.bank.gov.ua/get-user-certificate/45CEljjJVgIrOpYU0QvX" TargetMode="External"/><Relationship Id="rId2284" Type="http://schemas.openxmlformats.org/officeDocument/2006/relationships/hyperlink" Target="https://talan.bank.gov.ua/get-user-certificate/45CElFQ8rKY9mtRd_Bsv" TargetMode="External"/><Relationship Id="rId2491" Type="http://schemas.openxmlformats.org/officeDocument/2006/relationships/hyperlink" Target="https://talan.bank.gov.ua/get-user-certificate/45CElEMlWRcg282zhokp" TargetMode="External"/><Relationship Id="rId3128" Type="http://schemas.openxmlformats.org/officeDocument/2006/relationships/hyperlink" Target="https://talan.bank.gov.ua/get-user-certificate/45CElu0H_LNLQ-d4yqZC" TargetMode="External"/><Relationship Id="rId3335" Type="http://schemas.openxmlformats.org/officeDocument/2006/relationships/hyperlink" Target="https://talan.bank.gov.ua/get-user-certificate/45CElyAB4ZhMQxtyZ8DB" TargetMode="External"/><Relationship Id="rId3542" Type="http://schemas.openxmlformats.org/officeDocument/2006/relationships/hyperlink" Target="https://talan.bank.gov.ua/get-user-certificate/45CEl_oSotL6Rs_5RurN" TargetMode="External"/><Relationship Id="rId256" Type="http://schemas.openxmlformats.org/officeDocument/2006/relationships/hyperlink" Target="https://talan.bank.gov.ua/get-user-certificate/45CElFl25rver5IKbF-k" TargetMode="External"/><Relationship Id="rId463" Type="http://schemas.openxmlformats.org/officeDocument/2006/relationships/hyperlink" Target="https://talan.bank.gov.ua/get-user-certificate/45CElnO8pXG-3KVfPd5M" TargetMode="External"/><Relationship Id="rId670" Type="http://schemas.openxmlformats.org/officeDocument/2006/relationships/hyperlink" Target="https://talan.bank.gov.ua/get-user-certificate/45CElLQvKWJJdXmpOTAZ" TargetMode="External"/><Relationship Id="rId1093" Type="http://schemas.openxmlformats.org/officeDocument/2006/relationships/hyperlink" Target="https://talan.bank.gov.ua/get-user-certificate/45CElwt3Vuow4ulNbKjh" TargetMode="External"/><Relationship Id="rId2144" Type="http://schemas.openxmlformats.org/officeDocument/2006/relationships/hyperlink" Target="https://talan.bank.gov.ua/get-user-certificate/45CElQKjIMA8MZ058k1a" TargetMode="External"/><Relationship Id="rId2351" Type="http://schemas.openxmlformats.org/officeDocument/2006/relationships/hyperlink" Target="https://talan.bank.gov.ua/get-user-certificate/45CElMCJWQzEksHfqYJ8" TargetMode="External"/><Relationship Id="rId3402" Type="http://schemas.openxmlformats.org/officeDocument/2006/relationships/hyperlink" Target="https://talan.bank.gov.ua/get-user-certificate/45CElLmQax-J8vJIryA8" TargetMode="External"/><Relationship Id="rId4800" Type="http://schemas.openxmlformats.org/officeDocument/2006/relationships/hyperlink" Target="https://talan.bank.gov.ua/get-user-certificate/45CElz4Knaj8kXlGBGYj" TargetMode="External"/><Relationship Id="rId116" Type="http://schemas.openxmlformats.org/officeDocument/2006/relationships/hyperlink" Target="https://talan.bank.gov.ua/get-user-certificate/45CElJWP6tzKe9Kp5zCQ" TargetMode="External"/><Relationship Id="rId323" Type="http://schemas.openxmlformats.org/officeDocument/2006/relationships/hyperlink" Target="https://talan.bank.gov.ua/get-user-certificate/45CEl68I8yrrG0a6EIjH" TargetMode="External"/><Relationship Id="rId530" Type="http://schemas.openxmlformats.org/officeDocument/2006/relationships/hyperlink" Target="https://talan.bank.gov.ua/get-user-certificate/45CEloWqtmtDSN-z1sDe" TargetMode="External"/><Relationship Id="rId1160" Type="http://schemas.openxmlformats.org/officeDocument/2006/relationships/hyperlink" Target="https://talan.bank.gov.ua/get-user-certificate/45CElj8F0CJU7D--4ttd" TargetMode="External"/><Relationship Id="rId2004" Type="http://schemas.openxmlformats.org/officeDocument/2006/relationships/hyperlink" Target="https://talan.bank.gov.ua/get-user-certificate/45CElBBCf2vfNRFTBNTj" TargetMode="External"/><Relationship Id="rId2211" Type="http://schemas.openxmlformats.org/officeDocument/2006/relationships/hyperlink" Target="https://talan.bank.gov.ua/get-user-certificate/45CElgo_Na5weOoxRA_m" TargetMode="External"/><Relationship Id="rId4176" Type="http://schemas.openxmlformats.org/officeDocument/2006/relationships/hyperlink" Target="https://talan.bank.gov.ua/get-user-certificate/45CEl27n1xSYVWQUXcW1" TargetMode="External"/><Relationship Id="rId1020" Type="http://schemas.openxmlformats.org/officeDocument/2006/relationships/hyperlink" Target="https://talan.bank.gov.ua/get-user-certificate/45CEl_ubRSRuaaA-NKpj" TargetMode="External"/><Relationship Id="rId1977" Type="http://schemas.openxmlformats.org/officeDocument/2006/relationships/hyperlink" Target="https://talan.bank.gov.ua/get-user-certificate/45CElZdakDB4rwJ--1x3" TargetMode="External"/><Relationship Id="rId4383" Type="http://schemas.openxmlformats.org/officeDocument/2006/relationships/hyperlink" Target="https://talan.bank.gov.ua/get-user-certificate/45CEllBUIONGLhLGz7jf" TargetMode="External"/><Relationship Id="rId4590" Type="http://schemas.openxmlformats.org/officeDocument/2006/relationships/hyperlink" Target="https://talan.bank.gov.ua/get-user-certificate/45CElOb8v4tkwRFKAY9n" TargetMode="External"/><Relationship Id="rId1837" Type="http://schemas.openxmlformats.org/officeDocument/2006/relationships/hyperlink" Target="https://talan.bank.gov.ua/get-user-certificate/45CElUKlLn7mEYabp8XW" TargetMode="External"/><Relationship Id="rId3192" Type="http://schemas.openxmlformats.org/officeDocument/2006/relationships/hyperlink" Target="https://talan.bank.gov.ua/get-user-certificate/45CElq0SO2nblRtcBUzY" TargetMode="External"/><Relationship Id="rId4036" Type="http://schemas.openxmlformats.org/officeDocument/2006/relationships/hyperlink" Target="https://talan.bank.gov.ua/get-user-certificate/45CElyfU5Pa--FStkaxi" TargetMode="External"/><Relationship Id="rId4243" Type="http://schemas.openxmlformats.org/officeDocument/2006/relationships/hyperlink" Target="https://talan.bank.gov.ua/get-user-certificate/45CElUOsV5kMB8YBu79a" TargetMode="External"/><Relationship Id="rId4450" Type="http://schemas.openxmlformats.org/officeDocument/2006/relationships/hyperlink" Target="https://talan.bank.gov.ua/get-user-certificate/45CEl6dDYL1xsr90shG0" TargetMode="External"/><Relationship Id="rId3052" Type="http://schemas.openxmlformats.org/officeDocument/2006/relationships/hyperlink" Target="https://talan.bank.gov.ua/get-user-certificate/45CElxy-3GEdQz7Da3IN" TargetMode="External"/><Relationship Id="rId4103" Type="http://schemas.openxmlformats.org/officeDocument/2006/relationships/hyperlink" Target="https://talan.bank.gov.ua/get-user-certificate/45CElAWolZpzUnLxk1yP" TargetMode="External"/><Relationship Id="rId4310" Type="http://schemas.openxmlformats.org/officeDocument/2006/relationships/hyperlink" Target="https://talan.bank.gov.ua/get-user-certificate/45CElejSAFrXt533K2sX" TargetMode="External"/><Relationship Id="rId180" Type="http://schemas.openxmlformats.org/officeDocument/2006/relationships/hyperlink" Target="https://talan.bank.gov.ua/get-user-certificate/45CElmg75EM7cXzycsHW" TargetMode="External"/><Relationship Id="rId1904" Type="http://schemas.openxmlformats.org/officeDocument/2006/relationships/hyperlink" Target="https://talan.bank.gov.ua/get-user-certificate/45CElRVgyI2pdtxNYGMp" TargetMode="External"/><Relationship Id="rId3869" Type="http://schemas.openxmlformats.org/officeDocument/2006/relationships/hyperlink" Target="https://talan.bank.gov.ua/get-user-certificate/45CEl9LWHIwhY_CDtNlb" TargetMode="External"/><Relationship Id="rId997" Type="http://schemas.openxmlformats.org/officeDocument/2006/relationships/hyperlink" Target="https://talan.bank.gov.ua/get-user-certificate/45CElJiwaNuVxR56NHye" TargetMode="External"/><Relationship Id="rId2678" Type="http://schemas.openxmlformats.org/officeDocument/2006/relationships/hyperlink" Target="https://talan.bank.gov.ua/get-user-certificate/45CElvaofANHfXYwA4xG" TargetMode="External"/><Relationship Id="rId2885" Type="http://schemas.openxmlformats.org/officeDocument/2006/relationships/hyperlink" Target="https://talan.bank.gov.ua/get-user-certificate/45CElElIOXJQbMzjl0jH" TargetMode="External"/><Relationship Id="rId3729" Type="http://schemas.openxmlformats.org/officeDocument/2006/relationships/hyperlink" Target="https://talan.bank.gov.ua/get-user-certificate/45CElhKEDKaop_n8nSg4" TargetMode="External"/><Relationship Id="rId3936" Type="http://schemas.openxmlformats.org/officeDocument/2006/relationships/hyperlink" Target="https://talan.bank.gov.ua/get-user-certificate/45CElqPlCHXG-MaXSlsC" TargetMode="External"/><Relationship Id="rId857" Type="http://schemas.openxmlformats.org/officeDocument/2006/relationships/hyperlink" Target="https://talan.bank.gov.ua/get-user-certificate/45CElkhM-YO9ISbqWZ6r" TargetMode="External"/><Relationship Id="rId1487" Type="http://schemas.openxmlformats.org/officeDocument/2006/relationships/hyperlink" Target="https://talan.bank.gov.ua/get-user-certificate/45CElHeXUKkdwDoqYJiZ" TargetMode="External"/><Relationship Id="rId1694" Type="http://schemas.openxmlformats.org/officeDocument/2006/relationships/hyperlink" Target="https://talan.bank.gov.ua/get-user-certificate/45CElmvfe3a-rAWxYFcJ" TargetMode="External"/><Relationship Id="rId2538" Type="http://schemas.openxmlformats.org/officeDocument/2006/relationships/hyperlink" Target="https://talan.bank.gov.ua/get-user-certificate/45CEl5z0oxCY2cPH9XWp" TargetMode="External"/><Relationship Id="rId2745" Type="http://schemas.openxmlformats.org/officeDocument/2006/relationships/hyperlink" Target="https://talan.bank.gov.ua/get-user-certificate/45CEl-zSLVRn41kAjPCi" TargetMode="External"/><Relationship Id="rId2952" Type="http://schemas.openxmlformats.org/officeDocument/2006/relationships/hyperlink" Target="https://talan.bank.gov.ua/get-user-certificate/45CEl_guH37tmI3rIvTE" TargetMode="External"/><Relationship Id="rId717" Type="http://schemas.openxmlformats.org/officeDocument/2006/relationships/hyperlink" Target="https://talan.bank.gov.ua/get-user-certificate/45CElMv4k41Z0aTfK1vo" TargetMode="External"/><Relationship Id="rId924" Type="http://schemas.openxmlformats.org/officeDocument/2006/relationships/hyperlink" Target="https://talan.bank.gov.ua/get-user-certificate/45CElHW6wl207c0ffKjr" TargetMode="External"/><Relationship Id="rId1347" Type="http://schemas.openxmlformats.org/officeDocument/2006/relationships/hyperlink" Target="https://talan.bank.gov.ua/get-user-certificate/45CElV9UdXuRnH1EK8PC" TargetMode="External"/><Relationship Id="rId1554" Type="http://schemas.openxmlformats.org/officeDocument/2006/relationships/hyperlink" Target="https://talan.bank.gov.ua/get-user-certificate/45CElSfqEMNpdCEZZRC2" TargetMode="External"/><Relationship Id="rId1761" Type="http://schemas.openxmlformats.org/officeDocument/2006/relationships/hyperlink" Target="https://talan.bank.gov.ua/get-user-certificate/45CElNhVw0r61nXYxToh" TargetMode="External"/><Relationship Id="rId2605" Type="http://schemas.openxmlformats.org/officeDocument/2006/relationships/hyperlink" Target="https://talan.bank.gov.ua/get-user-certificate/45CElsFeBERuclTR8nrM" TargetMode="External"/><Relationship Id="rId2812" Type="http://schemas.openxmlformats.org/officeDocument/2006/relationships/hyperlink" Target="https://talan.bank.gov.ua/get-user-certificate/45CEl_VIQPUM73WHOGMk" TargetMode="External"/><Relationship Id="rId5011" Type="http://schemas.openxmlformats.org/officeDocument/2006/relationships/hyperlink" Target="https://talan.bank.gov.ua/get-user-certificate/ki8TnIcfALSEWhEOmtoT" TargetMode="External"/><Relationship Id="rId53" Type="http://schemas.openxmlformats.org/officeDocument/2006/relationships/hyperlink" Target="https://talan.bank.gov.ua/get-user-certificate/45CElGGz3gD99adBaTEA" TargetMode="External"/><Relationship Id="rId1207" Type="http://schemas.openxmlformats.org/officeDocument/2006/relationships/hyperlink" Target="https://talan.bank.gov.ua/get-user-certificate/45CEluY1uYikMPA_jE4d" TargetMode="External"/><Relationship Id="rId1414" Type="http://schemas.openxmlformats.org/officeDocument/2006/relationships/hyperlink" Target="https://talan.bank.gov.ua/get-user-certificate/45CEl1McuYZytf9G71S0" TargetMode="External"/><Relationship Id="rId1621" Type="http://schemas.openxmlformats.org/officeDocument/2006/relationships/hyperlink" Target="https://talan.bank.gov.ua/get-user-certificate/45CEl5L9luqG-EsXuSxg" TargetMode="External"/><Relationship Id="rId4777" Type="http://schemas.openxmlformats.org/officeDocument/2006/relationships/hyperlink" Target="https://talan.bank.gov.ua/get-user-certificate/45CElMRpzIJUi59Fok1z" TargetMode="External"/><Relationship Id="rId4984" Type="http://schemas.openxmlformats.org/officeDocument/2006/relationships/hyperlink" Target="https://talan.bank.gov.ua/get-user-certificate/ki8TnIIL5v6ST9YJpAwo" TargetMode="External"/><Relationship Id="rId3379" Type="http://schemas.openxmlformats.org/officeDocument/2006/relationships/hyperlink" Target="https://talan.bank.gov.ua/get-user-certificate/45CElMVthOzrbe-uwsru" TargetMode="External"/><Relationship Id="rId3586" Type="http://schemas.openxmlformats.org/officeDocument/2006/relationships/hyperlink" Target="https://talan.bank.gov.ua/get-user-certificate/45CElFgf8wtnfCo2RWi5" TargetMode="External"/><Relationship Id="rId3793" Type="http://schemas.openxmlformats.org/officeDocument/2006/relationships/hyperlink" Target="https://talan.bank.gov.ua/get-user-certificate/45CEl59jXPb9yX7E0g0l" TargetMode="External"/><Relationship Id="rId4637" Type="http://schemas.openxmlformats.org/officeDocument/2006/relationships/hyperlink" Target="https://talan.bank.gov.ua/get-user-certificate/45CElajtJicajj7yRRxW" TargetMode="External"/><Relationship Id="rId2188" Type="http://schemas.openxmlformats.org/officeDocument/2006/relationships/hyperlink" Target="https://talan.bank.gov.ua/get-user-certificate/45CElGlBBQUByeo0YONk" TargetMode="External"/><Relationship Id="rId2395" Type="http://schemas.openxmlformats.org/officeDocument/2006/relationships/hyperlink" Target="https://talan.bank.gov.ua/get-user-certificate/45CElj96Dla_3n7beXFX" TargetMode="External"/><Relationship Id="rId3239" Type="http://schemas.openxmlformats.org/officeDocument/2006/relationships/hyperlink" Target="https://talan.bank.gov.ua/get-user-certificate/45CElUx-FpDlaZlm6-zh" TargetMode="External"/><Relationship Id="rId3446" Type="http://schemas.openxmlformats.org/officeDocument/2006/relationships/hyperlink" Target="https://talan.bank.gov.ua/get-user-certificate/45CElqgrcMTroTuMVkwW" TargetMode="External"/><Relationship Id="rId4844" Type="http://schemas.openxmlformats.org/officeDocument/2006/relationships/hyperlink" Target="https://talan.bank.gov.ua/get-user-certificate/45CEl92BHy-1bKEMpsK0" TargetMode="External"/><Relationship Id="rId367" Type="http://schemas.openxmlformats.org/officeDocument/2006/relationships/hyperlink" Target="https://talan.bank.gov.ua/get-user-certificate/45CEluBlaCoEsXB4AX1V" TargetMode="External"/><Relationship Id="rId574" Type="http://schemas.openxmlformats.org/officeDocument/2006/relationships/hyperlink" Target="https://talan.bank.gov.ua/get-user-certificate/45CElw-P6tYHIdWwZWcn" TargetMode="External"/><Relationship Id="rId2048" Type="http://schemas.openxmlformats.org/officeDocument/2006/relationships/hyperlink" Target="https://talan.bank.gov.ua/get-user-certificate/45CElmYng-rXhAq_361S" TargetMode="External"/><Relationship Id="rId2255" Type="http://schemas.openxmlformats.org/officeDocument/2006/relationships/hyperlink" Target="https://talan.bank.gov.ua/get-user-certificate/45CElMpRXwund3kq6UjV" TargetMode="External"/><Relationship Id="rId3653" Type="http://schemas.openxmlformats.org/officeDocument/2006/relationships/hyperlink" Target="https://talan.bank.gov.ua/get-user-certificate/45CElu_1v9j-MGGo0LN2" TargetMode="External"/><Relationship Id="rId3860" Type="http://schemas.openxmlformats.org/officeDocument/2006/relationships/hyperlink" Target="https://talan.bank.gov.ua/get-user-certificate/45CElhjrX1pTCSve6_Op" TargetMode="External"/><Relationship Id="rId4704" Type="http://schemas.openxmlformats.org/officeDocument/2006/relationships/hyperlink" Target="https://talan.bank.gov.ua/get-user-certificate/45CElP0eggoaH7UJRQ7w" TargetMode="External"/><Relationship Id="rId4911" Type="http://schemas.openxmlformats.org/officeDocument/2006/relationships/hyperlink" Target="https://talan.bank.gov.ua/get-user-certificate/45CElOTknx_PwifFUXX6" TargetMode="External"/><Relationship Id="rId227" Type="http://schemas.openxmlformats.org/officeDocument/2006/relationships/hyperlink" Target="https://talan.bank.gov.ua/get-user-certificate/45CElJAy7di7OUVjQzDN" TargetMode="External"/><Relationship Id="rId781" Type="http://schemas.openxmlformats.org/officeDocument/2006/relationships/hyperlink" Target="https://talan.bank.gov.ua/get-user-certificate/45CElibsEujN0ipuUjaP" TargetMode="External"/><Relationship Id="rId2462" Type="http://schemas.openxmlformats.org/officeDocument/2006/relationships/hyperlink" Target="https://talan.bank.gov.ua/get-user-certificate/45CEldREQkEh54mBtdhF" TargetMode="External"/><Relationship Id="rId3306" Type="http://schemas.openxmlformats.org/officeDocument/2006/relationships/hyperlink" Target="https://talan.bank.gov.ua/get-user-certificate/45CElwInrfIZFwnuF-Je" TargetMode="External"/><Relationship Id="rId3513" Type="http://schemas.openxmlformats.org/officeDocument/2006/relationships/hyperlink" Target="https://talan.bank.gov.ua/get-user-certificate/45CElQq0yVv8rtXj5_yB" TargetMode="External"/><Relationship Id="rId3720" Type="http://schemas.openxmlformats.org/officeDocument/2006/relationships/hyperlink" Target="https://talan.bank.gov.ua/get-user-certificate/45CEl1RFAiT6UvDBIEjd" TargetMode="External"/><Relationship Id="rId434" Type="http://schemas.openxmlformats.org/officeDocument/2006/relationships/hyperlink" Target="https://talan.bank.gov.ua/get-user-certificate/45CElP7ARHl55fSaDjJq" TargetMode="External"/><Relationship Id="rId641" Type="http://schemas.openxmlformats.org/officeDocument/2006/relationships/hyperlink" Target="https://talan.bank.gov.ua/get-user-certificate/45CEleFd-I3IS6b4uP1r" TargetMode="External"/><Relationship Id="rId1064" Type="http://schemas.openxmlformats.org/officeDocument/2006/relationships/hyperlink" Target="https://talan.bank.gov.ua/get-user-certificate/45CElryGEdk3l7icXu5E" TargetMode="External"/><Relationship Id="rId1271" Type="http://schemas.openxmlformats.org/officeDocument/2006/relationships/hyperlink" Target="https://talan.bank.gov.ua/get-user-certificate/45CEli45Nna5iWWSbz28" TargetMode="External"/><Relationship Id="rId2115" Type="http://schemas.openxmlformats.org/officeDocument/2006/relationships/hyperlink" Target="https://talan.bank.gov.ua/get-user-certificate/45CElUglO6XvTtE8VX4f" TargetMode="External"/><Relationship Id="rId2322" Type="http://schemas.openxmlformats.org/officeDocument/2006/relationships/hyperlink" Target="https://talan.bank.gov.ua/get-user-certificate/45CElvC3rB94EGmZ-ods" TargetMode="External"/><Relationship Id="rId501" Type="http://schemas.openxmlformats.org/officeDocument/2006/relationships/hyperlink" Target="https://talan.bank.gov.ua/get-user-certificate/45CEl4FvXY8Dnkwb6mdC" TargetMode="External"/><Relationship Id="rId1131" Type="http://schemas.openxmlformats.org/officeDocument/2006/relationships/hyperlink" Target="https://talan.bank.gov.ua/get-user-certificate/45CElsiJQZ5hOISFa071" TargetMode="External"/><Relationship Id="rId4287" Type="http://schemas.openxmlformats.org/officeDocument/2006/relationships/hyperlink" Target="https://talan.bank.gov.ua/get-user-certificate/45CEllFMCJ0djUuyVMZP" TargetMode="External"/><Relationship Id="rId4494" Type="http://schemas.openxmlformats.org/officeDocument/2006/relationships/hyperlink" Target="https://talan.bank.gov.ua/get-user-certificate/45CElcNxfymBoHAzNr3i" TargetMode="External"/><Relationship Id="rId3096" Type="http://schemas.openxmlformats.org/officeDocument/2006/relationships/hyperlink" Target="https://talan.bank.gov.ua/get-user-certificate/45CEl7a70jfUghuaMRXF" TargetMode="External"/><Relationship Id="rId4147" Type="http://schemas.openxmlformats.org/officeDocument/2006/relationships/hyperlink" Target="https://talan.bank.gov.ua/get-user-certificate/45CElvmiWMMkUDVih-zo" TargetMode="External"/><Relationship Id="rId4354" Type="http://schemas.openxmlformats.org/officeDocument/2006/relationships/hyperlink" Target="https://talan.bank.gov.ua/get-user-certificate/45CElYmYC3GMeCxUEbcz" TargetMode="External"/><Relationship Id="rId4561" Type="http://schemas.openxmlformats.org/officeDocument/2006/relationships/hyperlink" Target="https://talan.bank.gov.ua/get-user-certificate/45CElaIgVB_3a25LekQV" TargetMode="External"/><Relationship Id="rId1948" Type="http://schemas.openxmlformats.org/officeDocument/2006/relationships/hyperlink" Target="https://talan.bank.gov.ua/get-user-certificate/45CElBFElzPvagbxQhZe" TargetMode="External"/><Relationship Id="rId3163" Type="http://schemas.openxmlformats.org/officeDocument/2006/relationships/hyperlink" Target="https://talan.bank.gov.ua/get-user-certificate/45CElHTudx2NPHNkdmms" TargetMode="External"/><Relationship Id="rId3370" Type="http://schemas.openxmlformats.org/officeDocument/2006/relationships/hyperlink" Target="https://talan.bank.gov.ua/get-user-certificate/45CEl-AsTr5iWezyGnaV" TargetMode="External"/><Relationship Id="rId4007" Type="http://schemas.openxmlformats.org/officeDocument/2006/relationships/hyperlink" Target="https://talan.bank.gov.ua/get-user-certificate/45CElKXkNQr78vzJRt3n" TargetMode="External"/><Relationship Id="rId4214" Type="http://schemas.openxmlformats.org/officeDocument/2006/relationships/hyperlink" Target="https://talan.bank.gov.ua/get-user-certificate/45CElvyYopqgo-EmYVGN" TargetMode="External"/><Relationship Id="rId4421" Type="http://schemas.openxmlformats.org/officeDocument/2006/relationships/hyperlink" Target="https://talan.bank.gov.ua/get-user-certificate/45CElJUQBT1vmoT89e45" TargetMode="External"/><Relationship Id="rId291" Type="http://schemas.openxmlformats.org/officeDocument/2006/relationships/hyperlink" Target="https://talan.bank.gov.ua/get-user-certificate/45CEl1IdpZ0bCzd0lx5u" TargetMode="External"/><Relationship Id="rId1808" Type="http://schemas.openxmlformats.org/officeDocument/2006/relationships/hyperlink" Target="https://talan.bank.gov.ua/get-user-certificate/45CEl7aJx96ZyNqfXrXX" TargetMode="External"/><Relationship Id="rId3023" Type="http://schemas.openxmlformats.org/officeDocument/2006/relationships/hyperlink" Target="https://talan.bank.gov.ua/get-user-certificate/45CEl1GGKhMJI36sogD6" TargetMode="External"/><Relationship Id="rId151" Type="http://schemas.openxmlformats.org/officeDocument/2006/relationships/hyperlink" Target="https://talan.bank.gov.ua/get-user-certificate/45CElS27mDleuJkxfjeW" TargetMode="External"/><Relationship Id="rId3230" Type="http://schemas.openxmlformats.org/officeDocument/2006/relationships/hyperlink" Target="https://talan.bank.gov.ua/get-user-certificate/45CEle0m3khd63A-GARw" TargetMode="External"/><Relationship Id="rId2789" Type="http://schemas.openxmlformats.org/officeDocument/2006/relationships/hyperlink" Target="https://talan.bank.gov.ua/get-user-certificate/45CEl3_UaTy-3-mYH5v0" TargetMode="External"/><Relationship Id="rId2996" Type="http://schemas.openxmlformats.org/officeDocument/2006/relationships/hyperlink" Target="https://talan.bank.gov.ua/get-user-certificate/45CEl4scwRLuVQzii8pE" TargetMode="External"/><Relationship Id="rId968" Type="http://schemas.openxmlformats.org/officeDocument/2006/relationships/hyperlink" Target="https://talan.bank.gov.ua/get-user-certificate/45CElNdRfGPYxHFkQxq5" TargetMode="External"/><Relationship Id="rId1598" Type="http://schemas.openxmlformats.org/officeDocument/2006/relationships/hyperlink" Target="https://talan.bank.gov.ua/get-user-certificate/45CElnukPeSvGxa_mPQX" TargetMode="External"/><Relationship Id="rId2649" Type="http://schemas.openxmlformats.org/officeDocument/2006/relationships/hyperlink" Target="https://talan.bank.gov.ua/get-user-certificate/45CEl_RbgKf44DXcYPXx" TargetMode="External"/><Relationship Id="rId2856" Type="http://schemas.openxmlformats.org/officeDocument/2006/relationships/hyperlink" Target="https://talan.bank.gov.ua/get-user-certificate/45CElo6ipdPAV3XynmyI" TargetMode="External"/><Relationship Id="rId3907" Type="http://schemas.openxmlformats.org/officeDocument/2006/relationships/hyperlink" Target="https://talan.bank.gov.ua/get-user-certificate/45CEl6VMZc7PLK9WiHfm" TargetMode="External"/><Relationship Id="rId97" Type="http://schemas.openxmlformats.org/officeDocument/2006/relationships/hyperlink" Target="https://talan.bank.gov.ua/get-user-certificate/45CElUqXfeu-pii1xOOB" TargetMode="External"/><Relationship Id="rId828" Type="http://schemas.openxmlformats.org/officeDocument/2006/relationships/hyperlink" Target="https://talan.bank.gov.ua/get-user-certificate/45CElQWKdAnpvVNAbrvr" TargetMode="External"/><Relationship Id="rId1458" Type="http://schemas.openxmlformats.org/officeDocument/2006/relationships/hyperlink" Target="https://talan.bank.gov.ua/get-user-certificate/45CElwuO64nSU_SpX8yu" TargetMode="External"/><Relationship Id="rId1665" Type="http://schemas.openxmlformats.org/officeDocument/2006/relationships/hyperlink" Target="https://talan.bank.gov.ua/get-user-certificate/45CEl1MhzjOyo4A_oaRu" TargetMode="External"/><Relationship Id="rId1872" Type="http://schemas.openxmlformats.org/officeDocument/2006/relationships/hyperlink" Target="https://talan.bank.gov.ua/get-user-certificate/45CElCwfv506HorDi6uZ" TargetMode="External"/><Relationship Id="rId2509" Type="http://schemas.openxmlformats.org/officeDocument/2006/relationships/hyperlink" Target="https://talan.bank.gov.ua/get-user-certificate/45CEl28tRhuypZgGsOfo" TargetMode="External"/><Relationship Id="rId2716" Type="http://schemas.openxmlformats.org/officeDocument/2006/relationships/hyperlink" Target="https://talan.bank.gov.ua/get-user-certificate/45CElaOvuaCdod2-_ogy" TargetMode="External"/><Relationship Id="rId4071" Type="http://schemas.openxmlformats.org/officeDocument/2006/relationships/hyperlink" Target="https://talan.bank.gov.ua/get-user-certificate/45CElfSisJ0oJMjn5mrI" TargetMode="External"/><Relationship Id="rId1318" Type="http://schemas.openxmlformats.org/officeDocument/2006/relationships/hyperlink" Target="https://talan.bank.gov.ua/get-user-certificate/45CElKZJsWEj2rB4C7LV" TargetMode="External"/><Relationship Id="rId1525" Type="http://schemas.openxmlformats.org/officeDocument/2006/relationships/hyperlink" Target="https://talan.bank.gov.ua/get-user-certificate/45CElp1hwTq_BUFK5bIl" TargetMode="External"/><Relationship Id="rId2923" Type="http://schemas.openxmlformats.org/officeDocument/2006/relationships/hyperlink" Target="https://talan.bank.gov.ua/get-user-certificate/45CElszcV4afI6MBIACN" TargetMode="External"/><Relationship Id="rId1732" Type="http://schemas.openxmlformats.org/officeDocument/2006/relationships/hyperlink" Target="https://talan.bank.gov.ua/get-user-certificate/45CElmb_t72HLUHTVaeg" TargetMode="External"/><Relationship Id="rId4888" Type="http://schemas.openxmlformats.org/officeDocument/2006/relationships/hyperlink" Target="https://talan.bank.gov.ua/get-user-certificate/45CElyzhWiakgWVdDWHN" TargetMode="External"/><Relationship Id="rId24" Type="http://schemas.openxmlformats.org/officeDocument/2006/relationships/hyperlink" Target="https://talan.bank.gov.ua/get-user-certificate/45CElNWtRZMBIW5BDzpv" TargetMode="External"/><Relationship Id="rId2299" Type="http://schemas.openxmlformats.org/officeDocument/2006/relationships/hyperlink" Target="https://talan.bank.gov.ua/get-user-certificate/45CElSIdFVAuROmtQD3-" TargetMode="External"/><Relationship Id="rId3697" Type="http://schemas.openxmlformats.org/officeDocument/2006/relationships/hyperlink" Target="https://talan.bank.gov.ua/get-user-certificate/45CEldqgRPmGIZXhFJPJ" TargetMode="External"/><Relationship Id="rId4748" Type="http://schemas.openxmlformats.org/officeDocument/2006/relationships/hyperlink" Target="https://talan.bank.gov.ua/get-user-certificate/45CElhLMyTCfB76v18bd" TargetMode="External"/><Relationship Id="rId4955" Type="http://schemas.openxmlformats.org/officeDocument/2006/relationships/hyperlink" Target="https://talan.bank.gov.ua/get-user-certificate/45CEl7HmHCYsiSmx7k-p" TargetMode="External"/><Relationship Id="rId3557" Type="http://schemas.openxmlformats.org/officeDocument/2006/relationships/hyperlink" Target="https://talan.bank.gov.ua/get-user-certificate/45CElzZrzgMB3PI6gKr9" TargetMode="External"/><Relationship Id="rId3764" Type="http://schemas.openxmlformats.org/officeDocument/2006/relationships/hyperlink" Target="https://talan.bank.gov.ua/get-user-certificate/45CElRddLzb76whPR0D2" TargetMode="External"/><Relationship Id="rId3971" Type="http://schemas.openxmlformats.org/officeDocument/2006/relationships/hyperlink" Target="https://talan.bank.gov.ua/get-user-certificate/45CElGQsBqszwV3PuD-4" TargetMode="External"/><Relationship Id="rId4608" Type="http://schemas.openxmlformats.org/officeDocument/2006/relationships/hyperlink" Target="https://talan.bank.gov.ua/get-user-certificate/45CEljQUvy8pYaaJytGE" TargetMode="External"/><Relationship Id="rId4815" Type="http://schemas.openxmlformats.org/officeDocument/2006/relationships/hyperlink" Target="https://talan.bank.gov.ua/get-user-certificate/45CEl0-kRlrcsi1KyMeh" TargetMode="External"/><Relationship Id="rId478" Type="http://schemas.openxmlformats.org/officeDocument/2006/relationships/hyperlink" Target="https://talan.bank.gov.ua/get-user-certificate/45CElWLjw50NmPVGoxDF" TargetMode="External"/><Relationship Id="rId685" Type="http://schemas.openxmlformats.org/officeDocument/2006/relationships/hyperlink" Target="https://talan.bank.gov.ua/get-user-certificate/45CEle-VtLKKc4YfLNPN" TargetMode="External"/><Relationship Id="rId892" Type="http://schemas.openxmlformats.org/officeDocument/2006/relationships/hyperlink" Target="https://talan.bank.gov.ua/get-user-certificate/45CElqXirxGDfdPAF9tV" TargetMode="External"/><Relationship Id="rId2159" Type="http://schemas.openxmlformats.org/officeDocument/2006/relationships/hyperlink" Target="https://talan.bank.gov.ua/get-user-certificate/45CEl5JZVb9WDRkaupB3" TargetMode="External"/><Relationship Id="rId2366" Type="http://schemas.openxmlformats.org/officeDocument/2006/relationships/hyperlink" Target="https://talan.bank.gov.ua/get-user-certificate/45CEllEcF_RTiw5AkZhU" TargetMode="External"/><Relationship Id="rId2573" Type="http://schemas.openxmlformats.org/officeDocument/2006/relationships/hyperlink" Target="https://talan.bank.gov.ua/get-user-certificate/45CElB5iPSKTBS5Y86CQ" TargetMode="External"/><Relationship Id="rId2780" Type="http://schemas.openxmlformats.org/officeDocument/2006/relationships/hyperlink" Target="https://talan.bank.gov.ua/get-user-certificate/45CElHeuZYkJxzAtB39W" TargetMode="External"/><Relationship Id="rId3417" Type="http://schemas.openxmlformats.org/officeDocument/2006/relationships/hyperlink" Target="https://talan.bank.gov.ua/get-user-certificate/45CElDoSA6KRElYdIdMg" TargetMode="External"/><Relationship Id="rId3624" Type="http://schemas.openxmlformats.org/officeDocument/2006/relationships/hyperlink" Target="https://talan.bank.gov.ua/get-user-certificate/45CElv_aGu7MgcAx7rZn" TargetMode="External"/><Relationship Id="rId3831" Type="http://schemas.openxmlformats.org/officeDocument/2006/relationships/hyperlink" Target="https://talan.bank.gov.ua/get-user-certificate/45CEl47-CI1AoEYTp8pn" TargetMode="External"/><Relationship Id="rId338" Type="http://schemas.openxmlformats.org/officeDocument/2006/relationships/hyperlink" Target="https://talan.bank.gov.ua/get-user-certificate/45CElrnZD1ZIkATeZb_F" TargetMode="External"/><Relationship Id="rId545" Type="http://schemas.openxmlformats.org/officeDocument/2006/relationships/hyperlink" Target="https://talan.bank.gov.ua/get-user-certificate/45CEltM7KihFLhIFAE0U" TargetMode="External"/><Relationship Id="rId752" Type="http://schemas.openxmlformats.org/officeDocument/2006/relationships/hyperlink" Target="https://talan.bank.gov.ua/get-user-certificate/45CEl83bEN5MULKWMItV" TargetMode="External"/><Relationship Id="rId1175" Type="http://schemas.openxmlformats.org/officeDocument/2006/relationships/hyperlink" Target="https://talan.bank.gov.ua/get-user-certificate/45CElDYXWdcdCx5tiqQe" TargetMode="External"/><Relationship Id="rId1382" Type="http://schemas.openxmlformats.org/officeDocument/2006/relationships/hyperlink" Target="https://talan.bank.gov.ua/get-user-certificate/45CElMNGpKzQ7MNBBotY" TargetMode="External"/><Relationship Id="rId2019" Type="http://schemas.openxmlformats.org/officeDocument/2006/relationships/hyperlink" Target="https://talan.bank.gov.ua/get-user-certificate/45CElaMUecIP-txiVkMT" TargetMode="External"/><Relationship Id="rId2226" Type="http://schemas.openxmlformats.org/officeDocument/2006/relationships/hyperlink" Target="https://talan.bank.gov.ua/get-user-certificate/45CEld5F47kc1D-PgkaJ" TargetMode="External"/><Relationship Id="rId2433" Type="http://schemas.openxmlformats.org/officeDocument/2006/relationships/hyperlink" Target="https://talan.bank.gov.ua/get-user-certificate/45CElg-7BUbB7HrdkMWc" TargetMode="External"/><Relationship Id="rId2640" Type="http://schemas.openxmlformats.org/officeDocument/2006/relationships/hyperlink" Target="https://talan.bank.gov.ua/get-user-certificate/45CEla2l_QZM2wCYZv86" TargetMode="External"/><Relationship Id="rId405" Type="http://schemas.openxmlformats.org/officeDocument/2006/relationships/hyperlink" Target="https://talan.bank.gov.ua/get-user-certificate/45CElICS34CYcBj53nA-" TargetMode="External"/><Relationship Id="rId612" Type="http://schemas.openxmlformats.org/officeDocument/2006/relationships/hyperlink" Target="https://talan.bank.gov.ua/get-user-certificate/45CEl_j9NaEpw_0yDRFT" TargetMode="External"/><Relationship Id="rId1035" Type="http://schemas.openxmlformats.org/officeDocument/2006/relationships/hyperlink" Target="https://talan.bank.gov.ua/get-user-certificate/45CElSQoiVydPyCCoA6k" TargetMode="External"/><Relationship Id="rId1242" Type="http://schemas.openxmlformats.org/officeDocument/2006/relationships/hyperlink" Target="https://talan.bank.gov.ua/get-user-certificate/45CElNVYzTw2moeBtliu" TargetMode="External"/><Relationship Id="rId2500" Type="http://schemas.openxmlformats.org/officeDocument/2006/relationships/hyperlink" Target="https://talan.bank.gov.ua/get-user-certificate/45CElMgvV7Q_Z_VH_vQb" TargetMode="External"/><Relationship Id="rId4398" Type="http://schemas.openxmlformats.org/officeDocument/2006/relationships/hyperlink" Target="https://talan.bank.gov.ua/get-user-certificate/45CEl1ZAYY-sRy5COCjf" TargetMode="External"/><Relationship Id="rId1102" Type="http://schemas.openxmlformats.org/officeDocument/2006/relationships/hyperlink" Target="https://talan.bank.gov.ua/get-user-certificate/45CElyJjjR-DWk8hXWVZ" TargetMode="External"/><Relationship Id="rId4258" Type="http://schemas.openxmlformats.org/officeDocument/2006/relationships/hyperlink" Target="https://talan.bank.gov.ua/get-user-certificate/45CEly9eTq8jeZDxgsD0" TargetMode="External"/><Relationship Id="rId4465" Type="http://schemas.openxmlformats.org/officeDocument/2006/relationships/hyperlink" Target="https://talan.bank.gov.ua/get-user-certificate/45CElWYGzHzKdGV7rnxW" TargetMode="External"/><Relationship Id="rId3067" Type="http://schemas.openxmlformats.org/officeDocument/2006/relationships/hyperlink" Target="https://talan.bank.gov.ua/get-user-certificate/45CElrQltnB_kiUFfEyf" TargetMode="External"/><Relationship Id="rId3274" Type="http://schemas.openxmlformats.org/officeDocument/2006/relationships/hyperlink" Target="https://talan.bank.gov.ua/get-user-certificate/45CElgcLItQG0pJuKBlp" TargetMode="External"/><Relationship Id="rId4118" Type="http://schemas.openxmlformats.org/officeDocument/2006/relationships/hyperlink" Target="https://talan.bank.gov.ua/get-user-certificate/45CElHhHBluPQ_9w1mp1" TargetMode="External"/><Relationship Id="rId4672" Type="http://schemas.openxmlformats.org/officeDocument/2006/relationships/hyperlink" Target="https://talan.bank.gov.ua/get-user-certificate/45CEl1aHMtWda67yELfa" TargetMode="External"/><Relationship Id="rId195" Type="http://schemas.openxmlformats.org/officeDocument/2006/relationships/hyperlink" Target="https://talan.bank.gov.ua/get-user-certificate/45CElcENUFm_Vde-LQQx" TargetMode="External"/><Relationship Id="rId1919" Type="http://schemas.openxmlformats.org/officeDocument/2006/relationships/hyperlink" Target="https://talan.bank.gov.ua/get-user-certificate/45CEl-Q2dj0o9IHKMm2v" TargetMode="External"/><Relationship Id="rId3481" Type="http://schemas.openxmlformats.org/officeDocument/2006/relationships/hyperlink" Target="https://talan.bank.gov.ua/get-user-certificate/45CElKTmvYBloMfXobA6" TargetMode="External"/><Relationship Id="rId4325" Type="http://schemas.openxmlformats.org/officeDocument/2006/relationships/hyperlink" Target="https://talan.bank.gov.ua/get-user-certificate/45CElX3baFYJNvDSUOmJ" TargetMode="External"/><Relationship Id="rId4532" Type="http://schemas.openxmlformats.org/officeDocument/2006/relationships/hyperlink" Target="https://talan.bank.gov.ua/get-user-certificate/45CElXC9n8y7zxHSyseu" TargetMode="External"/><Relationship Id="rId2083" Type="http://schemas.openxmlformats.org/officeDocument/2006/relationships/hyperlink" Target="https://talan.bank.gov.ua/get-user-certificate/45CElORsuFeoTj5Qh4Zq" TargetMode="External"/><Relationship Id="rId2290" Type="http://schemas.openxmlformats.org/officeDocument/2006/relationships/hyperlink" Target="https://talan.bank.gov.ua/get-user-certificate/45CElHGu-RIZi9ojpufn" TargetMode="External"/><Relationship Id="rId3134" Type="http://schemas.openxmlformats.org/officeDocument/2006/relationships/hyperlink" Target="https://talan.bank.gov.ua/get-user-certificate/45CElgrOAkeikeH_VTr6" TargetMode="External"/><Relationship Id="rId3341" Type="http://schemas.openxmlformats.org/officeDocument/2006/relationships/hyperlink" Target="https://talan.bank.gov.ua/get-user-certificate/45CEl0dbN9wOATkT97Bh" TargetMode="External"/><Relationship Id="rId262" Type="http://schemas.openxmlformats.org/officeDocument/2006/relationships/hyperlink" Target="https://talan.bank.gov.ua/get-user-certificate/45CEllwRERbdHCsxBN0g" TargetMode="External"/><Relationship Id="rId2150" Type="http://schemas.openxmlformats.org/officeDocument/2006/relationships/hyperlink" Target="https://talan.bank.gov.ua/get-user-certificate/45CElc2lsjq9tOLDaj65" TargetMode="External"/><Relationship Id="rId3201" Type="http://schemas.openxmlformats.org/officeDocument/2006/relationships/hyperlink" Target="https://talan.bank.gov.ua/get-user-certificate/45CEl3TA2IIGzViMghZF" TargetMode="External"/><Relationship Id="rId122" Type="http://schemas.openxmlformats.org/officeDocument/2006/relationships/hyperlink" Target="https://talan.bank.gov.ua/get-user-certificate/45CEl4J0h_dnQ21MBI19" TargetMode="External"/><Relationship Id="rId2010" Type="http://schemas.openxmlformats.org/officeDocument/2006/relationships/hyperlink" Target="https://talan.bank.gov.ua/get-user-certificate/45CElA5dOFMGxlJV_Prk" TargetMode="External"/><Relationship Id="rId1569" Type="http://schemas.openxmlformats.org/officeDocument/2006/relationships/hyperlink" Target="https://talan.bank.gov.ua/get-user-certificate/45CElfYxwWdGV3ckw3nZ" TargetMode="External"/><Relationship Id="rId2967" Type="http://schemas.openxmlformats.org/officeDocument/2006/relationships/hyperlink" Target="https://talan.bank.gov.ua/get-user-certificate/45CElxUG9GoDlfUYz6sT" TargetMode="External"/><Relationship Id="rId4182" Type="http://schemas.openxmlformats.org/officeDocument/2006/relationships/hyperlink" Target="https://talan.bank.gov.ua/get-user-certificate/45CEligsMqT_jwqRJrLj" TargetMode="External"/><Relationship Id="rId5026" Type="http://schemas.openxmlformats.org/officeDocument/2006/relationships/printerSettings" Target="../printerSettings/printerSettings1.bin"/><Relationship Id="rId939" Type="http://schemas.openxmlformats.org/officeDocument/2006/relationships/hyperlink" Target="https://talan.bank.gov.ua/get-user-certificate/45CElaguLxFb8Vgv7VAa" TargetMode="External"/><Relationship Id="rId1776" Type="http://schemas.openxmlformats.org/officeDocument/2006/relationships/hyperlink" Target="https://talan.bank.gov.ua/get-user-certificate/45CElU_Y5hGv9EBByhoa" TargetMode="External"/><Relationship Id="rId1983" Type="http://schemas.openxmlformats.org/officeDocument/2006/relationships/hyperlink" Target="https://talan.bank.gov.ua/get-user-certificate/45CElP8hnK4A-GjEvcZZ" TargetMode="External"/><Relationship Id="rId2827" Type="http://schemas.openxmlformats.org/officeDocument/2006/relationships/hyperlink" Target="https://talan.bank.gov.ua/get-user-certificate/45CEllJvjAATLF-TDb5u" TargetMode="External"/><Relationship Id="rId4042" Type="http://schemas.openxmlformats.org/officeDocument/2006/relationships/hyperlink" Target="https://talan.bank.gov.ua/get-user-certificate/45CElWwPqkWo7C3kcJ8U" TargetMode="External"/><Relationship Id="rId68" Type="http://schemas.openxmlformats.org/officeDocument/2006/relationships/hyperlink" Target="https://talan.bank.gov.ua/get-user-certificate/45CElAZCVqHBzWUuP5Z1" TargetMode="External"/><Relationship Id="rId1429" Type="http://schemas.openxmlformats.org/officeDocument/2006/relationships/hyperlink" Target="https://talan.bank.gov.ua/get-user-certificate/45CEldWx93qORfsClSiq" TargetMode="External"/><Relationship Id="rId1636" Type="http://schemas.openxmlformats.org/officeDocument/2006/relationships/hyperlink" Target="https://talan.bank.gov.ua/get-user-certificate/45CElWH7VAy7LB34Yx3c" TargetMode="External"/><Relationship Id="rId1843" Type="http://schemas.openxmlformats.org/officeDocument/2006/relationships/hyperlink" Target="https://talan.bank.gov.ua/get-user-certificate/45CElp4Il2C8eEKQDI3s" TargetMode="External"/><Relationship Id="rId4999" Type="http://schemas.openxmlformats.org/officeDocument/2006/relationships/hyperlink" Target="https://talan.bank.gov.ua/get-user-certificate/ki8Tny5Gv8V5PcLW8QEZ" TargetMode="External"/><Relationship Id="rId1703" Type="http://schemas.openxmlformats.org/officeDocument/2006/relationships/hyperlink" Target="https://talan.bank.gov.ua/get-user-certificate/45CEl-w8DjK4W4E4ia0I" TargetMode="External"/><Relationship Id="rId1910" Type="http://schemas.openxmlformats.org/officeDocument/2006/relationships/hyperlink" Target="https://talan.bank.gov.ua/get-user-certificate/45CElPwxAwlxvmj1GX6n" TargetMode="External"/><Relationship Id="rId4859" Type="http://schemas.openxmlformats.org/officeDocument/2006/relationships/hyperlink" Target="https://talan.bank.gov.ua/get-user-certificate/45CElAiFhIC2J1QEl-77" TargetMode="External"/><Relationship Id="rId3668" Type="http://schemas.openxmlformats.org/officeDocument/2006/relationships/hyperlink" Target="https://talan.bank.gov.ua/get-user-certificate/45CElxDjk2-2yMYOgmN8" TargetMode="External"/><Relationship Id="rId3875" Type="http://schemas.openxmlformats.org/officeDocument/2006/relationships/hyperlink" Target="https://talan.bank.gov.ua/get-user-certificate/45CElMD6vEfUq8zNWu8T" TargetMode="External"/><Relationship Id="rId4719" Type="http://schemas.openxmlformats.org/officeDocument/2006/relationships/hyperlink" Target="https://talan.bank.gov.ua/get-user-certificate/45CElXoU3a_NwnPBuTdg" TargetMode="External"/><Relationship Id="rId4926" Type="http://schemas.openxmlformats.org/officeDocument/2006/relationships/hyperlink" Target="https://talan.bank.gov.ua/get-user-certificate/45CElUB0NdsvOZPklu0e" TargetMode="External"/><Relationship Id="rId589" Type="http://schemas.openxmlformats.org/officeDocument/2006/relationships/hyperlink" Target="https://talan.bank.gov.ua/get-user-certificate/45CElVxCsCTZCYJpGR9L" TargetMode="External"/><Relationship Id="rId796" Type="http://schemas.openxmlformats.org/officeDocument/2006/relationships/hyperlink" Target="https://talan.bank.gov.ua/get-user-certificate/45CElaLJl5oENAwMT4ap" TargetMode="External"/><Relationship Id="rId2477" Type="http://schemas.openxmlformats.org/officeDocument/2006/relationships/hyperlink" Target="https://talan.bank.gov.ua/get-user-certificate/45CElB361LXGsgfgwjhw" TargetMode="External"/><Relationship Id="rId2684" Type="http://schemas.openxmlformats.org/officeDocument/2006/relationships/hyperlink" Target="https://talan.bank.gov.ua/get-user-certificate/45CEldtrb5_vMdkNjXNZ" TargetMode="External"/><Relationship Id="rId3528" Type="http://schemas.openxmlformats.org/officeDocument/2006/relationships/hyperlink" Target="https://talan.bank.gov.ua/get-user-certificate/45CEltUBSDNqf7rHN_Go" TargetMode="External"/><Relationship Id="rId3735" Type="http://schemas.openxmlformats.org/officeDocument/2006/relationships/hyperlink" Target="https://talan.bank.gov.ua/get-user-certificate/45CElM57uGVlQtwLQqCZ" TargetMode="External"/><Relationship Id="rId449" Type="http://schemas.openxmlformats.org/officeDocument/2006/relationships/hyperlink" Target="https://talan.bank.gov.ua/get-user-certificate/45CElsrLimGNrdt17OtR" TargetMode="External"/><Relationship Id="rId656" Type="http://schemas.openxmlformats.org/officeDocument/2006/relationships/hyperlink" Target="https://talan.bank.gov.ua/get-user-certificate/45CEl32ZQC286Lpr5CFq" TargetMode="External"/><Relationship Id="rId863" Type="http://schemas.openxmlformats.org/officeDocument/2006/relationships/hyperlink" Target="https://talan.bank.gov.ua/get-user-certificate/45CElyZS8A04y38dBahN" TargetMode="External"/><Relationship Id="rId1079" Type="http://schemas.openxmlformats.org/officeDocument/2006/relationships/hyperlink" Target="https://talan.bank.gov.ua/get-user-certificate/45CElueJk86Mx7FOvaru" TargetMode="External"/><Relationship Id="rId1286" Type="http://schemas.openxmlformats.org/officeDocument/2006/relationships/hyperlink" Target="https://talan.bank.gov.ua/get-user-certificate/45CElPAkVAZKnASzWBUI" TargetMode="External"/><Relationship Id="rId1493" Type="http://schemas.openxmlformats.org/officeDocument/2006/relationships/hyperlink" Target="https://talan.bank.gov.ua/get-user-certificate/45CElDvgdo7o1G-3LYo4" TargetMode="External"/><Relationship Id="rId2337" Type="http://schemas.openxmlformats.org/officeDocument/2006/relationships/hyperlink" Target="https://talan.bank.gov.ua/get-user-certificate/45CElQkf4JcK4tijiTsR" TargetMode="External"/><Relationship Id="rId2544" Type="http://schemas.openxmlformats.org/officeDocument/2006/relationships/hyperlink" Target="https://talan.bank.gov.ua/get-user-certificate/45CElB-gv-5CzDfDTYk5" TargetMode="External"/><Relationship Id="rId2891" Type="http://schemas.openxmlformats.org/officeDocument/2006/relationships/hyperlink" Target="https://talan.bank.gov.ua/get-user-certificate/45CElFzbaA6CQtGrTaT5" TargetMode="External"/><Relationship Id="rId3942" Type="http://schemas.openxmlformats.org/officeDocument/2006/relationships/hyperlink" Target="https://talan.bank.gov.ua/get-user-certificate/45CElpyNZ-D6gDC8NDdx" TargetMode="External"/><Relationship Id="rId309" Type="http://schemas.openxmlformats.org/officeDocument/2006/relationships/hyperlink" Target="https://talan.bank.gov.ua/get-user-certificate/45CElhX31UwnXo-1bUoL" TargetMode="External"/><Relationship Id="rId516" Type="http://schemas.openxmlformats.org/officeDocument/2006/relationships/hyperlink" Target="https://talan.bank.gov.ua/get-user-certificate/45CElqT3Qddm1eVwaOcf" TargetMode="External"/><Relationship Id="rId1146" Type="http://schemas.openxmlformats.org/officeDocument/2006/relationships/hyperlink" Target="https://talan.bank.gov.ua/get-user-certificate/45CEl70zt_ILAx5UaM3n" TargetMode="External"/><Relationship Id="rId2751" Type="http://schemas.openxmlformats.org/officeDocument/2006/relationships/hyperlink" Target="https://talan.bank.gov.ua/get-user-certificate/45CElSftOd1Q1o8W-5qO" TargetMode="External"/><Relationship Id="rId3802" Type="http://schemas.openxmlformats.org/officeDocument/2006/relationships/hyperlink" Target="https://talan.bank.gov.ua/get-user-certificate/45CElcy6jgQBI4BQ5jDV" TargetMode="External"/><Relationship Id="rId723" Type="http://schemas.openxmlformats.org/officeDocument/2006/relationships/hyperlink" Target="https://talan.bank.gov.ua/get-user-certificate/45CElnNzXHCcbAu-9d_i" TargetMode="External"/><Relationship Id="rId930" Type="http://schemas.openxmlformats.org/officeDocument/2006/relationships/hyperlink" Target="https://talan.bank.gov.ua/get-user-certificate/45CElxBXXp4hLkDEc74e" TargetMode="External"/><Relationship Id="rId1006" Type="http://schemas.openxmlformats.org/officeDocument/2006/relationships/hyperlink" Target="https://talan.bank.gov.ua/get-user-certificate/45CEl88GqmmpaWb-Krpd" TargetMode="External"/><Relationship Id="rId1353" Type="http://schemas.openxmlformats.org/officeDocument/2006/relationships/hyperlink" Target="https://talan.bank.gov.ua/get-user-certificate/45CElhua-In7AMibK8s1" TargetMode="External"/><Relationship Id="rId1560" Type="http://schemas.openxmlformats.org/officeDocument/2006/relationships/hyperlink" Target="https://talan.bank.gov.ua/get-user-certificate/45CElZulAFVW16pzYdkc" TargetMode="External"/><Relationship Id="rId2404" Type="http://schemas.openxmlformats.org/officeDocument/2006/relationships/hyperlink" Target="https://talan.bank.gov.ua/get-user-certificate/45CElfGpU25XwHJi6zaf" TargetMode="External"/><Relationship Id="rId2611" Type="http://schemas.openxmlformats.org/officeDocument/2006/relationships/hyperlink" Target="https://talan.bank.gov.ua/get-user-certificate/45CElnQr4PQhTjkbG25L" TargetMode="External"/><Relationship Id="rId1213" Type="http://schemas.openxmlformats.org/officeDocument/2006/relationships/hyperlink" Target="https://talan.bank.gov.ua/get-user-certificate/45CEl2z9oyaghcYLGafM" TargetMode="External"/><Relationship Id="rId1420" Type="http://schemas.openxmlformats.org/officeDocument/2006/relationships/hyperlink" Target="https://talan.bank.gov.ua/get-user-certificate/45CElzeSrB3uNFKSLx7S" TargetMode="External"/><Relationship Id="rId4369" Type="http://schemas.openxmlformats.org/officeDocument/2006/relationships/hyperlink" Target="https://talan.bank.gov.ua/get-user-certificate/45CEldvju8M31cYPxyZc" TargetMode="External"/><Relationship Id="rId4576" Type="http://schemas.openxmlformats.org/officeDocument/2006/relationships/hyperlink" Target="https://talan.bank.gov.ua/get-user-certificate/45CElDlaZIjVw8k7kR5S" TargetMode="External"/><Relationship Id="rId4783" Type="http://schemas.openxmlformats.org/officeDocument/2006/relationships/hyperlink" Target="https://talan.bank.gov.ua/get-user-certificate/45CEl7-7aYZMQ1spkOGX" TargetMode="External"/><Relationship Id="rId4990" Type="http://schemas.openxmlformats.org/officeDocument/2006/relationships/hyperlink" Target="https://talan.bank.gov.ua/get-user-certificate/ki8TnDJJW9h3TXqQaufX" TargetMode="External"/><Relationship Id="rId3178" Type="http://schemas.openxmlformats.org/officeDocument/2006/relationships/hyperlink" Target="https://talan.bank.gov.ua/get-user-certificate/45CElTuHzRaUe15184F1" TargetMode="External"/><Relationship Id="rId3385" Type="http://schemas.openxmlformats.org/officeDocument/2006/relationships/hyperlink" Target="https://talan.bank.gov.ua/get-user-certificate/45CElmy1bkCzeBF6YJmJ" TargetMode="External"/><Relationship Id="rId3592" Type="http://schemas.openxmlformats.org/officeDocument/2006/relationships/hyperlink" Target="https://talan.bank.gov.ua/get-user-certificate/45CElegL29yj06Jjl0st" TargetMode="External"/><Relationship Id="rId4229" Type="http://schemas.openxmlformats.org/officeDocument/2006/relationships/hyperlink" Target="https://talan.bank.gov.ua/get-user-certificate/45CEl1px27cvCFD0nwMx" TargetMode="External"/><Relationship Id="rId4436" Type="http://schemas.openxmlformats.org/officeDocument/2006/relationships/hyperlink" Target="https://talan.bank.gov.ua/get-user-certificate/45CElTIhueXR3I2BFYix" TargetMode="External"/><Relationship Id="rId4643" Type="http://schemas.openxmlformats.org/officeDocument/2006/relationships/hyperlink" Target="https://talan.bank.gov.ua/get-user-certificate/45CElsNu0INQ39TdPn7B" TargetMode="External"/><Relationship Id="rId4850" Type="http://schemas.openxmlformats.org/officeDocument/2006/relationships/hyperlink" Target="https://talan.bank.gov.ua/get-user-certificate/45CEl5TSsE3T22DONrer" TargetMode="External"/><Relationship Id="rId2194" Type="http://schemas.openxmlformats.org/officeDocument/2006/relationships/hyperlink" Target="https://talan.bank.gov.ua/get-user-certificate/45CEl4CUd5nBNhIXTbOD" TargetMode="External"/><Relationship Id="rId3038" Type="http://schemas.openxmlformats.org/officeDocument/2006/relationships/hyperlink" Target="https://talan.bank.gov.ua/get-user-certificate/45CElRIwpl8yOTKS8AvL" TargetMode="External"/><Relationship Id="rId3245" Type="http://schemas.openxmlformats.org/officeDocument/2006/relationships/hyperlink" Target="https://talan.bank.gov.ua/get-user-certificate/45CEls6iccD5S1aJkI0R" TargetMode="External"/><Relationship Id="rId3452" Type="http://schemas.openxmlformats.org/officeDocument/2006/relationships/hyperlink" Target="https://talan.bank.gov.ua/get-user-certificate/45CEllHJwNP5zwCMRoCP" TargetMode="External"/><Relationship Id="rId4503" Type="http://schemas.openxmlformats.org/officeDocument/2006/relationships/hyperlink" Target="https://talan.bank.gov.ua/get-user-certificate/45CElIj0cwxHVnozyqSZ" TargetMode="External"/><Relationship Id="rId4710" Type="http://schemas.openxmlformats.org/officeDocument/2006/relationships/hyperlink" Target="https://talan.bank.gov.ua/get-user-certificate/45CEl1kUBiSQXmBIunN2" TargetMode="External"/><Relationship Id="rId166" Type="http://schemas.openxmlformats.org/officeDocument/2006/relationships/hyperlink" Target="https://talan.bank.gov.ua/get-user-certificate/45CElIU3f09QcVTdJokg" TargetMode="External"/><Relationship Id="rId373" Type="http://schemas.openxmlformats.org/officeDocument/2006/relationships/hyperlink" Target="https://talan.bank.gov.ua/get-user-certificate/45CElzDYiiU7H-JsCBU3" TargetMode="External"/><Relationship Id="rId580" Type="http://schemas.openxmlformats.org/officeDocument/2006/relationships/hyperlink" Target="https://talan.bank.gov.ua/get-user-certificate/45CElZY7ZVK3J3ti-N4O" TargetMode="External"/><Relationship Id="rId2054" Type="http://schemas.openxmlformats.org/officeDocument/2006/relationships/hyperlink" Target="https://talan.bank.gov.ua/get-user-certificate/45CElo3lc3H88e0UccQn" TargetMode="External"/><Relationship Id="rId2261" Type="http://schemas.openxmlformats.org/officeDocument/2006/relationships/hyperlink" Target="https://talan.bank.gov.ua/get-user-certificate/45CElr-PepYunNYzKOuy" TargetMode="External"/><Relationship Id="rId3105" Type="http://schemas.openxmlformats.org/officeDocument/2006/relationships/hyperlink" Target="https://talan.bank.gov.ua/get-user-certificate/45CElQ5dLP-8d53avsXq" TargetMode="External"/><Relationship Id="rId3312" Type="http://schemas.openxmlformats.org/officeDocument/2006/relationships/hyperlink" Target="https://talan.bank.gov.ua/get-user-certificate/45CElIOpcC7ZAYZ7wsED" TargetMode="External"/><Relationship Id="rId233" Type="http://schemas.openxmlformats.org/officeDocument/2006/relationships/hyperlink" Target="https://talan.bank.gov.ua/get-user-certificate/45CElp4d1FL0N94x47cr" TargetMode="External"/><Relationship Id="rId440" Type="http://schemas.openxmlformats.org/officeDocument/2006/relationships/hyperlink" Target="https://talan.bank.gov.ua/get-user-certificate/45CEll30zrcIhIZ_LSZH" TargetMode="External"/><Relationship Id="rId1070" Type="http://schemas.openxmlformats.org/officeDocument/2006/relationships/hyperlink" Target="https://talan.bank.gov.ua/get-user-certificate/45CEllzuCQhDkHKnUYD1" TargetMode="External"/><Relationship Id="rId2121" Type="http://schemas.openxmlformats.org/officeDocument/2006/relationships/hyperlink" Target="https://talan.bank.gov.ua/get-user-certificate/45CElizFEwGknN9NMucr" TargetMode="External"/><Relationship Id="rId300" Type="http://schemas.openxmlformats.org/officeDocument/2006/relationships/hyperlink" Target="https://talan.bank.gov.ua/get-user-certificate/45CEl0RF1WFIABIzXEpq" TargetMode="External"/><Relationship Id="rId4086" Type="http://schemas.openxmlformats.org/officeDocument/2006/relationships/hyperlink" Target="https://talan.bank.gov.ua/get-user-certificate/45CElMds8lIFGfY8lBwE" TargetMode="External"/><Relationship Id="rId1887" Type="http://schemas.openxmlformats.org/officeDocument/2006/relationships/hyperlink" Target="https://talan.bank.gov.ua/get-user-certificate/45CElmafo9U_pQYoOD13" TargetMode="External"/><Relationship Id="rId2938" Type="http://schemas.openxmlformats.org/officeDocument/2006/relationships/hyperlink" Target="https://talan.bank.gov.ua/get-user-certificate/45CElJ6Pfx9Wk0_jIdV3" TargetMode="External"/><Relationship Id="rId4293" Type="http://schemas.openxmlformats.org/officeDocument/2006/relationships/hyperlink" Target="https://talan.bank.gov.ua/get-user-certificate/45CEluMnhC9zwYwknIxe" TargetMode="External"/><Relationship Id="rId1747" Type="http://schemas.openxmlformats.org/officeDocument/2006/relationships/hyperlink" Target="https://talan.bank.gov.ua/get-user-certificate/45CEl39kRQnUAwUFCtnI" TargetMode="External"/><Relationship Id="rId1954" Type="http://schemas.openxmlformats.org/officeDocument/2006/relationships/hyperlink" Target="https://talan.bank.gov.ua/get-user-certificate/45CElMHKLxJ05tP2JuuG" TargetMode="External"/><Relationship Id="rId4153" Type="http://schemas.openxmlformats.org/officeDocument/2006/relationships/hyperlink" Target="https://talan.bank.gov.ua/get-user-certificate/45CElwL1uorNlAfdG9oF" TargetMode="External"/><Relationship Id="rId4360" Type="http://schemas.openxmlformats.org/officeDocument/2006/relationships/hyperlink" Target="https://talan.bank.gov.ua/get-user-certificate/45CElvok8VFavPtIgod1" TargetMode="External"/><Relationship Id="rId39" Type="http://schemas.openxmlformats.org/officeDocument/2006/relationships/hyperlink" Target="https://talan.bank.gov.ua/get-user-certificate/45CElpVXMI_-IV2Ubg8x" TargetMode="External"/><Relationship Id="rId1607" Type="http://schemas.openxmlformats.org/officeDocument/2006/relationships/hyperlink" Target="https://talan.bank.gov.ua/get-user-certificate/45CElmEjy5zk1yiL500h" TargetMode="External"/><Relationship Id="rId1814" Type="http://schemas.openxmlformats.org/officeDocument/2006/relationships/hyperlink" Target="https://talan.bank.gov.ua/get-user-certificate/45CEl6AYTzQjSjHPmdfX" TargetMode="External"/><Relationship Id="rId4013" Type="http://schemas.openxmlformats.org/officeDocument/2006/relationships/hyperlink" Target="https://talan.bank.gov.ua/get-user-certificate/45CEllvGJ5_XC3I3ozcG" TargetMode="External"/><Relationship Id="rId4220" Type="http://schemas.openxmlformats.org/officeDocument/2006/relationships/hyperlink" Target="https://talan.bank.gov.ua/get-user-certificate/45CEl_m1MrEHBhYabZ6B" TargetMode="External"/><Relationship Id="rId3779" Type="http://schemas.openxmlformats.org/officeDocument/2006/relationships/hyperlink" Target="https://talan.bank.gov.ua/get-user-certificate/45CElcL9yJah0tWwppGn" TargetMode="External"/><Relationship Id="rId2588" Type="http://schemas.openxmlformats.org/officeDocument/2006/relationships/hyperlink" Target="https://talan.bank.gov.ua/get-user-certificate/45CElUMHDKhEkn-uHksI" TargetMode="External"/><Relationship Id="rId3986" Type="http://schemas.openxmlformats.org/officeDocument/2006/relationships/hyperlink" Target="https://talan.bank.gov.ua/get-user-certificate/45CEl4OE1PGccrtl3brt" TargetMode="External"/><Relationship Id="rId1397" Type="http://schemas.openxmlformats.org/officeDocument/2006/relationships/hyperlink" Target="https://talan.bank.gov.ua/get-user-certificate/45CElIGnRo178s1iIej-" TargetMode="External"/><Relationship Id="rId2795" Type="http://schemas.openxmlformats.org/officeDocument/2006/relationships/hyperlink" Target="https://talan.bank.gov.ua/get-user-certificate/45CEl_RkRXB5IzYUZZwb" TargetMode="External"/><Relationship Id="rId3639" Type="http://schemas.openxmlformats.org/officeDocument/2006/relationships/hyperlink" Target="https://talan.bank.gov.ua/get-user-certificate/45CElrLmwU-sLuiFF4A4" TargetMode="External"/><Relationship Id="rId3846" Type="http://schemas.openxmlformats.org/officeDocument/2006/relationships/hyperlink" Target="https://talan.bank.gov.ua/get-user-certificate/45CElr7j0RZwiWB1ek9X" TargetMode="External"/><Relationship Id="rId767" Type="http://schemas.openxmlformats.org/officeDocument/2006/relationships/hyperlink" Target="https://talan.bank.gov.ua/get-user-certificate/45CElvs3hEQ1Zo0xSDqw" TargetMode="External"/><Relationship Id="rId974" Type="http://schemas.openxmlformats.org/officeDocument/2006/relationships/hyperlink" Target="https://talan.bank.gov.ua/get-user-certificate/45CElEE5ZGy3beC5bkU_" TargetMode="External"/><Relationship Id="rId2448" Type="http://schemas.openxmlformats.org/officeDocument/2006/relationships/hyperlink" Target="https://talan.bank.gov.ua/get-user-certificate/45CElBoa0HSue23BldIk" TargetMode="External"/><Relationship Id="rId2655" Type="http://schemas.openxmlformats.org/officeDocument/2006/relationships/hyperlink" Target="https://talan.bank.gov.ua/get-user-certificate/45CElFGZAeoFWvgybjk4" TargetMode="External"/><Relationship Id="rId2862" Type="http://schemas.openxmlformats.org/officeDocument/2006/relationships/hyperlink" Target="https://talan.bank.gov.ua/get-user-certificate/45CEl_BhhqWAabEyNnIK" TargetMode="External"/><Relationship Id="rId3706" Type="http://schemas.openxmlformats.org/officeDocument/2006/relationships/hyperlink" Target="https://talan.bank.gov.ua/get-user-certificate/45CElYNZCVNILdArIrLG" TargetMode="External"/><Relationship Id="rId3913" Type="http://schemas.openxmlformats.org/officeDocument/2006/relationships/hyperlink" Target="https://talan.bank.gov.ua/get-user-certificate/45CEl6bPBdkLwEnLkGEN" TargetMode="External"/><Relationship Id="rId627" Type="http://schemas.openxmlformats.org/officeDocument/2006/relationships/hyperlink" Target="https://talan.bank.gov.ua/get-user-certificate/45CElLVQvgyBdDyOMk-z" TargetMode="External"/><Relationship Id="rId834" Type="http://schemas.openxmlformats.org/officeDocument/2006/relationships/hyperlink" Target="https://talan.bank.gov.ua/get-user-certificate/45CElagknHIEHhHSNck_" TargetMode="External"/><Relationship Id="rId1257" Type="http://schemas.openxmlformats.org/officeDocument/2006/relationships/hyperlink" Target="https://talan.bank.gov.ua/get-user-certificate/45CElbI794XNiFJipeKC" TargetMode="External"/><Relationship Id="rId1464" Type="http://schemas.openxmlformats.org/officeDocument/2006/relationships/hyperlink" Target="https://talan.bank.gov.ua/get-user-certificate/45CEllcIKL38fmN9pdY4" TargetMode="External"/><Relationship Id="rId1671" Type="http://schemas.openxmlformats.org/officeDocument/2006/relationships/hyperlink" Target="https://talan.bank.gov.ua/get-user-certificate/45CEllpFKbynxVFqI_Q7" TargetMode="External"/><Relationship Id="rId2308" Type="http://schemas.openxmlformats.org/officeDocument/2006/relationships/hyperlink" Target="https://talan.bank.gov.ua/get-user-certificate/45CElNti7lLylEXWfu9b" TargetMode="External"/><Relationship Id="rId2515" Type="http://schemas.openxmlformats.org/officeDocument/2006/relationships/hyperlink" Target="https://talan.bank.gov.ua/get-user-certificate/45CElGtDlHEq81Ti5Cj8" TargetMode="External"/><Relationship Id="rId2722" Type="http://schemas.openxmlformats.org/officeDocument/2006/relationships/hyperlink" Target="https://talan.bank.gov.ua/get-user-certificate/45CElSPZBP_QaC-IxLsF" TargetMode="External"/><Relationship Id="rId901" Type="http://schemas.openxmlformats.org/officeDocument/2006/relationships/hyperlink" Target="https://talan.bank.gov.ua/get-user-certificate/45CEl_m0WU_KLXzpOmKD" TargetMode="External"/><Relationship Id="rId1117" Type="http://schemas.openxmlformats.org/officeDocument/2006/relationships/hyperlink" Target="https://talan.bank.gov.ua/get-user-certificate/45CElXXMltwR7Ne607MI" TargetMode="External"/><Relationship Id="rId1324" Type="http://schemas.openxmlformats.org/officeDocument/2006/relationships/hyperlink" Target="https://talan.bank.gov.ua/get-user-certificate/45CElMNEKb9G_KQk2KL5" TargetMode="External"/><Relationship Id="rId1531" Type="http://schemas.openxmlformats.org/officeDocument/2006/relationships/hyperlink" Target="https://talan.bank.gov.ua/get-user-certificate/45CElMcVDSu8EPPV9gZt" TargetMode="External"/><Relationship Id="rId4687" Type="http://schemas.openxmlformats.org/officeDocument/2006/relationships/hyperlink" Target="https://talan.bank.gov.ua/get-user-certificate/45CEl2lC_ZdBaqjT8l4D" TargetMode="External"/><Relationship Id="rId4894" Type="http://schemas.openxmlformats.org/officeDocument/2006/relationships/hyperlink" Target="https://talan.bank.gov.ua/get-user-certificate/45CElUV6xQ3VyMRjmUmY" TargetMode="External"/><Relationship Id="rId30" Type="http://schemas.openxmlformats.org/officeDocument/2006/relationships/hyperlink" Target="https://talan.bank.gov.ua/get-user-certificate/45CElV60HviwhNmPpUyY" TargetMode="External"/><Relationship Id="rId3289" Type="http://schemas.openxmlformats.org/officeDocument/2006/relationships/hyperlink" Target="https://talan.bank.gov.ua/get-user-certificate/45CElnxpBLtl1ahYYQ_0" TargetMode="External"/><Relationship Id="rId3496" Type="http://schemas.openxmlformats.org/officeDocument/2006/relationships/hyperlink" Target="https://talan.bank.gov.ua/get-user-certificate/45CEls2NfdJeUKe4gSZu" TargetMode="External"/><Relationship Id="rId4547" Type="http://schemas.openxmlformats.org/officeDocument/2006/relationships/hyperlink" Target="https://talan.bank.gov.ua/get-user-certificate/45CElJJc-6143FGPiZel" TargetMode="External"/><Relationship Id="rId4754" Type="http://schemas.openxmlformats.org/officeDocument/2006/relationships/hyperlink" Target="https://talan.bank.gov.ua/get-user-certificate/45CEl9qz8BauhZpRZM3i" TargetMode="External"/><Relationship Id="rId2098" Type="http://schemas.openxmlformats.org/officeDocument/2006/relationships/hyperlink" Target="https://talan.bank.gov.ua/get-user-certificate/45CElb-4YcjH_HnWNACM" TargetMode="External"/><Relationship Id="rId3149" Type="http://schemas.openxmlformats.org/officeDocument/2006/relationships/hyperlink" Target="https://talan.bank.gov.ua/get-user-certificate/45CEl3aOEvE9wToV72NN" TargetMode="External"/><Relationship Id="rId3356" Type="http://schemas.openxmlformats.org/officeDocument/2006/relationships/hyperlink" Target="https://talan.bank.gov.ua/get-user-certificate/45CElSx6aCCJueH5PHj9" TargetMode="External"/><Relationship Id="rId3563" Type="http://schemas.openxmlformats.org/officeDocument/2006/relationships/hyperlink" Target="https://talan.bank.gov.ua/get-user-certificate/45CElLg6SUxCXB-0IhTv" TargetMode="External"/><Relationship Id="rId4407" Type="http://schemas.openxmlformats.org/officeDocument/2006/relationships/hyperlink" Target="https://talan.bank.gov.ua/get-user-certificate/45CElxfLBCbDuW9A9VA5" TargetMode="External"/><Relationship Id="rId4961" Type="http://schemas.openxmlformats.org/officeDocument/2006/relationships/hyperlink" Target="https://talan.bank.gov.ua/get-user-certificate/45CElx6Ed_2IfUaSrRRD" TargetMode="External"/><Relationship Id="rId277" Type="http://schemas.openxmlformats.org/officeDocument/2006/relationships/hyperlink" Target="https://talan.bank.gov.ua/get-user-certificate/45CElAG86yATFghB5rvX" TargetMode="External"/><Relationship Id="rId484" Type="http://schemas.openxmlformats.org/officeDocument/2006/relationships/hyperlink" Target="https://talan.bank.gov.ua/get-user-certificate/45CElscoTnCy5LoFivef" TargetMode="External"/><Relationship Id="rId2165" Type="http://schemas.openxmlformats.org/officeDocument/2006/relationships/hyperlink" Target="https://talan.bank.gov.ua/get-user-certificate/45CEl5YIMb65bcprxA2z" TargetMode="External"/><Relationship Id="rId3009" Type="http://schemas.openxmlformats.org/officeDocument/2006/relationships/hyperlink" Target="https://talan.bank.gov.ua/get-user-certificate/45CElqcQtBM5t-nWv_jG" TargetMode="External"/><Relationship Id="rId3216" Type="http://schemas.openxmlformats.org/officeDocument/2006/relationships/hyperlink" Target="https://talan.bank.gov.ua/get-user-certificate/45CElznuHEbs1lae8Lr8" TargetMode="External"/><Relationship Id="rId3770" Type="http://schemas.openxmlformats.org/officeDocument/2006/relationships/hyperlink" Target="https://talan.bank.gov.ua/get-user-certificate/45CElcBI5VnfxZdQmZNE" TargetMode="External"/><Relationship Id="rId4614" Type="http://schemas.openxmlformats.org/officeDocument/2006/relationships/hyperlink" Target="https://talan.bank.gov.ua/get-user-certificate/45CElibbLEhqHB8gbv35" TargetMode="External"/><Relationship Id="rId4821" Type="http://schemas.openxmlformats.org/officeDocument/2006/relationships/hyperlink" Target="https://talan.bank.gov.ua/get-user-certificate/45CEl5y_KyLI1QgKLrRW" TargetMode="External"/><Relationship Id="rId137" Type="http://schemas.openxmlformats.org/officeDocument/2006/relationships/hyperlink" Target="https://talan.bank.gov.ua/get-user-certificate/45CElJilCn9ceDGdblNF" TargetMode="External"/><Relationship Id="rId344" Type="http://schemas.openxmlformats.org/officeDocument/2006/relationships/hyperlink" Target="https://talan.bank.gov.ua/get-user-certificate/45CEl1ptiXilsFsFdd-L" TargetMode="External"/><Relationship Id="rId691" Type="http://schemas.openxmlformats.org/officeDocument/2006/relationships/hyperlink" Target="https://talan.bank.gov.ua/get-user-certificate/45CElvPS1np8oUgqcRcg" TargetMode="External"/><Relationship Id="rId2025" Type="http://schemas.openxmlformats.org/officeDocument/2006/relationships/hyperlink" Target="https://talan.bank.gov.ua/get-user-certificate/45CElvfdCt6TzH1H-2BD" TargetMode="External"/><Relationship Id="rId2372" Type="http://schemas.openxmlformats.org/officeDocument/2006/relationships/hyperlink" Target="https://talan.bank.gov.ua/get-user-certificate/45CElmDBgyOsZxvHIg9s" TargetMode="External"/><Relationship Id="rId3423" Type="http://schemas.openxmlformats.org/officeDocument/2006/relationships/hyperlink" Target="https://talan.bank.gov.ua/get-user-certificate/45CElNKHvIafp85d7KfZ" TargetMode="External"/><Relationship Id="rId3630" Type="http://schemas.openxmlformats.org/officeDocument/2006/relationships/hyperlink" Target="https://talan.bank.gov.ua/get-user-certificate/45CEl8FtsNTEFnDc-xZA" TargetMode="External"/><Relationship Id="rId551" Type="http://schemas.openxmlformats.org/officeDocument/2006/relationships/hyperlink" Target="https://talan.bank.gov.ua/get-user-certificate/45CEl4T5mHMMixfodfvw" TargetMode="External"/><Relationship Id="rId1181" Type="http://schemas.openxmlformats.org/officeDocument/2006/relationships/hyperlink" Target="https://talan.bank.gov.ua/get-user-certificate/45CElmClKQhpJR8CMHnp" TargetMode="External"/><Relationship Id="rId2232" Type="http://schemas.openxmlformats.org/officeDocument/2006/relationships/hyperlink" Target="https://talan.bank.gov.ua/get-user-certificate/45CEljczkQWVNRA-2gMZ" TargetMode="External"/><Relationship Id="rId204" Type="http://schemas.openxmlformats.org/officeDocument/2006/relationships/hyperlink" Target="https://talan.bank.gov.ua/get-user-certificate/45CElgniBFnEKe39HXAn" TargetMode="External"/><Relationship Id="rId411" Type="http://schemas.openxmlformats.org/officeDocument/2006/relationships/hyperlink" Target="https://talan.bank.gov.ua/get-user-certificate/45CElTnlD6ujTBb51QhN" TargetMode="External"/><Relationship Id="rId1041" Type="http://schemas.openxmlformats.org/officeDocument/2006/relationships/hyperlink" Target="https://talan.bank.gov.ua/get-user-certificate/45CElNbVXCVRUZuvE05q" TargetMode="External"/><Relationship Id="rId1998" Type="http://schemas.openxmlformats.org/officeDocument/2006/relationships/hyperlink" Target="https://talan.bank.gov.ua/get-user-certificate/45CElqYnOjE4xvVfO-K8" TargetMode="External"/><Relationship Id="rId4197" Type="http://schemas.openxmlformats.org/officeDocument/2006/relationships/hyperlink" Target="https://talan.bank.gov.ua/get-user-certificate/45CElsVs35tmRFRHtlhz" TargetMode="External"/><Relationship Id="rId1858" Type="http://schemas.openxmlformats.org/officeDocument/2006/relationships/hyperlink" Target="https://talan.bank.gov.ua/get-user-certificate/45CElUqr2vFfnDzZiMfr" TargetMode="External"/><Relationship Id="rId4057" Type="http://schemas.openxmlformats.org/officeDocument/2006/relationships/hyperlink" Target="https://talan.bank.gov.ua/get-user-certificate/45CEldAd9sSayQO962Wb" TargetMode="External"/><Relationship Id="rId4264" Type="http://schemas.openxmlformats.org/officeDocument/2006/relationships/hyperlink" Target="https://talan.bank.gov.ua/get-user-certificate/45CElI1Dj4hIulfGcbde" TargetMode="External"/><Relationship Id="rId4471" Type="http://schemas.openxmlformats.org/officeDocument/2006/relationships/hyperlink" Target="https://talan.bank.gov.ua/get-user-certificate/45CElAqsNvHjTzsyn_oo" TargetMode="External"/><Relationship Id="rId2909" Type="http://schemas.openxmlformats.org/officeDocument/2006/relationships/hyperlink" Target="https://talan.bank.gov.ua/get-user-certificate/45CEl9OEfCIMe6S1r6ji" TargetMode="External"/><Relationship Id="rId3073" Type="http://schemas.openxmlformats.org/officeDocument/2006/relationships/hyperlink" Target="https://talan.bank.gov.ua/get-user-certificate/45CElaIHB2nxcBqF2HEY" TargetMode="External"/><Relationship Id="rId3280" Type="http://schemas.openxmlformats.org/officeDocument/2006/relationships/hyperlink" Target="https://talan.bank.gov.ua/get-user-certificate/45CElD6graE5XDZnjiqP" TargetMode="External"/><Relationship Id="rId4124" Type="http://schemas.openxmlformats.org/officeDocument/2006/relationships/hyperlink" Target="https://talan.bank.gov.ua/get-user-certificate/45CElHcC8d00518R1bn_" TargetMode="External"/><Relationship Id="rId4331" Type="http://schemas.openxmlformats.org/officeDocument/2006/relationships/hyperlink" Target="https://talan.bank.gov.ua/get-user-certificate/45CElqAqs8mNPCWn-gh1" TargetMode="External"/><Relationship Id="rId1718" Type="http://schemas.openxmlformats.org/officeDocument/2006/relationships/hyperlink" Target="https://talan.bank.gov.ua/get-user-certificate/45CEl2qFJjh06nHajeCm" TargetMode="External"/><Relationship Id="rId1925" Type="http://schemas.openxmlformats.org/officeDocument/2006/relationships/hyperlink" Target="https://talan.bank.gov.ua/get-user-certificate/45CElaY3RfWdsgHsBzUG" TargetMode="External"/><Relationship Id="rId3140" Type="http://schemas.openxmlformats.org/officeDocument/2006/relationships/hyperlink" Target="https://talan.bank.gov.ua/get-user-certificate/45CElu6jjiOZf8gSm9qf" TargetMode="External"/><Relationship Id="rId2699" Type="http://schemas.openxmlformats.org/officeDocument/2006/relationships/hyperlink" Target="https://talan.bank.gov.ua/get-user-certificate/45CElmGyc7mHP4zSkUXy" TargetMode="External"/><Relationship Id="rId3000" Type="http://schemas.openxmlformats.org/officeDocument/2006/relationships/hyperlink" Target="https://talan.bank.gov.ua/get-user-certificate/45CElaXUqNIHUJNJtEci" TargetMode="External"/><Relationship Id="rId3957" Type="http://schemas.openxmlformats.org/officeDocument/2006/relationships/hyperlink" Target="https://talan.bank.gov.ua/get-user-certificate/45CEl7s-4LJCswQR8fjP" TargetMode="External"/><Relationship Id="rId878" Type="http://schemas.openxmlformats.org/officeDocument/2006/relationships/hyperlink" Target="https://talan.bank.gov.ua/get-user-certificate/45CEl975ALkc1-uG8EPb" TargetMode="External"/><Relationship Id="rId2559" Type="http://schemas.openxmlformats.org/officeDocument/2006/relationships/hyperlink" Target="https://talan.bank.gov.ua/get-user-certificate/45CElzLHozN1d84o2G8P" TargetMode="External"/><Relationship Id="rId2766" Type="http://schemas.openxmlformats.org/officeDocument/2006/relationships/hyperlink" Target="https://talan.bank.gov.ua/get-user-certificate/45CElIGx24NnALQ0O-iH" TargetMode="External"/><Relationship Id="rId2973" Type="http://schemas.openxmlformats.org/officeDocument/2006/relationships/hyperlink" Target="https://talan.bank.gov.ua/get-user-certificate/45CElw2-X4UyOgqrYioa" TargetMode="External"/><Relationship Id="rId3817" Type="http://schemas.openxmlformats.org/officeDocument/2006/relationships/hyperlink" Target="https://talan.bank.gov.ua/get-user-certificate/45CEl378W9oTCsRel86C" TargetMode="External"/><Relationship Id="rId738" Type="http://schemas.openxmlformats.org/officeDocument/2006/relationships/hyperlink" Target="https://talan.bank.gov.ua/get-user-certificate/45CElBjD7Q6U1V8843an" TargetMode="External"/><Relationship Id="rId945" Type="http://schemas.openxmlformats.org/officeDocument/2006/relationships/hyperlink" Target="https://talan.bank.gov.ua/get-user-certificate/45CElTDd86JRd4P-QQcL" TargetMode="External"/><Relationship Id="rId1368" Type="http://schemas.openxmlformats.org/officeDocument/2006/relationships/hyperlink" Target="https://talan.bank.gov.ua/get-user-certificate/45CElz2Z-2Dmle2gAPDB" TargetMode="External"/><Relationship Id="rId1575" Type="http://schemas.openxmlformats.org/officeDocument/2006/relationships/hyperlink" Target="https://talan.bank.gov.ua/get-user-certificate/45CElJGlWyTgd5ob95wX" TargetMode="External"/><Relationship Id="rId1782" Type="http://schemas.openxmlformats.org/officeDocument/2006/relationships/hyperlink" Target="https://talan.bank.gov.ua/get-user-certificate/45CElBylVRkAtopdxh1I" TargetMode="External"/><Relationship Id="rId2419" Type="http://schemas.openxmlformats.org/officeDocument/2006/relationships/hyperlink" Target="https://talan.bank.gov.ua/get-user-certificate/45CElDl8CPwUvCMyBK8S" TargetMode="External"/><Relationship Id="rId2626" Type="http://schemas.openxmlformats.org/officeDocument/2006/relationships/hyperlink" Target="https://talan.bank.gov.ua/get-user-certificate/45CElnxMGwjHi0bzmPPG" TargetMode="External"/><Relationship Id="rId2833" Type="http://schemas.openxmlformats.org/officeDocument/2006/relationships/hyperlink" Target="https://talan.bank.gov.ua/get-user-certificate/45CElzPhtIp4ZCirFrdg" TargetMode="External"/><Relationship Id="rId74" Type="http://schemas.openxmlformats.org/officeDocument/2006/relationships/hyperlink" Target="https://talan.bank.gov.ua/get-user-certificate/45CElFZW-JEkNyv0HncQ" TargetMode="External"/><Relationship Id="rId805" Type="http://schemas.openxmlformats.org/officeDocument/2006/relationships/hyperlink" Target="https://talan.bank.gov.ua/get-user-certificate/45CElU6svWGRTMgymNDM" TargetMode="External"/><Relationship Id="rId1228" Type="http://schemas.openxmlformats.org/officeDocument/2006/relationships/hyperlink" Target="https://talan.bank.gov.ua/get-user-certificate/45CElXC2YyYdgeEuSO6R" TargetMode="External"/><Relationship Id="rId1435" Type="http://schemas.openxmlformats.org/officeDocument/2006/relationships/hyperlink" Target="https://talan.bank.gov.ua/get-user-certificate/45CElT8J3SeTR4Js-oX5" TargetMode="External"/><Relationship Id="rId4798" Type="http://schemas.openxmlformats.org/officeDocument/2006/relationships/hyperlink" Target="https://talan.bank.gov.ua/get-user-certificate/45CElvY0wmkI_xpQs1_R" TargetMode="External"/><Relationship Id="rId1642" Type="http://schemas.openxmlformats.org/officeDocument/2006/relationships/hyperlink" Target="https://talan.bank.gov.ua/get-user-certificate/45CElrt-mfDemF0b1GI9" TargetMode="External"/><Relationship Id="rId2900" Type="http://schemas.openxmlformats.org/officeDocument/2006/relationships/hyperlink" Target="https://talan.bank.gov.ua/get-user-certificate/45CElPCWTikxhon8GYdp" TargetMode="External"/><Relationship Id="rId1502" Type="http://schemas.openxmlformats.org/officeDocument/2006/relationships/hyperlink" Target="https://talan.bank.gov.ua/get-user-certificate/45CElRFxlfiy-qh0k_Dk" TargetMode="External"/><Relationship Id="rId4658" Type="http://schemas.openxmlformats.org/officeDocument/2006/relationships/hyperlink" Target="https://talan.bank.gov.ua/get-user-certificate/45CElhytR2jk3J2VEs79" TargetMode="External"/><Relationship Id="rId4865" Type="http://schemas.openxmlformats.org/officeDocument/2006/relationships/hyperlink" Target="https://talan.bank.gov.ua/get-user-certificate/45CElxgex62yJYAPeIEG" TargetMode="External"/><Relationship Id="rId388" Type="http://schemas.openxmlformats.org/officeDocument/2006/relationships/hyperlink" Target="https://talan.bank.gov.ua/get-user-certificate/45CElyW81RoAHVCJ7FHL" TargetMode="External"/><Relationship Id="rId2069" Type="http://schemas.openxmlformats.org/officeDocument/2006/relationships/hyperlink" Target="https://talan.bank.gov.ua/get-user-certificate/45CElPgTNt3p57yU7V8-" TargetMode="External"/><Relationship Id="rId3467" Type="http://schemas.openxmlformats.org/officeDocument/2006/relationships/hyperlink" Target="https://talan.bank.gov.ua/get-user-certificate/45CElT35aXbxoxuLjujI" TargetMode="External"/><Relationship Id="rId3674" Type="http://schemas.openxmlformats.org/officeDocument/2006/relationships/hyperlink" Target="https://talan.bank.gov.ua/get-user-certificate/45CElSF1pOAbQHYOTntT" TargetMode="External"/><Relationship Id="rId3881" Type="http://schemas.openxmlformats.org/officeDocument/2006/relationships/hyperlink" Target="https://talan.bank.gov.ua/get-user-certificate/45CElGvDWrYMFYpcdLzM" TargetMode="External"/><Relationship Id="rId4518" Type="http://schemas.openxmlformats.org/officeDocument/2006/relationships/hyperlink" Target="https://talan.bank.gov.ua/get-user-certificate/45CElqZiiiUEQKn_zZQg" TargetMode="External"/><Relationship Id="rId4725" Type="http://schemas.openxmlformats.org/officeDocument/2006/relationships/hyperlink" Target="https://talan.bank.gov.ua/get-user-certificate/45CEl3i33b_c32aA_taS" TargetMode="External"/><Relationship Id="rId4932" Type="http://schemas.openxmlformats.org/officeDocument/2006/relationships/hyperlink" Target="https://talan.bank.gov.ua/get-user-certificate/45CElajuLY99yRyJIKEx" TargetMode="External"/><Relationship Id="rId595" Type="http://schemas.openxmlformats.org/officeDocument/2006/relationships/hyperlink" Target="https://talan.bank.gov.ua/get-user-certificate/45CElJDr_twEQGjh5AM-" TargetMode="External"/><Relationship Id="rId2276" Type="http://schemas.openxmlformats.org/officeDocument/2006/relationships/hyperlink" Target="https://talan.bank.gov.ua/get-user-certificate/45CElkdWgRfY0FSbOfUs" TargetMode="External"/><Relationship Id="rId2483" Type="http://schemas.openxmlformats.org/officeDocument/2006/relationships/hyperlink" Target="https://talan.bank.gov.ua/get-user-certificate/45CEliTEuIBpsw7-KGqu" TargetMode="External"/><Relationship Id="rId2690" Type="http://schemas.openxmlformats.org/officeDocument/2006/relationships/hyperlink" Target="https://talan.bank.gov.ua/get-user-certificate/45CElYy7r8GnFGkSh14t" TargetMode="External"/><Relationship Id="rId3327" Type="http://schemas.openxmlformats.org/officeDocument/2006/relationships/hyperlink" Target="https://talan.bank.gov.ua/get-user-certificate/45CElPdDd_Yozcxr2cqt" TargetMode="External"/><Relationship Id="rId3534" Type="http://schemas.openxmlformats.org/officeDocument/2006/relationships/hyperlink" Target="https://talan.bank.gov.ua/get-user-certificate/45CElI2oxgkcVtjQNwyl" TargetMode="External"/><Relationship Id="rId3741" Type="http://schemas.openxmlformats.org/officeDocument/2006/relationships/hyperlink" Target="https://talan.bank.gov.ua/get-user-certificate/45CElNRFPDhAjOOfyg5S" TargetMode="External"/><Relationship Id="rId248" Type="http://schemas.openxmlformats.org/officeDocument/2006/relationships/hyperlink" Target="https://talan.bank.gov.ua/get-user-certificate/45CEltNMgRlQ_xOAn_dp" TargetMode="External"/><Relationship Id="rId455" Type="http://schemas.openxmlformats.org/officeDocument/2006/relationships/hyperlink" Target="https://talan.bank.gov.ua/get-user-certificate/45CEl2urrF1bjKLCAeYf" TargetMode="External"/><Relationship Id="rId662" Type="http://schemas.openxmlformats.org/officeDocument/2006/relationships/hyperlink" Target="https://talan.bank.gov.ua/get-user-certificate/45CEla22JubajzmsI6mU" TargetMode="External"/><Relationship Id="rId1085" Type="http://schemas.openxmlformats.org/officeDocument/2006/relationships/hyperlink" Target="https://talan.bank.gov.ua/get-user-certificate/45CElL7iyMVq1BzuYcVy" TargetMode="External"/><Relationship Id="rId1292" Type="http://schemas.openxmlformats.org/officeDocument/2006/relationships/hyperlink" Target="https://talan.bank.gov.ua/get-user-certificate/45CElNjfET4u_AW7XuC9" TargetMode="External"/><Relationship Id="rId2136" Type="http://schemas.openxmlformats.org/officeDocument/2006/relationships/hyperlink" Target="https://talan.bank.gov.ua/get-user-certificate/45CElXRwdpm3Cu9kJSR2" TargetMode="External"/><Relationship Id="rId2343" Type="http://schemas.openxmlformats.org/officeDocument/2006/relationships/hyperlink" Target="https://talan.bank.gov.ua/get-user-certificate/45CElb83miCg8hyEgDmy" TargetMode="External"/><Relationship Id="rId2550" Type="http://schemas.openxmlformats.org/officeDocument/2006/relationships/hyperlink" Target="https://talan.bank.gov.ua/get-user-certificate/45CElVFcTK2oDJ1j5luV" TargetMode="External"/><Relationship Id="rId3601" Type="http://schemas.openxmlformats.org/officeDocument/2006/relationships/hyperlink" Target="https://talan.bank.gov.ua/get-user-certificate/45CElK2kGuuTDFI8cf9-" TargetMode="External"/><Relationship Id="rId108" Type="http://schemas.openxmlformats.org/officeDocument/2006/relationships/hyperlink" Target="https://talan.bank.gov.ua/get-user-certificate/45CEltGNoXxDRDfR3Qtj" TargetMode="External"/><Relationship Id="rId315" Type="http://schemas.openxmlformats.org/officeDocument/2006/relationships/hyperlink" Target="https://talan.bank.gov.ua/get-user-certificate/45CEl48VBOmk3KUt1NJL" TargetMode="External"/><Relationship Id="rId522" Type="http://schemas.openxmlformats.org/officeDocument/2006/relationships/hyperlink" Target="https://talan.bank.gov.ua/get-user-certificate/45CElAdUuJE9YMsUKfD1" TargetMode="External"/><Relationship Id="rId1152" Type="http://schemas.openxmlformats.org/officeDocument/2006/relationships/hyperlink" Target="https://talan.bank.gov.ua/get-user-certificate/45CEl0A66tMue2URIErL" TargetMode="External"/><Relationship Id="rId2203" Type="http://schemas.openxmlformats.org/officeDocument/2006/relationships/hyperlink" Target="https://talan.bank.gov.ua/get-user-certificate/45CEleovjjO1wVzd7xBx" TargetMode="External"/><Relationship Id="rId2410" Type="http://schemas.openxmlformats.org/officeDocument/2006/relationships/hyperlink" Target="https://talan.bank.gov.ua/get-user-certificate/45CElPKyKHxdsMwfEWKY" TargetMode="External"/><Relationship Id="rId1012" Type="http://schemas.openxmlformats.org/officeDocument/2006/relationships/hyperlink" Target="https://talan.bank.gov.ua/get-user-certificate/45CElbJN7kJUp0xlxFS-" TargetMode="External"/><Relationship Id="rId4168" Type="http://schemas.openxmlformats.org/officeDocument/2006/relationships/hyperlink" Target="https://talan.bank.gov.ua/get-user-certificate/45CElH9-w0nBlvGdz_yz" TargetMode="External"/><Relationship Id="rId4375" Type="http://schemas.openxmlformats.org/officeDocument/2006/relationships/hyperlink" Target="https://talan.bank.gov.ua/get-user-certificate/45CEl_lUnV_jNd3ORcrS" TargetMode="External"/><Relationship Id="rId1969" Type="http://schemas.openxmlformats.org/officeDocument/2006/relationships/hyperlink" Target="https://talan.bank.gov.ua/get-user-certificate/45CElhVgRefqGNKuL0Ff" TargetMode="External"/><Relationship Id="rId3184" Type="http://schemas.openxmlformats.org/officeDocument/2006/relationships/hyperlink" Target="https://talan.bank.gov.ua/get-user-certificate/45CElvFei2M2BtyWNJbq" TargetMode="External"/><Relationship Id="rId4028" Type="http://schemas.openxmlformats.org/officeDocument/2006/relationships/hyperlink" Target="https://talan.bank.gov.ua/get-user-certificate/45CElMnPM0wY0ea3w8OF" TargetMode="External"/><Relationship Id="rId4235" Type="http://schemas.openxmlformats.org/officeDocument/2006/relationships/hyperlink" Target="https://talan.bank.gov.ua/get-user-certificate/45CEllORPCRVQg2XTBSI" TargetMode="External"/><Relationship Id="rId4582" Type="http://schemas.openxmlformats.org/officeDocument/2006/relationships/hyperlink" Target="https://talan.bank.gov.ua/get-user-certificate/45CElZKE9LlN1bR-oKE3" TargetMode="External"/><Relationship Id="rId1829" Type="http://schemas.openxmlformats.org/officeDocument/2006/relationships/hyperlink" Target="https://talan.bank.gov.ua/get-user-certificate/45CElEa55gpQCrh6uDnr" TargetMode="External"/><Relationship Id="rId3391" Type="http://schemas.openxmlformats.org/officeDocument/2006/relationships/hyperlink" Target="https://talan.bank.gov.ua/get-user-certificate/45CEl-0Z1r7XFn6O6JF7" TargetMode="External"/><Relationship Id="rId4442" Type="http://schemas.openxmlformats.org/officeDocument/2006/relationships/hyperlink" Target="https://talan.bank.gov.ua/get-user-certificate/45CElltfFGs4dfXfdngn" TargetMode="External"/><Relationship Id="rId3044" Type="http://schemas.openxmlformats.org/officeDocument/2006/relationships/hyperlink" Target="https://talan.bank.gov.ua/get-user-certificate/45CElZuobIbTikqT83kF" TargetMode="External"/><Relationship Id="rId3251" Type="http://schemas.openxmlformats.org/officeDocument/2006/relationships/hyperlink" Target="https://talan.bank.gov.ua/get-user-certificate/45CElkcV-mUebdMLhMCE" TargetMode="External"/><Relationship Id="rId4302" Type="http://schemas.openxmlformats.org/officeDocument/2006/relationships/hyperlink" Target="https://talan.bank.gov.ua/get-user-certificate/45CEl5AMKPkSRteJ93lK" TargetMode="External"/><Relationship Id="rId172" Type="http://schemas.openxmlformats.org/officeDocument/2006/relationships/hyperlink" Target="https://talan.bank.gov.ua/get-user-certificate/45CEl6Qxml7YDMh6jvwM" TargetMode="External"/><Relationship Id="rId2060" Type="http://schemas.openxmlformats.org/officeDocument/2006/relationships/hyperlink" Target="https://talan.bank.gov.ua/get-user-certificate/45CElhqFvt6DM-OdFSrp" TargetMode="External"/><Relationship Id="rId3111" Type="http://schemas.openxmlformats.org/officeDocument/2006/relationships/hyperlink" Target="https://talan.bank.gov.ua/get-user-certificate/45CEllGg8bG2sfbwP3o8" TargetMode="External"/><Relationship Id="rId989" Type="http://schemas.openxmlformats.org/officeDocument/2006/relationships/hyperlink" Target="https://talan.bank.gov.ua/get-user-certificate/45CElw3awmrmpXXAO7qu" TargetMode="External"/><Relationship Id="rId2877" Type="http://schemas.openxmlformats.org/officeDocument/2006/relationships/hyperlink" Target="https://talan.bank.gov.ua/get-user-certificate/45CElp42N_oq2wc8qhPj" TargetMode="External"/><Relationship Id="rId849" Type="http://schemas.openxmlformats.org/officeDocument/2006/relationships/hyperlink" Target="https://talan.bank.gov.ua/get-user-certificate/45CElUetZk5S40MZUOPB" TargetMode="External"/><Relationship Id="rId1479" Type="http://schemas.openxmlformats.org/officeDocument/2006/relationships/hyperlink" Target="https://talan.bank.gov.ua/get-user-certificate/45CElmLzsMFwiRmeRL8i" TargetMode="External"/><Relationship Id="rId1686" Type="http://schemas.openxmlformats.org/officeDocument/2006/relationships/hyperlink" Target="https://talan.bank.gov.ua/get-user-certificate/45CElJFTDzttghRYV_-j" TargetMode="External"/><Relationship Id="rId3928" Type="http://schemas.openxmlformats.org/officeDocument/2006/relationships/hyperlink" Target="https://talan.bank.gov.ua/get-user-certificate/45CElRMf_htv9LPKEN1F" TargetMode="External"/><Relationship Id="rId4092" Type="http://schemas.openxmlformats.org/officeDocument/2006/relationships/hyperlink" Target="https://talan.bank.gov.ua/get-user-certificate/45CElMTFFtp7AakmVbHb" TargetMode="External"/><Relationship Id="rId1339" Type="http://schemas.openxmlformats.org/officeDocument/2006/relationships/hyperlink" Target="https://talan.bank.gov.ua/get-user-certificate/45CEldgfOJvqWfG1jLng" TargetMode="External"/><Relationship Id="rId1893" Type="http://schemas.openxmlformats.org/officeDocument/2006/relationships/hyperlink" Target="https://talan.bank.gov.ua/get-user-certificate/45CElAtttuv-vLlu_ysK" TargetMode="External"/><Relationship Id="rId2737" Type="http://schemas.openxmlformats.org/officeDocument/2006/relationships/hyperlink" Target="https://talan.bank.gov.ua/get-user-certificate/45CElvvynsbyRs7O4WH2" TargetMode="External"/><Relationship Id="rId2944" Type="http://schemas.openxmlformats.org/officeDocument/2006/relationships/hyperlink" Target="https://talan.bank.gov.ua/get-user-certificate/45CElyPEiFcz3g7Yash3" TargetMode="External"/><Relationship Id="rId5003" Type="http://schemas.openxmlformats.org/officeDocument/2006/relationships/hyperlink" Target="https://talan.bank.gov.ua/get-user-certificate/ki8TnkD70V3u4X2bvc9M" TargetMode="External"/><Relationship Id="rId709" Type="http://schemas.openxmlformats.org/officeDocument/2006/relationships/hyperlink" Target="https://talan.bank.gov.ua/get-user-certificate/45CEltsPCAdE2E9QIFeu" TargetMode="External"/><Relationship Id="rId916" Type="http://schemas.openxmlformats.org/officeDocument/2006/relationships/hyperlink" Target="https://talan.bank.gov.ua/get-user-certificate/45CElpl7WmirKpp-nx0r" TargetMode="External"/><Relationship Id="rId1546" Type="http://schemas.openxmlformats.org/officeDocument/2006/relationships/hyperlink" Target="https://talan.bank.gov.ua/get-user-certificate/45CElQHx-vuFtjPUC53k" TargetMode="External"/><Relationship Id="rId1753" Type="http://schemas.openxmlformats.org/officeDocument/2006/relationships/hyperlink" Target="https://talan.bank.gov.ua/get-user-certificate/45CEloUDuS4HxoZWM7-A" TargetMode="External"/><Relationship Id="rId1960" Type="http://schemas.openxmlformats.org/officeDocument/2006/relationships/hyperlink" Target="https://talan.bank.gov.ua/get-user-certificate/45CElh1dKOwg-AOoks5Q" TargetMode="External"/><Relationship Id="rId2804" Type="http://schemas.openxmlformats.org/officeDocument/2006/relationships/hyperlink" Target="https://talan.bank.gov.ua/get-user-certificate/45CEl5IbaPVqJxTDDiMF" TargetMode="External"/><Relationship Id="rId45" Type="http://schemas.openxmlformats.org/officeDocument/2006/relationships/hyperlink" Target="https://talan.bank.gov.ua/get-user-certificate/45CElvbtw6NdTAyxzYu0" TargetMode="External"/><Relationship Id="rId1406" Type="http://schemas.openxmlformats.org/officeDocument/2006/relationships/hyperlink" Target="https://talan.bank.gov.ua/get-user-certificate/45CElGR_J_BPM48HGHQx" TargetMode="External"/><Relationship Id="rId1613" Type="http://schemas.openxmlformats.org/officeDocument/2006/relationships/hyperlink" Target="https://talan.bank.gov.ua/get-user-certificate/45CElEsE9lXaNy5dlzFb" TargetMode="External"/><Relationship Id="rId1820" Type="http://schemas.openxmlformats.org/officeDocument/2006/relationships/hyperlink" Target="https://talan.bank.gov.ua/get-user-certificate/45CElBeHdKUHN2afc14x" TargetMode="External"/><Relationship Id="rId4769" Type="http://schemas.openxmlformats.org/officeDocument/2006/relationships/hyperlink" Target="https://talan.bank.gov.ua/get-user-certificate/45CEl3urQZJlVnMBnmOH" TargetMode="External"/><Relationship Id="rId4976" Type="http://schemas.openxmlformats.org/officeDocument/2006/relationships/hyperlink" Target="https://talan.bank.gov.ua/get-user-certificate/45CElgXOOC9a8Rj_v_Xh" TargetMode="External"/><Relationship Id="rId3578" Type="http://schemas.openxmlformats.org/officeDocument/2006/relationships/hyperlink" Target="https://talan.bank.gov.ua/get-user-certificate/45CElDDKKJRHk3D6y2VD" TargetMode="External"/><Relationship Id="rId3785" Type="http://schemas.openxmlformats.org/officeDocument/2006/relationships/hyperlink" Target="https://talan.bank.gov.ua/get-user-certificate/45CEld6JZMAcvW5WxGB8" TargetMode="External"/><Relationship Id="rId3992" Type="http://schemas.openxmlformats.org/officeDocument/2006/relationships/hyperlink" Target="https://talan.bank.gov.ua/get-user-certificate/45CElHdVwAC_8oaHywyt" TargetMode="External"/><Relationship Id="rId4629" Type="http://schemas.openxmlformats.org/officeDocument/2006/relationships/hyperlink" Target="https://talan.bank.gov.ua/get-user-certificate/45CElIEjeUrYPKWbA3w6" TargetMode="External"/><Relationship Id="rId4836" Type="http://schemas.openxmlformats.org/officeDocument/2006/relationships/hyperlink" Target="https://talan.bank.gov.ua/get-user-certificate/45CElYZcJfxSfadi7tYL" TargetMode="External"/><Relationship Id="rId499" Type="http://schemas.openxmlformats.org/officeDocument/2006/relationships/hyperlink" Target="https://talan.bank.gov.ua/get-user-certificate/45CElHdQCGnciYTh5zhL" TargetMode="External"/><Relationship Id="rId2387" Type="http://schemas.openxmlformats.org/officeDocument/2006/relationships/hyperlink" Target="https://talan.bank.gov.ua/get-user-certificate/45CElK32MrxG25ttkp9N" TargetMode="External"/><Relationship Id="rId2594" Type="http://schemas.openxmlformats.org/officeDocument/2006/relationships/hyperlink" Target="https://talan.bank.gov.ua/get-user-certificate/45CElxwo4ZxxMPoCevgV" TargetMode="External"/><Relationship Id="rId3438" Type="http://schemas.openxmlformats.org/officeDocument/2006/relationships/hyperlink" Target="https://talan.bank.gov.ua/get-user-certificate/45CElcRvg3hc1vHIfhwj" TargetMode="External"/><Relationship Id="rId3645" Type="http://schemas.openxmlformats.org/officeDocument/2006/relationships/hyperlink" Target="https://talan.bank.gov.ua/get-user-certificate/45CEla3caeOy-Pcjb5Sz" TargetMode="External"/><Relationship Id="rId3852" Type="http://schemas.openxmlformats.org/officeDocument/2006/relationships/hyperlink" Target="https://talan.bank.gov.ua/get-user-certificate/45CElWIEFDIa3YP_e4tJ" TargetMode="External"/><Relationship Id="rId359" Type="http://schemas.openxmlformats.org/officeDocument/2006/relationships/hyperlink" Target="https://talan.bank.gov.ua/get-user-certificate/45CElOJf0aaJH7MywX3d" TargetMode="External"/><Relationship Id="rId566" Type="http://schemas.openxmlformats.org/officeDocument/2006/relationships/hyperlink" Target="https://talan.bank.gov.ua/get-user-certificate/45CEl96sZhhmzoU2t7-Z" TargetMode="External"/><Relationship Id="rId773" Type="http://schemas.openxmlformats.org/officeDocument/2006/relationships/hyperlink" Target="https://talan.bank.gov.ua/get-user-certificate/45CEl7qqF606VyefT2VV" TargetMode="External"/><Relationship Id="rId1196" Type="http://schemas.openxmlformats.org/officeDocument/2006/relationships/hyperlink" Target="https://talan.bank.gov.ua/get-user-certificate/45CElCdLuRb6qhcBudWV" TargetMode="External"/><Relationship Id="rId2247" Type="http://schemas.openxmlformats.org/officeDocument/2006/relationships/hyperlink" Target="https://talan.bank.gov.ua/get-user-certificate/45CEldt_D6zV0tmiZCRG" TargetMode="External"/><Relationship Id="rId2454" Type="http://schemas.openxmlformats.org/officeDocument/2006/relationships/hyperlink" Target="https://talan.bank.gov.ua/get-user-certificate/45CElkvmcBGykUF_HfPe" TargetMode="External"/><Relationship Id="rId3505" Type="http://schemas.openxmlformats.org/officeDocument/2006/relationships/hyperlink" Target="https://talan.bank.gov.ua/get-user-certificate/45CElSpj9iWZe42KP3NY" TargetMode="External"/><Relationship Id="rId4903" Type="http://schemas.openxmlformats.org/officeDocument/2006/relationships/hyperlink" Target="https://talan.bank.gov.ua/get-user-certificate/45CElDptRAHlNYvyHo6Y" TargetMode="External"/><Relationship Id="rId219" Type="http://schemas.openxmlformats.org/officeDocument/2006/relationships/hyperlink" Target="https://talan.bank.gov.ua/get-user-certificate/45CEllk4qdUadn2OQosq" TargetMode="External"/><Relationship Id="rId426" Type="http://schemas.openxmlformats.org/officeDocument/2006/relationships/hyperlink" Target="https://talan.bank.gov.ua/get-user-certificate/45CElcuZzC72UhImF2rU" TargetMode="External"/><Relationship Id="rId633" Type="http://schemas.openxmlformats.org/officeDocument/2006/relationships/hyperlink" Target="https://talan.bank.gov.ua/get-user-certificate/45CElbcWRLjUdtrz-J1s" TargetMode="External"/><Relationship Id="rId980" Type="http://schemas.openxmlformats.org/officeDocument/2006/relationships/hyperlink" Target="https://talan.bank.gov.ua/get-user-certificate/45CElOSB6MULR7-b-aV6" TargetMode="External"/><Relationship Id="rId1056" Type="http://schemas.openxmlformats.org/officeDocument/2006/relationships/hyperlink" Target="https://talan.bank.gov.ua/get-user-certificate/45CElsTFu5DJwyDxGBan" TargetMode="External"/><Relationship Id="rId1263" Type="http://schemas.openxmlformats.org/officeDocument/2006/relationships/hyperlink" Target="https://talan.bank.gov.ua/get-user-certificate/45CElm4gteUqprukJv-0" TargetMode="External"/><Relationship Id="rId2107" Type="http://schemas.openxmlformats.org/officeDocument/2006/relationships/hyperlink" Target="https://talan.bank.gov.ua/get-user-certificate/45CElIlf05MI2yuR_KJh" TargetMode="External"/><Relationship Id="rId2314" Type="http://schemas.openxmlformats.org/officeDocument/2006/relationships/hyperlink" Target="https://talan.bank.gov.ua/get-user-certificate/45CElf6uWzBt4uFmrweC" TargetMode="External"/><Relationship Id="rId2661" Type="http://schemas.openxmlformats.org/officeDocument/2006/relationships/hyperlink" Target="https://talan.bank.gov.ua/get-user-certificate/45CEl6Z-1ozfxL4UbhEP" TargetMode="External"/><Relationship Id="rId3712" Type="http://schemas.openxmlformats.org/officeDocument/2006/relationships/hyperlink" Target="https://talan.bank.gov.ua/get-user-certificate/45CEl0J1OMHP3t6WWxDy" TargetMode="External"/><Relationship Id="rId840" Type="http://schemas.openxmlformats.org/officeDocument/2006/relationships/hyperlink" Target="https://talan.bank.gov.ua/get-user-certificate/45CEldPr2EeB1o4E3Zbm" TargetMode="External"/><Relationship Id="rId1470" Type="http://schemas.openxmlformats.org/officeDocument/2006/relationships/hyperlink" Target="https://talan.bank.gov.ua/get-user-certificate/45CElQuxYvvwFNJuaDrz" TargetMode="External"/><Relationship Id="rId2521" Type="http://schemas.openxmlformats.org/officeDocument/2006/relationships/hyperlink" Target="https://talan.bank.gov.ua/get-user-certificate/45CElv4GRYCt9gYPwqsq" TargetMode="External"/><Relationship Id="rId4279" Type="http://schemas.openxmlformats.org/officeDocument/2006/relationships/hyperlink" Target="https://talan.bank.gov.ua/get-user-certificate/45CEldG3P6MgYI3eUPcM" TargetMode="External"/><Relationship Id="rId700" Type="http://schemas.openxmlformats.org/officeDocument/2006/relationships/hyperlink" Target="https://talan.bank.gov.ua/get-user-certificate/45CEl-Avgc-S-LVHc2J5" TargetMode="External"/><Relationship Id="rId1123" Type="http://schemas.openxmlformats.org/officeDocument/2006/relationships/hyperlink" Target="https://talan.bank.gov.ua/get-user-certificate/45CElt4Lv17XyoGOeMbQ" TargetMode="External"/><Relationship Id="rId1330" Type="http://schemas.openxmlformats.org/officeDocument/2006/relationships/hyperlink" Target="https://talan.bank.gov.ua/get-user-certificate/45CEllSikZcooyQiyQGA" TargetMode="External"/><Relationship Id="rId3088" Type="http://schemas.openxmlformats.org/officeDocument/2006/relationships/hyperlink" Target="https://talan.bank.gov.ua/get-user-certificate/45CEllzvLpZW5QkcHxeX" TargetMode="External"/><Relationship Id="rId4486" Type="http://schemas.openxmlformats.org/officeDocument/2006/relationships/hyperlink" Target="https://talan.bank.gov.ua/get-user-certificate/45CElMslOoc3CwnrJQhG" TargetMode="External"/><Relationship Id="rId4693" Type="http://schemas.openxmlformats.org/officeDocument/2006/relationships/hyperlink" Target="https://talan.bank.gov.ua/get-user-certificate/45CEl1FunOaoEorip5aN" TargetMode="External"/><Relationship Id="rId3295" Type="http://schemas.openxmlformats.org/officeDocument/2006/relationships/hyperlink" Target="https://talan.bank.gov.ua/get-user-certificate/45CElxj5HuOb-WUSnQ3J" TargetMode="External"/><Relationship Id="rId4139" Type="http://schemas.openxmlformats.org/officeDocument/2006/relationships/hyperlink" Target="https://talan.bank.gov.ua/get-user-certificate/45CElEdSGRjBi0VXDudy" TargetMode="External"/><Relationship Id="rId4346" Type="http://schemas.openxmlformats.org/officeDocument/2006/relationships/hyperlink" Target="https://talan.bank.gov.ua/get-user-certificate/45CElOptVUhL97MAGc9i" TargetMode="External"/><Relationship Id="rId4553" Type="http://schemas.openxmlformats.org/officeDocument/2006/relationships/hyperlink" Target="https://talan.bank.gov.ua/get-user-certificate/45CElrFcfUigzctTtid6" TargetMode="External"/><Relationship Id="rId4760" Type="http://schemas.openxmlformats.org/officeDocument/2006/relationships/hyperlink" Target="https://talan.bank.gov.ua/get-user-certificate/45CElinhijWpwuzIHHCZ" TargetMode="External"/><Relationship Id="rId3155" Type="http://schemas.openxmlformats.org/officeDocument/2006/relationships/hyperlink" Target="https://talan.bank.gov.ua/get-user-certificate/45CElVDOD1A_mfPeH8s_" TargetMode="External"/><Relationship Id="rId3362" Type="http://schemas.openxmlformats.org/officeDocument/2006/relationships/hyperlink" Target="https://talan.bank.gov.ua/get-user-certificate/45CElNp43tw1bhBQq0-o" TargetMode="External"/><Relationship Id="rId4206" Type="http://schemas.openxmlformats.org/officeDocument/2006/relationships/hyperlink" Target="https://talan.bank.gov.ua/get-user-certificate/45CEl23YnKq8L7mUwoRf" TargetMode="External"/><Relationship Id="rId4413" Type="http://schemas.openxmlformats.org/officeDocument/2006/relationships/hyperlink" Target="https://talan.bank.gov.ua/get-user-certificate/45CElblE3GJ0a0JhcyD8" TargetMode="External"/><Relationship Id="rId4620" Type="http://schemas.openxmlformats.org/officeDocument/2006/relationships/hyperlink" Target="https://talan.bank.gov.ua/get-user-certificate/45CElOTxHRwFn_eJz1NL" TargetMode="External"/><Relationship Id="rId283" Type="http://schemas.openxmlformats.org/officeDocument/2006/relationships/hyperlink" Target="https://talan.bank.gov.ua/get-user-certificate/45CEl2ObaMxRDa3PKv6S" TargetMode="External"/><Relationship Id="rId490" Type="http://schemas.openxmlformats.org/officeDocument/2006/relationships/hyperlink" Target="https://talan.bank.gov.ua/get-user-certificate/45CElIi4x-FBZYnjKQeT" TargetMode="External"/><Relationship Id="rId2171" Type="http://schemas.openxmlformats.org/officeDocument/2006/relationships/hyperlink" Target="https://talan.bank.gov.ua/get-user-certificate/45CElYIomicbLmiofg52" TargetMode="External"/><Relationship Id="rId3015" Type="http://schemas.openxmlformats.org/officeDocument/2006/relationships/hyperlink" Target="https://talan.bank.gov.ua/get-user-certificate/45CElWQ3o4RXMqz2mWoM" TargetMode="External"/><Relationship Id="rId3222" Type="http://schemas.openxmlformats.org/officeDocument/2006/relationships/hyperlink" Target="https://talan.bank.gov.ua/get-user-certificate/45CElgQzOZunnvUmvXB8" TargetMode="External"/><Relationship Id="rId143" Type="http://schemas.openxmlformats.org/officeDocument/2006/relationships/hyperlink" Target="https://talan.bank.gov.ua/get-user-certificate/45CElwLD0hi3EY-bBUy4" TargetMode="External"/><Relationship Id="rId350" Type="http://schemas.openxmlformats.org/officeDocument/2006/relationships/hyperlink" Target="https://talan.bank.gov.ua/get-user-certificate/45CElVUnaxWe3Ejs3ZeZ" TargetMode="External"/><Relationship Id="rId2031" Type="http://schemas.openxmlformats.org/officeDocument/2006/relationships/hyperlink" Target="https://talan.bank.gov.ua/get-user-certificate/45CElfBuDWO5yFxQpnQi" TargetMode="External"/><Relationship Id="rId9" Type="http://schemas.openxmlformats.org/officeDocument/2006/relationships/hyperlink" Target="https://talan.bank.gov.ua/get-user-certificate/45CElR0mAHDmQuY9DM-c" TargetMode="External"/><Relationship Id="rId210" Type="http://schemas.openxmlformats.org/officeDocument/2006/relationships/hyperlink" Target="https://talan.bank.gov.ua/get-user-certificate/45CEl36qE4AH0WYrhD2l" TargetMode="External"/><Relationship Id="rId2988" Type="http://schemas.openxmlformats.org/officeDocument/2006/relationships/hyperlink" Target="https://talan.bank.gov.ua/get-user-certificate/45CEl9iIelVeRgoI150k" TargetMode="External"/><Relationship Id="rId1797" Type="http://schemas.openxmlformats.org/officeDocument/2006/relationships/hyperlink" Target="https://talan.bank.gov.ua/get-user-certificate/45CElnk3P6nkMsz3qyJM" TargetMode="External"/><Relationship Id="rId2848" Type="http://schemas.openxmlformats.org/officeDocument/2006/relationships/hyperlink" Target="https://talan.bank.gov.ua/get-user-certificate/45CEl1fEEtpZEk0hhNfF" TargetMode="External"/><Relationship Id="rId89" Type="http://schemas.openxmlformats.org/officeDocument/2006/relationships/hyperlink" Target="https://talan.bank.gov.ua/get-user-certificate/45CElkK1W5N7n2a1KWbB" TargetMode="External"/><Relationship Id="rId1657" Type="http://schemas.openxmlformats.org/officeDocument/2006/relationships/hyperlink" Target="https://talan.bank.gov.ua/get-user-certificate/45CElLZcR1Vz3rkBL_wN" TargetMode="External"/><Relationship Id="rId1864" Type="http://schemas.openxmlformats.org/officeDocument/2006/relationships/hyperlink" Target="https://talan.bank.gov.ua/get-user-certificate/45CElAH1saTCYVTaE_0a" TargetMode="External"/><Relationship Id="rId2708" Type="http://schemas.openxmlformats.org/officeDocument/2006/relationships/hyperlink" Target="https://talan.bank.gov.ua/get-user-certificate/45CEl97sijohxnxE-mCH" TargetMode="External"/><Relationship Id="rId2915" Type="http://schemas.openxmlformats.org/officeDocument/2006/relationships/hyperlink" Target="https://talan.bank.gov.ua/get-user-certificate/45CElxx6vkv8Ubg9KfIb" TargetMode="External"/><Relationship Id="rId4063" Type="http://schemas.openxmlformats.org/officeDocument/2006/relationships/hyperlink" Target="https://talan.bank.gov.ua/get-user-certificate/45CElAWGZk2FxWkApoZ2" TargetMode="External"/><Relationship Id="rId4270" Type="http://schemas.openxmlformats.org/officeDocument/2006/relationships/hyperlink" Target="https://talan.bank.gov.ua/get-user-certificate/45CElWRacTAhIhCl06Wb" TargetMode="External"/><Relationship Id="rId1517" Type="http://schemas.openxmlformats.org/officeDocument/2006/relationships/hyperlink" Target="https://talan.bank.gov.ua/get-user-certificate/45CEl3Eg5L9O8w0J0kzA" TargetMode="External"/><Relationship Id="rId1724" Type="http://schemas.openxmlformats.org/officeDocument/2006/relationships/hyperlink" Target="https://talan.bank.gov.ua/get-user-certificate/45CEllSWUTi-QtPijqqi" TargetMode="External"/><Relationship Id="rId4130" Type="http://schemas.openxmlformats.org/officeDocument/2006/relationships/hyperlink" Target="https://talan.bank.gov.ua/get-user-certificate/45CElTxNO4KRTxj2aDAn" TargetMode="External"/><Relationship Id="rId16" Type="http://schemas.openxmlformats.org/officeDocument/2006/relationships/hyperlink" Target="https://talan.bank.gov.ua/get-user-certificate/45CEl5jOVf2yJZOjXBbS" TargetMode="External"/><Relationship Id="rId1931" Type="http://schemas.openxmlformats.org/officeDocument/2006/relationships/hyperlink" Target="https://talan.bank.gov.ua/get-user-certificate/45CEl3LFre7RFXbXeAxt" TargetMode="External"/><Relationship Id="rId3689" Type="http://schemas.openxmlformats.org/officeDocument/2006/relationships/hyperlink" Target="https://talan.bank.gov.ua/get-user-certificate/45CEl03aSBJve12OyN2u" TargetMode="External"/><Relationship Id="rId3896" Type="http://schemas.openxmlformats.org/officeDocument/2006/relationships/hyperlink" Target="https://talan.bank.gov.ua/get-user-certificate/45CElZHi0y9PpV60Ky0B" TargetMode="External"/><Relationship Id="rId2498" Type="http://schemas.openxmlformats.org/officeDocument/2006/relationships/hyperlink" Target="https://talan.bank.gov.ua/get-user-certificate/45CEl_E20Dq5cbzYv4Ca" TargetMode="External"/><Relationship Id="rId3549" Type="http://schemas.openxmlformats.org/officeDocument/2006/relationships/hyperlink" Target="https://talan.bank.gov.ua/get-user-certificate/45CElDndm4k1ZnSoei45" TargetMode="External"/><Relationship Id="rId4947" Type="http://schemas.openxmlformats.org/officeDocument/2006/relationships/hyperlink" Target="https://talan.bank.gov.ua/get-user-certificate/45CElYB-8EkNscDuE0WV" TargetMode="External"/><Relationship Id="rId677" Type="http://schemas.openxmlformats.org/officeDocument/2006/relationships/hyperlink" Target="https://talan.bank.gov.ua/get-user-certificate/45CEl9RwxWnuLFIhh2La" TargetMode="External"/><Relationship Id="rId2358" Type="http://schemas.openxmlformats.org/officeDocument/2006/relationships/hyperlink" Target="https://talan.bank.gov.ua/get-user-certificate/45CElKHJMznhvMHxzUxW" TargetMode="External"/><Relationship Id="rId3756" Type="http://schemas.openxmlformats.org/officeDocument/2006/relationships/hyperlink" Target="https://talan.bank.gov.ua/get-user-certificate/45CEl22gJlTk5kEVwTYW" TargetMode="External"/><Relationship Id="rId3963" Type="http://schemas.openxmlformats.org/officeDocument/2006/relationships/hyperlink" Target="https://talan.bank.gov.ua/get-user-certificate/45CElNUC67qli8lJX0Qh" TargetMode="External"/><Relationship Id="rId4807" Type="http://schemas.openxmlformats.org/officeDocument/2006/relationships/hyperlink" Target="https://talan.bank.gov.ua/get-user-certificate/45CElfZ44RZsJ9wPOt7-" TargetMode="External"/><Relationship Id="rId884" Type="http://schemas.openxmlformats.org/officeDocument/2006/relationships/hyperlink" Target="https://talan.bank.gov.ua/get-user-certificate/45CEla-ZEPGSBGhhI6vu" TargetMode="External"/><Relationship Id="rId2565" Type="http://schemas.openxmlformats.org/officeDocument/2006/relationships/hyperlink" Target="https://talan.bank.gov.ua/get-user-certificate/45CElHa2wmggnBdNWK9P" TargetMode="External"/><Relationship Id="rId2772" Type="http://schemas.openxmlformats.org/officeDocument/2006/relationships/hyperlink" Target="https://talan.bank.gov.ua/get-user-certificate/45CElhabOyCC7pD4odo4" TargetMode="External"/><Relationship Id="rId3409" Type="http://schemas.openxmlformats.org/officeDocument/2006/relationships/hyperlink" Target="https://talan.bank.gov.ua/get-user-certificate/45CElJ51kxJ4a7Qlo50_" TargetMode="External"/><Relationship Id="rId3616" Type="http://schemas.openxmlformats.org/officeDocument/2006/relationships/hyperlink" Target="https://talan.bank.gov.ua/get-user-certificate/45CElxNZPCmJau_ZHBC1" TargetMode="External"/><Relationship Id="rId3823" Type="http://schemas.openxmlformats.org/officeDocument/2006/relationships/hyperlink" Target="https://talan.bank.gov.ua/get-user-certificate/45CEl5k1eDqEZBEmc3v1" TargetMode="External"/><Relationship Id="rId537" Type="http://schemas.openxmlformats.org/officeDocument/2006/relationships/hyperlink" Target="https://talan.bank.gov.ua/get-user-certificate/45CElWns9-uFVYyz84UE" TargetMode="External"/><Relationship Id="rId744" Type="http://schemas.openxmlformats.org/officeDocument/2006/relationships/hyperlink" Target="https://talan.bank.gov.ua/get-user-certificate/45CElH2B-x8C3ePNKjjA" TargetMode="External"/><Relationship Id="rId951" Type="http://schemas.openxmlformats.org/officeDocument/2006/relationships/hyperlink" Target="https://talan.bank.gov.ua/get-user-certificate/45CEl1tM3pjBr0i7VkbK" TargetMode="External"/><Relationship Id="rId1167" Type="http://schemas.openxmlformats.org/officeDocument/2006/relationships/hyperlink" Target="https://talan.bank.gov.ua/get-user-certificate/45CEl0l7dStUD6kn4iQc" TargetMode="External"/><Relationship Id="rId1374" Type="http://schemas.openxmlformats.org/officeDocument/2006/relationships/hyperlink" Target="https://talan.bank.gov.ua/get-user-certificate/45CElvCIAsfw_990uuEz" TargetMode="External"/><Relationship Id="rId1581" Type="http://schemas.openxmlformats.org/officeDocument/2006/relationships/hyperlink" Target="https://talan.bank.gov.ua/get-user-certificate/45CEl5xemEW0qv8KcdWA" TargetMode="External"/><Relationship Id="rId2218" Type="http://schemas.openxmlformats.org/officeDocument/2006/relationships/hyperlink" Target="https://talan.bank.gov.ua/get-user-certificate/45CElKxLwQdOXvIDp-JQ" TargetMode="External"/><Relationship Id="rId2425" Type="http://schemas.openxmlformats.org/officeDocument/2006/relationships/hyperlink" Target="https://talan.bank.gov.ua/get-user-certificate/45CElooizAwpIhqADdoj" TargetMode="External"/><Relationship Id="rId2632" Type="http://schemas.openxmlformats.org/officeDocument/2006/relationships/hyperlink" Target="https://talan.bank.gov.ua/get-user-certificate/45CElArsPVLX2g4Wg6NX" TargetMode="External"/><Relationship Id="rId80" Type="http://schemas.openxmlformats.org/officeDocument/2006/relationships/hyperlink" Target="https://talan.bank.gov.ua/get-user-certificate/45CElEqqNF-gCMoSIp-3" TargetMode="External"/><Relationship Id="rId604" Type="http://schemas.openxmlformats.org/officeDocument/2006/relationships/hyperlink" Target="https://talan.bank.gov.ua/get-user-certificate/45CElIfAouwRW316EPAo" TargetMode="External"/><Relationship Id="rId811" Type="http://schemas.openxmlformats.org/officeDocument/2006/relationships/hyperlink" Target="https://talan.bank.gov.ua/get-user-certificate/45CEl8JVMTCNb_sKq5QZ" TargetMode="External"/><Relationship Id="rId1027" Type="http://schemas.openxmlformats.org/officeDocument/2006/relationships/hyperlink" Target="https://talan.bank.gov.ua/get-user-certificate/45CElTROlByYW6oLdu0s" TargetMode="External"/><Relationship Id="rId1234" Type="http://schemas.openxmlformats.org/officeDocument/2006/relationships/hyperlink" Target="https://talan.bank.gov.ua/get-user-certificate/45CElnnshfDBAnXswnHH" TargetMode="External"/><Relationship Id="rId1441" Type="http://schemas.openxmlformats.org/officeDocument/2006/relationships/hyperlink" Target="https://talan.bank.gov.ua/get-user-certificate/45CElEQozyW6kLE31uWl" TargetMode="External"/><Relationship Id="rId4597" Type="http://schemas.openxmlformats.org/officeDocument/2006/relationships/hyperlink" Target="https://talan.bank.gov.ua/get-user-certificate/45CElUc6ODqnU8d2f5Ls" TargetMode="External"/><Relationship Id="rId1301" Type="http://schemas.openxmlformats.org/officeDocument/2006/relationships/hyperlink" Target="https://talan.bank.gov.ua/get-user-certificate/45CElx157HpyQ7jIPl27" TargetMode="External"/><Relationship Id="rId3199" Type="http://schemas.openxmlformats.org/officeDocument/2006/relationships/hyperlink" Target="https://talan.bank.gov.ua/get-user-certificate/45CElH0Ad4nKU6XMS6_n" TargetMode="External"/><Relationship Id="rId4457" Type="http://schemas.openxmlformats.org/officeDocument/2006/relationships/hyperlink" Target="https://talan.bank.gov.ua/get-user-certificate/45CEld66JodPCaS0DsdD" TargetMode="External"/><Relationship Id="rId4664" Type="http://schemas.openxmlformats.org/officeDocument/2006/relationships/hyperlink" Target="https://talan.bank.gov.ua/get-user-certificate/45CEl1SJy90FqRtA0bWf" TargetMode="External"/><Relationship Id="rId3059" Type="http://schemas.openxmlformats.org/officeDocument/2006/relationships/hyperlink" Target="https://talan.bank.gov.ua/get-user-certificate/45CElgrpXGxhMfFsNGBx" TargetMode="External"/><Relationship Id="rId3266" Type="http://schemas.openxmlformats.org/officeDocument/2006/relationships/hyperlink" Target="https://talan.bank.gov.ua/get-user-certificate/45CElII68rVmZtYm7Qdi" TargetMode="External"/><Relationship Id="rId3473" Type="http://schemas.openxmlformats.org/officeDocument/2006/relationships/hyperlink" Target="https://talan.bank.gov.ua/get-user-certificate/45CEl2gZEu3CLt_E2iGf" TargetMode="External"/><Relationship Id="rId4317" Type="http://schemas.openxmlformats.org/officeDocument/2006/relationships/hyperlink" Target="https://talan.bank.gov.ua/get-user-certificate/45CElHwArec6aVNIGXl9" TargetMode="External"/><Relationship Id="rId4524" Type="http://schemas.openxmlformats.org/officeDocument/2006/relationships/hyperlink" Target="https://talan.bank.gov.ua/get-user-certificate/45CElczQi1YehVAEH3gF" TargetMode="External"/><Relationship Id="rId4871" Type="http://schemas.openxmlformats.org/officeDocument/2006/relationships/hyperlink" Target="https://talan.bank.gov.ua/get-user-certificate/45CElcoVXJubwzQU0tCC" TargetMode="External"/><Relationship Id="rId187" Type="http://schemas.openxmlformats.org/officeDocument/2006/relationships/hyperlink" Target="https://talan.bank.gov.ua/get-user-certificate/45CElEh1kVyjUyhGdqD2" TargetMode="External"/><Relationship Id="rId394" Type="http://schemas.openxmlformats.org/officeDocument/2006/relationships/hyperlink" Target="https://talan.bank.gov.ua/get-user-certificate/45CElJ2Dr_AH5gsQds_4" TargetMode="External"/><Relationship Id="rId2075" Type="http://schemas.openxmlformats.org/officeDocument/2006/relationships/hyperlink" Target="https://talan.bank.gov.ua/get-user-certificate/45CElTzYdqkCXMPoVn-e" TargetMode="External"/><Relationship Id="rId2282" Type="http://schemas.openxmlformats.org/officeDocument/2006/relationships/hyperlink" Target="https://talan.bank.gov.ua/get-user-certificate/45CEloDW4LbQGZLdf-qQ" TargetMode="External"/><Relationship Id="rId3126" Type="http://schemas.openxmlformats.org/officeDocument/2006/relationships/hyperlink" Target="https://talan.bank.gov.ua/get-user-certificate/45CElWMpBxtyyoW3cvmo" TargetMode="External"/><Relationship Id="rId3680" Type="http://schemas.openxmlformats.org/officeDocument/2006/relationships/hyperlink" Target="https://talan.bank.gov.ua/get-user-certificate/45CEl_SqcspA8M8d_bxW" TargetMode="External"/><Relationship Id="rId4731" Type="http://schemas.openxmlformats.org/officeDocument/2006/relationships/hyperlink" Target="https://talan.bank.gov.ua/get-user-certificate/45CElxxZCjkmfFoiXh_t" TargetMode="External"/><Relationship Id="rId254" Type="http://schemas.openxmlformats.org/officeDocument/2006/relationships/hyperlink" Target="https://talan.bank.gov.ua/get-user-certificate/45CElJ9N6v4Ee_Ia8Ibg" TargetMode="External"/><Relationship Id="rId1091" Type="http://schemas.openxmlformats.org/officeDocument/2006/relationships/hyperlink" Target="https://talan.bank.gov.ua/get-user-certificate/45CEl0Yo61kzLao02vrb" TargetMode="External"/><Relationship Id="rId3333" Type="http://schemas.openxmlformats.org/officeDocument/2006/relationships/hyperlink" Target="https://talan.bank.gov.ua/get-user-certificate/45CElZqPQ6iS6aYSCoAF" TargetMode="External"/><Relationship Id="rId3540" Type="http://schemas.openxmlformats.org/officeDocument/2006/relationships/hyperlink" Target="https://talan.bank.gov.ua/get-user-certificate/45CElK1cB9rq5BVso7jw" TargetMode="External"/><Relationship Id="rId114" Type="http://schemas.openxmlformats.org/officeDocument/2006/relationships/hyperlink" Target="https://talan.bank.gov.ua/get-user-certificate/45CElt2TtTxGMw9FFHkG" TargetMode="External"/><Relationship Id="rId461" Type="http://schemas.openxmlformats.org/officeDocument/2006/relationships/hyperlink" Target="https://talan.bank.gov.ua/get-user-certificate/45CEleugkWzgR-u5RW6G" TargetMode="External"/><Relationship Id="rId2142" Type="http://schemas.openxmlformats.org/officeDocument/2006/relationships/hyperlink" Target="https://talan.bank.gov.ua/get-user-certificate/45CElWaUXdnw2g4aan0T" TargetMode="External"/><Relationship Id="rId3400" Type="http://schemas.openxmlformats.org/officeDocument/2006/relationships/hyperlink" Target="https://talan.bank.gov.ua/get-user-certificate/45CElDSyIHE1EU7O_UHd" TargetMode="External"/><Relationship Id="rId321" Type="http://schemas.openxmlformats.org/officeDocument/2006/relationships/hyperlink" Target="https://talan.bank.gov.ua/get-user-certificate/45CElmoSHiOjr9ShJkSG" TargetMode="External"/><Relationship Id="rId2002" Type="http://schemas.openxmlformats.org/officeDocument/2006/relationships/hyperlink" Target="https://talan.bank.gov.ua/get-user-certificate/45CEll-E_inVXKSqH9iD" TargetMode="External"/><Relationship Id="rId2959" Type="http://schemas.openxmlformats.org/officeDocument/2006/relationships/hyperlink" Target="https://talan.bank.gov.ua/get-user-certificate/45CElGAIZqVFI8ix7LoC" TargetMode="External"/><Relationship Id="rId1768" Type="http://schemas.openxmlformats.org/officeDocument/2006/relationships/hyperlink" Target="https://talan.bank.gov.ua/get-user-certificate/45CElIhlnYWN6b2WlV1z" TargetMode="External"/><Relationship Id="rId2819" Type="http://schemas.openxmlformats.org/officeDocument/2006/relationships/hyperlink" Target="https://talan.bank.gov.ua/get-user-certificate/45CElFimxAiRXbXatTVp" TargetMode="External"/><Relationship Id="rId4174" Type="http://schemas.openxmlformats.org/officeDocument/2006/relationships/hyperlink" Target="https://talan.bank.gov.ua/get-user-certificate/45CEljRjC3uZfhkrcYBz" TargetMode="External"/><Relationship Id="rId4381" Type="http://schemas.openxmlformats.org/officeDocument/2006/relationships/hyperlink" Target="https://talan.bank.gov.ua/get-user-certificate/45CElr1swA_HXgWOIVIY" TargetMode="External"/><Relationship Id="rId5018" Type="http://schemas.openxmlformats.org/officeDocument/2006/relationships/hyperlink" Target="https://talan.bank.gov.ua/get-user-certificate/ki8TnOr-4RuBvCQ7iNGM" TargetMode="External"/><Relationship Id="rId1628" Type="http://schemas.openxmlformats.org/officeDocument/2006/relationships/hyperlink" Target="https://talan.bank.gov.ua/get-user-certificate/45CEl_Lwn2VCWuZ4E9Uw" TargetMode="External"/><Relationship Id="rId1975" Type="http://schemas.openxmlformats.org/officeDocument/2006/relationships/hyperlink" Target="https://talan.bank.gov.ua/get-user-certificate/45CElA1d0yAcj2D9Rk1x" TargetMode="External"/><Relationship Id="rId3190" Type="http://schemas.openxmlformats.org/officeDocument/2006/relationships/hyperlink" Target="https://talan.bank.gov.ua/get-user-certificate/45CElg-A6TNXqv4j2ieb" TargetMode="External"/><Relationship Id="rId4034" Type="http://schemas.openxmlformats.org/officeDocument/2006/relationships/hyperlink" Target="https://talan.bank.gov.ua/get-user-certificate/45CElapctgBd3Wf77wFt" TargetMode="External"/><Relationship Id="rId4241" Type="http://schemas.openxmlformats.org/officeDocument/2006/relationships/hyperlink" Target="https://talan.bank.gov.ua/get-user-certificate/45CElU0hwDCYARHqvhEn" TargetMode="External"/><Relationship Id="rId1835" Type="http://schemas.openxmlformats.org/officeDocument/2006/relationships/hyperlink" Target="https://talan.bank.gov.ua/get-user-certificate/45CElnq3PI1gAU8L5hHo" TargetMode="External"/><Relationship Id="rId3050" Type="http://schemas.openxmlformats.org/officeDocument/2006/relationships/hyperlink" Target="https://talan.bank.gov.ua/get-user-certificate/45CElQgNuzogrrmDmUWj" TargetMode="External"/><Relationship Id="rId4101" Type="http://schemas.openxmlformats.org/officeDocument/2006/relationships/hyperlink" Target="https://talan.bank.gov.ua/get-user-certificate/45CElANw1bs3WICewb-_" TargetMode="External"/><Relationship Id="rId1902" Type="http://schemas.openxmlformats.org/officeDocument/2006/relationships/hyperlink" Target="https://talan.bank.gov.ua/get-user-certificate/45CElAOYxuCKKkeFuoO7" TargetMode="External"/><Relationship Id="rId3867" Type="http://schemas.openxmlformats.org/officeDocument/2006/relationships/hyperlink" Target="https://talan.bank.gov.ua/get-user-certificate/45CElVxAWeFxDK0K5w1d" TargetMode="External"/><Relationship Id="rId4918" Type="http://schemas.openxmlformats.org/officeDocument/2006/relationships/hyperlink" Target="https://talan.bank.gov.ua/get-user-certificate/45CEl1z68d0ZTfI3s2oY" TargetMode="External"/><Relationship Id="rId788" Type="http://schemas.openxmlformats.org/officeDocument/2006/relationships/hyperlink" Target="https://talan.bank.gov.ua/get-user-certificate/45CElUoAQADv8QXib_g1" TargetMode="External"/><Relationship Id="rId995" Type="http://schemas.openxmlformats.org/officeDocument/2006/relationships/hyperlink" Target="https://talan.bank.gov.ua/get-user-certificate/45CEllZphRHOQboX5ddR" TargetMode="External"/><Relationship Id="rId2469" Type="http://schemas.openxmlformats.org/officeDocument/2006/relationships/hyperlink" Target="https://talan.bank.gov.ua/get-user-certificate/45CElUFAD_Nc05XSmwV-" TargetMode="External"/><Relationship Id="rId2676" Type="http://schemas.openxmlformats.org/officeDocument/2006/relationships/hyperlink" Target="https://talan.bank.gov.ua/get-user-certificate/45CElQljZRy5T5xkGKph" TargetMode="External"/><Relationship Id="rId2883" Type="http://schemas.openxmlformats.org/officeDocument/2006/relationships/hyperlink" Target="https://talan.bank.gov.ua/get-user-certificate/45CElIDz4s8L3OK7dh3W" TargetMode="External"/><Relationship Id="rId3727" Type="http://schemas.openxmlformats.org/officeDocument/2006/relationships/hyperlink" Target="https://talan.bank.gov.ua/get-user-certificate/45CElwrw0KuGgACKekRp" TargetMode="External"/><Relationship Id="rId3934" Type="http://schemas.openxmlformats.org/officeDocument/2006/relationships/hyperlink" Target="https://talan.bank.gov.ua/get-user-certificate/45CElyQ4uXVDh03Ektst" TargetMode="External"/><Relationship Id="rId648" Type="http://schemas.openxmlformats.org/officeDocument/2006/relationships/hyperlink" Target="https://talan.bank.gov.ua/get-user-certificate/45CElY0vMTMDkoFW1zhF" TargetMode="External"/><Relationship Id="rId855" Type="http://schemas.openxmlformats.org/officeDocument/2006/relationships/hyperlink" Target="https://talan.bank.gov.ua/get-user-certificate/45CElggM-12V4IY_E5b1" TargetMode="External"/><Relationship Id="rId1278" Type="http://schemas.openxmlformats.org/officeDocument/2006/relationships/hyperlink" Target="https://talan.bank.gov.ua/get-user-certificate/45CEl3BsWiOe2l61pnJW" TargetMode="External"/><Relationship Id="rId1485" Type="http://schemas.openxmlformats.org/officeDocument/2006/relationships/hyperlink" Target="https://talan.bank.gov.ua/get-user-certificate/45CElnC4Ivx__pcdDPvd" TargetMode="External"/><Relationship Id="rId1692" Type="http://schemas.openxmlformats.org/officeDocument/2006/relationships/hyperlink" Target="https://talan.bank.gov.ua/get-user-certificate/45CEluiChZ95vlgG7EBh" TargetMode="External"/><Relationship Id="rId2329" Type="http://schemas.openxmlformats.org/officeDocument/2006/relationships/hyperlink" Target="https://talan.bank.gov.ua/get-user-certificate/45CElyTnKnQJaahANrB8" TargetMode="External"/><Relationship Id="rId2536" Type="http://schemas.openxmlformats.org/officeDocument/2006/relationships/hyperlink" Target="https://talan.bank.gov.ua/get-user-certificate/45CEl_khGKSrv1-QxM5u" TargetMode="External"/><Relationship Id="rId2743" Type="http://schemas.openxmlformats.org/officeDocument/2006/relationships/hyperlink" Target="https://talan.bank.gov.ua/get-user-certificate/45CElqpv0DOaG8bnR2gv" TargetMode="External"/><Relationship Id="rId508" Type="http://schemas.openxmlformats.org/officeDocument/2006/relationships/hyperlink" Target="https://talan.bank.gov.ua/get-user-certificate/45CElnBpNhjUv8cW8QfI" TargetMode="External"/><Relationship Id="rId715" Type="http://schemas.openxmlformats.org/officeDocument/2006/relationships/hyperlink" Target="https://talan.bank.gov.ua/get-user-certificate/45CElcx_Orqy0Y0M1MAS" TargetMode="External"/><Relationship Id="rId922" Type="http://schemas.openxmlformats.org/officeDocument/2006/relationships/hyperlink" Target="https://talan.bank.gov.ua/get-user-certificate/45CElbmM8Y35KrK3I4Ey" TargetMode="External"/><Relationship Id="rId1138" Type="http://schemas.openxmlformats.org/officeDocument/2006/relationships/hyperlink" Target="https://talan.bank.gov.ua/get-user-certificate/45CEl70JBb53H6QUgCwr" TargetMode="External"/><Relationship Id="rId1345" Type="http://schemas.openxmlformats.org/officeDocument/2006/relationships/hyperlink" Target="https://talan.bank.gov.ua/get-user-certificate/45CElu3i6WhafgSc6sFe" TargetMode="External"/><Relationship Id="rId1552" Type="http://schemas.openxmlformats.org/officeDocument/2006/relationships/hyperlink" Target="https://talan.bank.gov.ua/get-user-certificate/45CElP-zQ7vffetfA5zI" TargetMode="External"/><Relationship Id="rId2603" Type="http://schemas.openxmlformats.org/officeDocument/2006/relationships/hyperlink" Target="https://talan.bank.gov.ua/get-user-certificate/45CElLAM6IdqX1YgdSzG" TargetMode="External"/><Relationship Id="rId2950" Type="http://schemas.openxmlformats.org/officeDocument/2006/relationships/hyperlink" Target="https://talan.bank.gov.ua/get-user-certificate/45CElXDuTsh5NeRJ8fB9" TargetMode="External"/><Relationship Id="rId1205" Type="http://schemas.openxmlformats.org/officeDocument/2006/relationships/hyperlink" Target="https://talan.bank.gov.ua/get-user-certificate/45CEl_lSYoF9VTico3nO" TargetMode="External"/><Relationship Id="rId2810" Type="http://schemas.openxmlformats.org/officeDocument/2006/relationships/hyperlink" Target="https://talan.bank.gov.ua/get-user-certificate/45CElBG1OjNuZ5TKPOJ5" TargetMode="External"/><Relationship Id="rId4568" Type="http://schemas.openxmlformats.org/officeDocument/2006/relationships/hyperlink" Target="https://talan.bank.gov.ua/get-user-certificate/45CElnZcxPRMq_jnvff-" TargetMode="External"/><Relationship Id="rId51" Type="http://schemas.openxmlformats.org/officeDocument/2006/relationships/hyperlink" Target="https://talan.bank.gov.ua/get-user-certificate/45CEl833h64fpy2X3LtK" TargetMode="External"/><Relationship Id="rId1412" Type="http://schemas.openxmlformats.org/officeDocument/2006/relationships/hyperlink" Target="https://talan.bank.gov.ua/get-user-certificate/45CEl4FhZBFYDw2QaJ1i" TargetMode="External"/><Relationship Id="rId3377" Type="http://schemas.openxmlformats.org/officeDocument/2006/relationships/hyperlink" Target="https://talan.bank.gov.ua/get-user-certificate/45CElVDzpUF7nq_D-oQk" TargetMode="External"/><Relationship Id="rId4775" Type="http://schemas.openxmlformats.org/officeDocument/2006/relationships/hyperlink" Target="https://talan.bank.gov.ua/get-user-certificate/45CElZ2jmViYPkqRGhrb" TargetMode="External"/><Relationship Id="rId4982" Type="http://schemas.openxmlformats.org/officeDocument/2006/relationships/hyperlink" Target="https://talan.bank.gov.ua/get-user-certificate/ki8Tn7iy8SjT2IGgIf9D" TargetMode="External"/><Relationship Id="rId298" Type="http://schemas.openxmlformats.org/officeDocument/2006/relationships/hyperlink" Target="https://talan.bank.gov.ua/get-user-certificate/45CEluExKtrFT9VVrM5D" TargetMode="External"/><Relationship Id="rId3584" Type="http://schemas.openxmlformats.org/officeDocument/2006/relationships/hyperlink" Target="https://talan.bank.gov.ua/get-user-certificate/45CElI2faH5oe68MGBkT" TargetMode="External"/><Relationship Id="rId3791" Type="http://schemas.openxmlformats.org/officeDocument/2006/relationships/hyperlink" Target="https://talan.bank.gov.ua/get-user-certificate/45CElSedqhiq9SkJ4dJT" TargetMode="External"/><Relationship Id="rId4428" Type="http://schemas.openxmlformats.org/officeDocument/2006/relationships/hyperlink" Target="https://talan.bank.gov.ua/get-user-certificate/45CElbokLbHOChu37ivO" TargetMode="External"/><Relationship Id="rId4635" Type="http://schemas.openxmlformats.org/officeDocument/2006/relationships/hyperlink" Target="https://talan.bank.gov.ua/get-user-certificate/45CElD5yOEOJEiG2fEmq" TargetMode="External"/><Relationship Id="rId4842" Type="http://schemas.openxmlformats.org/officeDocument/2006/relationships/hyperlink" Target="https://talan.bank.gov.ua/get-user-certificate/45CElX8vufA_YeYZeGHB" TargetMode="External"/><Relationship Id="rId158" Type="http://schemas.openxmlformats.org/officeDocument/2006/relationships/hyperlink" Target="https://talan.bank.gov.ua/get-user-certificate/45CElXAx9uamXHp4DpCY" TargetMode="External"/><Relationship Id="rId2186" Type="http://schemas.openxmlformats.org/officeDocument/2006/relationships/hyperlink" Target="https://talan.bank.gov.ua/get-user-certificate/45CEljm6VWAv487Vn0yS" TargetMode="External"/><Relationship Id="rId2393" Type="http://schemas.openxmlformats.org/officeDocument/2006/relationships/hyperlink" Target="https://talan.bank.gov.ua/get-user-certificate/45CEla11QqolGkkDup22" TargetMode="External"/><Relationship Id="rId3237" Type="http://schemas.openxmlformats.org/officeDocument/2006/relationships/hyperlink" Target="https://talan.bank.gov.ua/get-user-certificate/45CElcMKX5RUCXl9l3Jg" TargetMode="External"/><Relationship Id="rId3444" Type="http://schemas.openxmlformats.org/officeDocument/2006/relationships/hyperlink" Target="https://talan.bank.gov.ua/get-user-certificate/45CElDtzfmfsZRQ4Rmmh" TargetMode="External"/><Relationship Id="rId3651" Type="http://schemas.openxmlformats.org/officeDocument/2006/relationships/hyperlink" Target="https://talan.bank.gov.ua/get-user-certificate/45CEl4NHFYxhwF-ndhTn" TargetMode="External"/><Relationship Id="rId4702" Type="http://schemas.openxmlformats.org/officeDocument/2006/relationships/hyperlink" Target="https://talan.bank.gov.ua/get-user-certificate/45CEl-QKyLqvbjYKFn3r" TargetMode="External"/><Relationship Id="rId365" Type="http://schemas.openxmlformats.org/officeDocument/2006/relationships/hyperlink" Target="https://talan.bank.gov.ua/get-user-certificate/45CElMhZkxidDocLeDPE" TargetMode="External"/><Relationship Id="rId572" Type="http://schemas.openxmlformats.org/officeDocument/2006/relationships/hyperlink" Target="https://talan.bank.gov.ua/get-user-certificate/45CEl4XbrXG_bCtV3Loz" TargetMode="External"/><Relationship Id="rId2046" Type="http://schemas.openxmlformats.org/officeDocument/2006/relationships/hyperlink" Target="https://talan.bank.gov.ua/get-user-certificate/45CElRoWRUztws85BRb5" TargetMode="External"/><Relationship Id="rId2253" Type="http://schemas.openxmlformats.org/officeDocument/2006/relationships/hyperlink" Target="https://talan.bank.gov.ua/get-user-certificate/45CElnI1kJ1XAUxIKvLD" TargetMode="External"/><Relationship Id="rId2460" Type="http://schemas.openxmlformats.org/officeDocument/2006/relationships/hyperlink" Target="https://talan.bank.gov.ua/get-user-certificate/45CEljbPc2ZRQqV1mSpU" TargetMode="External"/><Relationship Id="rId3304" Type="http://schemas.openxmlformats.org/officeDocument/2006/relationships/hyperlink" Target="https://talan.bank.gov.ua/get-user-certificate/45CEleWP6jn3-iLC0jX_" TargetMode="External"/><Relationship Id="rId3511" Type="http://schemas.openxmlformats.org/officeDocument/2006/relationships/hyperlink" Target="https://talan.bank.gov.ua/get-user-certificate/45CElxqIuXtm2T-erdEy" TargetMode="External"/><Relationship Id="rId225" Type="http://schemas.openxmlformats.org/officeDocument/2006/relationships/hyperlink" Target="https://talan.bank.gov.ua/get-user-certificate/45CElVh9EWvDyov-yMTc" TargetMode="External"/><Relationship Id="rId432" Type="http://schemas.openxmlformats.org/officeDocument/2006/relationships/hyperlink" Target="https://talan.bank.gov.ua/get-user-certificate/45CEl644cwn-OjDHljbx" TargetMode="External"/><Relationship Id="rId1062" Type="http://schemas.openxmlformats.org/officeDocument/2006/relationships/hyperlink" Target="https://talan.bank.gov.ua/get-user-certificate/45CEliJPaESuIJIjEYVy" TargetMode="External"/><Relationship Id="rId2113" Type="http://schemas.openxmlformats.org/officeDocument/2006/relationships/hyperlink" Target="https://talan.bank.gov.ua/get-user-certificate/45CEltLU1fOCfXR0yB5K" TargetMode="External"/><Relationship Id="rId2320" Type="http://schemas.openxmlformats.org/officeDocument/2006/relationships/hyperlink" Target="https://talan.bank.gov.ua/get-user-certificate/45CElqoqyTRm31eB5BMb" TargetMode="External"/><Relationship Id="rId4078" Type="http://schemas.openxmlformats.org/officeDocument/2006/relationships/hyperlink" Target="https://talan.bank.gov.ua/get-user-certificate/45CElA4FMNcVuLom0JlD" TargetMode="External"/><Relationship Id="rId4285" Type="http://schemas.openxmlformats.org/officeDocument/2006/relationships/hyperlink" Target="https://talan.bank.gov.ua/get-user-certificate/45CEl5XMNWJujakbCKZ1" TargetMode="External"/><Relationship Id="rId4492" Type="http://schemas.openxmlformats.org/officeDocument/2006/relationships/hyperlink" Target="https://talan.bank.gov.ua/get-user-certificate/45CElaI1Vbdwe0ZzBHBa" TargetMode="External"/><Relationship Id="rId1879" Type="http://schemas.openxmlformats.org/officeDocument/2006/relationships/hyperlink" Target="https://talan.bank.gov.ua/get-user-certificate/45CElcsAEGhU6ju1xmQ5" TargetMode="External"/><Relationship Id="rId3094" Type="http://schemas.openxmlformats.org/officeDocument/2006/relationships/hyperlink" Target="https://talan.bank.gov.ua/get-user-certificate/45CEldRUiB7KuUKP_zvA" TargetMode="External"/><Relationship Id="rId4145" Type="http://schemas.openxmlformats.org/officeDocument/2006/relationships/hyperlink" Target="https://talan.bank.gov.ua/get-user-certificate/45CElLPTL8Ax-5RcQs2e" TargetMode="External"/><Relationship Id="rId1739" Type="http://schemas.openxmlformats.org/officeDocument/2006/relationships/hyperlink" Target="https://talan.bank.gov.ua/get-user-certificate/45CElPof7V6HSN7nO-uR" TargetMode="External"/><Relationship Id="rId1946" Type="http://schemas.openxmlformats.org/officeDocument/2006/relationships/hyperlink" Target="https://talan.bank.gov.ua/get-user-certificate/45CElvoSHJcQqJm4zl2U" TargetMode="External"/><Relationship Id="rId4005" Type="http://schemas.openxmlformats.org/officeDocument/2006/relationships/hyperlink" Target="https://talan.bank.gov.ua/get-user-certificate/45CEl6_VEoK7oAAzSLlF" TargetMode="External"/><Relationship Id="rId4352" Type="http://schemas.openxmlformats.org/officeDocument/2006/relationships/hyperlink" Target="https://talan.bank.gov.ua/get-user-certificate/45CElrfX7ZJejlDkR2K1" TargetMode="External"/><Relationship Id="rId1806" Type="http://schemas.openxmlformats.org/officeDocument/2006/relationships/hyperlink" Target="https://talan.bank.gov.ua/get-user-certificate/45CElaiBzkAgx71Ob2TB" TargetMode="External"/><Relationship Id="rId3161" Type="http://schemas.openxmlformats.org/officeDocument/2006/relationships/hyperlink" Target="https://talan.bank.gov.ua/get-user-certificate/45CElV2IrdDq8J74vKrB" TargetMode="External"/><Relationship Id="rId4212" Type="http://schemas.openxmlformats.org/officeDocument/2006/relationships/hyperlink" Target="https://talan.bank.gov.ua/get-user-certificate/45CEltPPAsfu8gfDrnEG" TargetMode="External"/><Relationship Id="rId3021" Type="http://schemas.openxmlformats.org/officeDocument/2006/relationships/hyperlink" Target="https://talan.bank.gov.ua/get-user-certificate/45CEl9966i2RaTUSBDhA" TargetMode="External"/><Relationship Id="rId3978" Type="http://schemas.openxmlformats.org/officeDocument/2006/relationships/hyperlink" Target="https://talan.bank.gov.ua/get-user-certificate/45CElu5Em3Q0WvgnbbeC" TargetMode="External"/><Relationship Id="rId899" Type="http://schemas.openxmlformats.org/officeDocument/2006/relationships/hyperlink" Target="https://talan.bank.gov.ua/get-user-certificate/45CElAmIQNA9Q3ybeayl" TargetMode="External"/><Relationship Id="rId2787" Type="http://schemas.openxmlformats.org/officeDocument/2006/relationships/hyperlink" Target="https://talan.bank.gov.ua/get-user-certificate/45CElVgXCeLPB920yXmo" TargetMode="External"/><Relationship Id="rId3838" Type="http://schemas.openxmlformats.org/officeDocument/2006/relationships/hyperlink" Target="https://talan.bank.gov.ua/get-user-certificate/45CElIQ9lB2cJdpgYsnJ" TargetMode="External"/><Relationship Id="rId759" Type="http://schemas.openxmlformats.org/officeDocument/2006/relationships/hyperlink" Target="https://talan.bank.gov.ua/get-user-certificate/45CElZ_mutkjRwHPpzU8" TargetMode="External"/><Relationship Id="rId966" Type="http://schemas.openxmlformats.org/officeDocument/2006/relationships/hyperlink" Target="https://talan.bank.gov.ua/get-user-certificate/45CElFNGh7CB47uLfA75" TargetMode="External"/><Relationship Id="rId1389" Type="http://schemas.openxmlformats.org/officeDocument/2006/relationships/hyperlink" Target="https://talan.bank.gov.ua/get-user-certificate/45CElVUPziHAum9kjb5O" TargetMode="External"/><Relationship Id="rId1596" Type="http://schemas.openxmlformats.org/officeDocument/2006/relationships/hyperlink" Target="https://talan.bank.gov.ua/get-user-certificate/45CElT_2PYe5ksKphI32" TargetMode="External"/><Relationship Id="rId2647" Type="http://schemas.openxmlformats.org/officeDocument/2006/relationships/hyperlink" Target="https://talan.bank.gov.ua/get-user-certificate/45CElppfalHHUeR-sfjq" TargetMode="External"/><Relationship Id="rId2994" Type="http://schemas.openxmlformats.org/officeDocument/2006/relationships/hyperlink" Target="https://talan.bank.gov.ua/get-user-certificate/45CElyKL9GOeDdlklaKO" TargetMode="External"/><Relationship Id="rId619" Type="http://schemas.openxmlformats.org/officeDocument/2006/relationships/hyperlink" Target="https://talan.bank.gov.ua/get-user-certificate/45CEleXevWosbuXLTpeg" TargetMode="External"/><Relationship Id="rId1249" Type="http://schemas.openxmlformats.org/officeDocument/2006/relationships/hyperlink" Target="https://talan.bank.gov.ua/get-user-certificate/45CEl_64DJNYssWyicun" TargetMode="External"/><Relationship Id="rId2854" Type="http://schemas.openxmlformats.org/officeDocument/2006/relationships/hyperlink" Target="https://talan.bank.gov.ua/get-user-certificate/45CElr3VlpOFd3FlgLxM" TargetMode="External"/><Relationship Id="rId3905" Type="http://schemas.openxmlformats.org/officeDocument/2006/relationships/hyperlink" Target="https://talan.bank.gov.ua/get-user-certificate/45CElou-CCw_yXDZJ3yX" TargetMode="External"/><Relationship Id="rId95" Type="http://schemas.openxmlformats.org/officeDocument/2006/relationships/hyperlink" Target="https://talan.bank.gov.ua/get-user-certificate/45CEl5jhVjqHHL2Tn5QE" TargetMode="External"/><Relationship Id="rId826" Type="http://schemas.openxmlformats.org/officeDocument/2006/relationships/hyperlink" Target="https://talan.bank.gov.ua/get-user-certificate/45CElBgIiHB6URWKsolH" TargetMode="External"/><Relationship Id="rId1109" Type="http://schemas.openxmlformats.org/officeDocument/2006/relationships/hyperlink" Target="https://talan.bank.gov.ua/get-user-certificate/45CEl0X7BhfpBnvYjFxf" TargetMode="External"/><Relationship Id="rId1456" Type="http://schemas.openxmlformats.org/officeDocument/2006/relationships/hyperlink" Target="https://talan.bank.gov.ua/get-user-certificate/45CEljilHjST1ZYT_YQ6" TargetMode="External"/><Relationship Id="rId1663" Type="http://schemas.openxmlformats.org/officeDocument/2006/relationships/hyperlink" Target="https://talan.bank.gov.ua/get-user-certificate/45CElVEZqYeYRwcmdxjo" TargetMode="External"/><Relationship Id="rId1870" Type="http://schemas.openxmlformats.org/officeDocument/2006/relationships/hyperlink" Target="https://talan.bank.gov.ua/get-user-certificate/45CElfWr9qn2JR-mDsOY" TargetMode="External"/><Relationship Id="rId2507" Type="http://schemas.openxmlformats.org/officeDocument/2006/relationships/hyperlink" Target="https://talan.bank.gov.ua/get-user-certificate/45CElhsBsFrWAeywbJz_" TargetMode="External"/><Relationship Id="rId2714" Type="http://schemas.openxmlformats.org/officeDocument/2006/relationships/hyperlink" Target="https://talan.bank.gov.ua/get-user-certificate/45CElIJN_W6uqiIDnGRS" TargetMode="External"/><Relationship Id="rId2921" Type="http://schemas.openxmlformats.org/officeDocument/2006/relationships/hyperlink" Target="https://talan.bank.gov.ua/get-user-certificate/45CElSavgFd47-MEsM2f" TargetMode="External"/><Relationship Id="rId1316" Type="http://schemas.openxmlformats.org/officeDocument/2006/relationships/hyperlink" Target="https://talan.bank.gov.ua/get-user-certificate/45CEls6wY-BSblMvXpIy" TargetMode="External"/><Relationship Id="rId1523" Type="http://schemas.openxmlformats.org/officeDocument/2006/relationships/hyperlink" Target="https://talan.bank.gov.ua/get-user-certificate/45CElU4xpf8-m3iTQU27" TargetMode="External"/><Relationship Id="rId1730" Type="http://schemas.openxmlformats.org/officeDocument/2006/relationships/hyperlink" Target="https://talan.bank.gov.ua/get-user-certificate/45CElQO93xNxaUX2aKYT" TargetMode="External"/><Relationship Id="rId4679" Type="http://schemas.openxmlformats.org/officeDocument/2006/relationships/hyperlink" Target="https://talan.bank.gov.ua/get-user-certificate/45CElBNbNpP4XDPntW4_" TargetMode="External"/><Relationship Id="rId4886" Type="http://schemas.openxmlformats.org/officeDocument/2006/relationships/hyperlink" Target="https://talan.bank.gov.ua/get-user-certificate/45CElysP-YN7bNRqgs0A" TargetMode="External"/><Relationship Id="rId22" Type="http://schemas.openxmlformats.org/officeDocument/2006/relationships/hyperlink" Target="https://talan.bank.gov.ua/get-user-certificate/45CElvbcvJz-9_9e7LzQ" TargetMode="External"/><Relationship Id="rId3488" Type="http://schemas.openxmlformats.org/officeDocument/2006/relationships/hyperlink" Target="https://talan.bank.gov.ua/get-user-certificate/45CEln0gY2LLSeSN00nQ" TargetMode="External"/><Relationship Id="rId3695" Type="http://schemas.openxmlformats.org/officeDocument/2006/relationships/hyperlink" Target="https://talan.bank.gov.ua/get-user-certificate/45CElfbcP8StHr94Iaqk" TargetMode="External"/><Relationship Id="rId4539" Type="http://schemas.openxmlformats.org/officeDocument/2006/relationships/hyperlink" Target="https://talan.bank.gov.ua/get-user-certificate/45CElAsuVjS6eaOsfR9-" TargetMode="External"/><Relationship Id="rId4746" Type="http://schemas.openxmlformats.org/officeDocument/2006/relationships/hyperlink" Target="https://talan.bank.gov.ua/get-user-certificate/45CElyK9JlP7h7ReKRW_" TargetMode="External"/><Relationship Id="rId4953" Type="http://schemas.openxmlformats.org/officeDocument/2006/relationships/hyperlink" Target="https://talan.bank.gov.ua/get-user-certificate/45CEl2wKUvWFEgEuqTVK" TargetMode="External"/><Relationship Id="rId2297" Type="http://schemas.openxmlformats.org/officeDocument/2006/relationships/hyperlink" Target="https://talan.bank.gov.ua/get-user-certificate/45CElnY2tV-OXY4pmI1c" TargetMode="External"/><Relationship Id="rId3348" Type="http://schemas.openxmlformats.org/officeDocument/2006/relationships/hyperlink" Target="https://talan.bank.gov.ua/get-user-certificate/45CElIJdbw7djZdlUGLD" TargetMode="External"/><Relationship Id="rId3555" Type="http://schemas.openxmlformats.org/officeDocument/2006/relationships/hyperlink" Target="https://talan.bank.gov.ua/get-user-certificate/45CElUeamwtkcPMrs8qO" TargetMode="External"/><Relationship Id="rId3762" Type="http://schemas.openxmlformats.org/officeDocument/2006/relationships/hyperlink" Target="https://talan.bank.gov.ua/get-user-certificate/45CElE7kMsa-VB4dHIh6" TargetMode="External"/><Relationship Id="rId4606" Type="http://schemas.openxmlformats.org/officeDocument/2006/relationships/hyperlink" Target="https://talan.bank.gov.ua/get-user-certificate/45CEl7CHEW5CJ622Exn6" TargetMode="External"/><Relationship Id="rId4813" Type="http://schemas.openxmlformats.org/officeDocument/2006/relationships/hyperlink" Target="https://talan.bank.gov.ua/get-user-certificate/45CEl3a8r-Tja13pTkHs" TargetMode="External"/><Relationship Id="rId269" Type="http://schemas.openxmlformats.org/officeDocument/2006/relationships/hyperlink" Target="https://talan.bank.gov.ua/get-user-certificate/45CElNIziF7rh4TkHW_o" TargetMode="External"/><Relationship Id="rId476" Type="http://schemas.openxmlformats.org/officeDocument/2006/relationships/hyperlink" Target="https://talan.bank.gov.ua/get-user-certificate/45CElOWMYcZGSv66eAuJ" TargetMode="External"/><Relationship Id="rId683" Type="http://schemas.openxmlformats.org/officeDocument/2006/relationships/hyperlink" Target="https://talan.bank.gov.ua/get-user-certificate/45CElzTAVC3wxng-GjRM" TargetMode="External"/><Relationship Id="rId890" Type="http://schemas.openxmlformats.org/officeDocument/2006/relationships/hyperlink" Target="https://talan.bank.gov.ua/get-user-certificate/45CElD9-nczDof5r7IvJ" TargetMode="External"/><Relationship Id="rId2157" Type="http://schemas.openxmlformats.org/officeDocument/2006/relationships/hyperlink" Target="https://talan.bank.gov.ua/get-user-certificate/45CElh91MQrJNHulNcBw" TargetMode="External"/><Relationship Id="rId2364" Type="http://schemas.openxmlformats.org/officeDocument/2006/relationships/hyperlink" Target="https://talan.bank.gov.ua/get-user-certificate/45CEl809wDnLMzAL_XqA" TargetMode="External"/><Relationship Id="rId2571" Type="http://schemas.openxmlformats.org/officeDocument/2006/relationships/hyperlink" Target="https://talan.bank.gov.ua/get-user-certificate/45CElQNWsjga0FI8xZQ5" TargetMode="External"/><Relationship Id="rId3208" Type="http://schemas.openxmlformats.org/officeDocument/2006/relationships/hyperlink" Target="https://talan.bank.gov.ua/get-user-certificate/45CElOsLY0j3MfIH7uB5" TargetMode="External"/><Relationship Id="rId3415" Type="http://schemas.openxmlformats.org/officeDocument/2006/relationships/hyperlink" Target="https://talan.bank.gov.ua/get-user-certificate/45CElW1zS9Z2NnL6xV2S" TargetMode="External"/><Relationship Id="rId129" Type="http://schemas.openxmlformats.org/officeDocument/2006/relationships/hyperlink" Target="https://talan.bank.gov.ua/get-user-certificate/45CEl7Gt8ODB9vL0FicX" TargetMode="External"/><Relationship Id="rId336" Type="http://schemas.openxmlformats.org/officeDocument/2006/relationships/hyperlink" Target="https://talan.bank.gov.ua/get-user-certificate/45CElCBMpm122jkAcMYi" TargetMode="External"/><Relationship Id="rId543" Type="http://schemas.openxmlformats.org/officeDocument/2006/relationships/hyperlink" Target="https://talan.bank.gov.ua/get-user-certificate/45CEl5GMc638DjcN7Cxb" TargetMode="External"/><Relationship Id="rId1173" Type="http://schemas.openxmlformats.org/officeDocument/2006/relationships/hyperlink" Target="https://talan.bank.gov.ua/get-user-certificate/45CElmxTh6IG7DpYeb5F" TargetMode="External"/><Relationship Id="rId1380" Type="http://schemas.openxmlformats.org/officeDocument/2006/relationships/hyperlink" Target="https://talan.bank.gov.ua/get-user-certificate/45CEl0DPLpLx4WeeXSzx" TargetMode="External"/><Relationship Id="rId2017" Type="http://schemas.openxmlformats.org/officeDocument/2006/relationships/hyperlink" Target="https://talan.bank.gov.ua/get-user-certificate/45CEljDlNemt6XKs9-uC" TargetMode="External"/><Relationship Id="rId2224" Type="http://schemas.openxmlformats.org/officeDocument/2006/relationships/hyperlink" Target="https://talan.bank.gov.ua/get-user-certificate/45CElIiQp06isn8k3ZfL" TargetMode="External"/><Relationship Id="rId3622" Type="http://schemas.openxmlformats.org/officeDocument/2006/relationships/hyperlink" Target="https://talan.bank.gov.ua/get-user-certificate/45CElgSwPs7KsCLfOD9i" TargetMode="External"/><Relationship Id="rId403" Type="http://schemas.openxmlformats.org/officeDocument/2006/relationships/hyperlink" Target="https://talan.bank.gov.ua/get-user-certificate/45CElLzfDwx5g7ieKdG2" TargetMode="External"/><Relationship Id="rId750" Type="http://schemas.openxmlformats.org/officeDocument/2006/relationships/hyperlink" Target="https://talan.bank.gov.ua/get-user-certificate/45CElYWi5HNOojTxd4wF" TargetMode="External"/><Relationship Id="rId1033" Type="http://schemas.openxmlformats.org/officeDocument/2006/relationships/hyperlink" Target="https://talan.bank.gov.ua/get-user-certificate/45CEliIz0LPW8dayijti" TargetMode="External"/><Relationship Id="rId2431" Type="http://schemas.openxmlformats.org/officeDocument/2006/relationships/hyperlink" Target="https://talan.bank.gov.ua/get-user-certificate/45CEleS7tGp26CUpiycR" TargetMode="External"/><Relationship Id="rId4189" Type="http://schemas.openxmlformats.org/officeDocument/2006/relationships/hyperlink" Target="https://talan.bank.gov.ua/get-user-certificate/45CElNcZPel_zvVMpUN2" TargetMode="External"/><Relationship Id="rId610" Type="http://schemas.openxmlformats.org/officeDocument/2006/relationships/hyperlink" Target="https://talan.bank.gov.ua/get-user-certificate/45CEl-oqNHNyzKJ92LQx" TargetMode="External"/><Relationship Id="rId1240" Type="http://schemas.openxmlformats.org/officeDocument/2006/relationships/hyperlink" Target="https://talan.bank.gov.ua/get-user-certificate/45CElm8HPgRXZEvnuUCy" TargetMode="External"/><Relationship Id="rId4049" Type="http://schemas.openxmlformats.org/officeDocument/2006/relationships/hyperlink" Target="https://talan.bank.gov.ua/get-user-certificate/45CEl-hh77ZCS1rhp61Q" TargetMode="External"/><Relationship Id="rId4396" Type="http://schemas.openxmlformats.org/officeDocument/2006/relationships/hyperlink" Target="https://talan.bank.gov.ua/get-user-certificate/45CEltCI_evMgzxxYEMl" TargetMode="External"/><Relationship Id="rId1100" Type="http://schemas.openxmlformats.org/officeDocument/2006/relationships/hyperlink" Target="https://talan.bank.gov.ua/get-user-certificate/45CElZ3Y3JrTOUB8rv1L" TargetMode="External"/><Relationship Id="rId4256" Type="http://schemas.openxmlformats.org/officeDocument/2006/relationships/hyperlink" Target="https://talan.bank.gov.ua/get-user-certificate/45CElV4QSSGRD7hgtWgl" TargetMode="External"/><Relationship Id="rId4463" Type="http://schemas.openxmlformats.org/officeDocument/2006/relationships/hyperlink" Target="https://talan.bank.gov.ua/get-user-certificate/45CEl-LmayRzMUlOs6_X" TargetMode="External"/><Relationship Id="rId4670" Type="http://schemas.openxmlformats.org/officeDocument/2006/relationships/hyperlink" Target="https://talan.bank.gov.ua/get-user-certificate/45CElkwhmwcM1jHs-UKk" TargetMode="External"/><Relationship Id="rId1917" Type="http://schemas.openxmlformats.org/officeDocument/2006/relationships/hyperlink" Target="https://talan.bank.gov.ua/get-user-certificate/45CEl4oCSVffi0NkfmPT" TargetMode="External"/><Relationship Id="rId3065" Type="http://schemas.openxmlformats.org/officeDocument/2006/relationships/hyperlink" Target="https://talan.bank.gov.ua/get-user-certificate/45CElY2eYSkf6laJjI6I" TargetMode="External"/><Relationship Id="rId3272" Type="http://schemas.openxmlformats.org/officeDocument/2006/relationships/hyperlink" Target="https://talan.bank.gov.ua/get-user-certificate/45CEllcSZN1NySTdTiq4" TargetMode="External"/><Relationship Id="rId4116" Type="http://schemas.openxmlformats.org/officeDocument/2006/relationships/hyperlink" Target="https://talan.bank.gov.ua/get-user-certificate/45CEl5Nivej5sW9PjfXC" TargetMode="External"/><Relationship Id="rId4323" Type="http://schemas.openxmlformats.org/officeDocument/2006/relationships/hyperlink" Target="https://talan.bank.gov.ua/get-user-certificate/45CElCgXU3VZFKL0iTUe" TargetMode="External"/><Relationship Id="rId4530" Type="http://schemas.openxmlformats.org/officeDocument/2006/relationships/hyperlink" Target="https://talan.bank.gov.ua/get-user-certificate/45CElPmTso-ocdmPaypy" TargetMode="External"/><Relationship Id="rId193" Type="http://schemas.openxmlformats.org/officeDocument/2006/relationships/hyperlink" Target="https://talan.bank.gov.ua/get-user-certificate/45CElxg33gQU1d2nzwzX" TargetMode="External"/><Relationship Id="rId2081" Type="http://schemas.openxmlformats.org/officeDocument/2006/relationships/hyperlink" Target="https://talan.bank.gov.ua/get-user-certificate/45CElqXPYjVfP_OKniao" TargetMode="External"/><Relationship Id="rId3132" Type="http://schemas.openxmlformats.org/officeDocument/2006/relationships/hyperlink" Target="https://talan.bank.gov.ua/get-user-certificate/45CEl4HcuWdfEww-El9y" TargetMode="External"/><Relationship Id="rId260" Type="http://schemas.openxmlformats.org/officeDocument/2006/relationships/hyperlink" Target="https://talan.bank.gov.ua/get-user-certificate/45CEllNuaGWNS6RbIpAP" TargetMode="External"/><Relationship Id="rId120" Type="http://schemas.openxmlformats.org/officeDocument/2006/relationships/hyperlink" Target="https://talan.bank.gov.ua/get-user-certificate/45CElGw0trSuzRgn3RbS" TargetMode="External"/><Relationship Id="rId2898" Type="http://schemas.openxmlformats.org/officeDocument/2006/relationships/hyperlink" Target="https://talan.bank.gov.ua/get-user-certificate/45CElIOjkNIvqvth7oxi" TargetMode="External"/><Relationship Id="rId3949" Type="http://schemas.openxmlformats.org/officeDocument/2006/relationships/hyperlink" Target="https://talan.bank.gov.ua/get-user-certificate/45CEl1f8tzvy28EXENiZ" TargetMode="External"/><Relationship Id="rId2758" Type="http://schemas.openxmlformats.org/officeDocument/2006/relationships/hyperlink" Target="https://talan.bank.gov.ua/get-user-certificate/45CElQ_nQEk8ZXIqxFRu" TargetMode="External"/><Relationship Id="rId2965" Type="http://schemas.openxmlformats.org/officeDocument/2006/relationships/hyperlink" Target="https://talan.bank.gov.ua/get-user-certificate/45CElaniSBCJkf-a32uq" TargetMode="External"/><Relationship Id="rId3809" Type="http://schemas.openxmlformats.org/officeDocument/2006/relationships/hyperlink" Target="https://talan.bank.gov.ua/get-user-certificate/45CElhfSjNnQ_1w7y1jP" TargetMode="External"/><Relationship Id="rId5024" Type="http://schemas.openxmlformats.org/officeDocument/2006/relationships/hyperlink" Target="https://talan.bank.gov.ua/get-user-certificate/ki8TnVod-9YN6P6nxzGL" TargetMode="External"/><Relationship Id="rId937" Type="http://schemas.openxmlformats.org/officeDocument/2006/relationships/hyperlink" Target="https://talan.bank.gov.ua/get-user-certificate/45CEl532wqqnYrmFkUH1" TargetMode="External"/><Relationship Id="rId1567" Type="http://schemas.openxmlformats.org/officeDocument/2006/relationships/hyperlink" Target="https://talan.bank.gov.ua/get-user-certificate/45CElGUWQurpLXCZvY6d" TargetMode="External"/><Relationship Id="rId1774" Type="http://schemas.openxmlformats.org/officeDocument/2006/relationships/hyperlink" Target="https://talan.bank.gov.ua/get-user-certificate/45CEl9puKl15zmYDG1D8" TargetMode="External"/><Relationship Id="rId1981" Type="http://schemas.openxmlformats.org/officeDocument/2006/relationships/hyperlink" Target="https://talan.bank.gov.ua/get-user-certificate/45CElwEp08sZMiijz53U" TargetMode="External"/><Relationship Id="rId2618" Type="http://schemas.openxmlformats.org/officeDocument/2006/relationships/hyperlink" Target="https://talan.bank.gov.ua/get-user-certificate/45CEl2HlmULspvOitw8W" TargetMode="External"/><Relationship Id="rId2825" Type="http://schemas.openxmlformats.org/officeDocument/2006/relationships/hyperlink" Target="https://talan.bank.gov.ua/get-user-certificate/45CElfUO0DPW0iD2GfJJ" TargetMode="External"/><Relationship Id="rId4180" Type="http://schemas.openxmlformats.org/officeDocument/2006/relationships/hyperlink" Target="https://talan.bank.gov.ua/get-user-certificate/45CElYUlNIRngUHderbT" TargetMode="External"/><Relationship Id="rId66" Type="http://schemas.openxmlformats.org/officeDocument/2006/relationships/hyperlink" Target="https://talan.bank.gov.ua/get-user-certificate/45CElbYLDBasL5Smxt43" TargetMode="External"/><Relationship Id="rId1427" Type="http://schemas.openxmlformats.org/officeDocument/2006/relationships/hyperlink" Target="https://talan.bank.gov.ua/get-user-certificate/45CElyHbRROuCsFJCzet" TargetMode="External"/><Relationship Id="rId1634" Type="http://schemas.openxmlformats.org/officeDocument/2006/relationships/hyperlink" Target="https://talan.bank.gov.ua/get-user-certificate/45CElpTUycrSr3OfXtCP" TargetMode="External"/><Relationship Id="rId1841" Type="http://schemas.openxmlformats.org/officeDocument/2006/relationships/hyperlink" Target="https://talan.bank.gov.ua/get-user-certificate/45CElQp_YLWexFAn6ZbW" TargetMode="External"/><Relationship Id="rId4040" Type="http://schemas.openxmlformats.org/officeDocument/2006/relationships/hyperlink" Target="https://talan.bank.gov.ua/get-user-certificate/45CElM73qdq3IwQGyDwW" TargetMode="External"/><Relationship Id="rId4997" Type="http://schemas.openxmlformats.org/officeDocument/2006/relationships/hyperlink" Target="https://talan.bank.gov.ua/get-user-certificate/ki8TndbRxTXhB52UpRXG" TargetMode="External"/><Relationship Id="rId3599" Type="http://schemas.openxmlformats.org/officeDocument/2006/relationships/hyperlink" Target="https://talan.bank.gov.ua/get-user-certificate/45CElw9XM17gSl7LECX6" TargetMode="External"/><Relationship Id="rId4857" Type="http://schemas.openxmlformats.org/officeDocument/2006/relationships/hyperlink" Target="https://talan.bank.gov.ua/get-user-certificate/45CElUEmXUg2ylnt1bpo" TargetMode="External"/><Relationship Id="rId1701" Type="http://schemas.openxmlformats.org/officeDocument/2006/relationships/hyperlink" Target="https://talan.bank.gov.ua/get-user-certificate/45CEl4NxXgKv85J8OBTf" TargetMode="External"/><Relationship Id="rId3459" Type="http://schemas.openxmlformats.org/officeDocument/2006/relationships/hyperlink" Target="https://talan.bank.gov.ua/get-user-certificate/45CEl1GWWh7KEF8jRQR6" TargetMode="External"/><Relationship Id="rId3666" Type="http://schemas.openxmlformats.org/officeDocument/2006/relationships/hyperlink" Target="https://talan.bank.gov.ua/get-user-certificate/45CElVlv9wChlKkk_a_1" TargetMode="External"/><Relationship Id="rId587" Type="http://schemas.openxmlformats.org/officeDocument/2006/relationships/hyperlink" Target="https://talan.bank.gov.ua/get-user-certificate/45CEli5amz9aP4Nj3yKw" TargetMode="External"/><Relationship Id="rId2268" Type="http://schemas.openxmlformats.org/officeDocument/2006/relationships/hyperlink" Target="https://talan.bank.gov.ua/get-user-certificate/45CElTe2uHbQQ5yTjr7O" TargetMode="External"/><Relationship Id="rId3319" Type="http://schemas.openxmlformats.org/officeDocument/2006/relationships/hyperlink" Target="https://talan.bank.gov.ua/get-user-certificate/45CElkVdcqo_IXVRdkuH" TargetMode="External"/><Relationship Id="rId3873" Type="http://schemas.openxmlformats.org/officeDocument/2006/relationships/hyperlink" Target="https://talan.bank.gov.ua/get-user-certificate/45CElpdJMggp0Qz4A8pe" TargetMode="External"/><Relationship Id="rId4717" Type="http://schemas.openxmlformats.org/officeDocument/2006/relationships/hyperlink" Target="https://talan.bank.gov.ua/get-user-certificate/45CElMBT7KLu0SGaiAKP" TargetMode="External"/><Relationship Id="rId4924" Type="http://schemas.openxmlformats.org/officeDocument/2006/relationships/hyperlink" Target="https://talan.bank.gov.ua/get-user-certificate/45CElccM1ON2cAhSWQyt" TargetMode="External"/><Relationship Id="rId447" Type="http://schemas.openxmlformats.org/officeDocument/2006/relationships/hyperlink" Target="https://talan.bank.gov.ua/get-user-certificate/45CElW8OOktzwjk6G2j3" TargetMode="External"/><Relationship Id="rId794" Type="http://schemas.openxmlformats.org/officeDocument/2006/relationships/hyperlink" Target="https://talan.bank.gov.ua/get-user-certificate/45CEl5_rtMw2KzbUCr53" TargetMode="External"/><Relationship Id="rId1077" Type="http://schemas.openxmlformats.org/officeDocument/2006/relationships/hyperlink" Target="https://talan.bank.gov.ua/get-user-certificate/45CElvhBqiBRhCeH_4Gu" TargetMode="External"/><Relationship Id="rId2128" Type="http://schemas.openxmlformats.org/officeDocument/2006/relationships/hyperlink" Target="https://talan.bank.gov.ua/get-user-certificate/45CElX20N7X_mDU33dP3" TargetMode="External"/><Relationship Id="rId2475" Type="http://schemas.openxmlformats.org/officeDocument/2006/relationships/hyperlink" Target="https://talan.bank.gov.ua/get-user-certificate/45CEll1KCxQjNei-o_r9" TargetMode="External"/><Relationship Id="rId2682" Type="http://schemas.openxmlformats.org/officeDocument/2006/relationships/hyperlink" Target="https://talan.bank.gov.ua/get-user-certificate/45CElaMwX4W4e6Ggqblr" TargetMode="External"/><Relationship Id="rId3526" Type="http://schemas.openxmlformats.org/officeDocument/2006/relationships/hyperlink" Target="https://talan.bank.gov.ua/get-user-certificate/45CElqZCu2AB7cbyT3Gs" TargetMode="External"/><Relationship Id="rId3733" Type="http://schemas.openxmlformats.org/officeDocument/2006/relationships/hyperlink" Target="https://talan.bank.gov.ua/get-user-certificate/45CElPMGZpXWKoLY78Z_" TargetMode="External"/><Relationship Id="rId3940" Type="http://schemas.openxmlformats.org/officeDocument/2006/relationships/hyperlink" Target="https://talan.bank.gov.ua/get-user-certificate/45CElB3Th_PxqmWn5kkf" TargetMode="External"/><Relationship Id="rId654" Type="http://schemas.openxmlformats.org/officeDocument/2006/relationships/hyperlink" Target="https://talan.bank.gov.ua/get-user-certificate/45CEl5OoLVxkRYiVsKbB" TargetMode="External"/><Relationship Id="rId861" Type="http://schemas.openxmlformats.org/officeDocument/2006/relationships/hyperlink" Target="https://talan.bank.gov.ua/get-user-certificate/45CElk_Jinz96cr2gGx_" TargetMode="External"/><Relationship Id="rId1284" Type="http://schemas.openxmlformats.org/officeDocument/2006/relationships/hyperlink" Target="https://talan.bank.gov.ua/get-user-certificate/45CElMoxmNK4qVnTCBf8" TargetMode="External"/><Relationship Id="rId1491" Type="http://schemas.openxmlformats.org/officeDocument/2006/relationships/hyperlink" Target="https://talan.bank.gov.ua/get-user-certificate/45CEl4ycYW4bFe-E9kvF" TargetMode="External"/><Relationship Id="rId2335" Type="http://schemas.openxmlformats.org/officeDocument/2006/relationships/hyperlink" Target="https://talan.bank.gov.ua/get-user-certificate/45CElxs6n87znnygVUmz" TargetMode="External"/><Relationship Id="rId2542" Type="http://schemas.openxmlformats.org/officeDocument/2006/relationships/hyperlink" Target="https://talan.bank.gov.ua/get-user-certificate/45CElxTdrPjrAbkRgtYT" TargetMode="External"/><Relationship Id="rId3800" Type="http://schemas.openxmlformats.org/officeDocument/2006/relationships/hyperlink" Target="https://talan.bank.gov.ua/get-user-certificate/45CElpScVoHqeKBKeC2G" TargetMode="External"/><Relationship Id="rId307" Type="http://schemas.openxmlformats.org/officeDocument/2006/relationships/hyperlink" Target="https://talan.bank.gov.ua/get-user-certificate/45CElJb3sSIrNIrLDBUg" TargetMode="External"/><Relationship Id="rId514" Type="http://schemas.openxmlformats.org/officeDocument/2006/relationships/hyperlink" Target="https://talan.bank.gov.ua/get-user-certificate/45CEl16MZcsieTfQ4CXr" TargetMode="External"/><Relationship Id="rId721" Type="http://schemas.openxmlformats.org/officeDocument/2006/relationships/hyperlink" Target="https://talan.bank.gov.ua/get-user-certificate/45CEl0n4mRFU5QlbcMUU" TargetMode="External"/><Relationship Id="rId1144" Type="http://schemas.openxmlformats.org/officeDocument/2006/relationships/hyperlink" Target="https://talan.bank.gov.ua/get-user-certificate/45CElgLhIEumiQ8mcz6m" TargetMode="External"/><Relationship Id="rId1351" Type="http://schemas.openxmlformats.org/officeDocument/2006/relationships/hyperlink" Target="https://talan.bank.gov.ua/get-user-certificate/45CElI3oGZLy6Kpb0oBl" TargetMode="External"/><Relationship Id="rId2402" Type="http://schemas.openxmlformats.org/officeDocument/2006/relationships/hyperlink" Target="https://talan.bank.gov.ua/get-user-certificate/45CEl-FdvWb2mxrsULWt" TargetMode="External"/><Relationship Id="rId1004" Type="http://schemas.openxmlformats.org/officeDocument/2006/relationships/hyperlink" Target="https://talan.bank.gov.ua/get-user-certificate/45CElax88KlJPi6C93h1" TargetMode="External"/><Relationship Id="rId1211" Type="http://schemas.openxmlformats.org/officeDocument/2006/relationships/hyperlink" Target="https://talan.bank.gov.ua/get-user-certificate/45CElVPlK7wXATHUj2CF" TargetMode="External"/><Relationship Id="rId4367" Type="http://schemas.openxmlformats.org/officeDocument/2006/relationships/hyperlink" Target="https://talan.bank.gov.ua/get-user-certificate/45CElUhL6lpGuZikK3go" TargetMode="External"/><Relationship Id="rId4574" Type="http://schemas.openxmlformats.org/officeDocument/2006/relationships/hyperlink" Target="https://talan.bank.gov.ua/get-user-certificate/45CElVOMJz8BLWiLEyAJ" TargetMode="External"/><Relationship Id="rId4781" Type="http://schemas.openxmlformats.org/officeDocument/2006/relationships/hyperlink" Target="https://talan.bank.gov.ua/get-user-certificate/45CElpk1Pt19kjX6Z6lz" TargetMode="External"/><Relationship Id="rId3176" Type="http://schemas.openxmlformats.org/officeDocument/2006/relationships/hyperlink" Target="https://talan.bank.gov.ua/get-user-certificate/45CElzsClgJeQJ5NB0UV" TargetMode="External"/><Relationship Id="rId3383" Type="http://schemas.openxmlformats.org/officeDocument/2006/relationships/hyperlink" Target="https://talan.bank.gov.ua/get-user-certificate/45CElFYefjUgl51V_QP2" TargetMode="External"/><Relationship Id="rId3590" Type="http://schemas.openxmlformats.org/officeDocument/2006/relationships/hyperlink" Target="https://talan.bank.gov.ua/get-user-certificate/45CElH4-82yszZ3ouWf2" TargetMode="External"/><Relationship Id="rId4227" Type="http://schemas.openxmlformats.org/officeDocument/2006/relationships/hyperlink" Target="https://talan.bank.gov.ua/get-user-certificate/45CElLxgR6NP5qC7UL5q" TargetMode="External"/><Relationship Id="rId4434" Type="http://schemas.openxmlformats.org/officeDocument/2006/relationships/hyperlink" Target="https://talan.bank.gov.ua/get-user-certificate/45CElg1fwuFYOOrF-lXv" TargetMode="External"/><Relationship Id="rId2192" Type="http://schemas.openxmlformats.org/officeDocument/2006/relationships/hyperlink" Target="https://talan.bank.gov.ua/get-user-certificate/45CElcuQ-aHEGZNY1v5i" TargetMode="External"/><Relationship Id="rId3036" Type="http://schemas.openxmlformats.org/officeDocument/2006/relationships/hyperlink" Target="https://talan.bank.gov.ua/get-user-certificate/45CElCfpuCR3LHzui4Al" TargetMode="External"/><Relationship Id="rId3243" Type="http://schemas.openxmlformats.org/officeDocument/2006/relationships/hyperlink" Target="https://talan.bank.gov.ua/get-user-certificate/45CElt-kgqzi4UJBzAqt" TargetMode="External"/><Relationship Id="rId4641" Type="http://schemas.openxmlformats.org/officeDocument/2006/relationships/hyperlink" Target="https://talan.bank.gov.ua/get-user-certificate/45CElLNZeCuiRyX1FS19" TargetMode="External"/><Relationship Id="rId164" Type="http://schemas.openxmlformats.org/officeDocument/2006/relationships/hyperlink" Target="https://talan.bank.gov.ua/get-user-certificate/45CElGIIywP7VjtQOY0Y" TargetMode="External"/><Relationship Id="rId371" Type="http://schemas.openxmlformats.org/officeDocument/2006/relationships/hyperlink" Target="https://talan.bank.gov.ua/get-user-certificate/45CElmr3_3gKYnVljEz3" TargetMode="External"/><Relationship Id="rId2052" Type="http://schemas.openxmlformats.org/officeDocument/2006/relationships/hyperlink" Target="https://talan.bank.gov.ua/get-user-certificate/45CElCmB2b63IUTSZt70" TargetMode="External"/><Relationship Id="rId3450" Type="http://schemas.openxmlformats.org/officeDocument/2006/relationships/hyperlink" Target="https://talan.bank.gov.ua/get-user-certificate/45CElmLEF37RwHyAWePY" TargetMode="External"/><Relationship Id="rId4501" Type="http://schemas.openxmlformats.org/officeDocument/2006/relationships/hyperlink" Target="https://talan.bank.gov.ua/get-user-certificate/45CElpmUipR-m4AVdoJm" TargetMode="External"/><Relationship Id="rId3103" Type="http://schemas.openxmlformats.org/officeDocument/2006/relationships/hyperlink" Target="https://talan.bank.gov.ua/get-user-certificate/45CElWBshi3QU4oZMdFH" TargetMode="External"/><Relationship Id="rId3310" Type="http://schemas.openxmlformats.org/officeDocument/2006/relationships/hyperlink" Target="https://talan.bank.gov.ua/get-user-certificate/45CElexqIYvo79gEcwD-" TargetMode="External"/><Relationship Id="rId231" Type="http://schemas.openxmlformats.org/officeDocument/2006/relationships/hyperlink" Target="https://talan.bank.gov.ua/get-user-certificate/45CElD8zg2JnKCbwBCzn" TargetMode="External"/><Relationship Id="rId2869" Type="http://schemas.openxmlformats.org/officeDocument/2006/relationships/hyperlink" Target="https://talan.bank.gov.ua/get-user-certificate/45CEl5XrxWf1f3lsaQ-M" TargetMode="External"/><Relationship Id="rId1678" Type="http://schemas.openxmlformats.org/officeDocument/2006/relationships/hyperlink" Target="https://talan.bank.gov.ua/get-user-certificate/45CEl0RRwyGzfRjjR7tU" TargetMode="External"/><Relationship Id="rId1885" Type="http://schemas.openxmlformats.org/officeDocument/2006/relationships/hyperlink" Target="https://talan.bank.gov.ua/get-user-certificate/45CEl9EBnsYsqY8NOZBl" TargetMode="External"/><Relationship Id="rId2729" Type="http://schemas.openxmlformats.org/officeDocument/2006/relationships/hyperlink" Target="https://talan.bank.gov.ua/get-user-certificate/45CElpR04lXhVlCbAH8n" TargetMode="External"/><Relationship Id="rId2936" Type="http://schemas.openxmlformats.org/officeDocument/2006/relationships/hyperlink" Target="https://talan.bank.gov.ua/get-user-certificate/45CElDLpk1eUns5STXrd" TargetMode="External"/><Relationship Id="rId4084" Type="http://schemas.openxmlformats.org/officeDocument/2006/relationships/hyperlink" Target="https://talan.bank.gov.ua/get-user-certificate/45CEl-sLQuULvOxaZN2a" TargetMode="External"/><Relationship Id="rId4291" Type="http://schemas.openxmlformats.org/officeDocument/2006/relationships/hyperlink" Target="https://talan.bank.gov.ua/get-user-certificate/45CEllkHSEndCQbfRF5T" TargetMode="External"/><Relationship Id="rId908" Type="http://schemas.openxmlformats.org/officeDocument/2006/relationships/hyperlink" Target="https://talan.bank.gov.ua/get-user-certificate/45CEloGEDYV3AtvpapEV" TargetMode="External"/><Relationship Id="rId1538" Type="http://schemas.openxmlformats.org/officeDocument/2006/relationships/hyperlink" Target="https://talan.bank.gov.ua/get-user-certificate/45CElHAJQrM5NjaAD0BM" TargetMode="External"/><Relationship Id="rId4151" Type="http://schemas.openxmlformats.org/officeDocument/2006/relationships/hyperlink" Target="https://talan.bank.gov.ua/get-user-certificate/45CElhyy8m0fWLfJk9Go" TargetMode="External"/><Relationship Id="rId1745" Type="http://schemas.openxmlformats.org/officeDocument/2006/relationships/hyperlink" Target="https://talan.bank.gov.ua/get-user-certificate/45CElo-BKlwfTZgzg-Dd" TargetMode="External"/><Relationship Id="rId1952" Type="http://schemas.openxmlformats.org/officeDocument/2006/relationships/hyperlink" Target="https://talan.bank.gov.ua/get-user-certificate/45CEl3jhTrCbjxbEVIcS" TargetMode="External"/><Relationship Id="rId4011" Type="http://schemas.openxmlformats.org/officeDocument/2006/relationships/hyperlink" Target="https://talan.bank.gov.ua/get-user-certificate/45CEl6BU_UTZFGW9i-g9" TargetMode="External"/><Relationship Id="rId37" Type="http://schemas.openxmlformats.org/officeDocument/2006/relationships/hyperlink" Target="https://talan.bank.gov.ua/get-user-certificate/45CEl8rKiDaabJM8xbDH" TargetMode="External"/><Relationship Id="rId1605" Type="http://schemas.openxmlformats.org/officeDocument/2006/relationships/hyperlink" Target="https://talan.bank.gov.ua/get-user-certificate/45CElPu9RqObIRl-Co-W" TargetMode="External"/><Relationship Id="rId1812" Type="http://schemas.openxmlformats.org/officeDocument/2006/relationships/hyperlink" Target="https://talan.bank.gov.ua/get-user-certificate/45CElGr5L6DV7__9gv4i" TargetMode="External"/><Relationship Id="rId4968" Type="http://schemas.openxmlformats.org/officeDocument/2006/relationships/hyperlink" Target="https://talan.bank.gov.ua/get-user-certificate/45CEluzKoJD4_jv6M6bZ" TargetMode="External"/><Relationship Id="rId3777" Type="http://schemas.openxmlformats.org/officeDocument/2006/relationships/hyperlink" Target="https://talan.bank.gov.ua/get-user-certificate/45CEld98LhlM3OA2-dmT" TargetMode="External"/><Relationship Id="rId3984" Type="http://schemas.openxmlformats.org/officeDocument/2006/relationships/hyperlink" Target="https://talan.bank.gov.ua/get-user-certificate/45CElAna2eLKNWz_NBMU" TargetMode="External"/><Relationship Id="rId4828" Type="http://schemas.openxmlformats.org/officeDocument/2006/relationships/hyperlink" Target="https://talan.bank.gov.ua/get-user-certificate/45CElii8Vkiwv-on5kGl" TargetMode="External"/><Relationship Id="rId698" Type="http://schemas.openxmlformats.org/officeDocument/2006/relationships/hyperlink" Target="https://talan.bank.gov.ua/get-user-certificate/45CElLIN1er-oniMO6bd" TargetMode="External"/><Relationship Id="rId2379" Type="http://schemas.openxmlformats.org/officeDocument/2006/relationships/hyperlink" Target="https://talan.bank.gov.ua/get-user-certificate/45CEl_FRZKt0jpXV5COy" TargetMode="External"/><Relationship Id="rId2586" Type="http://schemas.openxmlformats.org/officeDocument/2006/relationships/hyperlink" Target="https://talan.bank.gov.ua/get-user-certificate/45CEllWnki6E8lNRZ8Yd" TargetMode="External"/><Relationship Id="rId2793" Type="http://schemas.openxmlformats.org/officeDocument/2006/relationships/hyperlink" Target="https://talan.bank.gov.ua/get-user-certificate/45CEliqnFHSRZKGzEnZn" TargetMode="External"/><Relationship Id="rId3637" Type="http://schemas.openxmlformats.org/officeDocument/2006/relationships/hyperlink" Target="https://talan.bank.gov.ua/get-user-certificate/45CEl1OhW2IF52yJFgou" TargetMode="External"/><Relationship Id="rId3844" Type="http://schemas.openxmlformats.org/officeDocument/2006/relationships/hyperlink" Target="https://talan.bank.gov.ua/get-user-certificate/45CElDIZUGqhSTF5T4bl" TargetMode="External"/><Relationship Id="rId558" Type="http://schemas.openxmlformats.org/officeDocument/2006/relationships/hyperlink" Target="https://talan.bank.gov.ua/get-user-certificate/45CEla5wrCMvNJl5w87R" TargetMode="External"/><Relationship Id="rId765" Type="http://schemas.openxmlformats.org/officeDocument/2006/relationships/hyperlink" Target="https://talan.bank.gov.ua/get-user-certificate/45CEljlY2P4iLXz2zoc1" TargetMode="External"/><Relationship Id="rId972" Type="http://schemas.openxmlformats.org/officeDocument/2006/relationships/hyperlink" Target="https://talan.bank.gov.ua/get-user-certificate/45CElCZwDiVjt0CsrqHK" TargetMode="External"/><Relationship Id="rId1188" Type="http://schemas.openxmlformats.org/officeDocument/2006/relationships/hyperlink" Target="https://talan.bank.gov.ua/get-user-certificate/45CElPrPIQSh_ldqX2tr" TargetMode="External"/><Relationship Id="rId1395" Type="http://schemas.openxmlformats.org/officeDocument/2006/relationships/hyperlink" Target="https://talan.bank.gov.ua/get-user-certificate/45CElm89_GG5aG3g-p3D" TargetMode="External"/><Relationship Id="rId2239" Type="http://schemas.openxmlformats.org/officeDocument/2006/relationships/hyperlink" Target="https://talan.bank.gov.ua/get-user-certificate/45CEljwVJqqScZMph8QK" TargetMode="External"/><Relationship Id="rId2446" Type="http://schemas.openxmlformats.org/officeDocument/2006/relationships/hyperlink" Target="https://talan.bank.gov.ua/get-user-certificate/45CElwapuaCrmY5UXuq2" TargetMode="External"/><Relationship Id="rId2653" Type="http://schemas.openxmlformats.org/officeDocument/2006/relationships/hyperlink" Target="https://talan.bank.gov.ua/get-user-certificate/45CElMayB3J-buIVxJkZ" TargetMode="External"/><Relationship Id="rId2860" Type="http://schemas.openxmlformats.org/officeDocument/2006/relationships/hyperlink" Target="https://talan.bank.gov.ua/get-user-certificate/45CElJk1hRN-JdeLn2DM" TargetMode="External"/><Relationship Id="rId3704" Type="http://schemas.openxmlformats.org/officeDocument/2006/relationships/hyperlink" Target="https://talan.bank.gov.ua/get-user-certificate/45CElGuvNEkyiKzNtaQv" TargetMode="External"/><Relationship Id="rId418" Type="http://schemas.openxmlformats.org/officeDocument/2006/relationships/hyperlink" Target="https://talan.bank.gov.ua/get-user-certificate/45CEltCHvN4hBRlo97fH" TargetMode="External"/><Relationship Id="rId625" Type="http://schemas.openxmlformats.org/officeDocument/2006/relationships/hyperlink" Target="https://talan.bank.gov.ua/get-user-certificate/45CElJtE3oKifFgyss36" TargetMode="External"/><Relationship Id="rId832" Type="http://schemas.openxmlformats.org/officeDocument/2006/relationships/hyperlink" Target="https://talan.bank.gov.ua/get-user-certificate/45CEl86eJaOLNRdLrIti" TargetMode="External"/><Relationship Id="rId1048" Type="http://schemas.openxmlformats.org/officeDocument/2006/relationships/hyperlink" Target="https://talan.bank.gov.ua/get-user-certificate/45CElxL5Hp8EQgrkwHoe" TargetMode="External"/><Relationship Id="rId1255" Type="http://schemas.openxmlformats.org/officeDocument/2006/relationships/hyperlink" Target="https://talan.bank.gov.ua/get-user-certificate/45CElg0EP-CiUzC--ZUk" TargetMode="External"/><Relationship Id="rId1462" Type="http://schemas.openxmlformats.org/officeDocument/2006/relationships/hyperlink" Target="https://talan.bank.gov.ua/get-user-certificate/45CElplZXuWon8U18sbT" TargetMode="External"/><Relationship Id="rId2306" Type="http://schemas.openxmlformats.org/officeDocument/2006/relationships/hyperlink" Target="https://talan.bank.gov.ua/get-user-certificate/45CElOTEuOTt6v889AzY" TargetMode="External"/><Relationship Id="rId2513" Type="http://schemas.openxmlformats.org/officeDocument/2006/relationships/hyperlink" Target="https://talan.bank.gov.ua/get-user-certificate/45CElUXmiC8P-Xm9fWW8" TargetMode="External"/><Relationship Id="rId3911" Type="http://schemas.openxmlformats.org/officeDocument/2006/relationships/hyperlink" Target="https://talan.bank.gov.ua/get-user-certificate/45CElcVGfiTkfvEMj3Z0" TargetMode="External"/><Relationship Id="rId1115" Type="http://schemas.openxmlformats.org/officeDocument/2006/relationships/hyperlink" Target="https://talan.bank.gov.ua/get-user-certificate/45CEl9FgZrr9_5Y_rjxs" TargetMode="External"/><Relationship Id="rId1322" Type="http://schemas.openxmlformats.org/officeDocument/2006/relationships/hyperlink" Target="https://talan.bank.gov.ua/get-user-certificate/45CElWa_QichH-o-bgXN" TargetMode="External"/><Relationship Id="rId2720" Type="http://schemas.openxmlformats.org/officeDocument/2006/relationships/hyperlink" Target="https://talan.bank.gov.ua/get-user-certificate/45CElJQSqaCAsNTAu2Yz" TargetMode="External"/><Relationship Id="rId4478" Type="http://schemas.openxmlformats.org/officeDocument/2006/relationships/hyperlink" Target="https://talan.bank.gov.ua/get-user-certificate/45CElKVmm1t3oCVCp-vi" TargetMode="External"/><Relationship Id="rId3287" Type="http://schemas.openxmlformats.org/officeDocument/2006/relationships/hyperlink" Target="https://talan.bank.gov.ua/get-user-certificate/45CElkaNNdGKi4z0KLIr" TargetMode="External"/><Relationship Id="rId4338" Type="http://schemas.openxmlformats.org/officeDocument/2006/relationships/hyperlink" Target="https://talan.bank.gov.ua/get-user-certificate/45CElOxhL3tRdEi0QQei" TargetMode="External"/><Relationship Id="rId4685" Type="http://schemas.openxmlformats.org/officeDocument/2006/relationships/hyperlink" Target="https://talan.bank.gov.ua/get-user-certificate/45CElrV_tS1wO_E764ma" TargetMode="External"/><Relationship Id="rId4892" Type="http://schemas.openxmlformats.org/officeDocument/2006/relationships/hyperlink" Target="https://talan.bank.gov.ua/get-user-certificate/45CElwDCgl1AJRlqXI3Z" TargetMode="External"/><Relationship Id="rId2096" Type="http://schemas.openxmlformats.org/officeDocument/2006/relationships/hyperlink" Target="https://talan.bank.gov.ua/get-user-certificate/45CElUvZCNVr-p-7BgG6" TargetMode="External"/><Relationship Id="rId3494" Type="http://schemas.openxmlformats.org/officeDocument/2006/relationships/hyperlink" Target="https://talan.bank.gov.ua/get-user-certificate/45CElKC3g_ATonLpCMjb" TargetMode="External"/><Relationship Id="rId4545" Type="http://schemas.openxmlformats.org/officeDocument/2006/relationships/hyperlink" Target="https://talan.bank.gov.ua/get-user-certificate/45CEle9IzaV3cpyVJi9B" TargetMode="External"/><Relationship Id="rId4752" Type="http://schemas.openxmlformats.org/officeDocument/2006/relationships/hyperlink" Target="https://talan.bank.gov.ua/get-user-certificate/45CElUl4ymFsyJ6p8VmA" TargetMode="External"/><Relationship Id="rId3147" Type="http://schemas.openxmlformats.org/officeDocument/2006/relationships/hyperlink" Target="https://talan.bank.gov.ua/get-user-certificate/45CElu2aKWXtksAs7l7W" TargetMode="External"/><Relationship Id="rId3354" Type="http://schemas.openxmlformats.org/officeDocument/2006/relationships/hyperlink" Target="https://talan.bank.gov.ua/get-user-certificate/45CElLEtHr0yTEVdse-r" TargetMode="External"/><Relationship Id="rId3561" Type="http://schemas.openxmlformats.org/officeDocument/2006/relationships/hyperlink" Target="https://talan.bank.gov.ua/get-user-certificate/45CElltsgOM1aaDB9PFP" TargetMode="External"/><Relationship Id="rId4405" Type="http://schemas.openxmlformats.org/officeDocument/2006/relationships/hyperlink" Target="https://talan.bank.gov.ua/get-user-certificate/45CElHb39LGeyHlhGdwd" TargetMode="External"/><Relationship Id="rId4612" Type="http://schemas.openxmlformats.org/officeDocument/2006/relationships/hyperlink" Target="https://talan.bank.gov.ua/get-user-certificate/45CElH0kaHB98GoqbamC" TargetMode="External"/><Relationship Id="rId275" Type="http://schemas.openxmlformats.org/officeDocument/2006/relationships/hyperlink" Target="https://talan.bank.gov.ua/get-user-certificate/45CElgUA59vnJ8TwUwTO" TargetMode="External"/><Relationship Id="rId482" Type="http://schemas.openxmlformats.org/officeDocument/2006/relationships/hyperlink" Target="https://talan.bank.gov.ua/get-user-certificate/45CElOAXfeJv3nedkr0V" TargetMode="External"/><Relationship Id="rId2163" Type="http://schemas.openxmlformats.org/officeDocument/2006/relationships/hyperlink" Target="https://talan.bank.gov.ua/get-user-certificate/45CElT-eL3V1uROBmlrO" TargetMode="External"/><Relationship Id="rId2370" Type="http://schemas.openxmlformats.org/officeDocument/2006/relationships/hyperlink" Target="https://talan.bank.gov.ua/get-user-certificate/45CElAJ9rngda0sgJa3K" TargetMode="External"/><Relationship Id="rId3007" Type="http://schemas.openxmlformats.org/officeDocument/2006/relationships/hyperlink" Target="https://talan.bank.gov.ua/get-user-certificate/45CElAnpECrwGgeg-Qse" TargetMode="External"/><Relationship Id="rId3214" Type="http://schemas.openxmlformats.org/officeDocument/2006/relationships/hyperlink" Target="https://talan.bank.gov.ua/get-user-certificate/45CElFR4sRSlr0RbHbba" TargetMode="External"/><Relationship Id="rId3421" Type="http://schemas.openxmlformats.org/officeDocument/2006/relationships/hyperlink" Target="https://talan.bank.gov.ua/get-user-certificate/45CElkyg29X5hBcXfFr9" TargetMode="External"/><Relationship Id="rId135" Type="http://schemas.openxmlformats.org/officeDocument/2006/relationships/hyperlink" Target="https://talan.bank.gov.ua/get-user-certificate/45CElYZ5eKZNmzrkGLvZ" TargetMode="External"/><Relationship Id="rId342" Type="http://schemas.openxmlformats.org/officeDocument/2006/relationships/hyperlink" Target="https://talan.bank.gov.ua/get-user-certificate/45CElozavCWKNF08y-u7" TargetMode="External"/><Relationship Id="rId2023" Type="http://schemas.openxmlformats.org/officeDocument/2006/relationships/hyperlink" Target="https://talan.bank.gov.ua/get-user-certificate/45CEla9Uic1aYfB987ER" TargetMode="External"/><Relationship Id="rId2230" Type="http://schemas.openxmlformats.org/officeDocument/2006/relationships/hyperlink" Target="https://talan.bank.gov.ua/get-user-certificate/45CElG6H3Upm_49LtA1Q" TargetMode="External"/><Relationship Id="rId202" Type="http://schemas.openxmlformats.org/officeDocument/2006/relationships/hyperlink" Target="https://talan.bank.gov.ua/get-user-certificate/45CEl-AvVFZwMXEpEb2J" TargetMode="External"/><Relationship Id="rId4195" Type="http://schemas.openxmlformats.org/officeDocument/2006/relationships/hyperlink" Target="https://talan.bank.gov.ua/get-user-certificate/45CElFn9QzTu6EXa-HAb" TargetMode="External"/><Relationship Id="rId1789" Type="http://schemas.openxmlformats.org/officeDocument/2006/relationships/hyperlink" Target="https://talan.bank.gov.ua/get-user-certificate/45CElY74xijHqSXi1KYC" TargetMode="External"/><Relationship Id="rId1996" Type="http://schemas.openxmlformats.org/officeDocument/2006/relationships/hyperlink" Target="https://talan.bank.gov.ua/get-user-certificate/45CElKjzhVNNo2_NG1ri" TargetMode="External"/><Relationship Id="rId4055" Type="http://schemas.openxmlformats.org/officeDocument/2006/relationships/hyperlink" Target="https://talan.bank.gov.ua/get-user-certificate/45CElxkf1HKkdwL5-foy" TargetMode="External"/><Relationship Id="rId4262" Type="http://schemas.openxmlformats.org/officeDocument/2006/relationships/hyperlink" Target="https://talan.bank.gov.ua/get-user-certificate/45CElOcmfWjPsnd2Wlkk" TargetMode="External"/><Relationship Id="rId1649" Type="http://schemas.openxmlformats.org/officeDocument/2006/relationships/hyperlink" Target="https://talan.bank.gov.ua/get-user-certificate/45CElehNa2Z-v3fe80WB" TargetMode="External"/><Relationship Id="rId1856" Type="http://schemas.openxmlformats.org/officeDocument/2006/relationships/hyperlink" Target="https://talan.bank.gov.ua/get-user-certificate/45CEl6hFM282PD_vdhJW" TargetMode="External"/><Relationship Id="rId2907" Type="http://schemas.openxmlformats.org/officeDocument/2006/relationships/hyperlink" Target="https://talan.bank.gov.ua/get-user-certificate/45CElD_RCeIQSAWmQcj5" TargetMode="External"/><Relationship Id="rId3071" Type="http://schemas.openxmlformats.org/officeDocument/2006/relationships/hyperlink" Target="https://talan.bank.gov.ua/get-user-certificate/45CElqHwZ8RB0SsdCJmo" TargetMode="External"/><Relationship Id="rId1509" Type="http://schemas.openxmlformats.org/officeDocument/2006/relationships/hyperlink" Target="https://talan.bank.gov.ua/get-user-certificate/45CElBLJNrgrlZmt9J7o" TargetMode="External"/><Relationship Id="rId1716" Type="http://schemas.openxmlformats.org/officeDocument/2006/relationships/hyperlink" Target="https://talan.bank.gov.ua/get-user-certificate/45CElE-AwiKAhcc0jdiv" TargetMode="External"/><Relationship Id="rId1923" Type="http://schemas.openxmlformats.org/officeDocument/2006/relationships/hyperlink" Target="https://talan.bank.gov.ua/get-user-certificate/45CEleHQY4bVc1fftnJ-" TargetMode="External"/><Relationship Id="rId4122" Type="http://schemas.openxmlformats.org/officeDocument/2006/relationships/hyperlink" Target="https://talan.bank.gov.ua/get-user-certificate/45CElaxx0yigVC4WfKO9" TargetMode="External"/><Relationship Id="rId3888" Type="http://schemas.openxmlformats.org/officeDocument/2006/relationships/hyperlink" Target="https://talan.bank.gov.ua/get-user-certificate/45CElfhvE3Oyu7Z9LbvM" TargetMode="External"/><Relationship Id="rId4939" Type="http://schemas.openxmlformats.org/officeDocument/2006/relationships/hyperlink" Target="https://talan.bank.gov.ua/get-user-certificate/45CElB1-ojydwJdIZADj" TargetMode="External"/><Relationship Id="rId2697" Type="http://schemas.openxmlformats.org/officeDocument/2006/relationships/hyperlink" Target="https://talan.bank.gov.ua/get-user-certificate/45CElG8nNRUyHdbt3OFm" TargetMode="External"/><Relationship Id="rId3748" Type="http://schemas.openxmlformats.org/officeDocument/2006/relationships/hyperlink" Target="https://talan.bank.gov.ua/get-user-certificate/45CElESAWMeDI6B9A84n" TargetMode="External"/><Relationship Id="rId669" Type="http://schemas.openxmlformats.org/officeDocument/2006/relationships/hyperlink" Target="https://talan.bank.gov.ua/get-user-certificate/45CElhHsVNghQxzulP2D" TargetMode="External"/><Relationship Id="rId876" Type="http://schemas.openxmlformats.org/officeDocument/2006/relationships/hyperlink" Target="https://talan.bank.gov.ua/get-user-certificate/45CElBnRQ7PaRIl-o1yk" TargetMode="External"/><Relationship Id="rId1299" Type="http://schemas.openxmlformats.org/officeDocument/2006/relationships/hyperlink" Target="https://talan.bank.gov.ua/get-user-certificate/45CElshMnLGQf0DaGBhQ" TargetMode="External"/><Relationship Id="rId2557" Type="http://schemas.openxmlformats.org/officeDocument/2006/relationships/hyperlink" Target="https://talan.bank.gov.ua/get-user-certificate/45CElP_ytHj7ZLczG0r2" TargetMode="External"/><Relationship Id="rId3608" Type="http://schemas.openxmlformats.org/officeDocument/2006/relationships/hyperlink" Target="https://talan.bank.gov.ua/get-user-certificate/45CElQffsiAf5lB4R3yb" TargetMode="External"/><Relationship Id="rId3955" Type="http://schemas.openxmlformats.org/officeDocument/2006/relationships/hyperlink" Target="https://talan.bank.gov.ua/get-user-certificate/45CEluf3cijEYmgApznU" TargetMode="External"/><Relationship Id="rId529" Type="http://schemas.openxmlformats.org/officeDocument/2006/relationships/hyperlink" Target="https://talan.bank.gov.ua/get-user-certificate/45CElKkCE6wMmh6rhGrv" TargetMode="External"/><Relationship Id="rId736" Type="http://schemas.openxmlformats.org/officeDocument/2006/relationships/hyperlink" Target="https://talan.bank.gov.ua/get-user-certificate/45CElzdD1SVOV9q_sOAs" TargetMode="External"/><Relationship Id="rId1159" Type="http://schemas.openxmlformats.org/officeDocument/2006/relationships/hyperlink" Target="https://talan.bank.gov.ua/get-user-certificate/45CElHncIZ05n5icGG2e" TargetMode="External"/><Relationship Id="rId1366" Type="http://schemas.openxmlformats.org/officeDocument/2006/relationships/hyperlink" Target="https://talan.bank.gov.ua/get-user-certificate/45CEl4KR__KVHWKc7BQQ" TargetMode="External"/><Relationship Id="rId2417" Type="http://schemas.openxmlformats.org/officeDocument/2006/relationships/hyperlink" Target="https://talan.bank.gov.ua/get-user-certificate/45CEl_z5lpMq4MHsBMMd" TargetMode="External"/><Relationship Id="rId2764" Type="http://schemas.openxmlformats.org/officeDocument/2006/relationships/hyperlink" Target="https://talan.bank.gov.ua/get-user-certificate/45CEl6NlzgvNGTPQiU2-" TargetMode="External"/><Relationship Id="rId2971" Type="http://schemas.openxmlformats.org/officeDocument/2006/relationships/hyperlink" Target="https://talan.bank.gov.ua/get-user-certificate/45CEl4h9EFmpmH7aTfmx" TargetMode="External"/><Relationship Id="rId3815" Type="http://schemas.openxmlformats.org/officeDocument/2006/relationships/hyperlink" Target="https://talan.bank.gov.ua/get-user-certificate/45CElKrIeV_Xr_kVUu7Q" TargetMode="External"/><Relationship Id="rId943" Type="http://schemas.openxmlformats.org/officeDocument/2006/relationships/hyperlink" Target="https://talan.bank.gov.ua/get-user-certificate/45CElRSUa0m3KBc27iur" TargetMode="External"/><Relationship Id="rId1019" Type="http://schemas.openxmlformats.org/officeDocument/2006/relationships/hyperlink" Target="https://talan.bank.gov.ua/get-user-certificate/45CElyAok8ftrCV_9CRc" TargetMode="External"/><Relationship Id="rId1573" Type="http://schemas.openxmlformats.org/officeDocument/2006/relationships/hyperlink" Target="https://talan.bank.gov.ua/get-user-certificate/45CEl7ZkKldL1_FBTEjs" TargetMode="External"/><Relationship Id="rId1780" Type="http://schemas.openxmlformats.org/officeDocument/2006/relationships/hyperlink" Target="https://talan.bank.gov.ua/get-user-certificate/45CElVafa5Rr4D_feMSo" TargetMode="External"/><Relationship Id="rId2624" Type="http://schemas.openxmlformats.org/officeDocument/2006/relationships/hyperlink" Target="https://talan.bank.gov.ua/get-user-certificate/45CElMW3PBeb13jJ14ka" TargetMode="External"/><Relationship Id="rId2831" Type="http://schemas.openxmlformats.org/officeDocument/2006/relationships/hyperlink" Target="https://talan.bank.gov.ua/get-user-certificate/45CEl-CRLMMcPjBsh8nL" TargetMode="External"/><Relationship Id="rId72" Type="http://schemas.openxmlformats.org/officeDocument/2006/relationships/hyperlink" Target="https://talan.bank.gov.ua/get-user-certificate/45CElzjiR_i3TSaz7BaP" TargetMode="External"/><Relationship Id="rId803" Type="http://schemas.openxmlformats.org/officeDocument/2006/relationships/hyperlink" Target="https://talan.bank.gov.ua/get-user-certificate/45CEl9RI8UWv7R-Kj1pu" TargetMode="External"/><Relationship Id="rId1226" Type="http://schemas.openxmlformats.org/officeDocument/2006/relationships/hyperlink" Target="https://talan.bank.gov.ua/get-user-certificate/45CElDfV4woV7aq3qaZ-" TargetMode="External"/><Relationship Id="rId1433" Type="http://schemas.openxmlformats.org/officeDocument/2006/relationships/hyperlink" Target="https://talan.bank.gov.ua/get-user-certificate/45CElavNuXN8OwjSTvuc" TargetMode="External"/><Relationship Id="rId1640" Type="http://schemas.openxmlformats.org/officeDocument/2006/relationships/hyperlink" Target="https://talan.bank.gov.ua/get-user-certificate/45CEltWRlBpWYmmO1muN" TargetMode="External"/><Relationship Id="rId4589" Type="http://schemas.openxmlformats.org/officeDocument/2006/relationships/hyperlink" Target="https://talan.bank.gov.ua/get-user-certificate/45CEl0b5PHhemEkynMwz" TargetMode="External"/><Relationship Id="rId4796" Type="http://schemas.openxmlformats.org/officeDocument/2006/relationships/hyperlink" Target="https://talan.bank.gov.ua/get-user-certificate/45CEloTOhasFyDL-L60W" TargetMode="External"/><Relationship Id="rId1500" Type="http://schemas.openxmlformats.org/officeDocument/2006/relationships/hyperlink" Target="https://talan.bank.gov.ua/get-user-certificate/45CEl8IN_E72Zw_fbVxD" TargetMode="External"/><Relationship Id="rId3398" Type="http://schemas.openxmlformats.org/officeDocument/2006/relationships/hyperlink" Target="https://talan.bank.gov.ua/get-user-certificate/45CElU0c7mWKj3HYpS2H" TargetMode="External"/><Relationship Id="rId4449" Type="http://schemas.openxmlformats.org/officeDocument/2006/relationships/hyperlink" Target="https://talan.bank.gov.ua/get-user-certificate/45CEl9l87u9V0cTdfo7e" TargetMode="External"/><Relationship Id="rId4656" Type="http://schemas.openxmlformats.org/officeDocument/2006/relationships/hyperlink" Target="https://talan.bank.gov.ua/get-user-certificate/45CEltW2HYO0gNZ8tiKV" TargetMode="External"/><Relationship Id="rId4863" Type="http://schemas.openxmlformats.org/officeDocument/2006/relationships/hyperlink" Target="https://talan.bank.gov.ua/get-user-certificate/45CElojy38E14GSAvPwz" TargetMode="External"/><Relationship Id="rId3258" Type="http://schemas.openxmlformats.org/officeDocument/2006/relationships/hyperlink" Target="https://talan.bank.gov.ua/get-user-certificate/45CElr0NgdJHQZFdTv5K" TargetMode="External"/><Relationship Id="rId3465" Type="http://schemas.openxmlformats.org/officeDocument/2006/relationships/hyperlink" Target="https://talan.bank.gov.ua/get-user-certificate/45CElB-aQp83cutx7uW-" TargetMode="External"/><Relationship Id="rId3672" Type="http://schemas.openxmlformats.org/officeDocument/2006/relationships/hyperlink" Target="https://talan.bank.gov.ua/get-user-certificate/45CElpS067F6Ho_AeCUu" TargetMode="External"/><Relationship Id="rId4309" Type="http://schemas.openxmlformats.org/officeDocument/2006/relationships/hyperlink" Target="https://talan.bank.gov.ua/get-user-certificate/45CElxcLQKgcYA7peEfo" TargetMode="External"/><Relationship Id="rId4516" Type="http://schemas.openxmlformats.org/officeDocument/2006/relationships/hyperlink" Target="https://talan.bank.gov.ua/get-user-certificate/45CElUsebwXKENsCL-zu" TargetMode="External"/><Relationship Id="rId4723" Type="http://schemas.openxmlformats.org/officeDocument/2006/relationships/hyperlink" Target="https://talan.bank.gov.ua/get-user-certificate/45CEleWLUmNV7orfXIMW" TargetMode="External"/><Relationship Id="rId179" Type="http://schemas.openxmlformats.org/officeDocument/2006/relationships/hyperlink" Target="https://talan.bank.gov.ua/get-user-certificate/45CElmatLQb2Cz6HhlEf" TargetMode="External"/><Relationship Id="rId386" Type="http://schemas.openxmlformats.org/officeDocument/2006/relationships/hyperlink" Target="https://talan.bank.gov.ua/get-user-certificate/45CEl6nTE_t0qTo5QR09" TargetMode="External"/><Relationship Id="rId593" Type="http://schemas.openxmlformats.org/officeDocument/2006/relationships/hyperlink" Target="https://talan.bank.gov.ua/get-user-certificate/45CElnQEEciWxMrGE_qA" TargetMode="External"/><Relationship Id="rId2067" Type="http://schemas.openxmlformats.org/officeDocument/2006/relationships/hyperlink" Target="https://talan.bank.gov.ua/get-user-certificate/45CElFeLyYpTgrA3VKEz" TargetMode="External"/><Relationship Id="rId2274" Type="http://schemas.openxmlformats.org/officeDocument/2006/relationships/hyperlink" Target="https://talan.bank.gov.ua/get-user-certificate/45CEleHarGgeUBc2ZPem" TargetMode="External"/><Relationship Id="rId2481" Type="http://schemas.openxmlformats.org/officeDocument/2006/relationships/hyperlink" Target="https://talan.bank.gov.ua/get-user-certificate/45CElFfnKZGXN0gQFlwn" TargetMode="External"/><Relationship Id="rId3118" Type="http://schemas.openxmlformats.org/officeDocument/2006/relationships/hyperlink" Target="https://talan.bank.gov.ua/get-user-certificate/45CElodxH7pwHWNi9-3G" TargetMode="External"/><Relationship Id="rId3325" Type="http://schemas.openxmlformats.org/officeDocument/2006/relationships/hyperlink" Target="https://talan.bank.gov.ua/get-user-certificate/45CElDbL6Twb4PSu1M2G" TargetMode="External"/><Relationship Id="rId3532" Type="http://schemas.openxmlformats.org/officeDocument/2006/relationships/hyperlink" Target="https://talan.bank.gov.ua/get-user-certificate/45CElrQAGNFop37ziuyF" TargetMode="External"/><Relationship Id="rId4930" Type="http://schemas.openxmlformats.org/officeDocument/2006/relationships/hyperlink" Target="https://talan.bank.gov.ua/get-user-certificate/45CEl2r2wDs6xoKxvTcE" TargetMode="External"/><Relationship Id="rId246" Type="http://schemas.openxmlformats.org/officeDocument/2006/relationships/hyperlink" Target="https://talan.bank.gov.ua/get-user-certificate/45CElusidJ2BYS2L6yQM" TargetMode="External"/><Relationship Id="rId453" Type="http://schemas.openxmlformats.org/officeDocument/2006/relationships/hyperlink" Target="https://talan.bank.gov.ua/get-user-certificate/45CElnICgHhwIMO6Z0b1" TargetMode="External"/><Relationship Id="rId660" Type="http://schemas.openxmlformats.org/officeDocument/2006/relationships/hyperlink" Target="https://talan.bank.gov.ua/get-user-certificate/45CElf9fQo1sAsrSjqyI" TargetMode="External"/><Relationship Id="rId1083" Type="http://schemas.openxmlformats.org/officeDocument/2006/relationships/hyperlink" Target="https://talan.bank.gov.ua/get-user-certificate/45CElHGtZh5Dnt_vj_0b" TargetMode="External"/><Relationship Id="rId1290" Type="http://schemas.openxmlformats.org/officeDocument/2006/relationships/hyperlink" Target="https://talan.bank.gov.ua/get-user-certificate/45CElMnQ0QfGQJgmJ3ki" TargetMode="External"/><Relationship Id="rId2134" Type="http://schemas.openxmlformats.org/officeDocument/2006/relationships/hyperlink" Target="https://talan.bank.gov.ua/get-user-certificate/45CElbdy8Le6Qif7pSno" TargetMode="External"/><Relationship Id="rId2341" Type="http://schemas.openxmlformats.org/officeDocument/2006/relationships/hyperlink" Target="https://talan.bank.gov.ua/get-user-certificate/45CElPN05GdKNw9aHZwk" TargetMode="External"/><Relationship Id="rId106" Type="http://schemas.openxmlformats.org/officeDocument/2006/relationships/hyperlink" Target="https://talan.bank.gov.ua/get-user-certificate/45CElQQOu3_x0nKCO3pc" TargetMode="External"/><Relationship Id="rId313" Type="http://schemas.openxmlformats.org/officeDocument/2006/relationships/hyperlink" Target="https://talan.bank.gov.ua/get-user-certificate/45CElTPWW3EvXBrMDh9x" TargetMode="External"/><Relationship Id="rId1150" Type="http://schemas.openxmlformats.org/officeDocument/2006/relationships/hyperlink" Target="https://talan.bank.gov.ua/get-user-certificate/45CElfATH5iEKRrZ2VyA" TargetMode="External"/><Relationship Id="rId4099" Type="http://schemas.openxmlformats.org/officeDocument/2006/relationships/hyperlink" Target="https://talan.bank.gov.ua/get-user-certificate/45CElXq_vA6I1sf-uGMK" TargetMode="External"/><Relationship Id="rId520" Type="http://schemas.openxmlformats.org/officeDocument/2006/relationships/hyperlink" Target="https://talan.bank.gov.ua/get-user-certificate/45CEl1AJ91pgm_cJukG9" TargetMode="External"/><Relationship Id="rId2201" Type="http://schemas.openxmlformats.org/officeDocument/2006/relationships/hyperlink" Target="https://talan.bank.gov.ua/get-user-certificate/45CElamadyiEkyLKII6g" TargetMode="External"/><Relationship Id="rId1010" Type="http://schemas.openxmlformats.org/officeDocument/2006/relationships/hyperlink" Target="https://talan.bank.gov.ua/get-user-certificate/45CElL-RukBqu5cl0Lb-" TargetMode="External"/><Relationship Id="rId1967" Type="http://schemas.openxmlformats.org/officeDocument/2006/relationships/hyperlink" Target="https://talan.bank.gov.ua/get-user-certificate/45CEloREqaqn6QYdaOFT" TargetMode="External"/><Relationship Id="rId4166" Type="http://schemas.openxmlformats.org/officeDocument/2006/relationships/hyperlink" Target="https://talan.bank.gov.ua/get-user-certificate/45CElQSDtUDDzKFM6YCj" TargetMode="External"/><Relationship Id="rId4373" Type="http://schemas.openxmlformats.org/officeDocument/2006/relationships/hyperlink" Target="https://talan.bank.gov.ua/get-user-certificate/45CElmj0j45KN6iMm5QO" TargetMode="External"/><Relationship Id="rId4580" Type="http://schemas.openxmlformats.org/officeDocument/2006/relationships/hyperlink" Target="https://talan.bank.gov.ua/get-user-certificate/45CElDncGg2vj0r8QW_J" TargetMode="External"/><Relationship Id="rId4026" Type="http://schemas.openxmlformats.org/officeDocument/2006/relationships/hyperlink" Target="https://talan.bank.gov.ua/get-user-certificate/45CElj_9GtAP0qyYTRcq" TargetMode="External"/><Relationship Id="rId4440" Type="http://schemas.openxmlformats.org/officeDocument/2006/relationships/hyperlink" Target="https://talan.bank.gov.ua/get-user-certificate/45CElt2_KjlDjn9ahxlZ" TargetMode="External"/><Relationship Id="rId3042" Type="http://schemas.openxmlformats.org/officeDocument/2006/relationships/hyperlink" Target="https://talan.bank.gov.ua/get-user-certificate/45CEl27HCt2Tc1cEz3kP" TargetMode="External"/><Relationship Id="rId3859" Type="http://schemas.openxmlformats.org/officeDocument/2006/relationships/hyperlink" Target="https://talan.bank.gov.ua/get-user-certificate/45CElAda8SZGUEfDcSbe" TargetMode="External"/><Relationship Id="rId2875" Type="http://schemas.openxmlformats.org/officeDocument/2006/relationships/hyperlink" Target="https://talan.bank.gov.ua/get-user-certificate/45CElxkyRj54mUnSZim-" TargetMode="External"/><Relationship Id="rId3926" Type="http://schemas.openxmlformats.org/officeDocument/2006/relationships/hyperlink" Target="https://talan.bank.gov.ua/get-user-certificate/45CElyZGzlhFO1Tq4DX7" TargetMode="External"/><Relationship Id="rId847" Type="http://schemas.openxmlformats.org/officeDocument/2006/relationships/hyperlink" Target="https://talan.bank.gov.ua/get-user-certificate/45CElD1OuPeyPc7ko4Ys" TargetMode="External"/><Relationship Id="rId1477" Type="http://schemas.openxmlformats.org/officeDocument/2006/relationships/hyperlink" Target="https://talan.bank.gov.ua/get-user-certificate/45CEl_RDQeKadGZ5Ukt0" TargetMode="External"/><Relationship Id="rId1891" Type="http://schemas.openxmlformats.org/officeDocument/2006/relationships/hyperlink" Target="https://talan.bank.gov.ua/get-user-certificate/45CElj1743ltw5KNCdyW" TargetMode="External"/><Relationship Id="rId2528" Type="http://schemas.openxmlformats.org/officeDocument/2006/relationships/hyperlink" Target="https://talan.bank.gov.ua/get-user-certificate/45CEl2K3dqrcXnvu7Lll" TargetMode="External"/><Relationship Id="rId2942" Type="http://schemas.openxmlformats.org/officeDocument/2006/relationships/hyperlink" Target="https://talan.bank.gov.ua/get-user-certificate/45CElQdZ1O4GO6l8uqIG" TargetMode="External"/><Relationship Id="rId914" Type="http://schemas.openxmlformats.org/officeDocument/2006/relationships/hyperlink" Target="https://talan.bank.gov.ua/get-user-certificate/45CElg91uxt1I2s5u_Vm" TargetMode="External"/><Relationship Id="rId1544" Type="http://schemas.openxmlformats.org/officeDocument/2006/relationships/hyperlink" Target="https://talan.bank.gov.ua/get-user-certificate/45CElGAY8zJNLVEdmIlG" TargetMode="External"/><Relationship Id="rId5001" Type="http://schemas.openxmlformats.org/officeDocument/2006/relationships/hyperlink" Target="https://talan.bank.gov.ua/get-user-certificate/ki8TnceggGcpx5ZJ_x0S" TargetMode="External"/><Relationship Id="rId1611" Type="http://schemas.openxmlformats.org/officeDocument/2006/relationships/hyperlink" Target="https://talan.bank.gov.ua/get-user-certificate/45CElSIoYYZSG4p3S1G3" TargetMode="External"/><Relationship Id="rId4767" Type="http://schemas.openxmlformats.org/officeDocument/2006/relationships/hyperlink" Target="https://talan.bank.gov.ua/get-user-certificate/45CEl_14fls3Zwtsh-XQ" TargetMode="External"/><Relationship Id="rId3369" Type="http://schemas.openxmlformats.org/officeDocument/2006/relationships/hyperlink" Target="https://talan.bank.gov.ua/get-user-certificate/45CElK1XpGubRn52cR7s" TargetMode="External"/><Relationship Id="rId2385" Type="http://schemas.openxmlformats.org/officeDocument/2006/relationships/hyperlink" Target="https://talan.bank.gov.ua/get-user-certificate/45CElCLGWHgs6AJjbl2a" TargetMode="External"/><Relationship Id="rId3783" Type="http://schemas.openxmlformats.org/officeDocument/2006/relationships/hyperlink" Target="https://talan.bank.gov.ua/get-user-certificate/45CElI_fiZ3yhIFEM4O8" TargetMode="External"/><Relationship Id="rId4834" Type="http://schemas.openxmlformats.org/officeDocument/2006/relationships/hyperlink" Target="https://talan.bank.gov.ua/get-user-certificate/45CEljdUAxEp92ZEDez7" TargetMode="External"/><Relationship Id="rId357" Type="http://schemas.openxmlformats.org/officeDocument/2006/relationships/hyperlink" Target="https://talan.bank.gov.ua/get-user-certificate/45CElViIG72GtIHcGdIC" TargetMode="External"/><Relationship Id="rId2038" Type="http://schemas.openxmlformats.org/officeDocument/2006/relationships/hyperlink" Target="https://talan.bank.gov.ua/get-user-certificate/45CElIFYM9EBFtNWng6v" TargetMode="External"/><Relationship Id="rId3436" Type="http://schemas.openxmlformats.org/officeDocument/2006/relationships/hyperlink" Target="https://talan.bank.gov.ua/get-user-certificate/45CElKajZ-L5-j2mVj4x" TargetMode="External"/><Relationship Id="rId3850" Type="http://schemas.openxmlformats.org/officeDocument/2006/relationships/hyperlink" Target="https://talan.bank.gov.ua/get-user-certificate/45CElRRnXnKmWBxmw5-z" TargetMode="External"/><Relationship Id="rId4901" Type="http://schemas.openxmlformats.org/officeDocument/2006/relationships/hyperlink" Target="https://talan.bank.gov.ua/get-user-certificate/45CEluAeUDKYzrekbpBx" TargetMode="External"/><Relationship Id="rId771" Type="http://schemas.openxmlformats.org/officeDocument/2006/relationships/hyperlink" Target="https://talan.bank.gov.ua/get-user-certificate/45CElTSbryjFsC3do9GO" TargetMode="External"/><Relationship Id="rId2452" Type="http://schemas.openxmlformats.org/officeDocument/2006/relationships/hyperlink" Target="https://talan.bank.gov.ua/get-user-certificate/45CElvFsVwmduApDVTXf" TargetMode="External"/><Relationship Id="rId3503" Type="http://schemas.openxmlformats.org/officeDocument/2006/relationships/hyperlink" Target="https://talan.bank.gov.ua/get-user-certificate/45CElwgObX28vhQTwqnu" TargetMode="External"/><Relationship Id="rId424" Type="http://schemas.openxmlformats.org/officeDocument/2006/relationships/hyperlink" Target="https://talan.bank.gov.ua/get-user-certificate/45CEluPf0___elufSaIt" TargetMode="External"/><Relationship Id="rId1054" Type="http://schemas.openxmlformats.org/officeDocument/2006/relationships/hyperlink" Target="https://talan.bank.gov.ua/get-user-certificate/45CElpF8j1Trns0-Zlpn" TargetMode="External"/><Relationship Id="rId2105" Type="http://schemas.openxmlformats.org/officeDocument/2006/relationships/hyperlink" Target="https://talan.bank.gov.ua/get-user-certificate/45CElhAtwwdjFHwO7dvR" TargetMode="External"/><Relationship Id="rId1121" Type="http://schemas.openxmlformats.org/officeDocument/2006/relationships/hyperlink" Target="https://talan.bank.gov.ua/get-user-certificate/45CEl3o8FIL7w-fMRsEm" TargetMode="External"/><Relationship Id="rId4277" Type="http://schemas.openxmlformats.org/officeDocument/2006/relationships/hyperlink" Target="https://talan.bank.gov.ua/get-user-certificate/45CEl60ZFQU5FOSf82So" TargetMode="External"/><Relationship Id="rId4691" Type="http://schemas.openxmlformats.org/officeDocument/2006/relationships/hyperlink" Target="https://talan.bank.gov.ua/get-user-certificate/45CEljD7EQf7hrGl9NK8" TargetMode="External"/><Relationship Id="rId3293" Type="http://schemas.openxmlformats.org/officeDocument/2006/relationships/hyperlink" Target="https://talan.bank.gov.ua/get-user-certificate/45CElg6Ycbkc7Mntx0ze" TargetMode="External"/><Relationship Id="rId4344" Type="http://schemas.openxmlformats.org/officeDocument/2006/relationships/hyperlink" Target="https://talan.bank.gov.ua/get-user-certificate/45CElO8daBvrNXe5IMmM" TargetMode="External"/><Relationship Id="rId1938" Type="http://schemas.openxmlformats.org/officeDocument/2006/relationships/hyperlink" Target="https://talan.bank.gov.ua/get-user-certificate/45CElUUqmY9_4VhASWi1" TargetMode="External"/><Relationship Id="rId3360" Type="http://schemas.openxmlformats.org/officeDocument/2006/relationships/hyperlink" Target="https://talan.bank.gov.ua/get-user-certificate/45CElF_7pRsMqiQ0A-fR" TargetMode="External"/><Relationship Id="rId281" Type="http://schemas.openxmlformats.org/officeDocument/2006/relationships/hyperlink" Target="https://talan.bank.gov.ua/get-user-certificate/45CEliJKA4ZxooQ-Ql3e" TargetMode="External"/><Relationship Id="rId3013" Type="http://schemas.openxmlformats.org/officeDocument/2006/relationships/hyperlink" Target="https://talan.bank.gov.ua/get-user-certificate/45CEl1LQ5090NDD7ySTe" TargetMode="External"/><Relationship Id="rId4411" Type="http://schemas.openxmlformats.org/officeDocument/2006/relationships/hyperlink" Target="https://talan.bank.gov.ua/get-user-certificate/45CElRdOBkTjOkdQwpxp" TargetMode="External"/><Relationship Id="rId2779" Type="http://schemas.openxmlformats.org/officeDocument/2006/relationships/hyperlink" Target="https://talan.bank.gov.ua/get-user-certificate/45CEl5fvWQ8eC-2JUyKA" TargetMode="External"/><Relationship Id="rId1795" Type="http://schemas.openxmlformats.org/officeDocument/2006/relationships/hyperlink" Target="https://talan.bank.gov.ua/get-user-certificate/45CElD18X3QcUjd2r6t_" TargetMode="External"/><Relationship Id="rId2846" Type="http://schemas.openxmlformats.org/officeDocument/2006/relationships/hyperlink" Target="https://talan.bank.gov.ua/get-user-certificate/45CElakJ9SdrxdT4SRYX" TargetMode="External"/><Relationship Id="rId87" Type="http://schemas.openxmlformats.org/officeDocument/2006/relationships/hyperlink" Target="https://talan.bank.gov.ua/get-user-certificate/45CElfpZ8zfjscE91ikk" TargetMode="External"/><Relationship Id="rId818" Type="http://schemas.openxmlformats.org/officeDocument/2006/relationships/hyperlink" Target="https://talan.bank.gov.ua/get-user-certificate/45CElQj8MrTbaUO6kXK1" TargetMode="External"/><Relationship Id="rId1448" Type="http://schemas.openxmlformats.org/officeDocument/2006/relationships/hyperlink" Target="https://talan.bank.gov.ua/get-user-certificate/45CElfUzAS3tKZwlppuE" TargetMode="External"/><Relationship Id="rId1862" Type="http://schemas.openxmlformats.org/officeDocument/2006/relationships/hyperlink" Target="https://talan.bank.gov.ua/get-user-certificate/45CElgy_X3uiaVu8Wu_-" TargetMode="External"/><Relationship Id="rId2913" Type="http://schemas.openxmlformats.org/officeDocument/2006/relationships/hyperlink" Target="https://talan.bank.gov.ua/get-user-certificate/45CElf-YhJMlufW9hEhB" TargetMode="External"/><Relationship Id="rId1515" Type="http://schemas.openxmlformats.org/officeDocument/2006/relationships/hyperlink" Target="https://talan.bank.gov.ua/get-user-certificate/45CElGD4M9IvY-DkHqaG" TargetMode="External"/><Relationship Id="rId3687" Type="http://schemas.openxmlformats.org/officeDocument/2006/relationships/hyperlink" Target="https://talan.bank.gov.ua/get-user-certificate/45CElYnJHCZPbHD9CGVG" TargetMode="External"/><Relationship Id="rId4738" Type="http://schemas.openxmlformats.org/officeDocument/2006/relationships/hyperlink" Target="https://talan.bank.gov.ua/get-user-certificate/45CEleN70gwJjs3v6RNY" TargetMode="External"/><Relationship Id="rId2289" Type="http://schemas.openxmlformats.org/officeDocument/2006/relationships/hyperlink" Target="https://talan.bank.gov.ua/get-user-certificate/45CElqrU1fEYQRSAUT8h" TargetMode="External"/><Relationship Id="rId3754" Type="http://schemas.openxmlformats.org/officeDocument/2006/relationships/hyperlink" Target="https://talan.bank.gov.ua/get-user-certificate/45CElFBV2tVnzJAaLArP" TargetMode="External"/><Relationship Id="rId4805" Type="http://schemas.openxmlformats.org/officeDocument/2006/relationships/hyperlink" Target="https://talan.bank.gov.ua/get-user-certificate/45CElKgYfgqhyfh4rJsz" TargetMode="External"/><Relationship Id="rId675" Type="http://schemas.openxmlformats.org/officeDocument/2006/relationships/hyperlink" Target="https://talan.bank.gov.ua/get-user-certificate/45CElA85ZydQi_kszlsH" TargetMode="External"/><Relationship Id="rId2356" Type="http://schemas.openxmlformats.org/officeDocument/2006/relationships/hyperlink" Target="https://talan.bank.gov.ua/get-user-certificate/45CEl0jlIyieOTjb8pJc" TargetMode="External"/><Relationship Id="rId2770" Type="http://schemas.openxmlformats.org/officeDocument/2006/relationships/hyperlink" Target="https://talan.bank.gov.ua/get-user-certificate/45CEl19n6JyGmfWne8BA" TargetMode="External"/><Relationship Id="rId3407" Type="http://schemas.openxmlformats.org/officeDocument/2006/relationships/hyperlink" Target="https://talan.bank.gov.ua/get-user-certificate/45CEldj3KIaVzfSDtKgX" TargetMode="External"/><Relationship Id="rId3821" Type="http://schemas.openxmlformats.org/officeDocument/2006/relationships/hyperlink" Target="https://talan.bank.gov.ua/get-user-certificate/45CElQceaZ9J4PkASANh" TargetMode="External"/><Relationship Id="rId328" Type="http://schemas.openxmlformats.org/officeDocument/2006/relationships/hyperlink" Target="https://talan.bank.gov.ua/get-user-certificate/45CElkkCUYw9j3TFcpHJ" TargetMode="External"/><Relationship Id="rId742" Type="http://schemas.openxmlformats.org/officeDocument/2006/relationships/hyperlink" Target="https://talan.bank.gov.ua/get-user-certificate/45CElwnucQ7K8LAopYbC" TargetMode="External"/><Relationship Id="rId1372" Type="http://schemas.openxmlformats.org/officeDocument/2006/relationships/hyperlink" Target="https://talan.bank.gov.ua/get-user-certificate/45CElzuG82xPVq3CczPE" TargetMode="External"/><Relationship Id="rId2009" Type="http://schemas.openxmlformats.org/officeDocument/2006/relationships/hyperlink" Target="https://talan.bank.gov.ua/get-user-certificate/45CEl9BlGPH1YlzOl32y" TargetMode="External"/><Relationship Id="rId2423" Type="http://schemas.openxmlformats.org/officeDocument/2006/relationships/hyperlink" Target="https://talan.bank.gov.ua/get-user-certificate/45CEl2bKEWnTZCZaaT_p" TargetMode="External"/><Relationship Id="rId1025" Type="http://schemas.openxmlformats.org/officeDocument/2006/relationships/hyperlink" Target="https://talan.bank.gov.ua/get-user-certificate/45CElDb5nVbKSg11SkOW" TargetMode="External"/><Relationship Id="rId4595" Type="http://schemas.openxmlformats.org/officeDocument/2006/relationships/hyperlink" Target="https://talan.bank.gov.ua/get-user-certificate/45CElH6Bh8spNZ8CwkFz" TargetMode="External"/><Relationship Id="rId3197" Type="http://schemas.openxmlformats.org/officeDocument/2006/relationships/hyperlink" Target="https://talan.bank.gov.ua/get-user-certificate/45CElWrIyXNZQp1h7WhO" TargetMode="External"/><Relationship Id="rId4248" Type="http://schemas.openxmlformats.org/officeDocument/2006/relationships/hyperlink" Target="https://talan.bank.gov.ua/get-user-certificate/45CEl27sgZ7uDQLI3mGS" TargetMode="External"/><Relationship Id="rId4662" Type="http://schemas.openxmlformats.org/officeDocument/2006/relationships/hyperlink" Target="https://talan.bank.gov.ua/get-user-certificate/45CElKr2abWXa-U75KsZ" TargetMode="External"/><Relationship Id="rId185" Type="http://schemas.openxmlformats.org/officeDocument/2006/relationships/hyperlink" Target="https://talan.bank.gov.ua/get-user-certificate/45CEl8wTPBlUQYiLZTUU" TargetMode="External"/><Relationship Id="rId1909" Type="http://schemas.openxmlformats.org/officeDocument/2006/relationships/hyperlink" Target="https://talan.bank.gov.ua/get-user-certificate/45CEldnMGO03Gy2zVXDw" TargetMode="External"/><Relationship Id="rId3264" Type="http://schemas.openxmlformats.org/officeDocument/2006/relationships/hyperlink" Target="https://talan.bank.gov.ua/get-user-certificate/45CElVVfbc3kd0r-WCig" TargetMode="External"/><Relationship Id="rId4315" Type="http://schemas.openxmlformats.org/officeDocument/2006/relationships/hyperlink" Target="https://talan.bank.gov.ua/get-user-certificate/45CElnIiF58JR9AEnjJQ" TargetMode="External"/><Relationship Id="rId2280" Type="http://schemas.openxmlformats.org/officeDocument/2006/relationships/hyperlink" Target="https://talan.bank.gov.ua/get-user-certificate/45CEl6e0yGNJODHq44nw" TargetMode="External"/><Relationship Id="rId3331" Type="http://schemas.openxmlformats.org/officeDocument/2006/relationships/hyperlink" Target="https://talan.bank.gov.ua/get-user-certificate/45CElibPfVkTDVYynqfS" TargetMode="External"/><Relationship Id="rId252" Type="http://schemas.openxmlformats.org/officeDocument/2006/relationships/hyperlink" Target="https://talan.bank.gov.ua/get-user-certificate/45CElH4nGYO3NgdLyMUG" TargetMode="External"/><Relationship Id="rId1699" Type="http://schemas.openxmlformats.org/officeDocument/2006/relationships/hyperlink" Target="https://talan.bank.gov.ua/get-user-certificate/45CElJb9di40RP49jmQA" TargetMode="External"/><Relationship Id="rId2000" Type="http://schemas.openxmlformats.org/officeDocument/2006/relationships/hyperlink" Target="https://talan.bank.gov.ua/get-user-certificate/45CElTbBLtemyVH4Qnu5" TargetMode="External"/><Relationship Id="rId4172" Type="http://schemas.openxmlformats.org/officeDocument/2006/relationships/hyperlink" Target="https://talan.bank.gov.ua/get-user-certificate/45CElA0Bz-HAxyayRKfu" TargetMode="External"/><Relationship Id="rId1766" Type="http://schemas.openxmlformats.org/officeDocument/2006/relationships/hyperlink" Target="https://talan.bank.gov.ua/get-user-certificate/45CElu7PX4flGGY0e_LV" TargetMode="External"/><Relationship Id="rId2817" Type="http://schemas.openxmlformats.org/officeDocument/2006/relationships/hyperlink" Target="https://talan.bank.gov.ua/get-user-certificate/45CEl2gA8rAWF4daO60f" TargetMode="External"/><Relationship Id="rId58" Type="http://schemas.openxmlformats.org/officeDocument/2006/relationships/hyperlink" Target="https://talan.bank.gov.ua/get-user-certificate/45CElENHX5gheQ-ATXzx" TargetMode="External"/><Relationship Id="rId1419" Type="http://schemas.openxmlformats.org/officeDocument/2006/relationships/hyperlink" Target="https://talan.bank.gov.ua/get-user-certificate/45CEl6XPSFwV2URxKjNE" TargetMode="External"/><Relationship Id="rId1833" Type="http://schemas.openxmlformats.org/officeDocument/2006/relationships/hyperlink" Target="https://talan.bank.gov.ua/get-user-certificate/45CElVURZLiOCufa2huq" TargetMode="External"/><Relationship Id="rId4989" Type="http://schemas.openxmlformats.org/officeDocument/2006/relationships/hyperlink" Target="https://talan.bank.gov.ua/get-user-certificate/ki8TnoTgRJJWBmv2Wsgz" TargetMode="External"/><Relationship Id="rId1900" Type="http://schemas.openxmlformats.org/officeDocument/2006/relationships/hyperlink" Target="https://talan.bank.gov.ua/get-user-certificate/45CElOWZbE143HShDkDl" TargetMode="External"/><Relationship Id="rId3658" Type="http://schemas.openxmlformats.org/officeDocument/2006/relationships/hyperlink" Target="https://talan.bank.gov.ua/get-user-certificate/45CEleVmB0SPM2r5iZ3K" TargetMode="External"/><Relationship Id="rId4709" Type="http://schemas.openxmlformats.org/officeDocument/2006/relationships/hyperlink" Target="https://talan.bank.gov.ua/get-user-certificate/45CElP74m-yRLBEV246F" TargetMode="External"/><Relationship Id="rId579" Type="http://schemas.openxmlformats.org/officeDocument/2006/relationships/hyperlink" Target="https://talan.bank.gov.ua/get-user-certificate/45CElLmhIJxZ3Wyu-W0K" TargetMode="External"/><Relationship Id="rId993" Type="http://schemas.openxmlformats.org/officeDocument/2006/relationships/hyperlink" Target="https://talan.bank.gov.ua/get-user-certificate/45CEls0g_XHVcvVYcXS6" TargetMode="External"/><Relationship Id="rId2674" Type="http://schemas.openxmlformats.org/officeDocument/2006/relationships/hyperlink" Target="https://talan.bank.gov.ua/get-user-certificate/45CElJrbuWOo9KTdcZXw" TargetMode="External"/><Relationship Id="rId646" Type="http://schemas.openxmlformats.org/officeDocument/2006/relationships/hyperlink" Target="https://talan.bank.gov.ua/get-user-certificate/45CEl9ypwy1FUOSxQTCp" TargetMode="External"/><Relationship Id="rId1276" Type="http://schemas.openxmlformats.org/officeDocument/2006/relationships/hyperlink" Target="https://talan.bank.gov.ua/get-user-certificate/45CElRc_dtjI28pDSMDM" TargetMode="External"/><Relationship Id="rId2327" Type="http://schemas.openxmlformats.org/officeDocument/2006/relationships/hyperlink" Target="https://talan.bank.gov.ua/get-user-certificate/45CElbNX5k72y9NOLcmz" TargetMode="External"/><Relationship Id="rId3725" Type="http://schemas.openxmlformats.org/officeDocument/2006/relationships/hyperlink" Target="https://talan.bank.gov.ua/get-user-certificate/45CElDFebu3O5q8Mfx9j" TargetMode="External"/><Relationship Id="rId1690" Type="http://schemas.openxmlformats.org/officeDocument/2006/relationships/hyperlink" Target="https://talan.bank.gov.ua/get-user-certificate/45CElErijQ1irkuVuyOH" TargetMode="External"/><Relationship Id="rId2741" Type="http://schemas.openxmlformats.org/officeDocument/2006/relationships/hyperlink" Target="https://talan.bank.gov.ua/get-user-certificate/45CElK5T0FBXm1WE3tEf" TargetMode="External"/><Relationship Id="rId713" Type="http://schemas.openxmlformats.org/officeDocument/2006/relationships/hyperlink" Target="https://talan.bank.gov.ua/get-user-certificate/45CElm1eYXgfg3BUvcBV" TargetMode="External"/><Relationship Id="rId1343" Type="http://schemas.openxmlformats.org/officeDocument/2006/relationships/hyperlink" Target="https://talan.bank.gov.ua/get-user-certificate/45CElfxpUq1m9hjUKHN9" TargetMode="External"/><Relationship Id="rId4499" Type="http://schemas.openxmlformats.org/officeDocument/2006/relationships/hyperlink" Target="https://talan.bank.gov.ua/get-user-certificate/45CElSnc0JmzWhjUMKt8" TargetMode="External"/><Relationship Id="rId1410" Type="http://schemas.openxmlformats.org/officeDocument/2006/relationships/hyperlink" Target="https://talan.bank.gov.ua/get-user-certificate/45CElpVkDXTOkqYMe5tT" TargetMode="External"/><Relationship Id="rId4566" Type="http://schemas.openxmlformats.org/officeDocument/2006/relationships/hyperlink" Target="https://talan.bank.gov.ua/get-user-certificate/45CElckCLY2HxbGsFpma" TargetMode="External"/><Relationship Id="rId4980" Type="http://schemas.openxmlformats.org/officeDocument/2006/relationships/hyperlink" Target="https://talan.bank.gov.ua/get-user-certificate/45CEl58rA73Ma_y8pjU6" TargetMode="External"/><Relationship Id="rId3168" Type="http://schemas.openxmlformats.org/officeDocument/2006/relationships/hyperlink" Target="https://talan.bank.gov.ua/get-user-certificate/45CElxKHi9gz11LWvO8L" TargetMode="External"/><Relationship Id="rId3582" Type="http://schemas.openxmlformats.org/officeDocument/2006/relationships/hyperlink" Target="https://talan.bank.gov.ua/get-user-certificate/45CElW9MvpVWv6WgEDwR" TargetMode="External"/><Relationship Id="rId4219" Type="http://schemas.openxmlformats.org/officeDocument/2006/relationships/hyperlink" Target="https://talan.bank.gov.ua/get-user-certificate/45CEl1Ihd_IbXtzeDt6J" TargetMode="External"/><Relationship Id="rId4633" Type="http://schemas.openxmlformats.org/officeDocument/2006/relationships/hyperlink" Target="https://talan.bank.gov.ua/get-user-certificate/45CEltl-u-5RyzPL1P9Q" TargetMode="External"/><Relationship Id="rId2184" Type="http://schemas.openxmlformats.org/officeDocument/2006/relationships/hyperlink" Target="https://talan.bank.gov.ua/get-user-certificate/45CEl0MN9pMYg8NPMZx3" TargetMode="External"/><Relationship Id="rId3235" Type="http://schemas.openxmlformats.org/officeDocument/2006/relationships/hyperlink" Target="https://talan.bank.gov.ua/get-user-certificate/45CElzLe4FdHTl7IpT94" TargetMode="External"/><Relationship Id="rId156" Type="http://schemas.openxmlformats.org/officeDocument/2006/relationships/hyperlink" Target="https://talan.bank.gov.ua/get-user-certificate/45CElqQfKzGHZVR5cirU" TargetMode="External"/><Relationship Id="rId570" Type="http://schemas.openxmlformats.org/officeDocument/2006/relationships/hyperlink" Target="https://talan.bank.gov.ua/get-user-certificate/45CElVYNAubNQ_FVHEfd" TargetMode="External"/><Relationship Id="rId2251" Type="http://schemas.openxmlformats.org/officeDocument/2006/relationships/hyperlink" Target="https://talan.bank.gov.ua/get-user-certificate/45CElelqgiQ0Od12JX1y" TargetMode="External"/><Relationship Id="rId3302" Type="http://schemas.openxmlformats.org/officeDocument/2006/relationships/hyperlink" Target="https://talan.bank.gov.ua/get-user-certificate/45CElG2xjBSHND3D_0Qp" TargetMode="External"/><Relationship Id="rId4700" Type="http://schemas.openxmlformats.org/officeDocument/2006/relationships/hyperlink" Target="https://talan.bank.gov.ua/get-user-certificate/45CElrQFd3OUIPi1oj1M" TargetMode="External"/><Relationship Id="rId223" Type="http://schemas.openxmlformats.org/officeDocument/2006/relationships/hyperlink" Target="https://talan.bank.gov.ua/get-user-certificate/45CElcn5P3atDNjBBVXF" TargetMode="External"/><Relationship Id="rId4076" Type="http://schemas.openxmlformats.org/officeDocument/2006/relationships/hyperlink" Target="https://talan.bank.gov.ua/get-user-certificate/45CElt6Q-Qyc9rZC-tdz" TargetMode="External"/><Relationship Id="rId4490" Type="http://schemas.openxmlformats.org/officeDocument/2006/relationships/hyperlink" Target="https://talan.bank.gov.ua/get-user-certificate/45CEl3WZlpvsqISUh4GQ" TargetMode="External"/><Relationship Id="rId1737" Type="http://schemas.openxmlformats.org/officeDocument/2006/relationships/hyperlink" Target="https://talan.bank.gov.ua/get-user-certificate/45CElksJwzTv7j8vnjeU" TargetMode="External"/><Relationship Id="rId3092" Type="http://schemas.openxmlformats.org/officeDocument/2006/relationships/hyperlink" Target="https://talan.bank.gov.ua/get-user-certificate/45CElrjZFmbccmLDSc1l" TargetMode="External"/><Relationship Id="rId4143" Type="http://schemas.openxmlformats.org/officeDocument/2006/relationships/hyperlink" Target="https://talan.bank.gov.ua/get-user-certificate/45CElEr8AFp30zpUjIBN" TargetMode="External"/><Relationship Id="rId29" Type="http://schemas.openxmlformats.org/officeDocument/2006/relationships/hyperlink" Target="https://talan.bank.gov.ua/get-user-certificate/45CElLBOKKRj18B-0qhL" TargetMode="External"/><Relationship Id="rId4210" Type="http://schemas.openxmlformats.org/officeDocument/2006/relationships/hyperlink" Target="https://talan.bank.gov.ua/get-user-certificate/45CElwE8gCp9ImYQXZNB" TargetMode="External"/><Relationship Id="rId1804" Type="http://schemas.openxmlformats.org/officeDocument/2006/relationships/hyperlink" Target="https://talan.bank.gov.ua/get-user-certificate/45CElAa529wKc0c6rPEJ" TargetMode="External"/><Relationship Id="rId3976" Type="http://schemas.openxmlformats.org/officeDocument/2006/relationships/hyperlink" Target="https://talan.bank.gov.ua/get-user-certificate/45CElsecf45CNEL8e_Sh" TargetMode="External"/><Relationship Id="rId897" Type="http://schemas.openxmlformats.org/officeDocument/2006/relationships/hyperlink" Target="https://talan.bank.gov.ua/get-user-certificate/45CElh8EFrYNwsm40QZF" TargetMode="External"/><Relationship Id="rId2578" Type="http://schemas.openxmlformats.org/officeDocument/2006/relationships/hyperlink" Target="https://talan.bank.gov.ua/get-user-certificate/45CElgC4CQKO43uFg7dj" TargetMode="External"/><Relationship Id="rId2992" Type="http://schemas.openxmlformats.org/officeDocument/2006/relationships/hyperlink" Target="https://talan.bank.gov.ua/get-user-certificate/45CElx9gAeXs9xbLvR_N" TargetMode="External"/><Relationship Id="rId3629" Type="http://schemas.openxmlformats.org/officeDocument/2006/relationships/hyperlink" Target="https://talan.bank.gov.ua/get-user-certificate/45CElWeNlgQc712pl8Rl" TargetMode="External"/><Relationship Id="rId964" Type="http://schemas.openxmlformats.org/officeDocument/2006/relationships/hyperlink" Target="https://talan.bank.gov.ua/get-user-certificate/45CElqy-uvbPN151ZRf_" TargetMode="External"/><Relationship Id="rId1594" Type="http://schemas.openxmlformats.org/officeDocument/2006/relationships/hyperlink" Target="https://talan.bank.gov.ua/get-user-certificate/45CElc2k1qeIxoNHoAUn" TargetMode="External"/><Relationship Id="rId2645" Type="http://schemas.openxmlformats.org/officeDocument/2006/relationships/hyperlink" Target="https://talan.bank.gov.ua/get-user-certificate/45CElt-zgKIdnW30zLRY" TargetMode="External"/><Relationship Id="rId617" Type="http://schemas.openxmlformats.org/officeDocument/2006/relationships/hyperlink" Target="https://talan.bank.gov.ua/get-user-certificate/45CElKTaT5fRw9Cbt9J_" TargetMode="External"/><Relationship Id="rId1247" Type="http://schemas.openxmlformats.org/officeDocument/2006/relationships/hyperlink" Target="https://talan.bank.gov.ua/get-user-certificate/45CElvCFbF2UUbGwq008" TargetMode="External"/><Relationship Id="rId1661" Type="http://schemas.openxmlformats.org/officeDocument/2006/relationships/hyperlink" Target="https://talan.bank.gov.ua/get-user-certificate/45CElTwsFyD8-S-wVcRr" TargetMode="External"/><Relationship Id="rId2712" Type="http://schemas.openxmlformats.org/officeDocument/2006/relationships/hyperlink" Target="https://talan.bank.gov.ua/get-user-certificate/45CElF9IPuFnnPDgQSHs" TargetMode="External"/><Relationship Id="rId1314" Type="http://schemas.openxmlformats.org/officeDocument/2006/relationships/hyperlink" Target="https://talan.bank.gov.ua/get-user-certificate/45CElkvjkAwMTt7VSWW7" TargetMode="External"/><Relationship Id="rId4884" Type="http://schemas.openxmlformats.org/officeDocument/2006/relationships/hyperlink" Target="https://talan.bank.gov.ua/get-user-certificate/45CElJ3nSWrf1aQVSDdo" TargetMode="External"/><Relationship Id="rId3486" Type="http://schemas.openxmlformats.org/officeDocument/2006/relationships/hyperlink" Target="https://talan.bank.gov.ua/get-user-certificate/45CElQJfGDaWKpsVzIbl" TargetMode="External"/><Relationship Id="rId4537" Type="http://schemas.openxmlformats.org/officeDocument/2006/relationships/hyperlink" Target="https://talan.bank.gov.ua/get-user-certificate/45CElYOuaHsHo4zOC0ai" TargetMode="External"/><Relationship Id="rId20" Type="http://schemas.openxmlformats.org/officeDocument/2006/relationships/hyperlink" Target="https://talan.bank.gov.ua/get-user-certificate/45CElv_s3Hf5Q1GW3ILL" TargetMode="External"/><Relationship Id="rId2088" Type="http://schemas.openxmlformats.org/officeDocument/2006/relationships/hyperlink" Target="https://talan.bank.gov.ua/get-user-certificate/45CEl85iQ1doXqQvgBdH" TargetMode="External"/><Relationship Id="rId3139" Type="http://schemas.openxmlformats.org/officeDocument/2006/relationships/hyperlink" Target="https://talan.bank.gov.ua/get-user-certificate/45CEl7eSpC5Ud-02tIbe" TargetMode="External"/><Relationship Id="rId4951" Type="http://schemas.openxmlformats.org/officeDocument/2006/relationships/hyperlink" Target="https://talan.bank.gov.ua/get-user-certificate/45CElvxait7Y1mUGw45G" TargetMode="External"/><Relationship Id="rId474" Type="http://schemas.openxmlformats.org/officeDocument/2006/relationships/hyperlink" Target="https://talan.bank.gov.ua/get-user-certificate/45CElI_peMzk25usI40h" TargetMode="External"/><Relationship Id="rId2155" Type="http://schemas.openxmlformats.org/officeDocument/2006/relationships/hyperlink" Target="https://talan.bank.gov.ua/get-user-certificate/45CEltOdZgCKI8W78EcZ" TargetMode="External"/><Relationship Id="rId3553" Type="http://schemas.openxmlformats.org/officeDocument/2006/relationships/hyperlink" Target="https://talan.bank.gov.ua/get-user-certificate/45CElcq5oEXmLcgYZ9XF" TargetMode="External"/><Relationship Id="rId4604" Type="http://schemas.openxmlformats.org/officeDocument/2006/relationships/hyperlink" Target="https://talan.bank.gov.ua/get-user-certificate/45CElDbqc1DHYuAGGo8B" TargetMode="External"/><Relationship Id="rId127" Type="http://schemas.openxmlformats.org/officeDocument/2006/relationships/hyperlink" Target="https://talan.bank.gov.ua/get-user-certificate/45CEld5SvVB07SQURWI7" TargetMode="External"/><Relationship Id="rId3206" Type="http://schemas.openxmlformats.org/officeDocument/2006/relationships/hyperlink" Target="https://talan.bank.gov.ua/get-user-certificate/45CEl7X-r2PL2EeimplS" TargetMode="External"/><Relationship Id="rId3620" Type="http://schemas.openxmlformats.org/officeDocument/2006/relationships/hyperlink" Target="https://talan.bank.gov.ua/get-user-certificate/45CEl3tNjKhWQ-of-vQQ" TargetMode="External"/><Relationship Id="rId541" Type="http://schemas.openxmlformats.org/officeDocument/2006/relationships/hyperlink" Target="https://talan.bank.gov.ua/get-user-certificate/45CEl6-VuXLhUfkJWQt-" TargetMode="External"/><Relationship Id="rId1171" Type="http://schemas.openxmlformats.org/officeDocument/2006/relationships/hyperlink" Target="https://talan.bank.gov.ua/get-user-certificate/45CElvQpXyZVthmjKtc6" TargetMode="External"/><Relationship Id="rId2222" Type="http://schemas.openxmlformats.org/officeDocument/2006/relationships/hyperlink" Target="https://talan.bank.gov.ua/get-user-certificate/45CEl6S0v2DO7VEQE2v_" TargetMode="External"/><Relationship Id="rId1988" Type="http://schemas.openxmlformats.org/officeDocument/2006/relationships/hyperlink" Target="https://talan.bank.gov.ua/get-user-certificate/45CElACpPvit9YlaO7t7" TargetMode="External"/><Relationship Id="rId4394" Type="http://schemas.openxmlformats.org/officeDocument/2006/relationships/hyperlink" Target="https://talan.bank.gov.ua/get-user-certificate/45CElIsdIpaQS5ozCYuu" TargetMode="External"/><Relationship Id="rId4047" Type="http://schemas.openxmlformats.org/officeDocument/2006/relationships/hyperlink" Target="https://talan.bank.gov.ua/get-user-certificate/45CElDhodDkUcuFZH1iy" TargetMode="External"/><Relationship Id="rId4461" Type="http://schemas.openxmlformats.org/officeDocument/2006/relationships/hyperlink" Target="https://talan.bank.gov.ua/get-user-certificate/45CElJcX91eb5ixzPzld" TargetMode="External"/><Relationship Id="rId3063" Type="http://schemas.openxmlformats.org/officeDocument/2006/relationships/hyperlink" Target="https://talan.bank.gov.ua/get-user-certificate/45CElLyVSC5ao8zOQiGI" TargetMode="External"/><Relationship Id="rId4114" Type="http://schemas.openxmlformats.org/officeDocument/2006/relationships/hyperlink" Target="https://talan.bank.gov.ua/get-user-certificate/45CElNN4PJRDpKVNk5NU" TargetMode="External"/><Relationship Id="rId1708" Type="http://schemas.openxmlformats.org/officeDocument/2006/relationships/hyperlink" Target="https://talan.bank.gov.ua/get-user-certificate/45CElVS2xsO1_JHzJLYD" TargetMode="External"/><Relationship Id="rId3130" Type="http://schemas.openxmlformats.org/officeDocument/2006/relationships/hyperlink" Target="https://talan.bank.gov.ua/get-user-certificate/45CEl6gnURjiVgq3kOu1" TargetMode="External"/><Relationship Id="rId2896" Type="http://schemas.openxmlformats.org/officeDocument/2006/relationships/hyperlink" Target="https://talan.bank.gov.ua/get-user-certificate/45CElwo7MJYgH9Dx6jyS" TargetMode="External"/><Relationship Id="rId3947" Type="http://schemas.openxmlformats.org/officeDocument/2006/relationships/hyperlink" Target="https://talan.bank.gov.ua/get-user-certificate/45CElkaitqBZUQGlwnpJ" TargetMode="External"/><Relationship Id="rId868" Type="http://schemas.openxmlformats.org/officeDocument/2006/relationships/hyperlink" Target="https://talan.bank.gov.ua/get-user-certificate/45CElJ1IAIqKLOjWrIfv" TargetMode="External"/><Relationship Id="rId1498" Type="http://schemas.openxmlformats.org/officeDocument/2006/relationships/hyperlink" Target="https://talan.bank.gov.ua/get-user-certificate/45CElXLgC8gqajozT4Va" TargetMode="External"/><Relationship Id="rId2549" Type="http://schemas.openxmlformats.org/officeDocument/2006/relationships/hyperlink" Target="https://talan.bank.gov.ua/get-user-certificate/45CElBZ3VHWnLgDaYmnC" TargetMode="External"/><Relationship Id="rId2963" Type="http://schemas.openxmlformats.org/officeDocument/2006/relationships/hyperlink" Target="https://talan.bank.gov.ua/get-user-certificate/45CEl_Lu3HXhrDYngzZ8" TargetMode="External"/><Relationship Id="rId935" Type="http://schemas.openxmlformats.org/officeDocument/2006/relationships/hyperlink" Target="https://talan.bank.gov.ua/get-user-certificate/45CElfm6vIiHkXG2y8cw" TargetMode="External"/><Relationship Id="rId1565" Type="http://schemas.openxmlformats.org/officeDocument/2006/relationships/hyperlink" Target="https://talan.bank.gov.ua/get-user-certificate/45CElmw5g3T8Wu6L0aOe" TargetMode="External"/><Relationship Id="rId2616" Type="http://schemas.openxmlformats.org/officeDocument/2006/relationships/hyperlink" Target="https://talan.bank.gov.ua/get-user-certificate/45CEl3K1gJNq0WI652vf" TargetMode="External"/><Relationship Id="rId5022" Type="http://schemas.openxmlformats.org/officeDocument/2006/relationships/hyperlink" Target="https://talan.bank.gov.ua/get-user-certificate/ki8Tn0DplEQGmS7dJscC" TargetMode="External"/><Relationship Id="rId1218" Type="http://schemas.openxmlformats.org/officeDocument/2006/relationships/hyperlink" Target="https://talan.bank.gov.ua/get-user-certificate/45CElhQ6-SKFJ5MAsveU" TargetMode="External"/><Relationship Id="rId1632" Type="http://schemas.openxmlformats.org/officeDocument/2006/relationships/hyperlink" Target="https://talan.bank.gov.ua/get-user-certificate/45CElotx9YHfohftzI8p" TargetMode="External"/><Relationship Id="rId4788" Type="http://schemas.openxmlformats.org/officeDocument/2006/relationships/hyperlink" Target="https://talan.bank.gov.ua/get-user-certificate/45CEllxWwkf9lKX7ngim" TargetMode="External"/><Relationship Id="rId4855" Type="http://schemas.openxmlformats.org/officeDocument/2006/relationships/hyperlink" Target="https://talan.bank.gov.ua/get-user-certificate/45CEl7xRf814NpyJdZ6N" TargetMode="External"/><Relationship Id="rId3457" Type="http://schemas.openxmlformats.org/officeDocument/2006/relationships/hyperlink" Target="https://talan.bank.gov.ua/get-user-certificate/45CElw5MeQQ93YZoDnpv" TargetMode="External"/><Relationship Id="rId3871" Type="http://schemas.openxmlformats.org/officeDocument/2006/relationships/hyperlink" Target="https://talan.bank.gov.ua/get-user-certificate/45CElMl0sBs653J32o6p" TargetMode="External"/><Relationship Id="rId4508" Type="http://schemas.openxmlformats.org/officeDocument/2006/relationships/hyperlink" Target="https://talan.bank.gov.ua/get-user-certificate/45CElWNaD1xIp7ifkv_C" TargetMode="External"/><Relationship Id="rId4922" Type="http://schemas.openxmlformats.org/officeDocument/2006/relationships/hyperlink" Target="https://talan.bank.gov.ua/get-user-certificate/45CEl_P7FXEvzl0-URzs" TargetMode="External"/><Relationship Id="rId378" Type="http://schemas.openxmlformats.org/officeDocument/2006/relationships/hyperlink" Target="https://talan.bank.gov.ua/get-user-certificate/45CElq9P6Ph12edNpZN5" TargetMode="External"/><Relationship Id="rId792" Type="http://schemas.openxmlformats.org/officeDocument/2006/relationships/hyperlink" Target="https://talan.bank.gov.ua/get-user-certificate/45CEljuPy5IZ1CQfPTnF" TargetMode="External"/><Relationship Id="rId2059" Type="http://schemas.openxmlformats.org/officeDocument/2006/relationships/hyperlink" Target="https://talan.bank.gov.ua/get-user-certificate/45CElxmEM9f-FsunZREa" TargetMode="External"/><Relationship Id="rId2473" Type="http://schemas.openxmlformats.org/officeDocument/2006/relationships/hyperlink" Target="https://talan.bank.gov.ua/get-user-certificate/45CElC7tJElCqq-yrpYh" TargetMode="External"/><Relationship Id="rId3524" Type="http://schemas.openxmlformats.org/officeDocument/2006/relationships/hyperlink" Target="https://talan.bank.gov.ua/get-user-certificate/45CElz_U2qa60gnEl1Nk" TargetMode="External"/><Relationship Id="rId445" Type="http://schemas.openxmlformats.org/officeDocument/2006/relationships/hyperlink" Target="https://talan.bank.gov.ua/get-user-certificate/45CElByOJP1IPMApH4IJ" TargetMode="External"/><Relationship Id="rId1075" Type="http://schemas.openxmlformats.org/officeDocument/2006/relationships/hyperlink" Target="https://talan.bank.gov.ua/get-user-certificate/45CEloAGdt99Q8Afyu4n" TargetMode="External"/><Relationship Id="rId2126" Type="http://schemas.openxmlformats.org/officeDocument/2006/relationships/hyperlink" Target="https://talan.bank.gov.ua/get-user-certificate/45CElw4CiSYJLvN9rvwl" TargetMode="External"/><Relationship Id="rId2540" Type="http://schemas.openxmlformats.org/officeDocument/2006/relationships/hyperlink" Target="https://talan.bank.gov.ua/get-user-certificate/45CElQzKuMjdaQzA7gWn" TargetMode="External"/><Relationship Id="rId512" Type="http://schemas.openxmlformats.org/officeDocument/2006/relationships/hyperlink" Target="https://talan.bank.gov.ua/get-user-certificate/45CElt0t2K5LNDhaqMEb" TargetMode="External"/><Relationship Id="rId1142" Type="http://schemas.openxmlformats.org/officeDocument/2006/relationships/hyperlink" Target="https://talan.bank.gov.ua/get-user-certificate/45CElEXF0nAUZfETp_ja" TargetMode="External"/><Relationship Id="rId4298" Type="http://schemas.openxmlformats.org/officeDocument/2006/relationships/hyperlink" Target="https://talan.bank.gov.ua/get-user-certificate/45CElY4ZsVaHGrYMjubR" TargetMode="External"/><Relationship Id="rId4365" Type="http://schemas.openxmlformats.org/officeDocument/2006/relationships/hyperlink" Target="https://talan.bank.gov.ua/get-user-certificate/45CElS0pby7lAJuyOAhQ" TargetMode="External"/><Relationship Id="rId1959" Type="http://schemas.openxmlformats.org/officeDocument/2006/relationships/hyperlink" Target="https://talan.bank.gov.ua/get-user-certificate/45CElFu1vPcplCvUX3vm" TargetMode="External"/><Relationship Id="rId4018" Type="http://schemas.openxmlformats.org/officeDocument/2006/relationships/hyperlink" Target="https://talan.bank.gov.ua/get-user-certificate/45CEl7m_m1vdRPahGdJQ" TargetMode="External"/><Relationship Id="rId3381" Type="http://schemas.openxmlformats.org/officeDocument/2006/relationships/hyperlink" Target="https://talan.bank.gov.ua/get-user-certificate/45CElhpdAXDCFpp1jY3c" TargetMode="External"/><Relationship Id="rId4432" Type="http://schemas.openxmlformats.org/officeDocument/2006/relationships/hyperlink" Target="https://talan.bank.gov.ua/get-user-certificate/45CEliozlxkX4pj6jBj4" TargetMode="External"/><Relationship Id="rId3034" Type="http://schemas.openxmlformats.org/officeDocument/2006/relationships/hyperlink" Target="https://talan.bank.gov.ua/get-user-certificate/45CEl9AqSig2MSgsf-8l" TargetMode="External"/><Relationship Id="rId2050" Type="http://schemas.openxmlformats.org/officeDocument/2006/relationships/hyperlink" Target="https://talan.bank.gov.ua/get-user-certificate/45CElUM7ucKhVM55jbvt" TargetMode="External"/><Relationship Id="rId3101" Type="http://schemas.openxmlformats.org/officeDocument/2006/relationships/hyperlink" Target="https://talan.bank.gov.ua/get-user-certificate/45CEl74bLuDGkVoTeQ_R" TargetMode="External"/><Relationship Id="rId839" Type="http://schemas.openxmlformats.org/officeDocument/2006/relationships/hyperlink" Target="https://talan.bank.gov.ua/get-user-certificate/45CEl6PTMrMDmEn-wzOx" TargetMode="External"/><Relationship Id="rId1469" Type="http://schemas.openxmlformats.org/officeDocument/2006/relationships/hyperlink" Target="https://talan.bank.gov.ua/get-user-certificate/45CElJ499PnGLO3dHULL" TargetMode="External"/><Relationship Id="rId2867" Type="http://schemas.openxmlformats.org/officeDocument/2006/relationships/hyperlink" Target="https://talan.bank.gov.ua/get-user-certificate/45CEl7LQjsl0BQVHLeug" TargetMode="External"/><Relationship Id="rId3918" Type="http://schemas.openxmlformats.org/officeDocument/2006/relationships/hyperlink" Target="https://talan.bank.gov.ua/get-user-certificate/45CElGcIfrQJS2hKMNZc" TargetMode="External"/><Relationship Id="rId1883" Type="http://schemas.openxmlformats.org/officeDocument/2006/relationships/hyperlink" Target="https://talan.bank.gov.ua/get-user-certificate/45CElGb6m58n6DWRKe_1" TargetMode="External"/><Relationship Id="rId2934" Type="http://schemas.openxmlformats.org/officeDocument/2006/relationships/hyperlink" Target="https://talan.bank.gov.ua/get-user-certificate/45CEl2av6buYZigFD-lS" TargetMode="External"/><Relationship Id="rId906" Type="http://schemas.openxmlformats.org/officeDocument/2006/relationships/hyperlink" Target="https://talan.bank.gov.ua/get-user-certificate/45CElg5kd0KUDAfthnVz" TargetMode="External"/><Relationship Id="rId1536" Type="http://schemas.openxmlformats.org/officeDocument/2006/relationships/hyperlink" Target="https://talan.bank.gov.ua/get-user-certificate/45CElIQJU_ouQfyxGfBS" TargetMode="External"/><Relationship Id="rId1950" Type="http://schemas.openxmlformats.org/officeDocument/2006/relationships/hyperlink" Target="https://talan.bank.gov.ua/get-user-certificate/45CEllpQcD_h0limH9PG" TargetMode="External"/><Relationship Id="rId1603" Type="http://schemas.openxmlformats.org/officeDocument/2006/relationships/hyperlink" Target="https://talan.bank.gov.ua/get-user-certificate/45CEl45W-vjh0aYJRsts" TargetMode="External"/><Relationship Id="rId4759" Type="http://schemas.openxmlformats.org/officeDocument/2006/relationships/hyperlink" Target="https://talan.bank.gov.ua/get-user-certificate/45CElBLt-4-lxyzqd1d-" TargetMode="External"/><Relationship Id="rId3775" Type="http://schemas.openxmlformats.org/officeDocument/2006/relationships/hyperlink" Target="https://talan.bank.gov.ua/get-user-certificate/45CElHMinQT4r00u93ma" TargetMode="External"/><Relationship Id="rId4826" Type="http://schemas.openxmlformats.org/officeDocument/2006/relationships/hyperlink" Target="https://talan.bank.gov.ua/get-user-certificate/45CElbh2e20zPrFWPCHr" TargetMode="External"/><Relationship Id="rId696" Type="http://schemas.openxmlformats.org/officeDocument/2006/relationships/hyperlink" Target="https://talan.bank.gov.ua/get-user-certificate/45CElovmgYbU7H_QbWv1" TargetMode="External"/><Relationship Id="rId2377" Type="http://schemas.openxmlformats.org/officeDocument/2006/relationships/hyperlink" Target="https://talan.bank.gov.ua/get-user-certificate/45CElmtHdmehX8-Rbxdr" TargetMode="External"/><Relationship Id="rId2791" Type="http://schemas.openxmlformats.org/officeDocument/2006/relationships/hyperlink" Target="https://talan.bank.gov.ua/get-user-certificate/45CEl0IXIAYx6SVo7IA4" TargetMode="External"/><Relationship Id="rId3428" Type="http://schemas.openxmlformats.org/officeDocument/2006/relationships/hyperlink" Target="https://talan.bank.gov.ua/get-user-certificate/45CElHPz7qYfagte1Gnk" TargetMode="External"/><Relationship Id="rId349" Type="http://schemas.openxmlformats.org/officeDocument/2006/relationships/hyperlink" Target="https://talan.bank.gov.ua/get-user-certificate/45CElA76tVKd-SAl0Jvl" TargetMode="External"/><Relationship Id="rId763" Type="http://schemas.openxmlformats.org/officeDocument/2006/relationships/hyperlink" Target="https://talan.bank.gov.ua/get-user-certificate/45CEl9D2UFZkhFptKz_5" TargetMode="External"/><Relationship Id="rId1393" Type="http://schemas.openxmlformats.org/officeDocument/2006/relationships/hyperlink" Target="https://talan.bank.gov.ua/get-user-certificate/45CEllToB-StO4l3zGy8" TargetMode="External"/><Relationship Id="rId2444" Type="http://schemas.openxmlformats.org/officeDocument/2006/relationships/hyperlink" Target="https://talan.bank.gov.ua/get-user-certificate/45CElqmpUyAAlJhpBSO8" TargetMode="External"/><Relationship Id="rId3842" Type="http://schemas.openxmlformats.org/officeDocument/2006/relationships/hyperlink" Target="https://talan.bank.gov.ua/get-user-certificate/45CElXTrfGGxUivkTe_r" TargetMode="External"/><Relationship Id="rId416" Type="http://schemas.openxmlformats.org/officeDocument/2006/relationships/hyperlink" Target="https://talan.bank.gov.ua/get-user-certificate/45CElMe1tnvkGuZ-LTTb" TargetMode="External"/><Relationship Id="rId1046" Type="http://schemas.openxmlformats.org/officeDocument/2006/relationships/hyperlink" Target="https://talan.bank.gov.ua/get-user-certificate/45CElejpbxlxgWIf53wi" TargetMode="External"/><Relationship Id="rId830" Type="http://schemas.openxmlformats.org/officeDocument/2006/relationships/hyperlink" Target="https://talan.bank.gov.ua/get-user-certificate/45CElq4dm-M2HUK2-osC" TargetMode="External"/><Relationship Id="rId1460" Type="http://schemas.openxmlformats.org/officeDocument/2006/relationships/hyperlink" Target="https://talan.bank.gov.ua/get-user-certificate/45CElWniHHExtNPwgPth" TargetMode="External"/><Relationship Id="rId2511" Type="http://schemas.openxmlformats.org/officeDocument/2006/relationships/hyperlink" Target="https://talan.bank.gov.ua/get-user-certificate/45CElyfCIUcm46qtnnas" TargetMode="External"/><Relationship Id="rId1113" Type="http://schemas.openxmlformats.org/officeDocument/2006/relationships/hyperlink" Target="https://talan.bank.gov.ua/get-user-certificate/45CElUab0CFhYdj_nCVR" TargetMode="External"/><Relationship Id="rId4269" Type="http://schemas.openxmlformats.org/officeDocument/2006/relationships/hyperlink" Target="https://talan.bank.gov.ua/get-user-certificate/45CElgmGIdz9fIRwGqcO" TargetMode="External"/><Relationship Id="rId4683" Type="http://schemas.openxmlformats.org/officeDocument/2006/relationships/hyperlink" Target="https://talan.bank.gov.ua/get-user-certificate/45CEl_52TpSwAnKie5Ev" TargetMode="External"/><Relationship Id="rId3285" Type="http://schemas.openxmlformats.org/officeDocument/2006/relationships/hyperlink" Target="https://talan.bank.gov.ua/get-user-certificate/45CEl3qIXuqN94_KD4SQ" TargetMode="External"/><Relationship Id="rId4336" Type="http://schemas.openxmlformats.org/officeDocument/2006/relationships/hyperlink" Target="https://talan.bank.gov.ua/get-user-certificate/45CEl5vQwQb7Sp3ZM1EG" TargetMode="External"/><Relationship Id="rId4750" Type="http://schemas.openxmlformats.org/officeDocument/2006/relationships/hyperlink" Target="https://talan.bank.gov.ua/get-user-certificate/45CEljgpa8tQdIY2Telp" TargetMode="External"/><Relationship Id="rId3352" Type="http://schemas.openxmlformats.org/officeDocument/2006/relationships/hyperlink" Target="https://talan.bank.gov.ua/get-user-certificate/45CEl-N5ORaofO9eKQHS" TargetMode="External"/><Relationship Id="rId4403" Type="http://schemas.openxmlformats.org/officeDocument/2006/relationships/hyperlink" Target="https://talan.bank.gov.ua/get-user-certificate/45CEl2sFAAluUWbwCIS3" TargetMode="External"/><Relationship Id="rId273" Type="http://schemas.openxmlformats.org/officeDocument/2006/relationships/hyperlink" Target="https://talan.bank.gov.ua/get-user-certificate/45CElwxptjpRJu8giNjk" TargetMode="External"/><Relationship Id="rId3005" Type="http://schemas.openxmlformats.org/officeDocument/2006/relationships/hyperlink" Target="https://talan.bank.gov.ua/get-user-certificate/45CElJQGnajf_lASNPv-" TargetMode="External"/><Relationship Id="rId340" Type="http://schemas.openxmlformats.org/officeDocument/2006/relationships/hyperlink" Target="https://talan.bank.gov.ua/get-user-certificate/45CElVwVFeCV3SRQJJTG" TargetMode="External"/><Relationship Id="rId2021" Type="http://schemas.openxmlformats.org/officeDocument/2006/relationships/hyperlink" Target="https://talan.bank.gov.ua/get-user-certificate/45CElj8aJkhmpB2PYT1F" TargetMode="External"/><Relationship Id="rId4193" Type="http://schemas.openxmlformats.org/officeDocument/2006/relationships/hyperlink" Target="https://talan.bank.gov.ua/get-user-certificate/45CElHkWU-9qtTOU_GVt" TargetMode="External"/><Relationship Id="rId1787" Type="http://schemas.openxmlformats.org/officeDocument/2006/relationships/hyperlink" Target="https://talan.bank.gov.ua/get-user-certificate/45CElH3e-fZS-I2c1UtI" TargetMode="External"/><Relationship Id="rId2838" Type="http://schemas.openxmlformats.org/officeDocument/2006/relationships/hyperlink" Target="https://talan.bank.gov.ua/get-user-certificate/45CElZbJVD30dqaqon-S" TargetMode="External"/><Relationship Id="rId79" Type="http://schemas.openxmlformats.org/officeDocument/2006/relationships/hyperlink" Target="https://talan.bank.gov.ua/get-user-certificate/45CEl_qS_vMKn5lI4nA-" TargetMode="External"/><Relationship Id="rId1854" Type="http://schemas.openxmlformats.org/officeDocument/2006/relationships/hyperlink" Target="https://talan.bank.gov.ua/get-user-certificate/45CEl3ur-qwcsb0YtrAc" TargetMode="External"/><Relationship Id="rId2905" Type="http://schemas.openxmlformats.org/officeDocument/2006/relationships/hyperlink" Target="https://talan.bank.gov.ua/get-user-certificate/45CElo0gnvcda9xTBblR" TargetMode="External"/><Relationship Id="rId4260" Type="http://schemas.openxmlformats.org/officeDocument/2006/relationships/hyperlink" Target="https://talan.bank.gov.ua/get-user-certificate/45CElg-agC6SbarTsTe5" TargetMode="External"/><Relationship Id="rId1507" Type="http://schemas.openxmlformats.org/officeDocument/2006/relationships/hyperlink" Target="https://talan.bank.gov.ua/get-user-certificate/45CElYQEO-BE9R4G0Zmj" TargetMode="External"/><Relationship Id="rId1921" Type="http://schemas.openxmlformats.org/officeDocument/2006/relationships/hyperlink" Target="https://talan.bank.gov.ua/get-user-certificate/45CElawNHo77T-0532cS" TargetMode="External"/><Relationship Id="rId3679" Type="http://schemas.openxmlformats.org/officeDocument/2006/relationships/hyperlink" Target="https://talan.bank.gov.ua/get-user-certificate/45CEluf8OIkzkUgWtGPI" TargetMode="External"/><Relationship Id="rId1297" Type="http://schemas.openxmlformats.org/officeDocument/2006/relationships/hyperlink" Target="https://talan.bank.gov.ua/get-user-certificate/45CElnEdCfXHimU6oYuk" TargetMode="External"/><Relationship Id="rId2695" Type="http://schemas.openxmlformats.org/officeDocument/2006/relationships/hyperlink" Target="https://talan.bank.gov.ua/get-user-certificate/45CElGBXSzabXlX48Xdv" TargetMode="External"/><Relationship Id="rId3746" Type="http://schemas.openxmlformats.org/officeDocument/2006/relationships/hyperlink" Target="https://talan.bank.gov.ua/get-user-certificate/45CEl5xYRFEkbGvBt-IV" TargetMode="External"/><Relationship Id="rId667" Type="http://schemas.openxmlformats.org/officeDocument/2006/relationships/hyperlink" Target="https://talan.bank.gov.ua/get-user-certificate/45CEl4etFiZHjvg0j_cp" TargetMode="External"/><Relationship Id="rId2348" Type="http://schemas.openxmlformats.org/officeDocument/2006/relationships/hyperlink" Target="https://talan.bank.gov.ua/get-user-certificate/45CElT1eytD9qEZHETdo" TargetMode="External"/><Relationship Id="rId2762" Type="http://schemas.openxmlformats.org/officeDocument/2006/relationships/hyperlink" Target="https://talan.bank.gov.ua/get-user-certificate/45CElDu88UYgHjx5yz5n" TargetMode="External"/><Relationship Id="rId3813" Type="http://schemas.openxmlformats.org/officeDocument/2006/relationships/hyperlink" Target="https://talan.bank.gov.ua/get-user-certificate/45CElyrc-udfp3m5s2T1" TargetMode="External"/><Relationship Id="rId734" Type="http://schemas.openxmlformats.org/officeDocument/2006/relationships/hyperlink" Target="https://talan.bank.gov.ua/get-user-certificate/45CElI8HP4-Kc9UpCocM" TargetMode="External"/><Relationship Id="rId1364" Type="http://schemas.openxmlformats.org/officeDocument/2006/relationships/hyperlink" Target="https://talan.bank.gov.ua/get-user-certificate/45CElEyNr4bJ-Bv4eiCA" TargetMode="External"/><Relationship Id="rId2415" Type="http://schemas.openxmlformats.org/officeDocument/2006/relationships/hyperlink" Target="https://talan.bank.gov.ua/get-user-certificate/45CEltdOditu0mn5S_Hl" TargetMode="External"/><Relationship Id="rId70" Type="http://schemas.openxmlformats.org/officeDocument/2006/relationships/hyperlink" Target="https://talan.bank.gov.ua/get-user-certificate/45CElm7mmwvTZyzkOyFL" TargetMode="External"/><Relationship Id="rId801" Type="http://schemas.openxmlformats.org/officeDocument/2006/relationships/hyperlink" Target="https://talan.bank.gov.ua/get-user-certificate/45CElzUG3MzPzA-wKcx5" TargetMode="External"/><Relationship Id="rId1017" Type="http://schemas.openxmlformats.org/officeDocument/2006/relationships/hyperlink" Target="https://talan.bank.gov.ua/get-user-certificate/45CEllfjiErzz6E9IlPk" TargetMode="External"/><Relationship Id="rId1431" Type="http://schemas.openxmlformats.org/officeDocument/2006/relationships/hyperlink" Target="https://talan.bank.gov.ua/get-user-certificate/45CElj4fst5LEU_gPDvd" TargetMode="External"/><Relationship Id="rId4587" Type="http://schemas.openxmlformats.org/officeDocument/2006/relationships/hyperlink" Target="https://talan.bank.gov.ua/get-user-certificate/45CEl88-QhGSzE1RtFvw" TargetMode="External"/><Relationship Id="rId3189" Type="http://schemas.openxmlformats.org/officeDocument/2006/relationships/hyperlink" Target="https://talan.bank.gov.ua/get-user-certificate/45CEliks5F324BenqAmq" TargetMode="External"/><Relationship Id="rId4654" Type="http://schemas.openxmlformats.org/officeDocument/2006/relationships/hyperlink" Target="https://talan.bank.gov.ua/get-user-certificate/45CElywD4SD-EJCXaz2B" TargetMode="External"/><Relationship Id="rId3256" Type="http://schemas.openxmlformats.org/officeDocument/2006/relationships/hyperlink" Target="https://talan.bank.gov.ua/get-user-certificate/45CElgfhC1Ze1cukczV0" TargetMode="External"/><Relationship Id="rId4307" Type="http://schemas.openxmlformats.org/officeDocument/2006/relationships/hyperlink" Target="https://talan.bank.gov.ua/get-user-certificate/45CElvZvYS5E29S4Mb-o" TargetMode="External"/><Relationship Id="rId177" Type="http://schemas.openxmlformats.org/officeDocument/2006/relationships/hyperlink" Target="https://talan.bank.gov.ua/get-user-certificate/45CElBZNNRVCuAdjgf8i" TargetMode="External"/><Relationship Id="rId591" Type="http://schemas.openxmlformats.org/officeDocument/2006/relationships/hyperlink" Target="https://talan.bank.gov.ua/get-user-certificate/45CElwwLai-Dqf0i1oy9" TargetMode="External"/><Relationship Id="rId2272" Type="http://schemas.openxmlformats.org/officeDocument/2006/relationships/hyperlink" Target="https://talan.bank.gov.ua/get-user-certificate/45CElfM877nTMiwgDuFj" TargetMode="External"/><Relationship Id="rId3670" Type="http://schemas.openxmlformats.org/officeDocument/2006/relationships/hyperlink" Target="https://talan.bank.gov.ua/get-user-certificate/45CElnWLamF1tqI6Vr1H" TargetMode="External"/><Relationship Id="rId4721" Type="http://schemas.openxmlformats.org/officeDocument/2006/relationships/hyperlink" Target="https://talan.bank.gov.ua/get-user-certificate/45CElWiu7Z1EgNthAojV" TargetMode="External"/><Relationship Id="rId244" Type="http://schemas.openxmlformats.org/officeDocument/2006/relationships/hyperlink" Target="https://talan.bank.gov.ua/get-user-certificate/45CElkLTAlVa316aOts_" TargetMode="External"/><Relationship Id="rId3323" Type="http://schemas.openxmlformats.org/officeDocument/2006/relationships/hyperlink" Target="https://talan.bank.gov.ua/get-user-certificate/45CElQsPilBwQJcS15Pr" TargetMode="External"/><Relationship Id="rId311" Type="http://schemas.openxmlformats.org/officeDocument/2006/relationships/hyperlink" Target="https://talan.bank.gov.ua/get-user-certificate/45CElp_eNyvBgL5iwe7y" TargetMode="External"/><Relationship Id="rId4097" Type="http://schemas.openxmlformats.org/officeDocument/2006/relationships/hyperlink" Target="https://talan.bank.gov.ua/get-user-certificate/45CElamhxKYQSKVBHJUU" TargetMode="External"/><Relationship Id="rId1758" Type="http://schemas.openxmlformats.org/officeDocument/2006/relationships/hyperlink" Target="https://talan.bank.gov.ua/get-user-certificate/45CElViwjWAPSwSfIn4G" TargetMode="External"/><Relationship Id="rId2809" Type="http://schemas.openxmlformats.org/officeDocument/2006/relationships/hyperlink" Target="https://talan.bank.gov.ua/get-user-certificate/45CEl97jveuDr8qH0cxO" TargetMode="External"/><Relationship Id="rId4164" Type="http://schemas.openxmlformats.org/officeDocument/2006/relationships/hyperlink" Target="https://talan.bank.gov.ua/get-user-certificate/45CElAqiR9on5qb8BBTN" TargetMode="External"/><Relationship Id="rId3180" Type="http://schemas.openxmlformats.org/officeDocument/2006/relationships/hyperlink" Target="https://talan.bank.gov.ua/get-user-certificate/45CEls-5l0-qlQ86d0gy" TargetMode="External"/><Relationship Id="rId4231" Type="http://schemas.openxmlformats.org/officeDocument/2006/relationships/hyperlink" Target="https://talan.bank.gov.ua/get-user-certificate/45CEl5el7RcrBf7sEMP-" TargetMode="External"/><Relationship Id="rId1825" Type="http://schemas.openxmlformats.org/officeDocument/2006/relationships/hyperlink" Target="https://talan.bank.gov.ua/get-user-certificate/45CElnCDWjm0dHr0J6A0" TargetMode="External"/><Relationship Id="rId3997" Type="http://schemas.openxmlformats.org/officeDocument/2006/relationships/hyperlink" Target="https://talan.bank.gov.ua/get-user-certificate/45CEl0tuBGPaf1pvn1RZ" TargetMode="External"/><Relationship Id="rId2599" Type="http://schemas.openxmlformats.org/officeDocument/2006/relationships/hyperlink" Target="https://talan.bank.gov.ua/get-user-certificate/45CElSaYXEltj2tA4vNE" TargetMode="External"/><Relationship Id="rId985" Type="http://schemas.openxmlformats.org/officeDocument/2006/relationships/hyperlink" Target="https://talan.bank.gov.ua/get-user-certificate/45CElhAl_GV8StZhjK4a" TargetMode="External"/><Relationship Id="rId2666" Type="http://schemas.openxmlformats.org/officeDocument/2006/relationships/hyperlink" Target="https://talan.bank.gov.ua/get-user-certificate/45CElqE5cAcZe2YtE_8K" TargetMode="External"/><Relationship Id="rId3717" Type="http://schemas.openxmlformats.org/officeDocument/2006/relationships/hyperlink" Target="https://talan.bank.gov.ua/get-user-certificate/45CElcn9rvgg7BT3mAq3" TargetMode="External"/><Relationship Id="rId638" Type="http://schemas.openxmlformats.org/officeDocument/2006/relationships/hyperlink" Target="https://talan.bank.gov.ua/get-user-certificate/45CElDawtKP1cbfSedVU" TargetMode="External"/><Relationship Id="rId1268" Type="http://schemas.openxmlformats.org/officeDocument/2006/relationships/hyperlink" Target="https://talan.bank.gov.ua/get-user-certificate/45CEluuUky_XLUGY5O3c" TargetMode="External"/><Relationship Id="rId1682" Type="http://schemas.openxmlformats.org/officeDocument/2006/relationships/hyperlink" Target="https://talan.bank.gov.ua/get-user-certificate/45CElg7ujeO3gC0E-8lv" TargetMode="External"/><Relationship Id="rId2319" Type="http://schemas.openxmlformats.org/officeDocument/2006/relationships/hyperlink" Target="https://talan.bank.gov.ua/get-user-certificate/45CEl5DLjDKTlp14Ee0m" TargetMode="External"/><Relationship Id="rId2733" Type="http://schemas.openxmlformats.org/officeDocument/2006/relationships/hyperlink" Target="https://talan.bank.gov.ua/get-user-certificate/45CElTqOFCKb--PUm0O5" TargetMode="External"/><Relationship Id="rId705" Type="http://schemas.openxmlformats.org/officeDocument/2006/relationships/hyperlink" Target="https://talan.bank.gov.ua/get-user-certificate/45CElp7NY-0YfBZMDkBD" TargetMode="External"/><Relationship Id="rId1335" Type="http://schemas.openxmlformats.org/officeDocument/2006/relationships/hyperlink" Target="https://talan.bank.gov.ua/get-user-certificate/45CElrs_59eIfswF677d" TargetMode="External"/><Relationship Id="rId2800" Type="http://schemas.openxmlformats.org/officeDocument/2006/relationships/hyperlink" Target="https://talan.bank.gov.ua/get-user-certificate/45CElWA5LfwSZOly8xE8" TargetMode="External"/><Relationship Id="rId41" Type="http://schemas.openxmlformats.org/officeDocument/2006/relationships/hyperlink" Target="https://talan.bank.gov.ua/get-user-certificate/45CEltJ2uVDzjEvwkA76" TargetMode="External"/><Relationship Id="rId1402" Type="http://schemas.openxmlformats.org/officeDocument/2006/relationships/hyperlink" Target="https://talan.bank.gov.ua/get-user-certificate/45CElJO7_jv_2N6KnJ-3" TargetMode="External"/><Relationship Id="rId4558" Type="http://schemas.openxmlformats.org/officeDocument/2006/relationships/hyperlink" Target="https://talan.bank.gov.ua/get-user-certificate/45CElcsby_6QEqWVhUPj" TargetMode="External"/><Relationship Id="rId4972" Type="http://schemas.openxmlformats.org/officeDocument/2006/relationships/hyperlink" Target="https://talan.bank.gov.ua/get-user-certificate/45CElCvTDgqJPoVSQYSF" TargetMode="External"/><Relationship Id="rId3574" Type="http://schemas.openxmlformats.org/officeDocument/2006/relationships/hyperlink" Target="https://talan.bank.gov.ua/get-user-certificate/45CElJ6TGNHk_N7-fyTg" TargetMode="External"/><Relationship Id="rId4625" Type="http://schemas.openxmlformats.org/officeDocument/2006/relationships/hyperlink" Target="https://talan.bank.gov.ua/get-user-certificate/45CElyxXhDnD80yOi04p" TargetMode="External"/><Relationship Id="rId495" Type="http://schemas.openxmlformats.org/officeDocument/2006/relationships/hyperlink" Target="https://talan.bank.gov.ua/get-user-certificate/45CElTH1nj510B_zUW5i" TargetMode="External"/><Relationship Id="rId2176" Type="http://schemas.openxmlformats.org/officeDocument/2006/relationships/hyperlink" Target="https://talan.bank.gov.ua/get-user-certificate/45CEl0ZAlUXGeRxmyU67" TargetMode="External"/><Relationship Id="rId2590" Type="http://schemas.openxmlformats.org/officeDocument/2006/relationships/hyperlink" Target="https://talan.bank.gov.ua/get-user-certificate/45CEli-wIvVhba_D-uDb" TargetMode="External"/><Relationship Id="rId3227" Type="http://schemas.openxmlformats.org/officeDocument/2006/relationships/hyperlink" Target="https://talan.bank.gov.ua/get-user-certificate/45CElUTlvMgFG9a_guKh" TargetMode="External"/><Relationship Id="rId3641" Type="http://schemas.openxmlformats.org/officeDocument/2006/relationships/hyperlink" Target="https://talan.bank.gov.ua/get-user-certificate/45CEl3FbX2WJ4XaKD3Nu" TargetMode="External"/><Relationship Id="rId148" Type="http://schemas.openxmlformats.org/officeDocument/2006/relationships/hyperlink" Target="https://talan.bank.gov.ua/get-user-certificate/45CEld4C-hAz1eAWGFEf" TargetMode="External"/><Relationship Id="rId562" Type="http://schemas.openxmlformats.org/officeDocument/2006/relationships/hyperlink" Target="https://talan.bank.gov.ua/get-user-certificate/45CEljdfNWeDSJOiAk0P" TargetMode="External"/><Relationship Id="rId1192" Type="http://schemas.openxmlformats.org/officeDocument/2006/relationships/hyperlink" Target="https://talan.bank.gov.ua/get-user-certificate/45CElLLEdkB2ytM9RiEN" TargetMode="External"/><Relationship Id="rId2243" Type="http://schemas.openxmlformats.org/officeDocument/2006/relationships/hyperlink" Target="https://talan.bank.gov.ua/get-user-certificate/45CEl-YvRSv9Gnu62JyK" TargetMode="External"/><Relationship Id="rId215" Type="http://schemas.openxmlformats.org/officeDocument/2006/relationships/hyperlink" Target="https://talan.bank.gov.ua/get-user-certificate/45CElay05B3P_wfFaZ7w" TargetMode="External"/><Relationship Id="rId2310" Type="http://schemas.openxmlformats.org/officeDocument/2006/relationships/hyperlink" Target="https://talan.bank.gov.ua/get-user-certificate/45CElwtgSn4-1W_P4Q-2" TargetMode="External"/><Relationship Id="rId4068" Type="http://schemas.openxmlformats.org/officeDocument/2006/relationships/hyperlink" Target="https://talan.bank.gov.ua/get-user-certificate/45CElKUiQ4wzoICaeJRo" TargetMode="External"/><Relationship Id="rId4482" Type="http://schemas.openxmlformats.org/officeDocument/2006/relationships/hyperlink" Target="https://talan.bank.gov.ua/get-user-certificate/45CElFzSc_IcHnPv1ZPW" TargetMode="External"/><Relationship Id="rId3084" Type="http://schemas.openxmlformats.org/officeDocument/2006/relationships/hyperlink" Target="https://talan.bank.gov.ua/get-user-certificate/45CEl0X_Le6JZllmtD5W" TargetMode="External"/><Relationship Id="rId4135" Type="http://schemas.openxmlformats.org/officeDocument/2006/relationships/hyperlink" Target="https://talan.bank.gov.ua/get-user-certificate/45CElgXoR9qZARxW1_Fn" TargetMode="External"/><Relationship Id="rId1729" Type="http://schemas.openxmlformats.org/officeDocument/2006/relationships/hyperlink" Target="https://talan.bank.gov.ua/get-user-certificate/45CElK2duj3cUhGbf79T" TargetMode="External"/><Relationship Id="rId3151" Type="http://schemas.openxmlformats.org/officeDocument/2006/relationships/hyperlink" Target="https://talan.bank.gov.ua/get-user-certificate/45CElFuem5uh9L2JL7lj" TargetMode="External"/><Relationship Id="rId4202" Type="http://schemas.openxmlformats.org/officeDocument/2006/relationships/hyperlink" Target="https://talan.bank.gov.ua/get-user-certificate/45CElDjOq-0CCSC_7JJb" TargetMode="External"/><Relationship Id="rId3968" Type="http://schemas.openxmlformats.org/officeDocument/2006/relationships/hyperlink" Target="https://talan.bank.gov.ua/get-user-certificate/45CEl5zlc2HaL6pCJi8c" TargetMode="External"/><Relationship Id="rId5" Type="http://schemas.openxmlformats.org/officeDocument/2006/relationships/hyperlink" Target="https://talan.bank.gov.ua/get-user-certificate/45CElrwLRN-OzOxUzUQt" TargetMode="External"/><Relationship Id="rId889" Type="http://schemas.openxmlformats.org/officeDocument/2006/relationships/hyperlink" Target="https://talan.bank.gov.ua/get-user-certificate/45CElNdr4HyLygsH8GPQ" TargetMode="External"/><Relationship Id="rId1586" Type="http://schemas.openxmlformats.org/officeDocument/2006/relationships/hyperlink" Target="https://talan.bank.gov.ua/get-user-certificate/45CElp_rI6KH2_m-jIkf" TargetMode="External"/><Relationship Id="rId2984" Type="http://schemas.openxmlformats.org/officeDocument/2006/relationships/hyperlink" Target="https://talan.bank.gov.ua/get-user-certificate/45CEliIzCDmm1Qt16w7i" TargetMode="External"/><Relationship Id="rId609" Type="http://schemas.openxmlformats.org/officeDocument/2006/relationships/hyperlink" Target="https://talan.bank.gov.ua/get-user-certificate/45CElN40zqyu3HaXylCg" TargetMode="External"/><Relationship Id="rId956" Type="http://schemas.openxmlformats.org/officeDocument/2006/relationships/hyperlink" Target="https://talan.bank.gov.ua/get-user-certificate/45CElk3de-So80ilvnD-" TargetMode="External"/><Relationship Id="rId1239" Type="http://schemas.openxmlformats.org/officeDocument/2006/relationships/hyperlink" Target="https://talan.bank.gov.ua/get-user-certificate/45CElVN4tzg8EXCORvU6" TargetMode="External"/><Relationship Id="rId2637" Type="http://schemas.openxmlformats.org/officeDocument/2006/relationships/hyperlink" Target="https://talan.bank.gov.ua/get-user-certificate/45CEl0OwVsg4AmxV6v0t" TargetMode="External"/><Relationship Id="rId1653" Type="http://schemas.openxmlformats.org/officeDocument/2006/relationships/hyperlink" Target="https://talan.bank.gov.ua/get-user-certificate/45CEl1voFBK6yVpBx5Ay" TargetMode="External"/><Relationship Id="rId2704" Type="http://schemas.openxmlformats.org/officeDocument/2006/relationships/hyperlink" Target="https://talan.bank.gov.ua/get-user-certificate/45CElwt-V2mr04aruyfy" TargetMode="External"/><Relationship Id="rId1306" Type="http://schemas.openxmlformats.org/officeDocument/2006/relationships/hyperlink" Target="https://talan.bank.gov.ua/get-user-certificate/45CElOSoxeemzARDitKa" TargetMode="External"/><Relationship Id="rId1720" Type="http://schemas.openxmlformats.org/officeDocument/2006/relationships/hyperlink" Target="https://talan.bank.gov.ua/get-user-certificate/45CElccAK8hVBkyPOuqj" TargetMode="External"/><Relationship Id="rId4876" Type="http://schemas.openxmlformats.org/officeDocument/2006/relationships/hyperlink" Target="https://talan.bank.gov.ua/get-user-certificate/45CElKJIDZcXTQqxcILl" TargetMode="External"/><Relationship Id="rId12" Type="http://schemas.openxmlformats.org/officeDocument/2006/relationships/hyperlink" Target="https://talan.bank.gov.ua/get-user-certificate/45CElUn1WWm2UpwnHra5" TargetMode="External"/><Relationship Id="rId3478" Type="http://schemas.openxmlformats.org/officeDocument/2006/relationships/hyperlink" Target="https://talan.bank.gov.ua/get-user-certificate/45CElM8AkWSR2R6u4Y6d" TargetMode="External"/><Relationship Id="rId3892" Type="http://schemas.openxmlformats.org/officeDocument/2006/relationships/hyperlink" Target="https://talan.bank.gov.ua/get-user-certificate/45CEl5RbGoy-GCm6EnbN" TargetMode="External"/><Relationship Id="rId4529" Type="http://schemas.openxmlformats.org/officeDocument/2006/relationships/hyperlink" Target="https://talan.bank.gov.ua/get-user-certificate/45CElcgsqOObQ09GWIHw" TargetMode="External"/><Relationship Id="rId4943" Type="http://schemas.openxmlformats.org/officeDocument/2006/relationships/hyperlink" Target="https://talan.bank.gov.ua/get-user-certificate/45CEl201viMlm12dlGbt" TargetMode="External"/><Relationship Id="rId399" Type="http://schemas.openxmlformats.org/officeDocument/2006/relationships/hyperlink" Target="https://talan.bank.gov.ua/get-user-certificate/45CElD8qPDk1n8n7j2Aa" TargetMode="External"/><Relationship Id="rId2494" Type="http://schemas.openxmlformats.org/officeDocument/2006/relationships/hyperlink" Target="https://talan.bank.gov.ua/get-user-certificate/45CElnlL0wVHOvnOEW6a" TargetMode="External"/><Relationship Id="rId3545" Type="http://schemas.openxmlformats.org/officeDocument/2006/relationships/hyperlink" Target="https://talan.bank.gov.ua/get-user-certificate/45CElnKOQ267SPPwHmDT" TargetMode="External"/><Relationship Id="rId466" Type="http://schemas.openxmlformats.org/officeDocument/2006/relationships/hyperlink" Target="https://talan.bank.gov.ua/get-user-certificate/45CElBwXewoFbnp98qR6" TargetMode="External"/><Relationship Id="rId880" Type="http://schemas.openxmlformats.org/officeDocument/2006/relationships/hyperlink" Target="https://talan.bank.gov.ua/get-user-certificate/45CEl9a_UY5m6sy308qZ" TargetMode="External"/><Relationship Id="rId1096" Type="http://schemas.openxmlformats.org/officeDocument/2006/relationships/hyperlink" Target="https://talan.bank.gov.ua/get-user-certificate/45CEl9cot-5lC0OOyS1o" TargetMode="External"/><Relationship Id="rId2147" Type="http://schemas.openxmlformats.org/officeDocument/2006/relationships/hyperlink" Target="https://talan.bank.gov.ua/get-user-certificate/45CElnLXPejS6cQzURWe" TargetMode="External"/><Relationship Id="rId2561" Type="http://schemas.openxmlformats.org/officeDocument/2006/relationships/hyperlink" Target="https://talan.bank.gov.ua/get-user-certificate/45CElSid9s_-j8RCMyw5" TargetMode="External"/><Relationship Id="rId119" Type="http://schemas.openxmlformats.org/officeDocument/2006/relationships/hyperlink" Target="https://talan.bank.gov.ua/get-user-certificate/45CElGwIXT8cz4SxdnAw" TargetMode="External"/><Relationship Id="rId533" Type="http://schemas.openxmlformats.org/officeDocument/2006/relationships/hyperlink" Target="https://talan.bank.gov.ua/get-user-certificate/45CElyrI5NfXTzoiaAh2" TargetMode="External"/><Relationship Id="rId1163" Type="http://schemas.openxmlformats.org/officeDocument/2006/relationships/hyperlink" Target="https://talan.bank.gov.ua/get-user-certificate/45CElIexnCIyvXB8Nf5j" TargetMode="External"/><Relationship Id="rId2214" Type="http://schemas.openxmlformats.org/officeDocument/2006/relationships/hyperlink" Target="https://talan.bank.gov.ua/get-user-certificate/45CEl6dfHx0mLjq9Enyt" TargetMode="External"/><Relationship Id="rId3612" Type="http://schemas.openxmlformats.org/officeDocument/2006/relationships/hyperlink" Target="https://talan.bank.gov.ua/get-user-certificate/45CElVKX2HnKM4gBgfk2" TargetMode="External"/><Relationship Id="rId600" Type="http://schemas.openxmlformats.org/officeDocument/2006/relationships/hyperlink" Target="https://talan.bank.gov.ua/get-user-certificate/45CEla-hW8do9n0Qpy5f" TargetMode="External"/><Relationship Id="rId1230" Type="http://schemas.openxmlformats.org/officeDocument/2006/relationships/hyperlink" Target="https://talan.bank.gov.ua/get-user-certificate/45CElGA5-ohV7_J3xFlR" TargetMode="External"/><Relationship Id="rId4386" Type="http://schemas.openxmlformats.org/officeDocument/2006/relationships/hyperlink" Target="https://talan.bank.gov.ua/get-user-certificate/45CElBocRKHxez2pRBYO" TargetMode="External"/><Relationship Id="rId4039" Type="http://schemas.openxmlformats.org/officeDocument/2006/relationships/hyperlink" Target="https://talan.bank.gov.ua/get-user-certificate/45CElwB39PrP5pJtcjvN" TargetMode="External"/><Relationship Id="rId4453" Type="http://schemas.openxmlformats.org/officeDocument/2006/relationships/hyperlink" Target="https://talan.bank.gov.ua/get-user-certificate/45CElD3cP1N-eXzviRIC" TargetMode="External"/><Relationship Id="rId3055" Type="http://schemas.openxmlformats.org/officeDocument/2006/relationships/hyperlink" Target="https://talan.bank.gov.ua/get-user-certificate/45CEloxrDe6YnKox0iFU" TargetMode="External"/><Relationship Id="rId4106" Type="http://schemas.openxmlformats.org/officeDocument/2006/relationships/hyperlink" Target="https://talan.bank.gov.ua/get-user-certificate/45CElnjjc7FITo7EHIyN" TargetMode="External"/><Relationship Id="rId4520" Type="http://schemas.openxmlformats.org/officeDocument/2006/relationships/hyperlink" Target="https://talan.bank.gov.ua/get-user-certificate/45CElR1xJnAL1PAX-shN" TargetMode="External"/><Relationship Id="rId390" Type="http://schemas.openxmlformats.org/officeDocument/2006/relationships/hyperlink" Target="https://talan.bank.gov.ua/get-user-certificate/45CEl_4MWj-2rHeXS0tj" TargetMode="External"/><Relationship Id="rId2071" Type="http://schemas.openxmlformats.org/officeDocument/2006/relationships/hyperlink" Target="https://talan.bank.gov.ua/get-user-certificate/45CElcPzPnIXhZ3O5Bty" TargetMode="External"/><Relationship Id="rId3122" Type="http://schemas.openxmlformats.org/officeDocument/2006/relationships/hyperlink" Target="https://talan.bank.gov.ua/get-user-certificate/45CElAK2BRHRReOgmVp2" TargetMode="External"/><Relationship Id="rId110" Type="http://schemas.openxmlformats.org/officeDocument/2006/relationships/hyperlink" Target="https://talan.bank.gov.ua/get-user-certificate/45CElmhw4esK6qAzFyJ8" TargetMode="External"/><Relationship Id="rId2888" Type="http://schemas.openxmlformats.org/officeDocument/2006/relationships/hyperlink" Target="https://talan.bank.gov.ua/get-user-certificate/45CElI8qFKumjFNVRYa4" TargetMode="External"/><Relationship Id="rId3939" Type="http://schemas.openxmlformats.org/officeDocument/2006/relationships/hyperlink" Target="https://talan.bank.gov.ua/get-user-certificate/45CElZuk7UlypNER8sBP" TargetMode="External"/><Relationship Id="rId2955" Type="http://schemas.openxmlformats.org/officeDocument/2006/relationships/hyperlink" Target="https://talan.bank.gov.ua/get-user-certificate/45CElKkI6I8pfdPR7D_J" TargetMode="External"/><Relationship Id="rId927" Type="http://schemas.openxmlformats.org/officeDocument/2006/relationships/hyperlink" Target="https://talan.bank.gov.ua/get-user-certificate/45CElOE2nkzl2I5BWbKt" TargetMode="External"/><Relationship Id="rId1557" Type="http://schemas.openxmlformats.org/officeDocument/2006/relationships/hyperlink" Target="https://talan.bank.gov.ua/get-user-certificate/45CEli1S6DAAtXU8DgGS" TargetMode="External"/><Relationship Id="rId1971" Type="http://schemas.openxmlformats.org/officeDocument/2006/relationships/hyperlink" Target="https://talan.bank.gov.ua/get-user-certificate/45CEl0BaY43NXxfsZs80" TargetMode="External"/><Relationship Id="rId2608" Type="http://schemas.openxmlformats.org/officeDocument/2006/relationships/hyperlink" Target="https://talan.bank.gov.ua/get-user-certificate/45CElZ7QQ62WpvkYW-9B" TargetMode="External"/><Relationship Id="rId5014" Type="http://schemas.openxmlformats.org/officeDocument/2006/relationships/hyperlink" Target="https://talan.bank.gov.ua/get-user-certificate/ki8Tnrg1jtzM-jIEyKzv" TargetMode="External"/><Relationship Id="rId1624" Type="http://schemas.openxmlformats.org/officeDocument/2006/relationships/hyperlink" Target="https://talan.bank.gov.ua/get-user-certificate/45CElZnYpL2rtY70aJPS" TargetMode="External"/><Relationship Id="rId4030" Type="http://schemas.openxmlformats.org/officeDocument/2006/relationships/hyperlink" Target="https://talan.bank.gov.ua/get-user-certificate/45CEloU_8h0QB-HUwhFu" TargetMode="External"/><Relationship Id="rId3796" Type="http://schemas.openxmlformats.org/officeDocument/2006/relationships/hyperlink" Target="https://talan.bank.gov.ua/get-user-certificate/45CEl_1xRIc52UHJqZXG" TargetMode="External"/><Relationship Id="rId2398" Type="http://schemas.openxmlformats.org/officeDocument/2006/relationships/hyperlink" Target="https://talan.bank.gov.ua/get-user-certificate/45CElQzlV-4cIlBqXkou" TargetMode="External"/><Relationship Id="rId3449" Type="http://schemas.openxmlformats.org/officeDocument/2006/relationships/hyperlink" Target="https://talan.bank.gov.ua/get-user-certificate/45CElY-R_ze0lYi2fUWz" TargetMode="External"/><Relationship Id="rId4847" Type="http://schemas.openxmlformats.org/officeDocument/2006/relationships/hyperlink" Target="https://talan.bank.gov.ua/get-user-certificate/45CElQBKmiK3iBE2X647" TargetMode="External"/><Relationship Id="rId3863" Type="http://schemas.openxmlformats.org/officeDocument/2006/relationships/hyperlink" Target="https://talan.bank.gov.ua/get-user-certificate/45CElhz-M8gzm5kkJGyV" TargetMode="External"/><Relationship Id="rId4914" Type="http://schemas.openxmlformats.org/officeDocument/2006/relationships/hyperlink" Target="https://talan.bank.gov.ua/get-user-certificate/45CElll3TUEP3rNu-fJE" TargetMode="External"/><Relationship Id="rId784" Type="http://schemas.openxmlformats.org/officeDocument/2006/relationships/hyperlink" Target="https://talan.bank.gov.ua/get-user-certificate/45CElV5M--Hb_U0zVtq3" TargetMode="External"/><Relationship Id="rId1067" Type="http://schemas.openxmlformats.org/officeDocument/2006/relationships/hyperlink" Target="https://talan.bank.gov.ua/get-user-certificate/45CElpnl7jWkEZxbt8Eg" TargetMode="External"/><Relationship Id="rId2465" Type="http://schemas.openxmlformats.org/officeDocument/2006/relationships/hyperlink" Target="https://talan.bank.gov.ua/get-user-certificate/45CElP2BjOtwpLraEczW" TargetMode="External"/><Relationship Id="rId3516" Type="http://schemas.openxmlformats.org/officeDocument/2006/relationships/hyperlink" Target="https://talan.bank.gov.ua/get-user-certificate/45CElBA-HMjjzoJDE15a" TargetMode="External"/><Relationship Id="rId3930" Type="http://schemas.openxmlformats.org/officeDocument/2006/relationships/hyperlink" Target="https://talan.bank.gov.ua/get-user-certificate/45CEl40epdJlEhmvxuFY" TargetMode="External"/><Relationship Id="rId437" Type="http://schemas.openxmlformats.org/officeDocument/2006/relationships/hyperlink" Target="https://talan.bank.gov.ua/get-user-certificate/45CEluNkagUfChUy5th7" TargetMode="External"/><Relationship Id="rId851" Type="http://schemas.openxmlformats.org/officeDocument/2006/relationships/hyperlink" Target="https://talan.bank.gov.ua/get-user-certificate/45CElE_Im9DcDx5lG5vN" TargetMode="External"/><Relationship Id="rId1481" Type="http://schemas.openxmlformats.org/officeDocument/2006/relationships/hyperlink" Target="https://talan.bank.gov.ua/get-user-certificate/45CElqvLbQzRFu6fP4MM" TargetMode="External"/><Relationship Id="rId2118" Type="http://schemas.openxmlformats.org/officeDocument/2006/relationships/hyperlink" Target="https://talan.bank.gov.ua/get-user-certificate/45CEl7sDUuybMJg9VbP_" TargetMode="External"/><Relationship Id="rId2532" Type="http://schemas.openxmlformats.org/officeDocument/2006/relationships/hyperlink" Target="https://talan.bank.gov.ua/get-user-certificate/45CElAuxTGT5tyfny12J" TargetMode="External"/><Relationship Id="rId504" Type="http://schemas.openxmlformats.org/officeDocument/2006/relationships/hyperlink" Target="https://talan.bank.gov.ua/get-user-certificate/45CElfGNwdeEvtYhJus_" TargetMode="External"/><Relationship Id="rId1134" Type="http://schemas.openxmlformats.org/officeDocument/2006/relationships/hyperlink" Target="https://talan.bank.gov.ua/get-user-certificate/45CElik_1qF3A-Crz8mD" TargetMode="External"/><Relationship Id="rId1201" Type="http://schemas.openxmlformats.org/officeDocument/2006/relationships/hyperlink" Target="https://talan.bank.gov.ua/get-user-certificate/45CElThxtrf2oV3VR20G" TargetMode="External"/><Relationship Id="rId4357" Type="http://schemas.openxmlformats.org/officeDocument/2006/relationships/hyperlink" Target="https://talan.bank.gov.ua/get-user-certificate/45CEl1hWclFkwKrDIibc" TargetMode="External"/><Relationship Id="rId4771" Type="http://schemas.openxmlformats.org/officeDocument/2006/relationships/hyperlink" Target="https://talan.bank.gov.ua/get-user-certificate/45CEl1LdYqyNxEky--zQ" TargetMode="External"/><Relationship Id="rId3373" Type="http://schemas.openxmlformats.org/officeDocument/2006/relationships/hyperlink" Target="https://talan.bank.gov.ua/get-user-certificate/45CEl0OvWKKqF4aXCQPr" TargetMode="External"/><Relationship Id="rId4424" Type="http://schemas.openxmlformats.org/officeDocument/2006/relationships/hyperlink" Target="https://talan.bank.gov.ua/get-user-certificate/45CEl86qSMnI0W8gUdBe" TargetMode="External"/><Relationship Id="rId294" Type="http://schemas.openxmlformats.org/officeDocument/2006/relationships/hyperlink" Target="https://talan.bank.gov.ua/get-user-certificate/45CElmW-jbNvneZZ83sF" TargetMode="External"/><Relationship Id="rId3026" Type="http://schemas.openxmlformats.org/officeDocument/2006/relationships/hyperlink" Target="https://talan.bank.gov.ua/get-user-certificate/45CElQotjOo5da8COD2b" TargetMode="External"/><Relationship Id="rId361" Type="http://schemas.openxmlformats.org/officeDocument/2006/relationships/hyperlink" Target="https://talan.bank.gov.ua/get-user-certificate/45CElYsgs5K1j0Mlp_lB" TargetMode="External"/><Relationship Id="rId2042" Type="http://schemas.openxmlformats.org/officeDocument/2006/relationships/hyperlink" Target="https://talan.bank.gov.ua/get-user-certificate/45CEl9Cz09-cfQc3J5Bj" TargetMode="External"/><Relationship Id="rId3440" Type="http://schemas.openxmlformats.org/officeDocument/2006/relationships/hyperlink" Target="https://talan.bank.gov.ua/get-user-certificate/45CEln-LacfodR7vlcxV" TargetMode="External"/><Relationship Id="rId2859" Type="http://schemas.openxmlformats.org/officeDocument/2006/relationships/hyperlink" Target="https://talan.bank.gov.ua/get-user-certificate/45CEllsVh8tuq6wV_KdA" TargetMode="External"/><Relationship Id="rId1875" Type="http://schemas.openxmlformats.org/officeDocument/2006/relationships/hyperlink" Target="https://talan.bank.gov.ua/get-user-certificate/45CElaabA8EiCG0JtK32" TargetMode="External"/><Relationship Id="rId4281" Type="http://schemas.openxmlformats.org/officeDocument/2006/relationships/hyperlink" Target="https://talan.bank.gov.ua/get-user-certificate/45CEl_Bbw-UXNr3hWYsm" TargetMode="External"/><Relationship Id="rId1528" Type="http://schemas.openxmlformats.org/officeDocument/2006/relationships/hyperlink" Target="https://talan.bank.gov.ua/get-user-certificate/45CElCZdoXqixvFLoV4A" TargetMode="External"/><Relationship Id="rId2926" Type="http://schemas.openxmlformats.org/officeDocument/2006/relationships/hyperlink" Target="https://talan.bank.gov.ua/get-user-certificate/45CElPjFZdIlrGZq_952" TargetMode="External"/><Relationship Id="rId1942" Type="http://schemas.openxmlformats.org/officeDocument/2006/relationships/hyperlink" Target="https://talan.bank.gov.ua/get-user-certificate/45CEld1krQSDgbkPgNtJ" TargetMode="External"/><Relationship Id="rId4001" Type="http://schemas.openxmlformats.org/officeDocument/2006/relationships/hyperlink" Target="https://talan.bank.gov.ua/get-user-certificate/45CElUMZoEK_tcF8ulmO" TargetMode="External"/><Relationship Id="rId3767" Type="http://schemas.openxmlformats.org/officeDocument/2006/relationships/hyperlink" Target="https://talan.bank.gov.ua/get-user-certificate/45CElgaWgVUFLlg2UzGN" TargetMode="External"/><Relationship Id="rId4818" Type="http://schemas.openxmlformats.org/officeDocument/2006/relationships/hyperlink" Target="https://talan.bank.gov.ua/get-user-certificate/45CElVT9cfFJ32QrXXQn" TargetMode="External"/><Relationship Id="rId688" Type="http://schemas.openxmlformats.org/officeDocument/2006/relationships/hyperlink" Target="https://talan.bank.gov.ua/get-user-certificate/45CEl4Ns81yFk8yKby-u" TargetMode="External"/><Relationship Id="rId2369" Type="http://schemas.openxmlformats.org/officeDocument/2006/relationships/hyperlink" Target="https://talan.bank.gov.ua/get-user-certificate/45CEl-fcyFhOdmx-Hxfa" TargetMode="External"/><Relationship Id="rId2783" Type="http://schemas.openxmlformats.org/officeDocument/2006/relationships/hyperlink" Target="https://talan.bank.gov.ua/get-user-certificate/45CElQffIc1RQWW1kJ76" TargetMode="External"/><Relationship Id="rId3834" Type="http://schemas.openxmlformats.org/officeDocument/2006/relationships/hyperlink" Target="https://talan.bank.gov.ua/get-user-certificate/45CElu2aVX29LFB-_FL6" TargetMode="External"/><Relationship Id="rId755" Type="http://schemas.openxmlformats.org/officeDocument/2006/relationships/hyperlink" Target="https://talan.bank.gov.ua/get-user-certificate/45CElYECdcZ-gcNDeIOW" TargetMode="External"/><Relationship Id="rId1385" Type="http://schemas.openxmlformats.org/officeDocument/2006/relationships/hyperlink" Target="https://talan.bank.gov.ua/get-user-certificate/45CEluUzbPTwvLVYJkJ_" TargetMode="External"/><Relationship Id="rId2436" Type="http://schemas.openxmlformats.org/officeDocument/2006/relationships/hyperlink" Target="https://talan.bank.gov.ua/get-user-certificate/45CElD4CbTf6Sg9xRj9a" TargetMode="External"/><Relationship Id="rId2850" Type="http://schemas.openxmlformats.org/officeDocument/2006/relationships/hyperlink" Target="https://talan.bank.gov.ua/get-user-certificate/45CElCdm1Nxd27h7mFyG" TargetMode="External"/><Relationship Id="rId91" Type="http://schemas.openxmlformats.org/officeDocument/2006/relationships/hyperlink" Target="https://talan.bank.gov.ua/get-user-certificate/45CElEOcZD2qcAwXKI4R" TargetMode="External"/><Relationship Id="rId408" Type="http://schemas.openxmlformats.org/officeDocument/2006/relationships/hyperlink" Target="https://talan.bank.gov.ua/get-user-certificate/45CEl8v4ZsKPsvtq1_Qn" TargetMode="External"/><Relationship Id="rId822" Type="http://schemas.openxmlformats.org/officeDocument/2006/relationships/hyperlink" Target="https://talan.bank.gov.ua/get-user-certificate/45CElakTTa43yHyyj50U" TargetMode="External"/><Relationship Id="rId1038" Type="http://schemas.openxmlformats.org/officeDocument/2006/relationships/hyperlink" Target="https://talan.bank.gov.ua/get-user-certificate/45CElW52rlUVw4LoLIEU" TargetMode="External"/><Relationship Id="rId1452" Type="http://schemas.openxmlformats.org/officeDocument/2006/relationships/hyperlink" Target="https://talan.bank.gov.ua/get-user-certificate/45CElG4UlXos0E7MQvgt" TargetMode="External"/><Relationship Id="rId2503" Type="http://schemas.openxmlformats.org/officeDocument/2006/relationships/hyperlink" Target="https://talan.bank.gov.ua/get-user-certificate/45CElaDFMHxH6gDS8zVw" TargetMode="External"/><Relationship Id="rId3901" Type="http://schemas.openxmlformats.org/officeDocument/2006/relationships/hyperlink" Target="https://talan.bank.gov.ua/get-user-certificate/45CElyeWy-ptO8CnpMRw" TargetMode="External"/><Relationship Id="rId1105" Type="http://schemas.openxmlformats.org/officeDocument/2006/relationships/hyperlink" Target="https://talan.bank.gov.ua/get-user-certificate/45CElcWiNrPK10pjgWh_" TargetMode="External"/><Relationship Id="rId3277" Type="http://schemas.openxmlformats.org/officeDocument/2006/relationships/hyperlink" Target="https://talan.bank.gov.ua/get-user-certificate/45CElY3kFEqXGHNOOfDM" TargetMode="External"/><Relationship Id="rId4675" Type="http://schemas.openxmlformats.org/officeDocument/2006/relationships/hyperlink" Target="https://talan.bank.gov.ua/get-user-certificate/45CElqZ7kOqQcnulherD" TargetMode="External"/><Relationship Id="rId198" Type="http://schemas.openxmlformats.org/officeDocument/2006/relationships/hyperlink" Target="https://talan.bank.gov.ua/get-user-certificate/45CElW3-QekHmVMs9GTf" TargetMode="External"/><Relationship Id="rId3691" Type="http://schemas.openxmlformats.org/officeDocument/2006/relationships/hyperlink" Target="https://talan.bank.gov.ua/get-user-certificate/45CEl4nrfS5IS_MdtRL3" TargetMode="External"/><Relationship Id="rId4328" Type="http://schemas.openxmlformats.org/officeDocument/2006/relationships/hyperlink" Target="https://talan.bank.gov.ua/get-user-certificate/45CEl0ietT8mdW8rmFEM" TargetMode="External"/><Relationship Id="rId4742" Type="http://schemas.openxmlformats.org/officeDocument/2006/relationships/hyperlink" Target="https://talan.bank.gov.ua/get-user-certificate/45CEl2nS9qJQH2JIlQXu" TargetMode="External"/><Relationship Id="rId2293" Type="http://schemas.openxmlformats.org/officeDocument/2006/relationships/hyperlink" Target="https://talan.bank.gov.ua/get-user-certificate/45CEl-uXr5lKp-6G9Wkb" TargetMode="External"/><Relationship Id="rId3344" Type="http://schemas.openxmlformats.org/officeDocument/2006/relationships/hyperlink" Target="https://talan.bank.gov.ua/get-user-certificate/45CElx-TUXiFzb3GcE76" TargetMode="External"/><Relationship Id="rId265" Type="http://schemas.openxmlformats.org/officeDocument/2006/relationships/hyperlink" Target="https://talan.bank.gov.ua/get-user-certificate/45CEl_VFyEH0lymspON2" TargetMode="External"/><Relationship Id="rId2360" Type="http://schemas.openxmlformats.org/officeDocument/2006/relationships/hyperlink" Target="https://talan.bank.gov.ua/get-user-certificate/45CElqiUg3cARhMdC5rw" TargetMode="External"/><Relationship Id="rId3411" Type="http://schemas.openxmlformats.org/officeDocument/2006/relationships/hyperlink" Target="https://talan.bank.gov.ua/get-user-certificate/45CElxmWRJuw_CCzpOZc" TargetMode="External"/><Relationship Id="rId332" Type="http://schemas.openxmlformats.org/officeDocument/2006/relationships/hyperlink" Target="https://talan.bank.gov.ua/get-user-certificate/45CElLmiF8ntXr2oTyXb" TargetMode="External"/><Relationship Id="rId2013" Type="http://schemas.openxmlformats.org/officeDocument/2006/relationships/hyperlink" Target="https://talan.bank.gov.ua/get-user-certificate/45CElVP_tbk-kdLx173y" TargetMode="External"/><Relationship Id="rId4185" Type="http://schemas.openxmlformats.org/officeDocument/2006/relationships/hyperlink" Target="https://talan.bank.gov.ua/get-user-certificate/45CElLisnrluBYyV8olX" TargetMode="External"/><Relationship Id="rId1779" Type="http://schemas.openxmlformats.org/officeDocument/2006/relationships/hyperlink" Target="https://talan.bank.gov.ua/get-user-certificate/45CElQ44qYscCxAvhtyF" TargetMode="External"/><Relationship Id="rId4252" Type="http://schemas.openxmlformats.org/officeDocument/2006/relationships/hyperlink" Target="https://talan.bank.gov.ua/get-user-certificate/45CElr0jc_sV64WPNLJI" TargetMode="External"/><Relationship Id="rId1846" Type="http://schemas.openxmlformats.org/officeDocument/2006/relationships/hyperlink" Target="https://talan.bank.gov.ua/get-user-certificate/45CElXzNOlr1zZjXMM8g" TargetMode="External"/><Relationship Id="rId1913" Type="http://schemas.openxmlformats.org/officeDocument/2006/relationships/hyperlink" Target="https://talan.bank.gov.ua/get-user-certificate/45CElj3DUEL_vwUc37Hk" TargetMode="External"/><Relationship Id="rId2687" Type="http://schemas.openxmlformats.org/officeDocument/2006/relationships/hyperlink" Target="https://talan.bank.gov.ua/get-user-certificate/45CElyRaasbD3FSroBWD" TargetMode="External"/><Relationship Id="rId3738" Type="http://schemas.openxmlformats.org/officeDocument/2006/relationships/hyperlink" Target="https://talan.bank.gov.ua/get-user-certificate/45CElWhDsiA_dtquZjbI" TargetMode="External"/><Relationship Id="rId659" Type="http://schemas.openxmlformats.org/officeDocument/2006/relationships/hyperlink" Target="https://talan.bank.gov.ua/get-user-certificate/45CElXaO7gnHJ-xNSmC_" TargetMode="External"/><Relationship Id="rId1289" Type="http://schemas.openxmlformats.org/officeDocument/2006/relationships/hyperlink" Target="https://talan.bank.gov.ua/get-user-certificate/45CElDh3BJzjtEMn-Ppm" TargetMode="External"/><Relationship Id="rId1356" Type="http://schemas.openxmlformats.org/officeDocument/2006/relationships/hyperlink" Target="https://talan.bank.gov.ua/get-user-certificate/45CElGxtxoGDe7OcfDmg" TargetMode="External"/><Relationship Id="rId2754" Type="http://schemas.openxmlformats.org/officeDocument/2006/relationships/hyperlink" Target="https://talan.bank.gov.ua/get-user-certificate/45CEljbT-mufQCRes2NG" TargetMode="External"/><Relationship Id="rId3805" Type="http://schemas.openxmlformats.org/officeDocument/2006/relationships/hyperlink" Target="https://talan.bank.gov.ua/get-user-certificate/45CEly1W8CD5GmocCvJO" TargetMode="External"/><Relationship Id="rId726" Type="http://schemas.openxmlformats.org/officeDocument/2006/relationships/hyperlink" Target="https://talan.bank.gov.ua/get-user-certificate/45CElORvKryp1rl1Osd9" TargetMode="External"/><Relationship Id="rId1009" Type="http://schemas.openxmlformats.org/officeDocument/2006/relationships/hyperlink" Target="https://talan.bank.gov.ua/get-user-certificate/45CElCfRbay_YyrWxd0M" TargetMode="External"/><Relationship Id="rId1770" Type="http://schemas.openxmlformats.org/officeDocument/2006/relationships/hyperlink" Target="https://talan.bank.gov.ua/get-user-certificate/45CElayv6zWTWLo9goFA" TargetMode="External"/><Relationship Id="rId2407" Type="http://schemas.openxmlformats.org/officeDocument/2006/relationships/hyperlink" Target="https://talan.bank.gov.ua/get-user-certificate/45CEl6ljd2HyJ0ZOczsQ" TargetMode="External"/><Relationship Id="rId2821" Type="http://schemas.openxmlformats.org/officeDocument/2006/relationships/hyperlink" Target="https://talan.bank.gov.ua/get-user-certificate/45CElUqc0K0PffcDFlKy" TargetMode="External"/><Relationship Id="rId62" Type="http://schemas.openxmlformats.org/officeDocument/2006/relationships/hyperlink" Target="https://talan.bank.gov.ua/get-user-certificate/45CEl8pinByvPyfMbi_l" TargetMode="External"/><Relationship Id="rId1423" Type="http://schemas.openxmlformats.org/officeDocument/2006/relationships/hyperlink" Target="https://talan.bank.gov.ua/get-user-certificate/45CElXF9GNVaWPdwjtr4" TargetMode="External"/><Relationship Id="rId4579" Type="http://schemas.openxmlformats.org/officeDocument/2006/relationships/hyperlink" Target="https://talan.bank.gov.ua/get-user-certificate/45CElAN_MvYHDb3o2z2F" TargetMode="External"/><Relationship Id="rId4993" Type="http://schemas.openxmlformats.org/officeDocument/2006/relationships/hyperlink" Target="https://talan.bank.gov.ua/get-user-certificate/ki8TnOPikLhR64Vt5xwF" TargetMode="External"/><Relationship Id="rId3595" Type="http://schemas.openxmlformats.org/officeDocument/2006/relationships/hyperlink" Target="https://talan.bank.gov.ua/get-user-certificate/45CElMS2jKkc2Y8ZIjnT" TargetMode="External"/><Relationship Id="rId4646" Type="http://schemas.openxmlformats.org/officeDocument/2006/relationships/hyperlink" Target="https://talan.bank.gov.ua/get-user-certificate/45CElDf-LhC8Wqh8nuNL" TargetMode="External"/><Relationship Id="rId2197" Type="http://schemas.openxmlformats.org/officeDocument/2006/relationships/hyperlink" Target="https://talan.bank.gov.ua/get-user-certificate/45CElHYDiWPX20F7ybk4" TargetMode="External"/><Relationship Id="rId3248" Type="http://schemas.openxmlformats.org/officeDocument/2006/relationships/hyperlink" Target="https://talan.bank.gov.ua/get-user-certificate/45CEll-7vX0TCh1PDbSa" TargetMode="External"/><Relationship Id="rId3662" Type="http://schemas.openxmlformats.org/officeDocument/2006/relationships/hyperlink" Target="https://talan.bank.gov.ua/get-user-certificate/45CElIRNSBSJSmH4nzJk" TargetMode="External"/><Relationship Id="rId4713" Type="http://schemas.openxmlformats.org/officeDocument/2006/relationships/hyperlink" Target="https://talan.bank.gov.ua/get-user-certificate/45CElGDWvuvNO7CwjHC0" TargetMode="External"/><Relationship Id="rId169" Type="http://schemas.openxmlformats.org/officeDocument/2006/relationships/hyperlink" Target="https://talan.bank.gov.ua/get-user-certificate/45CElWwlW_xrmJR1x8kV" TargetMode="External"/><Relationship Id="rId583" Type="http://schemas.openxmlformats.org/officeDocument/2006/relationships/hyperlink" Target="https://talan.bank.gov.ua/get-user-certificate/45CEl-707VMDr_bo7BXo" TargetMode="External"/><Relationship Id="rId2264" Type="http://schemas.openxmlformats.org/officeDocument/2006/relationships/hyperlink" Target="https://talan.bank.gov.ua/get-user-certificate/45CElx3yNrLDIuU-j7bW" TargetMode="External"/><Relationship Id="rId3315" Type="http://schemas.openxmlformats.org/officeDocument/2006/relationships/hyperlink" Target="https://talan.bank.gov.ua/get-user-certificate/45CEl98sK0N7AGcGapmX" TargetMode="External"/><Relationship Id="rId236" Type="http://schemas.openxmlformats.org/officeDocument/2006/relationships/hyperlink" Target="https://talan.bank.gov.ua/get-user-certificate/45CElgxCnxLoYG4QZJxo" TargetMode="External"/><Relationship Id="rId650" Type="http://schemas.openxmlformats.org/officeDocument/2006/relationships/hyperlink" Target="https://talan.bank.gov.ua/get-user-certificate/45CEljQyJqB1rLizGPCe" TargetMode="External"/><Relationship Id="rId1280" Type="http://schemas.openxmlformats.org/officeDocument/2006/relationships/hyperlink" Target="https://talan.bank.gov.ua/get-user-certificate/45CElDfJHtZ-6zcUGQCA" TargetMode="External"/><Relationship Id="rId2331" Type="http://schemas.openxmlformats.org/officeDocument/2006/relationships/hyperlink" Target="https://talan.bank.gov.ua/get-user-certificate/45CEl0jnzwWz0yhVI5LU" TargetMode="External"/><Relationship Id="rId303" Type="http://schemas.openxmlformats.org/officeDocument/2006/relationships/hyperlink" Target="https://talan.bank.gov.ua/get-user-certificate/45CEl70T7_Hg1Sb0FwNd" TargetMode="External"/><Relationship Id="rId4089" Type="http://schemas.openxmlformats.org/officeDocument/2006/relationships/hyperlink" Target="https://talan.bank.gov.ua/get-user-certificate/45CElkpxuBIqj3lg48qM" TargetMode="External"/><Relationship Id="rId1000" Type="http://schemas.openxmlformats.org/officeDocument/2006/relationships/hyperlink" Target="https://talan.bank.gov.ua/get-user-certificate/45CElUNK2uaFwlYyRLre" TargetMode="External"/><Relationship Id="rId4156" Type="http://schemas.openxmlformats.org/officeDocument/2006/relationships/hyperlink" Target="https://talan.bank.gov.ua/get-user-certificate/45CElJ92wVu2WUnFM3YK" TargetMode="External"/><Relationship Id="rId4570" Type="http://schemas.openxmlformats.org/officeDocument/2006/relationships/hyperlink" Target="https://talan.bank.gov.ua/get-user-certificate/45CElIQcBDDcXKV5fQPI" TargetMode="External"/><Relationship Id="rId1817" Type="http://schemas.openxmlformats.org/officeDocument/2006/relationships/hyperlink" Target="https://talan.bank.gov.ua/get-user-certificate/45CElPxm3oJwVit5_tnO" TargetMode="External"/><Relationship Id="rId3172" Type="http://schemas.openxmlformats.org/officeDocument/2006/relationships/hyperlink" Target="https://talan.bank.gov.ua/get-user-certificate/45CElqoVtXv9-BZA7NbK" TargetMode="External"/><Relationship Id="rId4223" Type="http://schemas.openxmlformats.org/officeDocument/2006/relationships/hyperlink" Target="https://talan.bank.gov.ua/get-user-certificate/45CEl4Tm2ULQ4eSBONrG" TargetMode="External"/><Relationship Id="rId160" Type="http://schemas.openxmlformats.org/officeDocument/2006/relationships/hyperlink" Target="https://talan.bank.gov.ua/get-user-certificate/45CElHjra1iadozVhzft" TargetMode="External"/><Relationship Id="rId3989" Type="http://schemas.openxmlformats.org/officeDocument/2006/relationships/hyperlink" Target="https://talan.bank.gov.ua/get-user-certificate/45CEl5C8wKF_U-N5Rh9E" TargetMode="External"/><Relationship Id="rId977" Type="http://schemas.openxmlformats.org/officeDocument/2006/relationships/hyperlink" Target="https://talan.bank.gov.ua/get-user-certificate/45CElbVnbmcPgipJfWXb" TargetMode="External"/><Relationship Id="rId2658" Type="http://schemas.openxmlformats.org/officeDocument/2006/relationships/hyperlink" Target="https://talan.bank.gov.ua/get-user-certificate/45CElUSFy8ln6NV26UjV" TargetMode="External"/><Relationship Id="rId3709" Type="http://schemas.openxmlformats.org/officeDocument/2006/relationships/hyperlink" Target="https://talan.bank.gov.ua/get-user-certificate/45CElYe35ycuU2eFbcDm" TargetMode="External"/><Relationship Id="rId4080" Type="http://schemas.openxmlformats.org/officeDocument/2006/relationships/hyperlink" Target="https://talan.bank.gov.ua/get-user-certificate/45CElCaXZiXD5JDWstcI" TargetMode="External"/><Relationship Id="rId1674" Type="http://schemas.openxmlformats.org/officeDocument/2006/relationships/hyperlink" Target="https://talan.bank.gov.ua/get-user-certificate/45CElXIH95oPSIIvWeRC" TargetMode="External"/><Relationship Id="rId2725" Type="http://schemas.openxmlformats.org/officeDocument/2006/relationships/hyperlink" Target="https://talan.bank.gov.ua/get-user-certificate/45CElOZVfqMAeSheCEeI" TargetMode="External"/><Relationship Id="rId1327" Type="http://schemas.openxmlformats.org/officeDocument/2006/relationships/hyperlink" Target="https://talan.bank.gov.ua/get-user-certificate/45CEliJS5Zi1ZvGvVb_p" TargetMode="External"/><Relationship Id="rId1741" Type="http://schemas.openxmlformats.org/officeDocument/2006/relationships/hyperlink" Target="https://talan.bank.gov.ua/get-user-certificate/45CElhjGfP78pDA_9_x8" TargetMode="External"/><Relationship Id="rId4897" Type="http://schemas.openxmlformats.org/officeDocument/2006/relationships/hyperlink" Target="https://talan.bank.gov.ua/get-user-certificate/45CElqbO0mbvoeWKYlYI" TargetMode="External"/><Relationship Id="rId33" Type="http://schemas.openxmlformats.org/officeDocument/2006/relationships/hyperlink" Target="https://talan.bank.gov.ua/get-user-certificate/45CElv038SjKpMKUY79M" TargetMode="External"/><Relationship Id="rId3499" Type="http://schemas.openxmlformats.org/officeDocument/2006/relationships/hyperlink" Target="https://talan.bank.gov.ua/get-user-certificate/45CElQzthQS0XGDc9jvT" TargetMode="External"/><Relationship Id="rId3566" Type="http://schemas.openxmlformats.org/officeDocument/2006/relationships/hyperlink" Target="https://talan.bank.gov.ua/get-user-certificate/45CElzMj_qxrNJj1BZOB" TargetMode="External"/><Relationship Id="rId4964" Type="http://schemas.openxmlformats.org/officeDocument/2006/relationships/hyperlink" Target="https://talan.bank.gov.ua/get-user-certificate/45CEljnyKWQS63WA-In7" TargetMode="External"/><Relationship Id="rId487" Type="http://schemas.openxmlformats.org/officeDocument/2006/relationships/hyperlink" Target="https://talan.bank.gov.ua/get-user-certificate/45CElM94sHb8MAflqAd-" TargetMode="External"/><Relationship Id="rId2168" Type="http://schemas.openxmlformats.org/officeDocument/2006/relationships/hyperlink" Target="https://talan.bank.gov.ua/get-user-certificate/45CElMRITG8HVO0oU4HT" TargetMode="External"/><Relationship Id="rId3219" Type="http://schemas.openxmlformats.org/officeDocument/2006/relationships/hyperlink" Target="https://talan.bank.gov.ua/get-user-certificate/45CElUEOS0PX86YFomTX" TargetMode="External"/><Relationship Id="rId3980" Type="http://schemas.openxmlformats.org/officeDocument/2006/relationships/hyperlink" Target="https://talan.bank.gov.ua/get-user-certificate/45CEl4oMt4ToeSHKlu5m" TargetMode="External"/><Relationship Id="rId4617" Type="http://schemas.openxmlformats.org/officeDocument/2006/relationships/hyperlink" Target="https://talan.bank.gov.ua/get-user-certificate/45CEll54ZOP7IVqEk0Z3" TargetMode="External"/><Relationship Id="rId1184" Type="http://schemas.openxmlformats.org/officeDocument/2006/relationships/hyperlink" Target="https://talan.bank.gov.ua/get-user-certificate/45CElbLzyJcqKJ09BcFW" TargetMode="External"/><Relationship Id="rId2582" Type="http://schemas.openxmlformats.org/officeDocument/2006/relationships/hyperlink" Target="https://talan.bank.gov.ua/get-user-certificate/45CElkz8MYktiCFspusa" TargetMode="External"/><Relationship Id="rId3633" Type="http://schemas.openxmlformats.org/officeDocument/2006/relationships/hyperlink" Target="https://talan.bank.gov.ua/get-user-certificate/45CElI6jwv1ZAL-IM5UX" TargetMode="External"/><Relationship Id="rId554" Type="http://schemas.openxmlformats.org/officeDocument/2006/relationships/hyperlink" Target="https://talan.bank.gov.ua/get-user-certificate/45CElebW63r6ESPBdcPZ" TargetMode="External"/><Relationship Id="rId2235" Type="http://schemas.openxmlformats.org/officeDocument/2006/relationships/hyperlink" Target="https://talan.bank.gov.ua/get-user-certificate/45CEllXKgO0-6yP-LSmI" TargetMode="External"/><Relationship Id="rId3700" Type="http://schemas.openxmlformats.org/officeDocument/2006/relationships/hyperlink" Target="https://talan.bank.gov.ua/get-user-certificate/45CElCBKBO1y06-iXTGo" TargetMode="External"/><Relationship Id="rId207" Type="http://schemas.openxmlformats.org/officeDocument/2006/relationships/hyperlink" Target="https://talan.bank.gov.ua/get-user-certificate/45CElfsaFycmRegvpKRL" TargetMode="External"/><Relationship Id="rId621" Type="http://schemas.openxmlformats.org/officeDocument/2006/relationships/hyperlink" Target="https://talan.bank.gov.ua/get-user-certificate/45CElfxoqC9-8QTgsz4S" TargetMode="External"/><Relationship Id="rId1251" Type="http://schemas.openxmlformats.org/officeDocument/2006/relationships/hyperlink" Target="https://talan.bank.gov.ua/get-user-certificate/45CEliziJIojFLxfH2EC" TargetMode="External"/><Relationship Id="rId2302" Type="http://schemas.openxmlformats.org/officeDocument/2006/relationships/hyperlink" Target="https://talan.bank.gov.ua/get-user-certificate/45CElgyoBAsAI42Qurlr" TargetMode="External"/><Relationship Id="rId4474" Type="http://schemas.openxmlformats.org/officeDocument/2006/relationships/hyperlink" Target="https://talan.bank.gov.ua/get-user-certificate/45CElXfu2H1RW_v6zAsG" TargetMode="External"/><Relationship Id="rId3076" Type="http://schemas.openxmlformats.org/officeDocument/2006/relationships/hyperlink" Target="https://talan.bank.gov.ua/get-user-certificate/45CEl9zzUvfXGBAZS4hj" TargetMode="External"/><Relationship Id="rId3490" Type="http://schemas.openxmlformats.org/officeDocument/2006/relationships/hyperlink" Target="https://talan.bank.gov.ua/get-user-certificate/45CElwUj2SsmKVOvCuOf" TargetMode="External"/><Relationship Id="rId4127" Type="http://schemas.openxmlformats.org/officeDocument/2006/relationships/hyperlink" Target="https://talan.bank.gov.ua/get-user-certificate/45CElMpjSVnng8wyT-J0" TargetMode="External"/><Relationship Id="rId4541" Type="http://schemas.openxmlformats.org/officeDocument/2006/relationships/hyperlink" Target="https://talan.bank.gov.ua/get-user-certificate/45CElcxw4d0W_om_Ncdi" TargetMode="External"/><Relationship Id="rId2092" Type="http://schemas.openxmlformats.org/officeDocument/2006/relationships/hyperlink" Target="https://talan.bank.gov.ua/get-user-certificate/45CElsoFYBW43th1Nae7" TargetMode="External"/><Relationship Id="rId3143" Type="http://schemas.openxmlformats.org/officeDocument/2006/relationships/hyperlink" Target="https://talan.bank.gov.ua/get-user-certificate/45CEl21dlHr6mtT74K1R" TargetMode="External"/><Relationship Id="rId131" Type="http://schemas.openxmlformats.org/officeDocument/2006/relationships/hyperlink" Target="https://talan.bank.gov.ua/get-user-certificate/45CEl0BGoG5a64h9vKi0" TargetMode="External"/><Relationship Id="rId3210" Type="http://schemas.openxmlformats.org/officeDocument/2006/relationships/hyperlink" Target="https://talan.bank.gov.ua/get-user-certificate/45CElbdiJt8xQfnHuW9X" TargetMode="External"/><Relationship Id="rId2976" Type="http://schemas.openxmlformats.org/officeDocument/2006/relationships/hyperlink" Target="https://talan.bank.gov.ua/get-user-certificate/45CElCAPteHZrjAdnHjb" TargetMode="External"/><Relationship Id="rId948" Type="http://schemas.openxmlformats.org/officeDocument/2006/relationships/hyperlink" Target="https://talan.bank.gov.ua/get-user-certificate/45CElU9PSGbP2LdbczKo" TargetMode="External"/><Relationship Id="rId1578" Type="http://schemas.openxmlformats.org/officeDocument/2006/relationships/hyperlink" Target="https://talan.bank.gov.ua/get-user-certificate/45CElERX2bRsAuPlcbx5" TargetMode="External"/><Relationship Id="rId1992" Type="http://schemas.openxmlformats.org/officeDocument/2006/relationships/hyperlink" Target="https://talan.bank.gov.ua/get-user-certificate/45CEleULe4ajnjLqo_Dg" TargetMode="External"/><Relationship Id="rId2629" Type="http://schemas.openxmlformats.org/officeDocument/2006/relationships/hyperlink" Target="https://talan.bank.gov.ua/get-user-certificate/45CElPQJHPuu2z0M9ba5" TargetMode="External"/><Relationship Id="rId1645" Type="http://schemas.openxmlformats.org/officeDocument/2006/relationships/hyperlink" Target="https://talan.bank.gov.ua/get-user-certificate/45CElNx8hx3OdJQobFay" TargetMode="External"/><Relationship Id="rId4051" Type="http://schemas.openxmlformats.org/officeDocument/2006/relationships/hyperlink" Target="https://talan.bank.gov.ua/get-user-certificate/45CElCDDvvo1AYs3exXL" TargetMode="External"/><Relationship Id="rId1712" Type="http://schemas.openxmlformats.org/officeDocument/2006/relationships/hyperlink" Target="https://talan.bank.gov.ua/get-user-certificate/45CElZOel_aEvZFuTBI2" TargetMode="External"/><Relationship Id="rId4868" Type="http://schemas.openxmlformats.org/officeDocument/2006/relationships/hyperlink" Target="https://talan.bank.gov.ua/get-user-certificate/45CElE7hbPUeiC8LGiTz" TargetMode="External"/><Relationship Id="rId3884" Type="http://schemas.openxmlformats.org/officeDocument/2006/relationships/hyperlink" Target="https://talan.bank.gov.ua/get-user-certificate/45CEl4hIOKfZGPlKd3e5" TargetMode="External"/><Relationship Id="rId4935" Type="http://schemas.openxmlformats.org/officeDocument/2006/relationships/hyperlink" Target="https://talan.bank.gov.ua/get-user-certificate/45CElkRSUoDE5YpDNN_9" TargetMode="External"/><Relationship Id="rId2486" Type="http://schemas.openxmlformats.org/officeDocument/2006/relationships/hyperlink" Target="https://talan.bank.gov.ua/get-user-certificate/45CEl-Kdir1qtlBaY6QK" TargetMode="External"/><Relationship Id="rId3537" Type="http://schemas.openxmlformats.org/officeDocument/2006/relationships/hyperlink" Target="https://talan.bank.gov.ua/get-user-certificate/45CElI2MQ6EFcQvLCplT" TargetMode="External"/><Relationship Id="rId3951" Type="http://schemas.openxmlformats.org/officeDocument/2006/relationships/hyperlink" Target="https://talan.bank.gov.ua/get-user-certificate/45CElmjuUqf1hy08PWWy" TargetMode="External"/><Relationship Id="rId458" Type="http://schemas.openxmlformats.org/officeDocument/2006/relationships/hyperlink" Target="https://talan.bank.gov.ua/get-user-certificate/45CElnJAGfCNqX8wG99G" TargetMode="External"/><Relationship Id="rId872" Type="http://schemas.openxmlformats.org/officeDocument/2006/relationships/hyperlink" Target="https://talan.bank.gov.ua/get-user-certificate/45CElOJvon12tMcCGEUC" TargetMode="External"/><Relationship Id="rId1088" Type="http://schemas.openxmlformats.org/officeDocument/2006/relationships/hyperlink" Target="https://talan.bank.gov.ua/get-user-certificate/45CElOZmvSPYGaO_IH8W" TargetMode="External"/><Relationship Id="rId2139" Type="http://schemas.openxmlformats.org/officeDocument/2006/relationships/hyperlink" Target="https://talan.bank.gov.ua/get-user-certificate/45CEl2bUygbuF_ijkDy7" TargetMode="External"/><Relationship Id="rId2553" Type="http://schemas.openxmlformats.org/officeDocument/2006/relationships/hyperlink" Target="https://talan.bank.gov.ua/get-user-certificate/45CElTPr2XcN5Kj757Nz" TargetMode="External"/><Relationship Id="rId3604" Type="http://schemas.openxmlformats.org/officeDocument/2006/relationships/hyperlink" Target="https://talan.bank.gov.ua/get-user-certificate/45CElIstAijuFuqT6mrd" TargetMode="External"/><Relationship Id="rId525" Type="http://schemas.openxmlformats.org/officeDocument/2006/relationships/hyperlink" Target="https://talan.bank.gov.ua/get-user-certificate/45CElsTURSKf8K3cqFii" TargetMode="External"/><Relationship Id="rId1155" Type="http://schemas.openxmlformats.org/officeDocument/2006/relationships/hyperlink" Target="https://talan.bank.gov.ua/get-user-certificate/45CElxsUucM969uV0QnS" TargetMode="External"/><Relationship Id="rId2206" Type="http://schemas.openxmlformats.org/officeDocument/2006/relationships/hyperlink" Target="https://talan.bank.gov.ua/get-user-certificate/45CElEx_MDxBgABS7e3p" TargetMode="External"/><Relationship Id="rId2620" Type="http://schemas.openxmlformats.org/officeDocument/2006/relationships/hyperlink" Target="https://talan.bank.gov.ua/get-user-certificate/45CElNS04s7s9sJrcygc" TargetMode="External"/><Relationship Id="rId1222" Type="http://schemas.openxmlformats.org/officeDocument/2006/relationships/hyperlink" Target="https://talan.bank.gov.ua/get-user-certificate/45CElor02XjGSbO6ITNJ" TargetMode="External"/><Relationship Id="rId4378" Type="http://schemas.openxmlformats.org/officeDocument/2006/relationships/hyperlink" Target="https://talan.bank.gov.ua/get-user-certificate/45CEl3mNrENW5VHVZQKT" TargetMode="External"/><Relationship Id="rId3394" Type="http://schemas.openxmlformats.org/officeDocument/2006/relationships/hyperlink" Target="https://talan.bank.gov.ua/get-user-certificate/45CElMXumQY1i3x_DCWm" TargetMode="External"/><Relationship Id="rId4792" Type="http://schemas.openxmlformats.org/officeDocument/2006/relationships/hyperlink" Target="https://talan.bank.gov.ua/get-user-certificate/45CElsEOh9xyFwHiINI1" TargetMode="External"/><Relationship Id="rId3047" Type="http://schemas.openxmlformats.org/officeDocument/2006/relationships/hyperlink" Target="https://talan.bank.gov.ua/get-user-certificate/45CElpUUz1OUBNN-K1nW" TargetMode="External"/><Relationship Id="rId4445" Type="http://schemas.openxmlformats.org/officeDocument/2006/relationships/hyperlink" Target="https://talan.bank.gov.ua/get-user-certificate/45CElExT9KQyuj0M5YDs" TargetMode="External"/><Relationship Id="rId3461" Type="http://schemas.openxmlformats.org/officeDocument/2006/relationships/hyperlink" Target="https://talan.bank.gov.ua/get-user-certificate/45CElK6DIanAMvYA74AH" TargetMode="External"/><Relationship Id="rId4512" Type="http://schemas.openxmlformats.org/officeDocument/2006/relationships/hyperlink" Target="https://talan.bank.gov.ua/get-user-certificate/45CEl87wNA8KCGLxJGWQ" TargetMode="External"/><Relationship Id="rId382" Type="http://schemas.openxmlformats.org/officeDocument/2006/relationships/hyperlink" Target="https://talan.bank.gov.ua/get-user-certificate/45CEl-OdrD8hLc11SZb7" TargetMode="External"/><Relationship Id="rId2063" Type="http://schemas.openxmlformats.org/officeDocument/2006/relationships/hyperlink" Target="https://talan.bank.gov.ua/get-user-certificate/45CElgqverh8QPbJqxIx" TargetMode="External"/><Relationship Id="rId3114" Type="http://schemas.openxmlformats.org/officeDocument/2006/relationships/hyperlink" Target="https://talan.bank.gov.ua/get-user-certificate/45CElzT57eUuwODnP6vl" TargetMode="External"/><Relationship Id="rId2130" Type="http://schemas.openxmlformats.org/officeDocument/2006/relationships/hyperlink" Target="https://talan.bank.gov.ua/get-user-certificate/45CEl8IddioZAM6FkJNZ" TargetMode="External"/><Relationship Id="rId102" Type="http://schemas.openxmlformats.org/officeDocument/2006/relationships/hyperlink" Target="https://talan.bank.gov.ua/get-user-certificate/45CElvlNQrYS7xg59d6C" TargetMode="External"/><Relationship Id="rId1896" Type="http://schemas.openxmlformats.org/officeDocument/2006/relationships/hyperlink" Target="https://talan.bank.gov.ua/get-user-certificate/45CElB8T2Y9WuDmch_ph" TargetMode="External"/><Relationship Id="rId2947" Type="http://schemas.openxmlformats.org/officeDocument/2006/relationships/hyperlink" Target="https://talan.bank.gov.ua/get-user-certificate/45CEluFRYFOblC-fcFw4" TargetMode="External"/><Relationship Id="rId5006" Type="http://schemas.openxmlformats.org/officeDocument/2006/relationships/hyperlink" Target="https://talan.bank.gov.ua/get-user-certificate/ki8TnPcV2NFSJ0iO2naj" TargetMode="External"/><Relationship Id="rId919" Type="http://schemas.openxmlformats.org/officeDocument/2006/relationships/hyperlink" Target="https://talan.bank.gov.ua/get-user-certificate/45CElSv3353zM1XOOaSw" TargetMode="External"/><Relationship Id="rId1549" Type="http://schemas.openxmlformats.org/officeDocument/2006/relationships/hyperlink" Target="https://talan.bank.gov.ua/get-user-certificate/45CEl8G7ZfTfG2ih-GxF" TargetMode="External"/><Relationship Id="rId1963" Type="http://schemas.openxmlformats.org/officeDocument/2006/relationships/hyperlink" Target="https://talan.bank.gov.ua/get-user-certificate/45CElAr8-8FDeJ8ys_bb" TargetMode="External"/><Relationship Id="rId4022" Type="http://schemas.openxmlformats.org/officeDocument/2006/relationships/hyperlink" Target="https://talan.bank.gov.ua/get-user-certificate/45CEl_eKqFWmhhP8VND4" TargetMode="External"/><Relationship Id="rId1616" Type="http://schemas.openxmlformats.org/officeDocument/2006/relationships/hyperlink" Target="https://talan.bank.gov.ua/get-user-certificate/45CElq9N2Hw-hq7aRgs6" TargetMode="External"/><Relationship Id="rId3788" Type="http://schemas.openxmlformats.org/officeDocument/2006/relationships/hyperlink" Target="https://talan.bank.gov.ua/get-user-certificate/45CEljNt35R2NwjogSt4" TargetMode="External"/><Relationship Id="rId4839" Type="http://schemas.openxmlformats.org/officeDocument/2006/relationships/hyperlink" Target="https://talan.bank.gov.ua/get-user-certificate/45CEl9CsZIaNghUzOOo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26"/>
  <sheetViews>
    <sheetView tabSelected="1" topLeftCell="A4965" workbookViewId="0">
      <selection activeCell="B5031" sqref="B5031"/>
    </sheetView>
  </sheetViews>
  <sheetFormatPr defaultRowHeight="14.4" x14ac:dyDescent="0.3"/>
  <cols>
    <col min="1" max="1" width="19.21875" customWidth="1"/>
    <col min="2" max="2" width="19.109375" customWidth="1"/>
    <col min="3" max="3" width="33.109375" customWidth="1"/>
    <col min="4" max="4" width="46.44140625" customWidth="1"/>
    <col min="5" max="5" width="33.109375" customWidth="1"/>
    <col min="6" max="6" width="25.109375" customWidth="1"/>
  </cols>
  <sheetData>
    <row r="1" spans="1:6" s="1" customFormat="1" x14ac:dyDescent="0.3">
      <c r="A1" s="1" t="s">
        <v>0</v>
      </c>
      <c r="B1" s="1" t="s">
        <v>1</v>
      </c>
      <c r="C1" s="1" t="s">
        <v>10724</v>
      </c>
      <c r="D1" s="1" t="s">
        <v>2</v>
      </c>
      <c r="E1" s="1" t="s">
        <v>3</v>
      </c>
      <c r="F1" s="1" t="s">
        <v>4</v>
      </c>
    </row>
    <row r="2" spans="1:6" x14ac:dyDescent="0.3">
      <c r="A2" t="s">
        <v>5</v>
      </c>
      <c r="B2" t="s">
        <v>6</v>
      </c>
      <c r="C2" t="s">
        <v>7</v>
      </c>
      <c r="D2" t="s">
        <v>8</v>
      </c>
      <c r="E2" t="s">
        <v>9</v>
      </c>
      <c r="F2" t="str">
        <f>HYPERLINK("https://talan.bank.gov.ua/get-user-certificate/45CElB9_-QbQ7-aDJ46w","Завантажити сертифікат")</f>
        <v>Завантажити сертифікат</v>
      </c>
    </row>
    <row r="3" spans="1:6" x14ac:dyDescent="0.3">
      <c r="A3" t="s">
        <v>10</v>
      </c>
      <c r="B3" t="s">
        <v>6</v>
      </c>
      <c r="C3" t="s">
        <v>11</v>
      </c>
      <c r="D3" t="s">
        <v>8</v>
      </c>
      <c r="E3" t="s">
        <v>9</v>
      </c>
      <c r="F3" t="str">
        <f>HYPERLINK("https://talan.bank.gov.ua/get-user-certificate/45CElkX4-t96zugZM46Q","Завантажити сертифікат")</f>
        <v>Завантажити сертифікат</v>
      </c>
    </row>
    <row r="4" spans="1:6" x14ac:dyDescent="0.3">
      <c r="A4" t="s">
        <v>12</v>
      </c>
      <c r="B4" t="s">
        <v>6</v>
      </c>
      <c r="C4" t="s">
        <v>13</v>
      </c>
      <c r="D4" t="s">
        <v>8</v>
      </c>
      <c r="E4" t="s">
        <v>9</v>
      </c>
      <c r="F4" t="str">
        <f>HYPERLINK("https://talan.bank.gov.ua/get-user-certificate/45CElr675qUeEvDCL1q5","Завантажити сертифікат")</f>
        <v>Завантажити сертифікат</v>
      </c>
    </row>
    <row r="5" spans="1:6" x14ac:dyDescent="0.3">
      <c r="A5" t="s">
        <v>14</v>
      </c>
      <c r="B5" t="s">
        <v>6</v>
      </c>
      <c r="C5" t="s">
        <v>15</v>
      </c>
      <c r="D5" t="s">
        <v>8</v>
      </c>
      <c r="E5" t="s">
        <v>9</v>
      </c>
      <c r="F5" t="str">
        <f>HYPERLINK("https://talan.bank.gov.ua/get-user-certificate/45CElX6p4hIr-gVHq_YY","Завантажити сертифікат")</f>
        <v>Завантажити сертифікат</v>
      </c>
    </row>
    <row r="6" spans="1:6" x14ac:dyDescent="0.3">
      <c r="A6" t="s">
        <v>16</v>
      </c>
      <c r="B6" t="s">
        <v>6</v>
      </c>
      <c r="C6" t="s">
        <v>17</v>
      </c>
      <c r="D6" t="s">
        <v>8</v>
      </c>
      <c r="E6" t="s">
        <v>9</v>
      </c>
      <c r="F6" t="str">
        <f>HYPERLINK("https://talan.bank.gov.ua/get-user-certificate/45CElrwLRN-OzOxUzUQt","Завантажити сертифікат")</f>
        <v>Завантажити сертифікат</v>
      </c>
    </row>
    <row r="7" spans="1:6" x14ac:dyDescent="0.3">
      <c r="A7" t="s">
        <v>18</v>
      </c>
      <c r="B7" t="s">
        <v>6</v>
      </c>
      <c r="C7" t="s">
        <v>19</v>
      </c>
      <c r="D7" t="s">
        <v>8</v>
      </c>
      <c r="E7" t="s">
        <v>9</v>
      </c>
      <c r="F7" t="str">
        <f>HYPERLINK("https://talan.bank.gov.ua/get-user-certificate/45CEll6BgS1a4G446ZNx","Завантажити сертифікат")</f>
        <v>Завантажити сертифікат</v>
      </c>
    </row>
    <row r="8" spans="1:6" x14ac:dyDescent="0.3">
      <c r="A8" t="s">
        <v>20</v>
      </c>
      <c r="B8" t="s">
        <v>6</v>
      </c>
      <c r="C8" t="s">
        <v>21</v>
      </c>
      <c r="D8" t="s">
        <v>8</v>
      </c>
      <c r="E8" t="s">
        <v>9</v>
      </c>
      <c r="F8" t="str">
        <f>HYPERLINK("https://talan.bank.gov.ua/get-user-certificate/45CElu4kGSMiBisAm4Z7","Завантажити сертифікат")</f>
        <v>Завантажити сертифікат</v>
      </c>
    </row>
    <row r="9" spans="1:6" x14ac:dyDescent="0.3">
      <c r="A9" t="s">
        <v>22</v>
      </c>
      <c r="B9" t="s">
        <v>6</v>
      </c>
      <c r="C9" t="s">
        <v>23</v>
      </c>
      <c r="D9" t="s">
        <v>24</v>
      </c>
      <c r="E9" t="s">
        <v>25</v>
      </c>
      <c r="F9" t="str">
        <f>HYPERLINK("https://talan.bank.gov.ua/get-user-certificate/45CElEUCG1rDr-Us89EX","Завантажити сертифікат")</f>
        <v>Завантажити сертифікат</v>
      </c>
    </row>
    <row r="10" spans="1:6" x14ac:dyDescent="0.3">
      <c r="A10" t="s">
        <v>26</v>
      </c>
      <c r="B10" t="s">
        <v>6</v>
      </c>
      <c r="C10" t="s">
        <v>27</v>
      </c>
      <c r="D10" t="s">
        <v>24</v>
      </c>
      <c r="E10" t="s">
        <v>25</v>
      </c>
      <c r="F10" t="str">
        <f>HYPERLINK("https://talan.bank.gov.ua/get-user-certificate/45CElR0mAHDmQuY9DM-c","Завантажити сертифікат")</f>
        <v>Завантажити сертифікат</v>
      </c>
    </row>
    <row r="11" spans="1:6" x14ac:dyDescent="0.3">
      <c r="A11" t="s">
        <v>28</v>
      </c>
      <c r="B11" t="s">
        <v>6</v>
      </c>
      <c r="C11" t="s">
        <v>29</v>
      </c>
      <c r="D11" t="s">
        <v>24</v>
      </c>
      <c r="E11" t="s">
        <v>25</v>
      </c>
      <c r="F11" t="str">
        <f>HYPERLINK("https://talan.bank.gov.ua/get-user-certificate/45CEl5QZ3Nv1OqvRMce7","Завантажити сертифікат")</f>
        <v>Завантажити сертифікат</v>
      </c>
    </row>
    <row r="12" spans="1:6" x14ac:dyDescent="0.3">
      <c r="A12" t="s">
        <v>30</v>
      </c>
      <c r="B12" t="s">
        <v>6</v>
      </c>
      <c r="C12" t="s">
        <v>31</v>
      </c>
      <c r="D12" t="s">
        <v>24</v>
      </c>
      <c r="E12" t="s">
        <v>25</v>
      </c>
      <c r="F12" t="str">
        <f>HYPERLINK("https://talan.bank.gov.ua/get-user-certificate/45CElInzEYzLZlQIx3xZ","Завантажити сертифікат")</f>
        <v>Завантажити сертифікат</v>
      </c>
    </row>
    <row r="13" spans="1:6" x14ac:dyDescent="0.3">
      <c r="A13" t="s">
        <v>32</v>
      </c>
      <c r="B13" t="s">
        <v>6</v>
      </c>
      <c r="C13" t="s">
        <v>33</v>
      </c>
      <c r="D13" t="s">
        <v>24</v>
      </c>
      <c r="E13" t="s">
        <v>25</v>
      </c>
      <c r="F13" t="str">
        <f>HYPERLINK("https://talan.bank.gov.ua/get-user-certificate/45CElUn1WWm2UpwnHra5","Завантажити сертифікат")</f>
        <v>Завантажити сертифікат</v>
      </c>
    </row>
    <row r="14" spans="1:6" x14ac:dyDescent="0.3">
      <c r="A14" t="s">
        <v>34</v>
      </c>
      <c r="B14" t="s">
        <v>6</v>
      </c>
      <c r="C14" t="s">
        <v>35</v>
      </c>
      <c r="D14" t="s">
        <v>24</v>
      </c>
      <c r="E14" t="s">
        <v>25</v>
      </c>
      <c r="F14" t="str">
        <f>HYPERLINK("https://talan.bank.gov.ua/get-user-certificate/45CElAkhmtxYFUme8x0s","Завантажити сертифікат")</f>
        <v>Завантажити сертифікат</v>
      </c>
    </row>
    <row r="15" spans="1:6" x14ac:dyDescent="0.3">
      <c r="A15" t="s">
        <v>36</v>
      </c>
      <c r="B15" t="s">
        <v>6</v>
      </c>
      <c r="C15" t="s">
        <v>37</v>
      </c>
      <c r="D15" t="s">
        <v>24</v>
      </c>
      <c r="E15" t="s">
        <v>25</v>
      </c>
      <c r="F15" t="str">
        <f>HYPERLINK("https://talan.bank.gov.ua/get-user-certificate/45CElKcvpRp9gxgOP60h","Завантажити сертифікат")</f>
        <v>Завантажити сертифікат</v>
      </c>
    </row>
    <row r="16" spans="1:6" x14ac:dyDescent="0.3">
      <c r="A16" t="s">
        <v>38</v>
      </c>
      <c r="B16" t="s">
        <v>6</v>
      </c>
      <c r="C16" t="s">
        <v>39</v>
      </c>
      <c r="D16" t="s">
        <v>24</v>
      </c>
      <c r="E16" t="s">
        <v>25</v>
      </c>
      <c r="F16" t="str">
        <f>HYPERLINK("https://talan.bank.gov.ua/get-user-certificate/45CEl9v4ngcA8rwAiiXn","Завантажити сертифікат")</f>
        <v>Завантажити сертифікат</v>
      </c>
    </row>
    <row r="17" spans="1:6" x14ac:dyDescent="0.3">
      <c r="A17" t="s">
        <v>40</v>
      </c>
      <c r="B17" t="s">
        <v>6</v>
      </c>
      <c r="C17" t="s">
        <v>41</v>
      </c>
      <c r="D17" t="s">
        <v>24</v>
      </c>
      <c r="E17" t="s">
        <v>25</v>
      </c>
      <c r="F17" t="str">
        <f>HYPERLINK("https://talan.bank.gov.ua/get-user-certificate/45CEl5jOVf2yJZOjXBbS","Завантажити сертифікат")</f>
        <v>Завантажити сертифікат</v>
      </c>
    </row>
    <row r="18" spans="1:6" x14ac:dyDescent="0.3">
      <c r="A18" t="s">
        <v>42</v>
      </c>
      <c r="B18" t="s">
        <v>6</v>
      </c>
      <c r="C18" t="s">
        <v>43</v>
      </c>
      <c r="D18" t="s">
        <v>24</v>
      </c>
      <c r="E18" t="s">
        <v>25</v>
      </c>
      <c r="F18" t="str">
        <f>HYPERLINK("https://talan.bank.gov.ua/get-user-certificate/45CElvwRviNx0X2WBikz","Завантажити сертифікат")</f>
        <v>Завантажити сертифікат</v>
      </c>
    </row>
    <row r="19" spans="1:6" x14ac:dyDescent="0.3">
      <c r="A19" t="s">
        <v>44</v>
      </c>
      <c r="B19" t="s">
        <v>6</v>
      </c>
      <c r="C19" t="s">
        <v>45</v>
      </c>
      <c r="D19" t="s">
        <v>24</v>
      </c>
      <c r="E19" t="s">
        <v>25</v>
      </c>
      <c r="F19" t="str">
        <f>HYPERLINK("https://talan.bank.gov.ua/get-user-certificate/45CElJDSg22OlO836IcI","Завантажити сертифікат")</f>
        <v>Завантажити сертифікат</v>
      </c>
    </row>
    <row r="20" spans="1:6" x14ac:dyDescent="0.3">
      <c r="A20" t="s">
        <v>46</v>
      </c>
      <c r="B20" t="s">
        <v>6</v>
      </c>
      <c r="C20" t="s">
        <v>47</v>
      </c>
      <c r="D20" t="s">
        <v>24</v>
      </c>
      <c r="E20" t="s">
        <v>25</v>
      </c>
      <c r="F20" t="str">
        <f>HYPERLINK("https://talan.bank.gov.ua/get-user-certificate/45CElr88kIql4ipyfgqp","Завантажити сертифікат")</f>
        <v>Завантажити сертифікат</v>
      </c>
    </row>
    <row r="21" spans="1:6" x14ac:dyDescent="0.3">
      <c r="A21" t="s">
        <v>48</v>
      </c>
      <c r="B21" t="s">
        <v>6</v>
      </c>
      <c r="C21" t="s">
        <v>49</v>
      </c>
      <c r="D21" t="s">
        <v>24</v>
      </c>
      <c r="E21" t="s">
        <v>25</v>
      </c>
      <c r="F21" t="str">
        <f>HYPERLINK("https://talan.bank.gov.ua/get-user-certificate/45CElv_s3Hf5Q1GW3ILL","Завантажити сертифікат")</f>
        <v>Завантажити сертифікат</v>
      </c>
    </row>
    <row r="22" spans="1:6" x14ac:dyDescent="0.3">
      <c r="A22" t="s">
        <v>50</v>
      </c>
      <c r="B22" t="s">
        <v>6</v>
      </c>
      <c r="C22" t="s">
        <v>51</v>
      </c>
      <c r="D22" t="s">
        <v>24</v>
      </c>
      <c r="E22" t="s">
        <v>25</v>
      </c>
      <c r="F22" t="str">
        <f>HYPERLINK("https://talan.bank.gov.ua/get-user-certificate/45CElrgnLwqgPwogR1n4","Завантажити сертифікат")</f>
        <v>Завантажити сертифікат</v>
      </c>
    </row>
    <row r="23" spans="1:6" x14ac:dyDescent="0.3">
      <c r="A23" t="s">
        <v>52</v>
      </c>
      <c r="B23" t="s">
        <v>6</v>
      </c>
      <c r="C23" t="s">
        <v>53</v>
      </c>
      <c r="D23" t="s">
        <v>24</v>
      </c>
      <c r="E23" t="s">
        <v>25</v>
      </c>
      <c r="F23" t="str">
        <f>HYPERLINK("https://talan.bank.gov.ua/get-user-certificate/45CElvbcvJz-9_9e7LzQ","Завантажити сертифікат")</f>
        <v>Завантажити сертифікат</v>
      </c>
    </row>
    <row r="24" spans="1:6" x14ac:dyDescent="0.3">
      <c r="A24" t="s">
        <v>54</v>
      </c>
      <c r="B24" t="s">
        <v>6</v>
      </c>
      <c r="C24" t="s">
        <v>55</v>
      </c>
      <c r="D24" t="s">
        <v>24</v>
      </c>
      <c r="E24" t="s">
        <v>25</v>
      </c>
      <c r="F24" t="str">
        <f>HYPERLINK("https://talan.bank.gov.ua/get-user-certificate/45CElBm5aLynBmY2KbT_","Завантажити сертифікат")</f>
        <v>Завантажити сертифікат</v>
      </c>
    </row>
    <row r="25" spans="1:6" x14ac:dyDescent="0.3">
      <c r="A25" t="s">
        <v>56</v>
      </c>
      <c r="B25" t="s">
        <v>6</v>
      </c>
      <c r="C25" t="s">
        <v>57</v>
      </c>
      <c r="D25" t="s">
        <v>24</v>
      </c>
      <c r="E25" t="s">
        <v>25</v>
      </c>
      <c r="F25" t="str">
        <f>HYPERLINK("https://talan.bank.gov.ua/get-user-certificate/45CElNWtRZMBIW5BDzpv","Завантажити сертифікат")</f>
        <v>Завантажити сертифікат</v>
      </c>
    </row>
    <row r="26" spans="1:6" x14ac:dyDescent="0.3">
      <c r="A26" t="s">
        <v>58</v>
      </c>
      <c r="B26" t="s">
        <v>6</v>
      </c>
      <c r="C26" t="s">
        <v>59</v>
      </c>
      <c r="D26" t="s">
        <v>24</v>
      </c>
      <c r="E26" t="s">
        <v>25</v>
      </c>
      <c r="F26" t="str">
        <f>HYPERLINK("https://talan.bank.gov.ua/get-user-certificate/45CElTJgMvA9WHzjQMwD","Завантажити сертифікат")</f>
        <v>Завантажити сертифікат</v>
      </c>
    </row>
    <row r="27" spans="1:6" x14ac:dyDescent="0.3">
      <c r="A27" t="s">
        <v>60</v>
      </c>
      <c r="B27" t="s">
        <v>6</v>
      </c>
      <c r="C27" t="s">
        <v>61</v>
      </c>
      <c r="D27" t="s">
        <v>24</v>
      </c>
      <c r="E27" t="s">
        <v>25</v>
      </c>
      <c r="F27" t="str">
        <f>HYPERLINK("https://talan.bank.gov.ua/get-user-certificate/45CEl3mOakjkH8fXV7Nj","Завантажити сертифікат")</f>
        <v>Завантажити сертифікат</v>
      </c>
    </row>
    <row r="28" spans="1:6" x14ac:dyDescent="0.3">
      <c r="A28" t="s">
        <v>62</v>
      </c>
      <c r="B28" t="s">
        <v>6</v>
      </c>
      <c r="C28" t="s">
        <v>63</v>
      </c>
      <c r="D28" t="s">
        <v>24</v>
      </c>
      <c r="E28" t="s">
        <v>25</v>
      </c>
      <c r="F28" t="str">
        <f>HYPERLINK("https://talan.bank.gov.ua/get-user-certificate/45CEldPl9Ae_geC9LKuJ","Завантажити сертифікат")</f>
        <v>Завантажити сертифікат</v>
      </c>
    </row>
    <row r="29" spans="1:6" x14ac:dyDescent="0.3">
      <c r="A29" t="s">
        <v>64</v>
      </c>
      <c r="B29" t="s">
        <v>6</v>
      </c>
      <c r="C29" t="s">
        <v>65</v>
      </c>
      <c r="D29" t="s">
        <v>66</v>
      </c>
      <c r="E29" t="s">
        <v>67</v>
      </c>
      <c r="F29" t="str">
        <f>HYPERLINK("https://talan.bank.gov.ua/get-user-certificate/45CElXCmekRURJtXP8vA","Завантажити сертифікат")</f>
        <v>Завантажити сертифікат</v>
      </c>
    </row>
    <row r="30" spans="1:6" x14ac:dyDescent="0.3">
      <c r="A30" t="s">
        <v>68</v>
      </c>
      <c r="B30" t="s">
        <v>6</v>
      </c>
      <c r="C30" t="s">
        <v>69</v>
      </c>
      <c r="D30" t="s">
        <v>66</v>
      </c>
      <c r="E30" t="s">
        <v>67</v>
      </c>
      <c r="F30" t="str">
        <f>HYPERLINK("https://talan.bank.gov.ua/get-user-certificate/45CElLBOKKRj18B-0qhL","Завантажити сертифікат")</f>
        <v>Завантажити сертифікат</v>
      </c>
    </row>
    <row r="31" spans="1:6" x14ac:dyDescent="0.3">
      <c r="A31" t="s">
        <v>70</v>
      </c>
      <c r="B31" t="s">
        <v>6</v>
      </c>
      <c r="C31" t="s">
        <v>71</v>
      </c>
      <c r="D31" t="s">
        <v>66</v>
      </c>
      <c r="E31" t="s">
        <v>67</v>
      </c>
      <c r="F31" t="str">
        <f>HYPERLINK("https://talan.bank.gov.ua/get-user-certificate/45CElV60HviwhNmPpUyY","Завантажити сертифікат")</f>
        <v>Завантажити сертифікат</v>
      </c>
    </row>
    <row r="32" spans="1:6" x14ac:dyDescent="0.3">
      <c r="A32" t="s">
        <v>72</v>
      </c>
      <c r="B32" t="s">
        <v>6</v>
      </c>
      <c r="C32" t="s">
        <v>73</v>
      </c>
      <c r="D32" t="s">
        <v>66</v>
      </c>
      <c r="E32" t="s">
        <v>67</v>
      </c>
      <c r="F32" t="str">
        <f>HYPERLINK("https://talan.bank.gov.ua/get-user-certificate/45CElH_5fiC6Q24ivjXQ","Завантажити сертифікат")</f>
        <v>Завантажити сертифікат</v>
      </c>
    </row>
    <row r="33" spans="1:6" x14ac:dyDescent="0.3">
      <c r="A33" t="s">
        <v>74</v>
      </c>
      <c r="B33" t="s">
        <v>6</v>
      </c>
      <c r="C33" t="s">
        <v>75</v>
      </c>
      <c r="D33" t="s">
        <v>66</v>
      </c>
      <c r="E33" t="s">
        <v>67</v>
      </c>
      <c r="F33" t="str">
        <f>HYPERLINK("https://talan.bank.gov.ua/get-user-certificate/45CElWUozRAchDZTyKHj","Завантажити сертифікат")</f>
        <v>Завантажити сертифікат</v>
      </c>
    </row>
    <row r="34" spans="1:6" x14ac:dyDescent="0.3">
      <c r="A34" t="s">
        <v>76</v>
      </c>
      <c r="B34" t="s">
        <v>6</v>
      </c>
      <c r="C34" t="s">
        <v>77</v>
      </c>
      <c r="D34" t="s">
        <v>66</v>
      </c>
      <c r="E34" t="s">
        <v>67</v>
      </c>
      <c r="F34" t="str">
        <f>HYPERLINK("https://talan.bank.gov.ua/get-user-certificate/45CElv038SjKpMKUY79M","Завантажити сертифікат")</f>
        <v>Завантажити сертифікат</v>
      </c>
    </row>
    <row r="35" spans="1:6" x14ac:dyDescent="0.3">
      <c r="A35" t="s">
        <v>78</v>
      </c>
      <c r="B35" t="s">
        <v>6</v>
      </c>
      <c r="C35" t="s">
        <v>79</v>
      </c>
      <c r="D35" t="s">
        <v>66</v>
      </c>
      <c r="E35" t="s">
        <v>67</v>
      </c>
      <c r="F35" t="str">
        <f>HYPERLINK("https://talan.bank.gov.ua/get-user-certificate/45CEln1n7j_2Kybs-c3X","Завантажити сертифікат")</f>
        <v>Завантажити сертифікат</v>
      </c>
    </row>
    <row r="36" spans="1:6" x14ac:dyDescent="0.3">
      <c r="A36" t="s">
        <v>80</v>
      </c>
      <c r="B36" t="s">
        <v>6</v>
      </c>
      <c r="C36" t="s">
        <v>81</v>
      </c>
      <c r="D36" t="s">
        <v>66</v>
      </c>
      <c r="E36" t="s">
        <v>67</v>
      </c>
      <c r="F36" t="str">
        <f>HYPERLINK("https://talan.bank.gov.ua/get-user-certificate/45CEl8-K2JgXwxeSbJJb","Завантажити сертифікат")</f>
        <v>Завантажити сертифікат</v>
      </c>
    </row>
    <row r="37" spans="1:6" x14ac:dyDescent="0.3">
      <c r="A37" t="s">
        <v>82</v>
      </c>
      <c r="B37" t="s">
        <v>6</v>
      </c>
      <c r="C37" t="s">
        <v>83</v>
      </c>
      <c r="D37" t="s">
        <v>66</v>
      </c>
      <c r="E37" t="s">
        <v>67</v>
      </c>
      <c r="F37" t="str">
        <f>HYPERLINK("https://talan.bank.gov.ua/get-user-certificate/45CElwpIISp4tc2j5Edz","Завантажити сертифікат")</f>
        <v>Завантажити сертифікат</v>
      </c>
    </row>
    <row r="38" spans="1:6" x14ac:dyDescent="0.3">
      <c r="A38" t="s">
        <v>84</v>
      </c>
      <c r="B38" t="s">
        <v>6</v>
      </c>
      <c r="C38" t="s">
        <v>85</v>
      </c>
      <c r="D38" t="s">
        <v>66</v>
      </c>
      <c r="E38" t="s">
        <v>67</v>
      </c>
      <c r="F38" t="str">
        <f>HYPERLINK("https://talan.bank.gov.ua/get-user-certificate/45CEl8rKiDaabJM8xbDH","Завантажити сертифікат")</f>
        <v>Завантажити сертифікат</v>
      </c>
    </row>
    <row r="39" spans="1:6" x14ac:dyDescent="0.3">
      <c r="A39" t="s">
        <v>86</v>
      </c>
      <c r="B39" t="s">
        <v>6</v>
      </c>
      <c r="C39" t="s">
        <v>87</v>
      </c>
      <c r="D39" t="s">
        <v>66</v>
      </c>
      <c r="E39" t="s">
        <v>67</v>
      </c>
      <c r="F39" t="str">
        <f>HYPERLINK("https://talan.bank.gov.ua/get-user-certificate/45CElAjyDSZSH3HXc9GX","Завантажити сертифікат")</f>
        <v>Завантажити сертифікат</v>
      </c>
    </row>
    <row r="40" spans="1:6" x14ac:dyDescent="0.3">
      <c r="A40" t="s">
        <v>88</v>
      </c>
      <c r="B40" t="s">
        <v>6</v>
      </c>
      <c r="C40" t="s">
        <v>89</v>
      </c>
      <c r="D40" t="s">
        <v>66</v>
      </c>
      <c r="E40" t="s">
        <v>67</v>
      </c>
      <c r="F40" t="str">
        <f>HYPERLINK("https://talan.bank.gov.ua/get-user-certificate/45CElpVXMI_-IV2Ubg8x","Завантажити сертифікат")</f>
        <v>Завантажити сертифікат</v>
      </c>
    </row>
    <row r="41" spans="1:6" x14ac:dyDescent="0.3">
      <c r="A41" t="s">
        <v>90</v>
      </c>
      <c r="B41" t="s">
        <v>6</v>
      </c>
      <c r="C41" t="s">
        <v>91</v>
      </c>
      <c r="D41" t="s">
        <v>66</v>
      </c>
      <c r="E41" t="s">
        <v>67</v>
      </c>
      <c r="F41" t="str">
        <f>HYPERLINK("https://talan.bank.gov.ua/get-user-certificate/45CEl7iy9r0xlffNwDHz","Завантажити сертифікат")</f>
        <v>Завантажити сертифікат</v>
      </c>
    </row>
    <row r="42" spans="1:6" x14ac:dyDescent="0.3">
      <c r="A42" t="s">
        <v>92</v>
      </c>
      <c r="B42" t="s">
        <v>6</v>
      </c>
      <c r="C42" t="s">
        <v>93</v>
      </c>
      <c r="D42" t="s">
        <v>66</v>
      </c>
      <c r="E42" t="s">
        <v>67</v>
      </c>
      <c r="F42" t="str">
        <f>HYPERLINK("https://talan.bank.gov.ua/get-user-certificate/45CEltJ2uVDzjEvwkA76","Завантажити сертифікат")</f>
        <v>Завантажити сертифікат</v>
      </c>
    </row>
    <row r="43" spans="1:6" x14ac:dyDescent="0.3">
      <c r="A43" t="s">
        <v>94</v>
      </c>
      <c r="B43" t="s">
        <v>6</v>
      </c>
      <c r="C43" t="s">
        <v>95</v>
      </c>
      <c r="D43" t="s">
        <v>96</v>
      </c>
      <c r="E43" t="s">
        <v>97</v>
      </c>
      <c r="F43" t="str">
        <f>HYPERLINK("https://talan.bank.gov.ua/get-user-certificate/45CElwAJtV-2Add5snKg","Завантажити сертифікат")</f>
        <v>Завантажити сертифікат</v>
      </c>
    </row>
    <row r="44" spans="1:6" x14ac:dyDescent="0.3">
      <c r="A44" t="s">
        <v>98</v>
      </c>
      <c r="B44" t="s">
        <v>6</v>
      </c>
      <c r="C44" t="s">
        <v>99</v>
      </c>
      <c r="D44" t="s">
        <v>96</v>
      </c>
      <c r="E44" t="s">
        <v>97</v>
      </c>
      <c r="F44" t="str">
        <f>HYPERLINK("https://talan.bank.gov.ua/get-user-certificate/45CEljHNK3Enlms8oENS","Завантажити сертифікат")</f>
        <v>Завантажити сертифікат</v>
      </c>
    </row>
    <row r="45" spans="1:6" x14ac:dyDescent="0.3">
      <c r="A45" t="s">
        <v>100</v>
      </c>
      <c r="B45" t="s">
        <v>6</v>
      </c>
      <c r="C45" t="s">
        <v>101</v>
      </c>
      <c r="D45" t="s">
        <v>96</v>
      </c>
      <c r="E45" t="s">
        <v>97</v>
      </c>
      <c r="F45" t="str">
        <f>HYPERLINK("https://talan.bank.gov.ua/get-user-certificate/45CElCDL-M6gXcb0kAQl","Завантажити сертифікат")</f>
        <v>Завантажити сертифікат</v>
      </c>
    </row>
    <row r="46" spans="1:6" x14ac:dyDescent="0.3">
      <c r="A46" t="s">
        <v>102</v>
      </c>
      <c r="B46" t="s">
        <v>6</v>
      </c>
      <c r="C46" t="s">
        <v>103</v>
      </c>
      <c r="D46" t="s">
        <v>96</v>
      </c>
      <c r="E46" t="s">
        <v>97</v>
      </c>
      <c r="F46" t="str">
        <f>HYPERLINK("https://talan.bank.gov.ua/get-user-certificate/45CElvbtw6NdTAyxzYu0","Завантажити сертифікат")</f>
        <v>Завантажити сертифікат</v>
      </c>
    </row>
    <row r="47" spans="1:6" x14ac:dyDescent="0.3">
      <c r="A47" t="s">
        <v>104</v>
      </c>
      <c r="B47" t="s">
        <v>6</v>
      </c>
      <c r="C47" t="s">
        <v>105</v>
      </c>
      <c r="D47" t="s">
        <v>96</v>
      </c>
      <c r="E47" t="s">
        <v>97</v>
      </c>
      <c r="F47" t="str">
        <f>HYPERLINK("https://talan.bank.gov.ua/get-user-certificate/45CElRYj5MFaP8RGUqGa","Завантажити сертифікат")</f>
        <v>Завантажити сертифікат</v>
      </c>
    </row>
    <row r="48" spans="1:6" x14ac:dyDescent="0.3">
      <c r="A48" t="s">
        <v>106</v>
      </c>
      <c r="B48" t="s">
        <v>6</v>
      </c>
      <c r="C48" t="s">
        <v>107</v>
      </c>
      <c r="D48" t="s">
        <v>96</v>
      </c>
      <c r="E48" t="s">
        <v>97</v>
      </c>
      <c r="F48" t="str">
        <f>HYPERLINK("https://talan.bank.gov.ua/get-user-certificate/45CElZVbV7NcFN96fHtL","Завантажити сертифікат")</f>
        <v>Завантажити сертифікат</v>
      </c>
    </row>
    <row r="49" spans="1:6" x14ac:dyDescent="0.3">
      <c r="A49" t="s">
        <v>108</v>
      </c>
      <c r="B49" t="s">
        <v>6</v>
      </c>
      <c r="C49" t="s">
        <v>109</v>
      </c>
      <c r="D49" t="s">
        <v>96</v>
      </c>
      <c r="E49" t="s">
        <v>97</v>
      </c>
      <c r="F49" t="str">
        <f>HYPERLINK("https://talan.bank.gov.ua/get-user-certificate/45CEloh8jpBA3DhpW7l2","Завантажити сертифікат")</f>
        <v>Завантажити сертифікат</v>
      </c>
    </row>
    <row r="50" spans="1:6" x14ac:dyDescent="0.3">
      <c r="A50" t="s">
        <v>110</v>
      </c>
      <c r="B50" t="s">
        <v>6</v>
      </c>
      <c r="C50" t="s">
        <v>111</v>
      </c>
      <c r="D50" t="s">
        <v>96</v>
      </c>
      <c r="E50" t="s">
        <v>97</v>
      </c>
      <c r="F50" t="str">
        <f>HYPERLINK("https://talan.bank.gov.ua/get-user-certificate/45CElop1Cgicmuiz1EfJ","Завантажити сертифікат")</f>
        <v>Завантажити сертифікат</v>
      </c>
    </row>
    <row r="51" spans="1:6" x14ac:dyDescent="0.3">
      <c r="A51" t="s">
        <v>112</v>
      </c>
      <c r="B51" t="s">
        <v>6</v>
      </c>
      <c r="C51" t="s">
        <v>113</v>
      </c>
      <c r="D51" t="s">
        <v>96</v>
      </c>
      <c r="E51" t="s">
        <v>97</v>
      </c>
      <c r="F51" t="str">
        <f>HYPERLINK("https://talan.bank.gov.ua/get-user-certificate/45CEl0MPbG8qS-LZGIWK","Завантажити сертифікат")</f>
        <v>Завантажити сертифікат</v>
      </c>
    </row>
    <row r="52" spans="1:6" x14ac:dyDescent="0.3">
      <c r="A52" t="s">
        <v>114</v>
      </c>
      <c r="B52" t="s">
        <v>6</v>
      </c>
      <c r="C52" t="s">
        <v>115</v>
      </c>
      <c r="D52" t="s">
        <v>96</v>
      </c>
      <c r="E52" t="s">
        <v>97</v>
      </c>
      <c r="F52" t="str">
        <f>HYPERLINK("https://talan.bank.gov.ua/get-user-certificate/45CEl833h64fpy2X3LtK","Завантажити сертифікат")</f>
        <v>Завантажити сертифікат</v>
      </c>
    </row>
    <row r="53" spans="1:6" x14ac:dyDescent="0.3">
      <c r="A53" t="s">
        <v>116</v>
      </c>
      <c r="B53" t="s">
        <v>6</v>
      </c>
      <c r="C53" t="s">
        <v>117</v>
      </c>
      <c r="D53" t="s">
        <v>96</v>
      </c>
      <c r="E53" t="s">
        <v>97</v>
      </c>
      <c r="F53" t="str">
        <f>HYPERLINK("https://talan.bank.gov.ua/get-user-certificate/45CEl5L462VFpXu1Za09","Завантажити сертифікат")</f>
        <v>Завантажити сертифікат</v>
      </c>
    </row>
    <row r="54" spans="1:6" x14ac:dyDescent="0.3">
      <c r="A54" t="s">
        <v>118</v>
      </c>
      <c r="B54" t="s">
        <v>6</v>
      </c>
      <c r="C54" t="s">
        <v>119</v>
      </c>
      <c r="D54" t="s">
        <v>96</v>
      </c>
      <c r="E54" t="s">
        <v>97</v>
      </c>
      <c r="F54" t="str">
        <f>HYPERLINK("https://talan.bank.gov.ua/get-user-certificate/45CElGGz3gD99adBaTEA","Завантажити сертифікат")</f>
        <v>Завантажити сертифікат</v>
      </c>
    </row>
    <row r="55" spans="1:6" x14ac:dyDescent="0.3">
      <c r="A55" t="s">
        <v>120</v>
      </c>
      <c r="B55" t="s">
        <v>6</v>
      </c>
      <c r="C55" t="s">
        <v>121</v>
      </c>
      <c r="D55" t="s">
        <v>122</v>
      </c>
      <c r="E55" t="s">
        <v>123</v>
      </c>
      <c r="F55" t="str">
        <f>HYPERLINK("https://talan.bank.gov.ua/get-user-certificate/45CEliItXnKt9aDbvlHh","Завантажити сертифікат")</f>
        <v>Завантажити сертифікат</v>
      </c>
    </row>
    <row r="56" spans="1:6" x14ac:dyDescent="0.3">
      <c r="A56" t="s">
        <v>124</v>
      </c>
      <c r="B56" t="s">
        <v>6</v>
      </c>
      <c r="C56" t="s">
        <v>125</v>
      </c>
      <c r="D56" t="s">
        <v>122</v>
      </c>
      <c r="E56" t="s">
        <v>123</v>
      </c>
      <c r="F56" t="str">
        <f>HYPERLINK("https://talan.bank.gov.ua/get-user-certificate/45CElGCtu9RO42gPWixP","Завантажити сертифікат")</f>
        <v>Завантажити сертифікат</v>
      </c>
    </row>
    <row r="57" spans="1:6" x14ac:dyDescent="0.3">
      <c r="A57" t="s">
        <v>126</v>
      </c>
      <c r="B57" t="s">
        <v>6</v>
      </c>
      <c r="C57" t="s">
        <v>127</v>
      </c>
      <c r="D57" t="s">
        <v>122</v>
      </c>
      <c r="E57" t="s">
        <v>123</v>
      </c>
      <c r="F57" t="str">
        <f>HYPERLINK("https://talan.bank.gov.ua/get-user-certificate/45CElsd4f0etu7pMFGs3","Завантажити сертифікат")</f>
        <v>Завантажити сертифікат</v>
      </c>
    </row>
    <row r="58" spans="1:6" x14ac:dyDescent="0.3">
      <c r="A58" t="s">
        <v>128</v>
      </c>
      <c r="B58" t="s">
        <v>6</v>
      </c>
      <c r="C58" t="s">
        <v>129</v>
      </c>
      <c r="D58" t="s">
        <v>122</v>
      </c>
      <c r="E58" t="s">
        <v>123</v>
      </c>
      <c r="F58" t="str">
        <f>HYPERLINK("https://talan.bank.gov.ua/get-user-certificate/45CEly6GOyDgh16IURwa","Завантажити сертифікат")</f>
        <v>Завантажити сертифікат</v>
      </c>
    </row>
    <row r="59" spans="1:6" x14ac:dyDescent="0.3">
      <c r="A59" t="s">
        <v>130</v>
      </c>
      <c r="B59" t="s">
        <v>6</v>
      </c>
      <c r="C59" t="s">
        <v>131</v>
      </c>
      <c r="D59" t="s">
        <v>122</v>
      </c>
      <c r="E59" t="s">
        <v>123</v>
      </c>
      <c r="F59" t="str">
        <f>HYPERLINK("https://talan.bank.gov.ua/get-user-certificate/45CElENHX5gheQ-ATXzx","Завантажити сертифікат")</f>
        <v>Завантажити сертифікат</v>
      </c>
    </row>
    <row r="60" spans="1:6" x14ac:dyDescent="0.3">
      <c r="A60" t="s">
        <v>132</v>
      </c>
      <c r="B60" t="s">
        <v>6</v>
      </c>
      <c r="C60" t="s">
        <v>133</v>
      </c>
      <c r="D60" t="s">
        <v>122</v>
      </c>
      <c r="E60" t="s">
        <v>123</v>
      </c>
      <c r="F60" t="str">
        <f>HYPERLINK("https://talan.bank.gov.ua/get-user-certificate/45CElDw0-yv5rTjX8xqH","Завантажити сертифікат")</f>
        <v>Завантажити сертифікат</v>
      </c>
    </row>
    <row r="61" spans="1:6" x14ac:dyDescent="0.3">
      <c r="A61" t="s">
        <v>134</v>
      </c>
      <c r="B61" t="s">
        <v>6</v>
      </c>
      <c r="C61" t="s">
        <v>135</v>
      </c>
      <c r="D61" t="s">
        <v>122</v>
      </c>
      <c r="E61" t="s">
        <v>123</v>
      </c>
      <c r="F61" t="str">
        <f>HYPERLINK("https://talan.bank.gov.ua/get-user-certificate/45CElbFUsJxHHp9r4XV9","Завантажити сертифікат")</f>
        <v>Завантажити сертифікат</v>
      </c>
    </row>
    <row r="62" spans="1:6" x14ac:dyDescent="0.3">
      <c r="A62" t="s">
        <v>136</v>
      </c>
      <c r="B62" t="s">
        <v>6</v>
      </c>
      <c r="C62" t="s">
        <v>137</v>
      </c>
      <c r="D62" t="s">
        <v>122</v>
      </c>
      <c r="E62" t="s">
        <v>123</v>
      </c>
      <c r="F62" t="str">
        <f>HYPERLINK("https://talan.bank.gov.ua/get-user-certificate/45CElpr8L_f5yWDXd00s","Завантажити сертифікат")</f>
        <v>Завантажити сертифікат</v>
      </c>
    </row>
    <row r="63" spans="1:6" x14ac:dyDescent="0.3">
      <c r="A63" t="s">
        <v>138</v>
      </c>
      <c r="B63" t="s">
        <v>6</v>
      </c>
      <c r="C63" t="s">
        <v>139</v>
      </c>
      <c r="D63" t="s">
        <v>122</v>
      </c>
      <c r="E63" t="s">
        <v>123</v>
      </c>
      <c r="F63" t="str">
        <f>HYPERLINK("https://talan.bank.gov.ua/get-user-certificate/45CEl8pinByvPyfMbi_l","Завантажити сертифікат")</f>
        <v>Завантажити сертифікат</v>
      </c>
    </row>
    <row r="64" spans="1:6" x14ac:dyDescent="0.3">
      <c r="A64" t="s">
        <v>140</v>
      </c>
      <c r="B64" t="s">
        <v>6</v>
      </c>
      <c r="C64" t="s">
        <v>141</v>
      </c>
      <c r="D64" t="s">
        <v>122</v>
      </c>
      <c r="E64" t="s">
        <v>123</v>
      </c>
      <c r="F64" t="str">
        <f>HYPERLINK("https://talan.bank.gov.ua/get-user-certificate/45CElepR9_0-gJ6m0jC3","Завантажити сертифікат")</f>
        <v>Завантажити сертифікат</v>
      </c>
    </row>
    <row r="65" spans="1:6" x14ac:dyDescent="0.3">
      <c r="A65" t="s">
        <v>142</v>
      </c>
      <c r="B65" t="s">
        <v>6</v>
      </c>
      <c r="C65" t="s">
        <v>143</v>
      </c>
      <c r="D65" t="s">
        <v>122</v>
      </c>
      <c r="E65" t="s">
        <v>123</v>
      </c>
      <c r="F65" t="str">
        <f>HYPERLINK("https://talan.bank.gov.ua/get-user-certificate/45CElJf4sOyILNMCd7uV","Завантажити сертифікат")</f>
        <v>Завантажити сертифікат</v>
      </c>
    </row>
    <row r="66" spans="1:6" x14ac:dyDescent="0.3">
      <c r="A66" t="s">
        <v>144</v>
      </c>
      <c r="B66" t="s">
        <v>6</v>
      </c>
      <c r="C66" t="s">
        <v>145</v>
      </c>
      <c r="D66" t="s">
        <v>122</v>
      </c>
      <c r="E66" t="s">
        <v>123</v>
      </c>
      <c r="F66" t="str">
        <f>HYPERLINK("https://talan.bank.gov.ua/get-user-certificate/45CEl-Gs5AtwbP4Oe2kP","Завантажити сертифікат")</f>
        <v>Завантажити сертифікат</v>
      </c>
    </row>
    <row r="67" spans="1:6" x14ac:dyDescent="0.3">
      <c r="A67" t="s">
        <v>146</v>
      </c>
      <c r="B67" t="s">
        <v>6</v>
      </c>
      <c r="C67" t="s">
        <v>147</v>
      </c>
      <c r="D67" t="s">
        <v>122</v>
      </c>
      <c r="E67" t="s">
        <v>123</v>
      </c>
      <c r="F67" t="str">
        <f>HYPERLINK("https://talan.bank.gov.ua/get-user-certificate/45CElbYLDBasL5Smxt43","Завантажити сертифікат")</f>
        <v>Завантажити сертифікат</v>
      </c>
    </row>
    <row r="68" spans="1:6" x14ac:dyDescent="0.3">
      <c r="A68" t="s">
        <v>148</v>
      </c>
      <c r="B68" t="s">
        <v>6</v>
      </c>
      <c r="C68" t="s">
        <v>149</v>
      </c>
      <c r="D68" t="s">
        <v>122</v>
      </c>
      <c r="E68" t="s">
        <v>123</v>
      </c>
      <c r="F68" t="str">
        <f>HYPERLINK("https://talan.bank.gov.ua/get-user-certificate/45CElHquPdJIEpV4_bMM","Завантажити сертифікат")</f>
        <v>Завантажити сертифікат</v>
      </c>
    </row>
    <row r="69" spans="1:6" x14ac:dyDescent="0.3">
      <c r="A69" t="s">
        <v>150</v>
      </c>
      <c r="B69" t="s">
        <v>6</v>
      </c>
      <c r="C69" t="s">
        <v>151</v>
      </c>
      <c r="D69" t="s">
        <v>122</v>
      </c>
      <c r="E69" t="s">
        <v>123</v>
      </c>
      <c r="F69" t="str">
        <f>HYPERLINK("https://talan.bank.gov.ua/get-user-certificate/45CElAZCVqHBzWUuP5Z1","Завантажити сертифікат")</f>
        <v>Завантажити сертифікат</v>
      </c>
    </row>
    <row r="70" spans="1:6" x14ac:dyDescent="0.3">
      <c r="A70" t="s">
        <v>152</v>
      </c>
      <c r="B70" t="s">
        <v>6</v>
      </c>
      <c r="C70" t="s">
        <v>153</v>
      </c>
      <c r="D70" t="s">
        <v>122</v>
      </c>
      <c r="E70" t="s">
        <v>123</v>
      </c>
      <c r="F70" t="str">
        <f>HYPERLINK("https://talan.bank.gov.ua/get-user-certificate/45CElCd-7G9mceSoz8hQ","Завантажити сертифікат")</f>
        <v>Завантажити сертифікат</v>
      </c>
    </row>
    <row r="71" spans="1:6" x14ac:dyDescent="0.3">
      <c r="A71" t="s">
        <v>154</v>
      </c>
      <c r="B71" t="s">
        <v>6</v>
      </c>
      <c r="C71" t="s">
        <v>155</v>
      </c>
      <c r="D71" t="s">
        <v>122</v>
      </c>
      <c r="E71" t="s">
        <v>123</v>
      </c>
      <c r="F71" t="str">
        <f>HYPERLINK("https://talan.bank.gov.ua/get-user-certificate/45CElm7mmwvTZyzkOyFL","Завантажити сертифікат")</f>
        <v>Завантажити сертифікат</v>
      </c>
    </row>
    <row r="72" spans="1:6" x14ac:dyDescent="0.3">
      <c r="A72" t="s">
        <v>156</v>
      </c>
      <c r="B72" t="s">
        <v>6</v>
      </c>
      <c r="C72" t="s">
        <v>157</v>
      </c>
      <c r="D72" t="s">
        <v>122</v>
      </c>
      <c r="E72" t="s">
        <v>123</v>
      </c>
      <c r="F72" t="str">
        <f>HYPERLINK("https://talan.bank.gov.ua/get-user-certificate/45CEli0XtMYfv8j07_bN","Завантажити сертифікат")</f>
        <v>Завантажити сертифікат</v>
      </c>
    </row>
    <row r="73" spans="1:6" x14ac:dyDescent="0.3">
      <c r="A73" t="s">
        <v>158</v>
      </c>
      <c r="B73" t="s">
        <v>6</v>
      </c>
      <c r="C73" t="s">
        <v>159</v>
      </c>
      <c r="D73" t="s">
        <v>122</v>
      </c>
      <c r="E73" t="s">
        <v>123</v>
      </c>
      <c r="F73" t="str">
        <f>HYPERLINK("https://talan.bank.gov.ua/get-user-certificate/45CElzjiR_i3TSaz7BaP","Завантажити сертифікат")</f>
        <v>Завантажити сертифікат</v>
      </c>
    </row>
    <row r="74" spans="1:6" x14ac:dyDescent="0.3">
      <c r="A74" t="s">
        <v>160</v>
      </c>
      <c r="B74" t="s">
        <v>6</v>
      </c>
      <c r="C74" t="s">
        <v>161</v>
      </c>
      <c r="D74" t="s">
        <v>122</v>
      </c>
      <c r="E74" t="s">
        <v>123</v>
      </c>
      <c r="F74" t="str">
        <f>HYPERLINK("https://talan.bank.gov.ua/get-user-certificate/45CEl44_zJpHQ8gETYbr","Завантажити сертифікат")</f>
        <v>Завантажити сертифікат</v>
      </c>
    </row>
    <row r="75" spans="1:6" x14ac:dyDescent="0.3">
      <c r="A75" t="s">
        <v>162</v>
      </c>
      <c r="B75" t="s">
        <v>6</v>
      </c>
      <c r="C75" t="s">
        <v>163</v>
      </c>
      <c r="D75" t="s">
        <v>122</v>
      </c>
      <c r="E75" t="s">
        <v>123</v>
      </c>
      <c r="F75" t="str">
        <f>HYPERLINK("https://talan.bank.gov.ua/get-user-certificate/45CElFZW-JEkNyv0HncQ","Завантажити сертифікат")</f>
        <v>Завантажити сертифікат</v>
      </c>
    </row>
    <row r="76" spans="1:6" x14ac:dyDescent="0.3">
      <c r="A76" t="s">
        <v>164</v>
      </c>
      <c r="B76" t="s">
        <v>6</v>
      </c>
      <c r="C76" t="s">
        <v>165</v>
      </c>
      <c r="D76" t="s">
        <v>166</v>
      </c>
      <c r="E76" t="s">
        <v>167</v>
      </c>
      <c r="F76" t="str">
        <f>HYPERLINK("https://talan.bank.gov.ua/get-user-certificate/45CElRUBhcHGuLpJhGAL","Завантажити сертифікат")</f>
        <v>Завантажити сертифікат</v>
      </c>
    </row>
    <row r="77" spans="1:6" x14ac:dyDescent="0.3">
      <c r="A77" t="s">
        <v>168</v>
      </c>
      <c r="B77" t="s">
        <v>6</v>
      </c>
      <c r="C77" t="s">
        <v>169</v>
      </c>
      <c r="D77" t="s">
        <v>166</v>
      </c>
      <c r="E77" t="s">
        <v>167</v>
      </c>
      <c r="F77" t="str">
        <f>HYPERLINK("https://talan.bank.gov.ua/get-user-certificate/45CElppMEVuxOaaZcCmD","Завантажити сертифікат")</f>
        <v>Завантажити сертифікат</v>
      </c>
    </row>
    <row r="78" spans="1:6" x14ac:dyDescent="0.3">
      <c r="A78" t="s">
        <v>170</v>
      </c>
      <c r="B78" t="s">
        <v>6</v>
      </c>
      <c r="C78" t="s">
        <v>171</v>
      </c>
      <c r="D78" t="s">
        <v>166</v>
      </c>
      <c r="E78" t="s">
        <v>167</v>
      </c>
      <c r="F78" t="str">
        <f>HYPERLINK("https://talan.bank.gov.ua/get-user-certificate/45CElXP_0SPREgA5r5L-","Завантажити сертифікат")</f>
        <v>Завантажити сертифікат</v>
      </c>
    </row>
    <row r="79" spans="1:6" x14ac:dyDescent="0.3">
      <c r="A79" t="s">
        <v>172</v>
      </c>
      <c r="B79" t="s">
        <v>6</v>
      </c>
      <c r="C79" t="s">
        <v>173</v>
      </c>
      <c r="D79" t="s">
        <v>166</v>
      </c>
      <c r="E79" t="s">
        <v>167</v>
      </c>
      <c r="F79" t="str">
        <f>HYPERLINK("https://talan.bank.gov.ua/get-user-certificate/45CElTEejLCWAToLl7yw","Завантажити сертифікат")</f>
        <v>Завантажити сертифікат</v>
      </c>
    </row>
    <row r="80" spans="1:6" x14ac:dyDescent="0.3">
      <c r="A80" t="s">
        <v>174</v>
      </c>
      <c r="B80" t="s">
        <v>6</v>
      </c>
      <c r="C80" t="s">
        <v>175</v>
      </c>
      <c r="D80" t="s">
        <v>166</v>
      </c>
      <c r="E80" t="s">
        <v>167</v>
      </c>
      <c r="F80" t="str">
        <f>HYPERLINK("https://talan.bank.gov.ua/get-user-certificate/45CEl_qS_vMKn5lI4nA-","Завантажити сертифікат")</f>
        <v>Завантажити сертифікат</v>
      </c>
    </row>
    <row r="81" spans="1:6" x14ac:dyDescent="0.3">
      <c r="A81" t="s">
        <v>176</v>
      </c>
      <c r="B81" t="s">
        <v>6</v>
      </c>
      <c r="C81" t="s">
        <v>177</v>
      </c>
      <c r="D81" t="s">
        <v>166</v>
      </c>
      <c r="E81" t="s">
        <v>167</v>
      </c>
      <c r="F81" t="str">
        <f>HYPERLINK("https://talan.bank.gov.ua/get-user-certificate/45CElEqqNF-gCMoSIp-3","Завантажити сертифікат")</f>
        <v>Завантажити сертифікат</v>
      </c>
    </row>
    <row r="82" spans="1:6" x14ac:dyDescent="0.3">
      <c r="A82" t="s">
        <v>178</v>
      </c>
      <c r="B82" t="s">
        <v>6</v>
      </c>
      <c r="C82" t="s">
        <v>179</v>
      </c>
      <c r="D82" t="s">
        <v>166</v>
      </c>
      <c r="E82" t="s">
        <v>167</v>
      </c>
      <c r="F82" t="str">
        <f>HYPERLINK("https://talan.bank.gov.ua/get-user-certificate/45CElibitC1tzDAJmiQa","Завантажити сертифікат")</f>
        <v>Завантажити сертифікат</v>
      </c>
    </row>
    <row r="83" spans="1:6" x14ac:dyDescent="0.3">
      <c r="A83" t="s">
        <v>180</v>
      </c>
      <c r="B83" t="s">
        <v>6</v>
      </c>
      <c r="C83" t="s">
        <v>181</v>
      </c>
      <c r="D83" t="s">
        <v>166</v>
      </c>
      <c r="E83" t="s">
        <v>167</v>
      </c>
      <c r="F83" t="str">
        <f>HYPERLINK("https://talan.bank.gov.ua/get-user-certificate/45CElHDfsolANx8_x9iV","Завантажити сертифікат")</f>
        <v>Завантажити сертифікат</v>
      </c>
    </row>
    <row r="84" spans="1:6" x14ac:dyDescent="0.3">
      <c r="A84" t="s">
        <v>182</v>
      </c>
      <c r="B84" t="s">
        <v>6</v>
      </c>
      <c r="C84" t="s">
        <v>183</v>
      </c>
      <c r="D84" t="s">
        <v>166</v>
      </c>
      <c r="E84" t="s">
        <v>167</v>
      </c>
      <c r="F84" t="str">
        <f>HYPERLINK("https://talan.bank.gov.ua/get-user-certificate/45CElogfvIkBMnPP_Cnd","Завантажити сертифікат")</f>
        <v>Завантажити сертифікат</v>
      </c>
    </row>
    <row r="85" spans="1:6" x14ac:dyDescent="0.3">
      <c r="A85" t="s">
        <v>184</v>
      </c>
      <c r="B85" t="s">
        <v>6</v>
      </c>
      <c r="C85" t="s">
        <v>185</v>
      </c>
      <c r="D85" t="s">
        <v>166</v>
      </c>
      <c r="E85" t="s">
        <v>167</v>
      </c>
      <c r="F85" t="str">
        <f>HYPERLINK("https://talan.bank.gov.ua/get-user-certificate/45CEl9GFmX6SDd-ygBGK","Завантажити сертифікат")</f>
        <v>Завантажити сертифікат</v>
      </c>
    </row>
    <row r="86" spans="1:6" x14ac:dyDescent="0.3">
      <c r="A86" t="s">
        <v>186</v>
      </c>
      <c r="B86" t="s">
        <v>6</v>
      </c>
      <c r="C86" t="s">
        <v>187</v>
      </c>
      <c r="D86" t="s">
        <v>166</v>
      </c>
      <c r="E86" t="s">
        <v>167</v>
      </c>
      <c r="F86" t="str">
        <f>HYPERLINK("https://talan.bank.gov.ua/get-user-certificate/45CElm1S0mkGJ-RAbsWK","Завантажити сертифікат")</f>
        <v>Завантажити сертифікат</v>
      </c>
    </row>
    <row r="87" spans="1:6" x14ac:dyDescent="0.3">
      <c r="A87" t="s">
        <v>188</v>
      </c>
      <c r="B87" t="s">
        <v>6</v>
      </c>
      <c r="C87" t="s">
        <v>189</v>
      </c>
      <c r="D87" t="s">
        <v>166</v>
      </c>
      <c r="E87" t="s">
        <v>167</v>
      </c>
      <c r="F87" t="str">
        <f>HYPERLINK("https://talan.bank.gov.ua/get-user-certificate/45CElLQQ6ddqrmek8jhW","Завантажити сертифікат")</f>
        <v>Завантажити сертифікат</v>
      </c>
    </row>
    <row r="88" spans="1:6" x14ac:dyDescent="0.3">
      <c r="A88" t="s">
        <v>190</v>
      </c>
      <c r="B88" t="s">
        <v>6</v>
      </c>
      <c r="C88" t="s">
        <v>191</v>
      </c>
      <c r="D88" t="s">
        <v>166</v>
      </c>
      <c r="E88" t="s">
        <v>167</v>
      </c>
      <c r="F88" t="str">
        <f>HYPERLINK("https://talan.bank.gov.ua/get-user-certificate/45CElfpZ8zfjscE91ikk","Завантажити сертифікат")</f>
        <v>Завантажити сертифікат</v>
      </c>
    </row>
    <row r="89" spans="1:6" x14ac:dyDescent="0.3">
      <c r="A89" t="s">
        <v>192</v>
      </c>
      <c r="B89" t="s">
        <v>6</v>
      </c>
      <c r="C89" t="s">
        <v>193</v>
      </c>
      <c r="D89" t="s">
        <v>166</v>
      </c>
      <c r="E89" t="s">
        <v>167</v>
      </c>
      <c r="F89" t="str">
        <f>HYPERLINK("https://talan.bank.gov.ua/get-user-certificate/45CElX6QxlvByHTEYkyt","Завантажити сертифікат")</f>
        <v>Завантажити сертифікат</v>
      </c>
    </row>
    <row r="90" spans="1:6" x14ac:dyDescent="0.3">
      <c r="A90" t="s">
        <v>194</v>
      </c>
      <c r="B90" t="s">
        <v>6</v>
      </c>
      <c r="C90" t="s">
        <v>195</v>
      </c>
      <c r="D90" t="s">
        <v>166</v>
      </c>
      <c r="E90" t="s">
        <v>167</v>
      </c>
      <c r="F90" t="str">
        <f>HYPERLINK("https://talan.bank.gov.ua/get-user-certificate/45CElkK1W5N7n2a1KWbB","Завантажити сертифікат")</f>
        <v>Завантажити сертифікат</v>
      </c>
    </row>
    <row r="91" spans="1:6" x14ac:dyDescent="0.3">
      <c r="A91" t="s">
        <v>196</v>
      </c>
      <c r="B91" t="s">
        <v>6</v>
      </c>
      <c r="C91" t="s">
        <v>197</v>
      </c>
      <c r="D91" t="s">
        <v>198</v>
      </c>
      <c r="E91" t="s">
        <v>199</v>
      </c>
      <c r="F91" t="str">
        <f>HYPERLINK("https://talan.bank.gov.ua/get-user-certificate/45CElzOTNz-BZS0-ctSm","Завантажити сертифікат")</f>
        <v>Завантажити сертифікат</v>
      </c>
    </row>
    <row r="92" spans="1:6" x14ac:dyDescent="0.3">
      <c r="A92" t="s">
        <v>200</v>
      </c>
      <c r="B92" t="s">
        <v>6</v>
      </c>
      <c r="C92" t="s">
        <v>201</v>
      </c>
      <c r="D92" t="s">
        <v>198</v>
      </c>
      <c r="E92" t="s">
        <v>199</v>
      </c>
      <c r="F92" t="str">
        <f>HYPERLINK("https://talan.bank.gov.ua/get-user-certificate/45CElEOcZD2qcAwXKI4R","Завантажити сертифікат")</f>
        <v>Завантажити сертифікат</v>
      </c>
    </row>
    <row r="93" spans="1:6" x14ac:dyDescent="0.3">
      <c r="A93" t="s">
        <v>202</v>
      </c>
      <c r="B93" t="s">
        <v>6</v>
      </c>
      <c r="C93" t="s">
        <v>203</v>
      </c>
      <c r="D93" t="s">
        <v>198</v>
      </c>
      <c r="E93" t="s">
        <v>199</v>
      </c>
      <c r="F93" t="str">
        <f>HYPERLINK("https://talan.bank.gov.ua/get-user-certificate/45CElr38AzEr6H2t-t91","Завантажити сертифікат")</f>
        <v>Завантажити сертифікат</v>
      </c>
    </row>
    <row r="94" spans="1:6" x14ac:dyDescent="0.3">
      <c r="A94" t="s">
        <v>204</v>
      </c>
      <c r="B94" t="s">
        <v>6</v>
      </c>
      <c r="C94" t="s">
        <v>205</v>
      </c>
      <c r="D94" t="s">
        <v>198</v>
      </c>
      <c r="E94" t="s">
        <v>199</v>
      </c>
      <c r="F94" t="str">
        <f>HYPERLINK("https://talan.bank.gov.ua/get-user-certificate/45CElR9YZ_9EPb-DrjQe","Завантажити сертифікат")</f>
        <v>Завантажити сертифікат</v>
      </c>
    </row>
    <row r="95" spans="1:6" x14ac:dyDescent="0.3">
      <c r="A95" t="s">
        <v>206</v>
      </c>
      <c r="B95" t="s">
        <v>6</v>
      </c>
      <c r="C95" t="s">
        <v>207</v>
      </c>
      <c r="D95" t="s">
        <v>198</v>
      </c>
      <c r="E95" t="s">
        <v>199</v>
      </c>
      <c r="F95" t="str">
        <f>HYPERLINK("https://talan.bank.gov.ua/get-user-certificate/45CEl9S6NAnldNqImEtl","Завантажити сертифікат")</f>
        <v>Завантажити сертифікат</v>
      </c>
    </row>
    <row r="96" spans="1:6" x14ac:dyDescent="0.3">
      <c r="A96" t="s">
        <v>208</v>
      </c>
      <c r="B96" t="s">
        <v>6</v>
      </c>
      <c r="C96" t="s">
        <v>209</v>
      </c>
      <c r="D96" t="s">
        <v>198</v>
      </c>
      <c r="E96" t="s">
        <v>199</v>
      </c>
      <c r="F96" t="str">
        <f>HYPERLINK("https://talan.bank.gov.ua/get-user-certificate/45CEl5jhVjqHHL2Tn5QE","Завантажити сертифікат")</f>
        <v>Завантажити сертифікат</v>
      </c>
    </row>
    <row r="97" spans="1:6" x14ac:dyDescent="0.3">
      <c r="A97" t="s">
        <v>210</v>
      </c>
      <c r="B97" t="s">
        <v>6</v>
      </c>
      <c r="C97" t="s">
        <v>211</v>
      </c>
      <c r="D97" t="s">
        <v>198</v>
      </c>
      <c r="E97" t="s">
        <v>199</v>
      </c>
      <c r="F97" t="str">
        <f>HYPERLINK("https://talan.bank.gov.ua/get-user-certificate/45CElEIlQmm9Q1jFJvOf","Завантажити сертифікат")</f>
        <v>Завантажити сертифікат</v>
      </c>
    </row>
    <row r="98" spans="1:6" x14ac:dyDescent="0.3">
      <c r="A98" t="s">
        <v>212</v>
      </c>
      <c r="B98" t="s">
        <v>6</v>
      </c>
      <c r="C98" t="s">
        <v>213</v>
      </c>
      <c r="D98" t="s">
        <v>198</v>
      </c>
      <c r="E98" t="s">
        <v>199</v>
      </c>
      <c r="F98" t="str">
        <f>HYPERLINK("https://talan.bank.gov.ua/get-user-certificate/45CElUqXfeu-pii1xOOB","Завантажити сертифікат")</f>
        <v>Завантажити сертифікат</v>
      </c>
    </row>
    <row r="99" spans="1:6" x14ac:dyDescent="0.3">
      <c r="A99" t="s">
        <v>214</v>
      </c>
      <c r="B99" t="s">
        <v>6</v>
      </c>
      <c r="C99" t="s">
        <v>215</v>
      </c>
      <c r="D99" t="s">
        <v>198</v>
      </c>
      <c r="E99" t="s">
        <v>199</v>
      </c>
      <c r="F99" t="str">
        <f>HYPERLINK("https://talan.bank.gov.ua/get-user-certificate/45CEl-hRq-Qs8ToFyikQ","Завантажити сертифікат")</f>
        <v>Завантажити сертифікат</v>
      </c>
    </row>
    <row r="100" spans="1:6" x14ac:dyDescent="0.3">
      <c r="A100" t="s">
        <v>216</v>
      </c>
      <c r="B100" t="s">
        <v>6</v>
      </c>
      <c r="C100" t="s">
        <v>217</v>
      </c>
      <c r="D100" t="s">
        <v>218</v>
      </c>
      <c r="E100" t="s">
        <v>219</v>
      </c>
      <c r="F100" t="str">
        <f>HYPERLINK("https://talan.bank.gov.ua/get-user-certificate/45CElJnkypYmQu3FWogZ","Завантажити сертифікат")</f>
        <v>Завантажити сертифікат</v>
      </c>
    </row>
    <row r="101" spans="1:6" x14ac:dyDescent="0.3">
      <c r="A101" t="s">
        <v>220</v>
      </c>
      <c r="B101" t="s">
        <v>6</v>
      </c>
      <c r="C101" t="s">
        <v>221</v>
      </c>
      <c r="D101" t="s">
        <v>222</v>
      </c>
      <c r="E101" t="s">
        <v>219</v>
      </c>
      <c r="F101" t="str">
        <f>HYPERLINK("https://talan.bank.gov.ua/get-user-certificate/45CElGRNIQrFTLR4g2wT","Завантажити сертифікат")</f>
        <v>Завантажити сертифікат</v>
      </c>
    </row>
    <row r="102" spans="1:6" x14ac:dyDescent="0.3">
      <c r="A102" t="s">
        <v>223</v>
      </c>
      <c r="B102" t="s">
        <v>6</v>
      </c>
      <c r="C102" t="s">
        <v>224</v>
      </c>
      <c r="D102" t="s">
        <v>225</v>
      </c>
      <c r="E102" t="s">
        <v>219</v>
      </c>
      <c r="F102" t="str">
        <f>HYPERLINK("https://talan.bank.gov.ua/get-user-certificate/45CEluUkirUaS5pGBdrp","Завантажити сертифікат")</f>
        <v>Завантажити сертифікат</v>
      </c>
    </row>
    <row r="103" spans="1:6" x14ac:dyDescent="0.3">
      <c r="A103" t="s">
        <v>226</v>
      </c>
      <c r="B103" t="s">
        <v>6</v>
      </c>
      <c r="C103" t="s">
        <v>227</v>
      </c>
      <c r="D103" t="s">
        <v>228</v>
      </c>
      <c r="E103" t="s">
        <v>219</v>
      </c>
      <c r="F103" t="str">
        <f>HYPERLINK("https://talan.bank.gov.ua/get-user-certificate/45CElvlNQrYS7xg59d6C","Завантажити сертифікат")</f>
        <v>Завантажити сертифікат</v>
      </c>
    </row>
    <row r="104" spans="1:6" x14ac:dyDescent="0.3">
      <c r="A104" t="s">
        <v>229</v>
      </c>
      <c r="B104" t="s">
        <v>6</v>
      </c>
      <c r="C104" t="s">
        <v>230</v>
      </c>
      <c r="D104" t="s">
        <v>231</v>
      </c>
      <c r="E104" t="s">
        <v>219</v>
      </c>
      <c r="F104" t="str">
        <f>HYPERLINK("https://talan.bank.gov.ua/get-user-certificate/45CElEQLidD94s1kFg0W","Завантажити сертифікат")</f>
        <v>Завантажити сертифікат</v>
      </c>
    </row>
    <row r="105" spans="1:6" x14ac:dyDescent="0.3">
      <c r="A105" t="s">
        <v>232</v>
      </c>
      <c r="B105" t="s">
        <v>6</v>
      </c>
      <c r="C105" t="s">
        <v>233</v>
      </c>
      <c r="D105" t="s">
        <v>234</v>
      </c>
      <c r="E105" t="s">
        <v>219</v>
      </c>
      <c r="F105" t="str">
        <f>HYPERLINK("https://talan.bank.gov.ua/get-user-certificate/45CElLe2oKWM-5ILVaO8","Завантажити сертифікат")</f>
        <v>Завантажити сертифікат</v>
      </c>
    </row>
    <row r="106" spans="1:6" x14ac:dyDescent="0.3">
      <c r="A106" t="s">
        <v>235</v>
      </c>
      <c r="B106" t="s">
        <v>6</v>
      </c>
      <c r="C106" t="s">
        <v>236</v>
      </c>
      <c r="D106" t="s">
        <v>237</v>
      </c>
      <c r="E106" t="s">
        <v>219</v>
      </c>
      <c r="F106" t="str">
        <f>HYPERLINK("https://talan.bank.gov.ua/get-user-certificate/45CEl8vkDjhLZbHO69F9","Завантажити сертифікат")</f>
        <v>Завантажити сертифікат</v>
      </c>
    </row>
    <row r="107" spans="1:6" x14ac:dyDescent="0.3">
      <c r="A107" t="s">
        <v>238</v>
      </c>
      <c r="B107" t="s">
        <v>6</v>
      </c>
      <c r="C107" t="s">
        <v>239</v>
      </c>
      <c r="D107" t="s">
        <v>240</v>
      </c>
      <c r="E107" t="s">
        <v>219</v>
      </c>
      <c r="F107" t="str">
        <f>HYPERLINK("https://talan.bank.gov.ua/get-user-certificate/45CElQQOu3_x0nKCO3pc","Завантажити сертифікат")</f>
        <v>Завантажити сертифікат</v>
      </c>
    </row>
    <row r="108" spans="1:6" x14ac:dyDescent="0.3">
      <c r="A108" t="s">
        <v>241</v>
      </c>
      <c r="B108" t="s">
        <v>6</v>
      </c>
      <c r="C108" t="s">
        <v>242</v>
      </c>
      <c r="D108" t="s">
        <v>243</v>
      </c>
      <c r="E108" t="s">
        <v>219</v>
      </c>
      <c r="F108" t="str">
        <f>HYPERLINK("https://talan.bank.gov.ua/get-user-certificate/45CElVYV5IO62bIbKR3i","Завантажити сертифікат")</f>
        <v>Завантажити сертифікат</v>
      </c>
    </row>
    <row r="109" spans="1:6" x14ac:dyDescent="0.3">
      <c r="A109" t="s">
        <v>244</v>
      </c>
      <c r="B109" t="s">
        <v>6</v>
      </c>
      <c r="C109" t="s">
        <v>245</v>
      </c>
      <c r="D109" t="s">
        <v>246</v>
      </c>
      <c r="E109" t="s">
        <v>219</v>
      </c>
      <c r="F109" t="str">
        <f>HYPERLINK("https://talan.bank.gov.ua/get-user-certificate/45CEltGNoXxDRDfR3Qtj","Завантажити сертифікат")</f>
        <v>Завантажити сертифікат</v>
      </c>
    </row>
    <row r="110" spans="1:6" x14ac:dyDescent="0.3">
      <c r="A110" t="s">
        <v>247</v>
      </c>
      <c r="B110" t="s">
        <v>6</v>
      </c>
      <c r="C110" t="s">
        <v>248</v>
      </c>
      <c r="D110" t="s">
        <v>249</v>
      </c>
      <c r="E110" t="s">
        <v>219</v>
      </c>
      <c r="F110" t="str">
        <f>HYPERLINK("https://talan.bank.gov.ua/get-user-certificate/45CElFED0sd2VPYWNsQ5","Завантажити сертифікат")</f>
        <v>Завантажити сертифікат</v>
      </c>
    </row>
    <row r="111" spans="1:6" x14ac:dyDescent="0.3">
      <c r="A111" t="s">
        <v>250</v>
      </c>
      <c r="B111" t="s">
        <v>6</v>
      </c>
      <c r="C111" t="s">
        <v>251</v>
      </c>
      <c r="D111" t="s">
        <v>252</v>
      </c>
      <c r="E111" t="s">
        <v>219</v>
      </c>
      <c r="F111" t="str">
        <f>HYPERLINK("https://talan.bank.gov.ua/get-user-certificate/45CElmhw4esK6qAzFyJ8","Завантажити сертифікат")</f>
        <v>Завантажити сертифікат</v>
      </c>
    </row>
    <row r="112" spans="1:6" x14ac:dyDescent="0.3">
      <c r="A112" t="s">
        <v>253</v>
      </c>
      <c r="B112" t="s">
        <v>6</v>
      </c>
      <c r="C112" t="s">
        <v>254</v>
      </c>
      <c r="D112" t="s">
        <v>255</v>
      </c>
      <c r="E112" t="s">
        <v>219</v>
      </c>
      <c r="F112" t="str">
        <f>HYPERLINK("https://talan.bank.gov.ua/get-user-certificate/45CEl4a4TGw1o-k9SC8v","Завантажити сертифікат")</f>
        <v>Завантажити сертифікат</v>
      </c>
    </row>
    <row r="113" spans="1:6" x14ac:dyDescent="0.3">
      <c r="A113" t="s">
        <v>256</v>
      </c>
      <c r="B113" t="s">
        <v>6</v>
      </c>
      <c r="C113" t="s">
        <v>257</v>
      </c>
      <c r="D113" t="s">
        <v>258</v>
      </c>
      <c r="E113" t="s">
        <v>219</v>
      </c>
      <c r="F113" t="str">
        <f>HYPERLINK("https://talan.bank.gov.ua/get-user-certificate/45CElLVKRMhF5_QdW5cD","Завантажити сертифікат")</f>
        <v>Завантажити сертифікат</v>
      </c>
    </row>
    <row r="114" spans="1:6" x14ac:dyDescent="0.3">
      <c r="A114" t="s">
        <v>259</v>
      </c>
      <c r="B114" t="s">
        <v>6</v>
      </c>
      <c r="C114" t="s">
        <v>260</v>
      </c>
      <c r="D114" t="s">
        <v>261</v>
      </c>
      <c r="E114" t="s">
        <v>219</v>
      </c>
      <c r="F114" t="str">
        <f>HYPERLINK("https://talan.bank.gov.ua/get-user-certificate/45CElXJKGhN109c1u5ft","Завантажити сертифікат")</f>
        <v>Завантажити сертифікат</v>
      </c>
    </row>
    <row r="115" spans="1:6" x14ac:dyDescent="0.3">
      <c r="A115" t="s">
        <v>262</v>
      </c>
      <c r="B115" t="s">
        <v>6</v>
      </c>
      <c r="C115" t="s">
        <v>263</v>
      </c>
      <c r="D115" t="s">
        <v>264</v>
      </c>
      <c r="E115" t="s">
        <v>219</v>
      </c>
      <c r="F115" t="str">
        <f>HYPERLINK("https://talan.bank.gov.ua/get-user-certificate/45CElt2TtTxGMw9FFHkG","Завантажити сертифікат")</f>
        <v>Завантажити сертифікат</v>
      </c>
    </row>
    <row r="116" spans="1:6" x14ac:dyDescent="0.3">
      <c r="A116" t="s">
        <v>265</v>
      </c>
      <c r="B116" t="s">
        <v>6</v>
      </c>
      <c r="C116" t="s">
        <v>266</v>
      </c>
      <c r="D116" t="s">
        <v>267</v>
      </c>
      <c r="E116" t="s">
        <v>219</v>
      </c>
      <c r="F116" t="str">
        <f>HYPERLINK("https://talan.bank.gov.ua/get-user-certificate/45CEl3fWX52PzY6PN7qD","Завантажити сертифікат")</f>
        <v>Завантажити сертифікат</v>
      </c>
    </row>
    <row r="117" spans="1:6" x14ac:dyDescent="0.3">
      <c r="A117" t="s">
        <v>268</v>
      </c>
      <c r="B117" t="s">
        <v>6</v>
      </c>
      <c r="C117" t="s">
        <v>269</v>
      </c>
      <c r="D117" t="s">
        <v>270</v>
      </c>
      <c r="E117" t="s">
        <v>219</v>
      </c>
      <c r="F117" t="str">
        <f>HYPERLINK("https://talan.bank.gov.ua/get-user-certificate/45CElJWP6tzKe9Kp5zCQ","Завантажити сертифікат")</f>
        <v>Завантажити сертифікат</v>
      </c>
    </row>
    <row r="118" spans="1:6" x14ac:dyDescent="0.3">
      <c r="A118" t="s">
        <v>271</v>
      </c>
      <c r="B118" t="s">
        <v>6</v>
      </c>
      <c r="C118" t="s">
        <v>272</v>
      </c>
      <c r="D118" t="s">
        <v>273</v>
      </c>
      <c r="E118" t="s">
        <v>219</v>
      </c>
      <c r="F118" t="str">
        <f>HYPERLINK("https://talan.bank.gov.ua/get-user-certificate/45CElxostFqwt6EWSzYR","Завантажити сертифікат")</f>
        <v>Завантажити сертифікат</v>
      </c>
    </row>
    <row r="119" spans="1:6" x14ac:dyDescent="0.3">
      <c r="A119" t="s">
        <v>274</v>
      </c>
      <c r="B119" t="s">
        <v>6</v>
      </c>
      <c r="C119" t="s">
        <v>275</v>
      </c>
      <c r="D119" t="s">
        <v>276</v>
      </c>
      <c r="E119" t="s">
        <v>219</v>
      </c>
      <c r="F119" t="str">
        <f>HYPERLINK("https://talan.bank.gov.ua/get-user-certificate/45CElWaOdNs5zZLvX09X","Завантажити сертифікат")</f>
        <v>Завантажити сертифікат</v>
      </c>
    </row>
    <row r="120" spans="1:6" x14ac:dyDescent="0.3">
      <c r="A120" t="s">
        <v>277</v>
      </c>
      <c r="B120" t="s">
        <v>6</v>
      </c>
      <c r="C120" t="s">
        <v>278</v>
      </c>
      <c r="D120" t="s">
        <v>279</v>
      </c>
      <c r="E120" t="s">
        <v>219</v>
      </c>
      <c r="F120" t="str">
        <f>HYPERLINK("https://talan.bank.gov.ua/get-user-certificate/45CElGwIXT8cz4SxdnAw","Завантажити сертифікат")</f>
        <v>Завантажити сертифікат</v>
      </c>
    </row>
    <row r="121" spans="1:6" x14ac:dyDescent="0.3">
      <c r="A121" t="s">
        <v>280</v>
      </c>
      <c r="B121" t="s">
        <v>6</v>
      </c>
      <c r="C121" t="s">
        <v>281</v>
      </c>
      <c r="D121" t="s">
        <v>282</v>
      </c>
      <c r="E121" t="s">
        <v>219</v>
      </c>
      <c r="F121" t="str">
        <f>HYPERLINK("https://talan.bank.gov.ua/get-user-certificate/45CElGw0trSuzRgn3RbS","Завантажити сертифікат")</f>
        <v>Завантажити сертифікат</v>
      </c>
    </row>
    <row r="122" spans="1:6" x14ac:dyDescent="0.3">
      <c r="A122" t="s">
        <v>283</v>
      </c>
      <c r="B122" t="s">
        <v>6</v>
      </c>
      <c r="C122" t="s">
        <v>284</v>
      </c>
      <c r="D122" t="s">
        <v>285</v>
      </c>
      <c r="E122" t="s">
        <v>219</v>
      </c>
      <c r="F122" t="str">
        <f>HYPERLINK("https://talan.bank.gov.ua/get-user-certificate/45CElrfltloKI56RTv5J","Завантажити сертифікат")</f>
        <v>Завантажити сертифікат</v>
      </c>
    </row>
    <row r="123" spans="1:6" x14ac:dyDescent="0.3">
      <c r="A123" t="s">
        <v>286</v>
      </c>
      <c r="B123" t="s">
        <v>6</v>
      </c>
      <c r="C123" t="s">
        <v>287</v>
      </c>
      <c r="D123" t="s">
        <v>288</v>
      </c>
      <c r="E123" t="s">
        <v>289</v>
      </c>
      <c r="F123" t="str">
        <f>HYPERLINK("https://talan.bank.gov.ua/get-user-certificate/45CEl4J0h_dnQ21MBI19","Завантажити сертифікат")</f>
        <v>Завантажити сертифікат</v>
      </c>
    </row>
    <row r="124" spans="1:6" x14ac:dyDescent="0.3">
      <c r="A124" t="s">
        <v>290</v>
      </c>
      <c r="B124" t="s">
        <v>6</v>
      </c>
      <c r="C124" t="s">
        <v>291</v>
      </c>
      <c r="D124" t="s">
        <v>288</v>
      </c>
      <c r="E124" t="s">
        <v>289</v>
      </c>
      <c r="F124" t="str">
        <f>HYPERLINK("https://talan.bank.gov.ua/get-user-certificate/45CEl7z7GV3PoG46SE-t","Завантажити сертифікат")</f>
        <v>Завантажити сертифікат</v>
      </c>
    </row>
    <row r="125" spans="1:6" x14ac:dyDescent="0.3">
      <c r="A125" t="s">
        <v>292</v>
      </c>
      <c r="B125" t="s">
        <v>6</v>
      </c>
      <c r="C125" t="s">
        <v>293</v>
      </c>
      <c r="D125" t="s">
        <v>288</v>
      </c>
      <c r="E125" t="s">
        <v>289</v>
      </c>
      <c r="F125" t="str">
        <f>HYPERLINK("https://talan.bank.gov.ua/get-user-certificate/45CEly1AsXb-q_frqgoG","Завантажити сертифікат")</f>
        <v>Завантажити сертифікат</v>
      </c>
    </row>
    <row r="126" spans="1:6" x14ac:dyDescent="0.3">
      <c r="A126" t="s">
        <v>294</v>
      </c>
      <c r="B126" t="s">
        <v>6</v>
      </c>
      <c r="C126" t="s">
        <v>295</v>
      </c>
      <c r="D126" t="s">
        <v>288</v>
      </c>
      <c r="E126" t="s">
        <v>289</v>
      </c>
      <c r="F126" t="str">
        <f>HYPERLINK("https://talan.bank.gov.ua/get-user-certificate/45CEllAmyhV0TU1hrSFy","Завантажити сертифікат")</f>
        <v>Завантажити сертифікат</v>
      </c>
    </row>
    <row r="127" spans="1:6" x14ac:dyDescent="0.3">
      <c r="A127" t="s">
        <v>296</v>
      </c>
      <c r="B127" t="s">
        <v>6</v>
      </c>
      <c r="C127" t="s">
        <v>297</v>
      </c>
      <c r="D127" t="s">
        <v>288</v>
      </c>
      <c r="E127" t="s">
        <v>289</v>
      </c>
      <c r="F127" t="str">
        <f>HYPERLINK("https://talan.bank.gov.ua/get-user-certificate/45CEl9z0avG7R7m9xfYv","Завантажити сертифікат")</f>
        <v>Завантажити сертифікат</v>
      </c>
    </row>
    <row r="128" spans="1:6" x14ac:dyDescent="0.3">
      <c r="A128" t="s">
        <v>298</v>
      </c>
      <c r="B128" t="s">
        <v>6</v>
      </c>
      <c r="C128" t="s">
        <v>299</v>
      </c>
      <c r="D128" t="s">
        <v>288</v>
      </c>
      <c r="E128" t="s">
        <v>289</v>
      </c>
      <c r="F128" t="str">
        <f>HYPERLINK("https://talan.bank.gov.ua/get-user-certificate/45CEld5SvVB07SQURWI7","Завантажити сертифікат")</f>
        <v>Завантажити сертифікат</v>
      </c>
    </row>
    <row r="129" spans="1:6" x14ac:dyDescent="0.3">
      <c r="A129" t="s">
        <v>300</v>
      </c>
      <c r="B129" t="s">
        <v>6</v>
      </c>
      <c r="C129" t="s">
        <v>301</v>
      </c>
      <c r="D129" t="s">
        <v>288</v>
      </c>
      <c r="E129" t="s">
        <v>289</v>
      </c>
      <c r="F129" t="str">
        <f>HYPERLINK("https://talan.bank.gov.ua/get-user-certificate/45CElXlprhw7SVfYRni9","Завантажити сертифікат")</f>
        <v>Завантажити сертифікат</v>
      </c>
    </row>
    <row r="130" spans="1:6" x14ac:dyDescent="0.3">
      <c r="A130" t="s">
        <v>302</v>
      </c>
      <c r="B130" t="s">
        <v>6</v>
      </c>
      <c r="C130" t="s">
        <v>303</v>
      </c>
      <c r="D130" t="s">
        <v>288</v>
      </c>
      <c r="E130" t="s">
        <v>289</v>
      </c>
      <c r="F130" t="str">
        <f>HYPERLINK("https://talan.bank.gov.ua/get-user-certificate/45CEl7Gt8ODB9vL0FicX","Завантажити сертифікат")</f>
        <v>Завантажити сертифікат</v>
      </c>
    </row>
    <row r="131" spans="1:6" x14ac:dyDescent="0.3">
      <c r="A131" t="s">
        <v>304</v>
      </c>
      <c r="B131" t="s">
        <v>6</v>
      </c>
      <c r="C131" t="s">
        <v>305</v>
      </c>
      <c r="D131" t="s">
        <v>288</v>
      </c>
      <c r="E131" t="s">
        <v>289</v>
      </c>
      <c r="F131" t="str">
        <f>HYPERLINK("https://talan.bank.gov.ua/get-user-certificate/45CElxyJqiwNo4Ml_pYY","Завантажити сертифікат")</f>
        <v>Завантажити сертифікат</v>
      </c>
    </row>
    <row r="132" spans="1:6" x14ac:dyDescent="0.3">
      <c r="A132" t="s">
        <v>306</v>
      </c>
      <c r="B132" t="s">
        <v>6</v>
      </c>
      <c r="C132" t="s">
        <v>307</v>
      </c>
      <c r="D132" t="s">
        <v>288</v>
      </c>
      <c r="E132" t="s">
        <v>289</v>
      </c>
      <c r="F132" t="str">
        <f>HYPERLINK("https://talan.bank.gov.ua/get-user-certificate/45CEl0BGoG5a64h9vKi0","Завантажити сертифікат")</f>
        <v>Завантажити сертифікат</v>
      </c>
    </row>
    <row r="133" spans="1:6" x14ac:dyDescent="0.3">
      <c r="A133" t="s">
        <v>308</v>
      </c>
      <c r="B133" t="s">
        <v>6</v>
      </c>
      <c r="C133" t="s">
        <v>309</v>
      </c>
      <c r="D133" t="s">
        <v>288</v>
      </c>
      <c r="E133" t="s">
        <v>289</v>
      </c>
      <c r="F133" t="str">
        <f>HYPERLINK("https://talan.bank.gov.ua/get-user-certificate/45CElUoGSdCtZOFHAmHj","Завантажити сертифікат")</f>
        <v>Завантажити сертифікат</v>
      </c>
    </row>
    <row r="134" spans="1:6" x14ac:dyDescent="0.3">
      <c r="A134" t="s">
        <v>310</v>
      </c>
      <c r="B134" t="s">
        <v>6</v>
      </c>
      <c r="C134" t="s">
        <v>311</v>
      </c>
      <c r="D134" t="s">
        <v>288</v>
      </c>
      <c r="E134" t="s">
        <v>289</v>
      </c>
      <c r="F134" t="str">
        <f>HYPERLINK("https://talan.bank.gov.ua/get-user-certificate/45CElEYkKwLmowaJycs5","Завантажити сертифікат")</f>
        <v>Завантажити сертифікат</v>
      </c>
    </row>
    <row r="135" spans="1:6" x14ac:dyDescent="0.3">
      <c r="A135" t="s">
        <v>312</v>
      </c>
      <c r="B135" t="s">
        <v>6</v>
      </c>
      <c r="C135" t="s">
        <v>313</v>
      </c>
      <c r="D135" t="s">
        <v>314</v>
      </c>
      <c r="E135" t="s">
        <v>315</v>
      </c>
      <c r="F135" t="str">
        <f>HYPERLINK("https://talan.bank.gov.ua/get-user-certificate/45CElUsCpqMFjjkEHOTV","Завантажити сертифікат")</f>
        <v>Завантажити сертифікат</v>
      </c>
    </row>
    <row r="136" spans="1:6" x14ac:dyDescent="0.3">
      <c r="A136" t="s">
        <v>316</v>
      </c>
      <c r="B136" t="s">
        <v>6</v>
      </c>
      <c r="C136" t="s">
        <v>317</v>
      </c>
      <c r="D136" t="s">
        <v>314</v>
      </c>
      <c r="E136" t="s">
        <v>315</v>
      </c>
      <c r="F136" t="str">
        <f>HYPERLINK("https://talan.bank.gov.ua/get-user-certificate/45CElYZ5eKZNmzrkGLvZ","Завантажити сертифікат")</f>
        <v>Завантажити сертифікат</v>
      </c>
    </row>
    <row r="137" spans="1:6" x14ac:dyDescent="0.3">
      <c r="A137" t="s">
        <v>318</v>
      </c>
      <c r="B137" t="s">
        <v>6</v>
      </c>
      <c r="C137" t="s">
        <v>319</v>
      </c>
      <c r="D137" t="s">
        <v>314</v>
      </c>
      <c r="E137" t="s">
        <v>315</v>
      </c>
      <c r="F137" t="str">
        <f>HYPERLINK("https://talan.bank.gov.ua/get-user-certificate/45CEl5DzH9ADuEiBQ_zj","Завантажити сертифікат")</f>
        <v>Завантажити сертифікат</v>
      </c>
    </row>
    <row r="138" spans="1:6" x14ac:dyDescent="0.3">
      <c r="A138" t="s">
        <v>320</v>
      </c>
      <c r="B138" t="s">
        <v>6</v>
      </c>
      <c r="C138" t="s">
        <v>321</v>
      </c>
      <c r="D138" t="s">
        <v>314</v>
      </c>
      <c r="E138" t="s">
        <v>315</v>
      </c>
      <c r="F138" t="str">
        <f>HYPERLINK("https://talan.bank.gov.ua/get-user-certificate/45CElJilCn9ceDGdblNF","Завантажити сертифікат")</f>
        <v>Завантажити сертифікат</v>
      </c>
    </row>
    <row r="139" spans="1:6" x14ac:dyDescent="0.3">
      <c r="A139" t="s">
        <v>322</v>
      </c>
      <c r="B139" t="s">
        <v>6</v>
      </c>
      <c r="C139" t="s">
        <v>323</v>
      </c>
      <c r="D139" t="s">
        <v>314</v>
      </c>
      <c r="E139" t="s">
        <v>315</v>
      </c>
      <c r="F139" t="str">
        <f>HYPERLINK("https://talan.bank.gov.ua/get-user-certificate/45CElVQyfHjf7ou37F-7","Завантажити сертифікат")</f>
        <v>Завантажити сертифікат</v>
      </c>
    </row>
    <row r="140" spans="1:6" x14ac:dyDescent="0.3">
      <c r="A140" t="s">
        <v>324</v>
      </c>
      <c r="B140" t="s">
        <v>6</v>
      </c>
      <c r="C140" t="s">
        <v>325</v>
      </c>
      <c r="D140" t="s">
        <v>314</v>
      </c>
      <c r="E140" t="s">
        <v>315</v>
      </c>
      <c r="F140" t="str">
        <f>HYPERLINK("https://talan.bank.gov.ua/get-user-certificate/45CElYrPbMzB53olXfBq","Завантажити сертифікат")</f>
        <v>Завантажити сертифікат</v>
      </c>
    </row>
    <row r="141" spans="1:6" x14ac:dyDescent="0.3">
      <c r="A141" t="s">
        <v>326</v>
      </c>
      <c r="B141" t="s">
        <v>6</v>
      </c>
      <c r="C141" t="s">
        <v>327</v>
      </c>
      <c r="D141" t="s">
        <v>314</v>
      </c>
      <c r="E141" t="s">
        <v>315</v>
      </c>
      <c r="F141" t="str">
        <f>HYPERLINK("https://talan.bank.gov.ua/get-user-certificate/45CEluezdm4Yxhv7ZlWB","Завантажити сертифікат")</f>
        <v>Завантажити сертифікат</v>
      </c>
    </row>
    <row r="142" spans="1:6" x14ac:dyDescent="0.3">
      <c r="A142" t="s">
        <v>328</v>
      </c>
      <c r="B142" t="s">
        <v>6</v>
      </c>
      <c r="C142" t="s">
        <v>329</v>
      </c>
      <c r="D142" t="s">
        <v>314</v>
      </c>
      <c r="E142" t="s">
        <v>315</v>
      </c>
      <c r="F142" t="str">
        <f>HYPERLINK("https://talan.bank.gov.ua/get-user-certificate/45CEliT9hbpeZkUgsqH8","Завантажити сертифікат")</f>
        <v>Завантажити сертифікат</v>
      </c>
    </row>
    <row r="143" spans="1:6" x14ac:dyDescent="0.3">
      <c r="A143" t="s">
        <v>330</v>
      </c>
      <c r="B143" t="s">
        <v>6</v>
      </c>
      <c r="C143" t="s">
        <v>331</v>
      </c>
      <c r="D143" t="s">
        <v>314</v>
      </c>
      <c r="E143" t="s">
        <v>315</v>
      </c>
      <c r="F143" t="str">
        <f>HYPERLINK("https://talan.bank.gov.ua/get-user-certificate/45CEl6bCETNS3de7NEOs","Завантажити сертифікат")</f>
        <v>Завантажити сертифікат</v>
      </c>
    </row>
    <row r="144" spans="1:6" x14ac:dyDescent="0.3">
      <c r="A144" t="s">
        <v>332</v>
      </c>
      <c r="B144" t="s">
        <v>6</v>
      </c>
      <c r="C144" t="s">
        <v>333</v>
      </c>
      <c r="D144" t="s">
        <v>314</v>
      </c>
      <c r="E144" t="s">
        <v>315</v>
      </c>
      <c r="F144" t="str">
        <f>HYPERLINK("https://talan.bank.gov.ua/get-user-certificate/45CElwLD0hi3EY-bBUy4","Завантажити сертифікат")</f>
        <v>Завантажити сертифікат</v>
      </c>
    </row>
    <row r="145" spans="1:6" x14ac:dyDescent="0.3">
      <c r="A145" t="s">
        <v>334</v>
      </c>
      <c r="B145" t="s">
        <v>6</v>
      </c>
      <c r="C145" t="s">
        <v>335</v>
      </c>
      <c r="D145" t="s">
        <v>314</v>
      </c>
      <c r="E145" t="s">
        <v>315</v>
      </c>
      <c r="F145" t="str">
        <f>HYPERLINK("https://talan.bank.gov.ua/get-user-certificate/45CElxRVAvpMeaktRwpN","Завантажити сертифікат")</f>
        <v>Завантажити сертифікат</v>
      </c>
    </row>
    <row r="146" spans="1:6" x14ac:dyDescent="0.3">
      <c r="A146" t="s">
        <v>336</v>
      </c>
      <c r="B146" t="s">
        <v>6</v>
      </c>
      <c r="C146" t="s">
        <v>337</v>
      </c>
      <c r="D146" t="s">
        <v>314</v>
      </c>
      <c r="E146" t="s">
        <v>315</v>
      </c>
      <c r="F146" t="str">
        <f>HYPERLINK("https://talan.bank.gov.ua/get-user-certificate/45CElpzvcJgJhu_vTaGb","Завантажити сертифікат")</f>
        <v>Завантажити сертифікат</v>
      </c>
    </row>
    <row r="147" spans="1:6" x14ac:dyDescent="0.3">
      <c r="A147" t="s">
        <v>338</v>
      </c>
      <c r="B147" t="s">
        <v>6</v>
      </c>
      <c r="C147" t="s">
        <v>339</v>
      </c>
      <c r="D147" t="s">
        <v>314</v>
      </c>
      <c r="E147" t="s">
        <v>315</v>
      </c>
      <c r="F147" t="str">
        <f>HYPERLINK("https://talan.bank.gov.ua/get-user-certificate/45CElHDIhF1JWNLvnrtE","Завантажити сертифікат")</f>
        <v>Завантажити сертифікат</v>
      </c>
    </row>
    <row r="148" spans="1:6" x14ac:dyDescent="0.3">
      <c r="A148" t="s">
        <v>340</v>
      </c>
      <c r="B148" t="s">
        <v>6</v>
      </c>
      <c r="C148" t="s">
        <v>341</v>
      </c>
      <c r="D148" t="s">
        <v>342</v>
      </c>
      <c r="E148" t="s">
        <v>343</v>
      </c>
      <c r="F148" t="str">
        <f>HYPERLINK("https://talan.bank.gov.ua/get-user-certificate/45CEl89mVK7v1Qt9uaXI","Завантажити сертифікат")</f>
        <v>Завантажити сертифікат</v>
      </c>
    </row>
    <row r="149" spans="1:6" x14ac:dyDescent="0.3">
      <c r="A149" t="s">
        <v>344</v>
      </c>
      <c r="B149" t="s">
        <v>6</v>
      </c>
      <c r="C149" t="s">
        <v>345</v>
      </c>
      <c r="D149" t="s">
        <v>342</v>
      </c>
      <c r="E149" t="s">
        <v>343</v>
      </c>
      <c r="F149" t="str">
        <f>HYPERLINK("https://talan.bank.gov.ua/get-user-certificate/45CEld4C-hAz1eAWGFEf","Завантажити сертифікат")</f>
        <v>Завантажити сертифікат</v>
      </c>
    </row>
    <row r="150" spans="1:6" x14ac:dyDescent="0.3">
      <c r="A150" t="s">
        <v>346</v>
      </c>
      <c r="B150" t="s">
        <v>6</v>
      </c>
      <c r="C150" t="s">
        <v>347</v>
      </c>
      <c r="D150" t="s">
        <v>342</v>
      </c>
      <c r="E150" t="s">
        <v>343</v>
      </c>
      <c r="F150" t="str">
        <f>HYPERLINK("https://talan.bank.gov.ua/get-user-certificate/45CElfNBlCtlwbGzMg8R","Завантажити сертифікат")</f>
        <v>Завантажити сертифікат</v>
      </c>
    </row>
    <row r="151" spans="1:6" x14ac:dyDescent="0.3">
      <c r="A151" t="s">
        <v>348</v>
      </c>
      <c r="B151" t="s">
        <v>6</v>
      </c>
      <c r="C151" t="s">
        <v>349</v>
      </c>
      <c r="D151" t="s">
        <v>342</v>
      </c>
      <c r="E151" t="s">
        <v>343</v>
      </c>
      <c r="F151" t="str">
        <f>HYPERLINK("https://talan.bank.gov.ua/get-user-certificate/45CElAd9KxvU9W8dqbYB","Завантажити сертифікат")</f>
        <v>Завантажити сертифікат</v>
      </c>
    </row>
    <row r="152" spans="1:6" x14ac:dyDescent="0.3">
      <c r="A152" t="s">
        <v>350</v>
      </c>
      <c r="B152" t="s">
        <v>6</v>
      </c>
      <c r="C152" t="s">
        <v>351</v>
      </c>
      <c r="D152" t="s">
        <v>342</v>
      </c>
      <c r="E152" t="s">
        <v>343</v>
      </c>
      <c r="F152" t="str">
        <f>HYPERLINK("https://talan.bank.gov.ua/get-user-certificate/45CElS27mDleuJkxfjeW","Завантажити сертифікат")</f>
        <v>Завантажити сертифікат</v>
      </c>
    </row>
    <row r="153" spans="1:6" x14ac:dyDescent="0.3">
      <c r="A153" t="s">
        <v>352</v>
      </c>
      <c r="B153" t="s">
        <v>6</v>
      </c>
      <c r="C153" t="s">
        <v>353</v>
      </c>
      <c r="D153" t="s">
        <v>342</v>
      </c>
      <c r="E153" t="s">
        <v>343</v>
      </c>
      <c r="F153" t="str">
        <f>HYPERLINK("https://talan.bank.gov.ua/get-user-certificate/45CElFR6q3rgbd2YZNPE","Завантажити сертифікат")</f>
        <v>Завантажити сертифікат</v>
      </c>
    </row>
    <row r="154" spans="1:6" x14ac:dyDescent="0.3">
      <c r="A154" t="s">
        <v>354</v>
      </c>
      <c r="B154" t="s">
        <v>6</v>
      </c>
      <c r="C154" t="s">
        <v>355</v>
      </c>
      <c r="D154" t="s">
        <v>342</v>
      </c>
      <c r="E154" t="s">
        <v>343</v>
      </c>
      <c r="F154" t="str">
        <f>HYPERLINK("https://talan.bank.gov.ua/get-user-certificate/45CEldgnFlYaZrhW7nTn","Завантажити сертифікат")</f>
        <v>Завантажити сертифікат</v>
      </c>
    </row>
    <row r="155" spans="1:6" x14ac:dyDescent="0.3">
      <c r="A155" t="s">
        <v>356</v>
      </c>
      <c r="B155" t="s">
        <v>6</v>
      </c>
      <c r="C155" t="s">
        <v>357</v>
      </c>
      <c r="D155" t="s">
        <v>342</v>
      </c>
      <c r="E155" t="s">
        <v>343</v>
      </c>
      <c r="F155" t="str">
        <f>HYPERLINK("https://talan.bank.gov.ua/get-user-certificate/45CElqfJpnDfCtGbyQrw","Завантажити сертифікат")</f>
        <v>Завантажити сертифікат</v>
      </c>
    </row>
    <row r="156" spans="1:6" x14ac:dyDescent="0.3">
      <c r="A156" t="s">
        <v>358</v>
      </c>
      <c r="B156" t="s">
        <v>6</v>
      </c>
      <c r="C156" t="s">
        <v>359</v>
      </c>
      <c r="D156" t="s">
        <v>342</v>
      </c>
      <c r="E156" t="s">
        <v>343</v>
      </c>
      <c r="F156" t="str">
        <f>HYPERLINK("https://talan.bank.gov.ua/get-user-certificate/45CElVwaHj7L8u89gwkv","Завантажити сертифікат")</f>
        <v>Завантажити сертифікат</v>
      </c>
    </row>
    <row r="157" spans="1:6" x14ac:dyDescent="0.3">
      <c r="A157" t="s">
        <v>360</v>
      </c>
      <c r="B157" t="s">
        <v>6</v>
      </c>
      <c r="C157" t="s">
        <v>361</v>
      </c>
      <c r="D157" t="s">
        <v>342</v>
      </c>
      <c r="E157" t="s">
        <v>343</v>
      </c>
      <c r="F157" t="str">
        <f>HYPERLINK("https://talan.bank.gov.ua/get-user-certificate/45CElqQfKzGHZVR5cirU","Завантажити сертифікат")</f>
        <v>Завантажити сертифікат</v>
      </c>
    </row>
    <row r="158" spans="1:6" x14ac:dyDescent="0.3">
      <c r="A158" t="s">
        <v>362</v>
      </c>
      <c r="B158" t="s">
        <v>6</v>
      </c>
      <c r="C158" t="s">
        <v>363</v>
      </c>
      <c r="D158" t="s">
        <v>342</v>
      </c>
      <c r="E158" t="s">
        <v>343</v>
      </c>
      <c r="F158" t="str">
        <f>HYPERLINK("https://talan.bank.gov.ua/get-user-certificate/45CElOxNm4y0BQynjOkd","Завантажити сертифікат")</f>
        <v>Завантажити сертифікат</v>
      </c>
    </row>
    <row r="159" spans="1:6" x14ac:dyDescent="0.3">
      <c r="A159" t="s">
        <v>364</v>
      </c>
      <c r="B159" t="s">
        <v>6</v>
      </c>
      <c r="C159" t="s">
        <v>365</v>
      </c>
      <c r="D159" t="s">
        <v>342</v>
      </c>
      <c r="E159" t="s">
        <v>343</v>
      </c>
      <c r="F159" t="str">
        <f>HYPERLINK("https://talan.bank.gov.ua/get-user-certificate/45CElXAx9uamXHp4DpCY","Завантажити сертифікат")</f>
        <v>Завантажити сертифікат</v>
      </c>
    </row>
    <row r="160" spans="1:6" x14ac:dyDescent="0.3">
      <c r="A160" t="s">
        <v>366</v>
      </c>
      <c r="B160" t="s">
        <v>6</v>
      </c>
      <c r="C160" t="s">
        <v>367</v>
      </c>
      <c r="D160" t="s">
        <v>342</v>
      </c>
      <c r="E160" t="s">
        <v>343</v>
      </c>
      <c r="F160" t="str">
        <f>HYPERLINK("https://talan.bank.gov.ua/get-user-certificate/45CEl7dng0sUoo__k-2H","Завантажити сертифікат")</f>
        <v>Завантажити сертифікат</v>
      </c>
    </row>
    <row r="161" spans="1:6" x14ac:dyDescent="0.3">
      <c r="A161" t="s">
        <v>368</v>
      </c>
      <c r="B161" t="s">
        <v>6</v>
      </c>
      <c r="C161" t="s">
        <v>369</v>
      </c>
      <c r="D161" t="s">
        <v>342</v>
      </c>
      <c r="E161" t="s">
        <v>343</v>
      </c>
      <c r="F161" t="str">
        <f>HYPERLINK("https://talan.bank.gov.ua/get-user-certificate/45CElHjra1iadozVhzft","Завантажити сертифікат")</f>
        <v>Завантажити сертифікат</v>
      </c>
    </row>
    <row r="162" spans="1:6" x14ac:dyDescent="0.3">
      <c r="A162" t="s">
        <v>370</v>
      </c>
      <c r="B162" t="s">
        <v>6</v>
      </c>
      <c r="C162" t="s">
        <v>371</v>
      </c>
      <c r="D162" t="s">
        <v>342</v>
      </c>
      <c r="E162" t="s">
        <v>343</v>
      </c>
      <c r="F162" t="str">
        <f>HYPERLINK("https://talan.bank.gov.ua/get-user-certificate/45CElYAhwp2iRQkGYC0r","Завантажити сертифікат")</f>
        <v>Завантажити сертифікат</v>
      </c>
    </row>
    <row r="163" spans="1:6" x14ac:dyDescent="0.3">
      <c r="A163" t="s">
        <v>372</v>
      </c>
      <c r="B163" t="s">
        <v>6</v>
      </c>
      <c r="C163" t="s">
        <v>373</v>
      </c>
      <c r="D163" t="s">
        <v>342</v>
      </c>
      <c r="E163" t="s">
        <v>343</v>
      </c>
      <c r="F163" t="str">
        <f>HYPERLINK("https://talan.bank.gov.ua/get-user-certificate/45CEl8MXjtgRBzcHnoas","Завантажити сертифікат")</f>
        <v>Завантажити сертифікат</v>
      </c>
    </row>
    <row r="164" spans="1:6" x14ac:dyDescent="0.3">
      <c r="A164" t="s">
        <v>374</v>
      </c>
      <c r="B164" t="s">
        <v>6</v>
      </c>
      <c r="C164" t="s">
        <v>375</v>
      </c>
      <c r="D164" t="s">
        <v>342</v>
      </c>
      <c r="E164" t="s">
        <v>343</v>
      </c>
      <c r="F164" t="str">
        <f>HYPERLINK("https://talan.bank.gov.ua/get-user-certificate/45CElH9y4YwgawabmZY7","Завантажити сертифікат")</f>
        <v>Завантажити сертифікат</v>
      </c>
    </row>
    <row r="165" spans="1:6" x14ac:dyDescent="0.3">
      <c r="A165" t="s">
        <v>376</v>
      </c>
      <c r="B165" t="s">
        <v>6</v>
      </c>
      <c r="C165" t="s">
        <v>377</v>
      </c>
      <c r="D165" t="s">
        <v>342</v>
      </c>
      <c r="E165" t="s">
        <v>343</v>
      </c>
      <c r="F165" t="str">
        <f>HYPERLINK("https://talan.bank.gov.ua/get-user-certificate/45CElGIIywP7VjtQOY0Y","Завантажити сертифікат")</f>
        <v>Завантажити сертифікат</v>
      </c>
    </row>
    <row r="166" spans="1:6" x14ac:dyDescent="0.3">
      <c r="A166" t="s">
        <v>378</v>
      </c>
      <c r="B166" t="s">
        <v>6</v>
      </c>
      <c r="C166" t="s">
        <v>379</v>
      </c>
      <c r="D166" t="s">
        <v>342</v>
      </c>
      <c r="E166" t="s">
        <v>343</v>
      </c>
      <c r="F166" t="str">
        <f>HYPERLINK("https://talan.bank.gov.ua/get-user-certificate/45CElE82kAUVIP7LHHnS","Завантажити сертифікат")</f>
        <v>Завантажити сертифікат</v>
      </c>
    </row>
    <row r="167" spans="1:6" x14ac:dyDescent="0.3">
      <c r="A167" t="s">
        <v>380</v>
      </c>
      <c r="B167" t="s">
        <v>6</v>
      </c>
      <c r="C167" t="s">
        <v>381</v>
      </c>
      <c r="D167" t="s">
        <v>342</v>
      </c>
      <c r="E167" t="s">
        <v>343</v>
      </c>
      <c r="F167" t="str">
        <f>HYPERLINK("https://talan.bank.gov.ua/get-user-certificate/45CElIU3f09QcVTdJokg","Завантажити сертифікат")</f>
        <v>Завантажити сертифікат</v>
      </c>
    </row>
    <row r="168" spans="1:6" x14ac:dyDescent="0.3">
      <c r="A168" t="s">
        <v>382</v>
      </c>
      <c r="B168" t="s">
        <v>6</v>
      </c>
      <c r="C168" t="s">
        <v>383</v>
      </c>
      <c r="D168" t="s">
        <v>342</v>
      </c>
      <c r="E168" t="s">
        <v>343</v>
      </c>
      <c r="F168" t="str">
        <f>HYPERLINK("https://talan.bank.gov.ua/get-user-certificate/45CElig52juNkuoxX2Eo","Завантажити сертифікат")</f>
        <v>Завантажити сертифікат</v>
      </c>
    </row>
    <row r="169" spans="1:6" x14ac:dyDescent="0.3">
      <c r="A169" t="s">
        <v>384</v>
      </c>
      <c r="B169" t="s">
        <v>6</v>
      </c>
      <c r="C169" t="s">
        <v>385</v>
      </c>
      <c r="D169" t="s">
        <v>342</v>
      </c>
      <c r="E169" t="s">
        <v>343</v>
      </c>
      <c r="F169" t="str">
        <f>HYPERLINK("https://talan.bank.gov.ua/get-user-certificate/45CElKyBpkTrUDdLoGMO","Завантажити сертифікат")</f>
        <v>Завантажити сертифікат</v>
      </c>
    </row>
    <row r="170" spans="1:6" x14ac:dyDescent="0.3">
      <c r="A170" t="s">
        <v>386</v>
      </c>
      <c r="B170" t="s">
        <v>6</v>
      </c>
      <c r="C170" t="s">
        <v>387</v>
      </c>
      <c r="D170" t="s">
        <v>342</v>
      </c>
      <c r="E170" t="s">
        <v>343</v>
      </c>
      <c r="F170" t="str">
        <f>HYPERLINK("https://talan.bank.gov.ua/get-user-certificate/45CElWwlW_xrmJR1x8kV","Завантажити сертифікат")</f>
        <v>Завантажити сертифікат</v>
      </c>
    </row>
    <row r="171" spans="1:6" x14ac:dyDescent="0.3">
      <c r="A171" t="s">
        <v>388</v>
      </c>
      <c r="B171" t="s">
        <v>6</v>
      </c>
      <c r="C171" t="s">
        <v>389</v>
      </c>
      <c r="D171" t="s">
        <v>342</v>
      </c>
      <c r="E171" t="s">
        <v>343</v>
      </c>
      <c r="F171" t="str">
        <f>HYPERLINK("https://talan.bank.gov.ua/get-user-certificate/45CElttttOnU9taf-lzg","Завантажити сертифікат")</f>
        <v>Завантажити сертифікат</v>
      </c>
    </row>
    <row r="172" spans="1:6" x14ac:dyDescent="0.3">
      <c r="A172" t="s">
        <v>390</v>
      </c>
      <c r="B172" t="s">
        <v>6</v>
      </c>
      <c r="C172" t="s">
        <v>391</v>
      </c>
      <c r="D172" t="s">
        <v>342</v>
      </c>
      <c r="E172" t="s">
        <v>343</v>
      </c>
      <c r="F172" t="str">
        <f>HYPERLINK("https://talan.bank.gov.ua/get-user-certificate/45CEl77wYYiIbGNvr8ma","Завантажити сертифікат")</f>
        <v>Завантажити сертифікат</v>
      </c>
    </row>
    <row r="173" spans="1:6" x14ac:dyDescent="0.3">
      <c r="A173" t="s">
        <v>392</v>
      </c>
      <c r="B173" t="s">
        <v>6</v>
      </c>
      <c r="C173" t="s">
        <v>393</v>
      </c>
      <c r="D173" t="s">
        <v>342</v>
      </c>
      <c r="E173" t="s">
        <v>343</v>
      </c>
      <c r="F173" t="str">
        <f>HYPERLINK("https://talan.bank.gov.ua/get-user-certificate/45CEl6Qxml7YDMh6jvwM","Завантажити сертифікат")</f>
        <v>Завантажити сертифікат</v>
      </c>
    </row>
    <row r="174" spans="1:6" x14ac:dyDescent="0.3">
      <c r="A174" t="s">
        <v>394</v>
      </c>
      <c r="B174" t="s">
        <v>6</v>
      </c>
      <c r="C174" t="s">
        <v>395</v>
      </c>
      <c r="D174" t="s">
        <v>342</v>
      </c>
      <c r="E174" t="s">
        <v>343</v>
      </c>
      <c r="F174" t="str">
        <f>HYPERLINK("https://talan.bank.gov.ua/get-user-certificate/45CElymnyWYEvS2OkjuJ","Завантажити сертифікат")</f>
        <v>Завантажити сертифікат</v>
      </c>
    </row>
    <row r="175" spans="1:6" x14ac:dyDescent="0.3">
      <c r="A175" t="s">
        <v>396</v>
      </c>
      <c r="B175" t="s">
        <v>6</v>
      </c>
      <c r="C175" t="s">
        <v>397</v>
      </c>
      <c r="D175" t="s">
        <v>342</v>
      </c>
      <c r="E175" t="s">
        <v>343</v>
      </c>
      <c r="F175" t="str">
        <f>HYPERLINK("https://talan.bank.gov.ua/get-user-certificate/45CEl5etn7AiHpZ84_pT","Завантажити сертифікат")</f>
        <v>Завантажити сертифікат</v>
      </c>
    </row>
    <row r="176" spans="1:6" x14ac:dyDescent="0.3">
      <c r="A176" t="s">
        <v>398</v>
      </c>
      <c r="B176" t="s">
        <v>6</v>
      </c>
      <c r="C176" t="s">
        <v>399</v>
      </c>
      <c r="D176" t="s">
        <v>342</v>
      </c>
      <c r="E176" t="s">
        <v>343</v>
      </c>
      <c r="F176" t="str">
        <f>HYPERLINK("https://talan.bank.gov.ua/get-user-certificate/45CEl6IaS8XLPdzg-eT4","Завантажити сертифікат")</f>
        <v>Завантажити сертифікат</v>
      </c>
    </row>
    <row r="177" spans="1:6" x14ac:dyDescent="0.3">
      <c r="A177" t="s">
        <v>400</v>
      </c>
      <c r="B177" t="s">
        <v>6</v>
      </c>
      <c r="C177" t="s">
        <v>401</v>
      </c>
      <c r="D177" t="s">
        <v>342</v>
      </c>
      <c r="E177" t="s">
        <v>343</v>
      </c>
      <c r="F177" t="str">
        <f>HYPERLINK("https://talan.bank.gov.ua/get-user-certificate/45CElhRP_-no21J9Gpnv","Завантажити сертифікат")</f>
        <v>Завантажити сертифікат</v>
      </c>
    </row>
    <row r="178" spans="1:6" x14ac:dyDescent="0.3">
      <c r="A178" t="s">
        <v>402</v>
      </c>
      <c r="B178" t="s">
        <v>6</v>
      </c>
      <c r="C178" t="s">
        <v>403</v>
      </c>
      <c r="D178" t="s">
        <v>342</v>
      </c>
      <c r="E178" t="s">
        <v>343</v>
      </c>
      <c r="F178" t="str">
        <f>HYPERLINK("https://talan.bank.gov.ua/get-user-certificate/45CElBZNNRVCuAdjgf8i","Завантажити сертифікат")</f>
        <v>Завантажити сертифікат</v>
      </c>
    </row>
    <row r="179" spans="1:6" x14ac:dyDescent="0.3">
      <c r="A179" t="s">
        <v>404</v>
      </c>
      <c r="B179" t="s">
        <v>6</v>
      </c>
      <c r="C179" t="s">
        <v>405</v>
      </c>
      <c r="D179" t="s">
        <v>342</v>
      </c>
      <c r="E179" t="s">
        <v>343</v>
      </c>
      <c r="F179" t="str">
        <f>HYPERLINK("https://talan.bank.gov.ua/get-user-certificate/45CElP7fR8Y_zxdwCiNN","Завантажити сертифікат")</f>
        <v>Завантажити сертифікат</v>
      </c>
    </row>
    <row r="180" spans="1:6" x14ac:dyDescent="0.3">
      <c r="A180" t="s">
        <v>406</v>
      </c>
      <c r="B180" t="s">
        <v>6</v>
      </c>
      <c r="C180" t="s">
        <v>407</v>
      </c>
      <c r="D180" t="s">
        <v>342</v>
      </c>
      <c r="E180" t="s">
        <v>343</v>
      </c>
      <c r="F180" t="str">
        <f>HYPERLINK("https://talan.bank.gov.ua/get-user-certificate/45CElmatLQb2Cz6HhlEf","Завантажити сертифікат")</f>
        <v>Завантажити сертифікат</v>
      </c>
    </row>
    <row r="181" spans="1:6" x14ac:dyDescent="0.3">
      <c r="A181" t="s">
        <v>408</v>
      </c>
      <c r="B181" t="s">
        <v>6</v>
      </c>
      <c r="C181" t="s">
        <v>409</v>
      </c>
      <c r="D181" t="s">
        <v>342</v>
      </c>
      <c r="E181" t="s">
        <v>343</v>
      </c>
      <c r="F181" t="str">
        <f>HYPERLINK("https://talan.bank.gov.ua/get-user-certificate/45CElmg75EM7cXzycsHW","Завантажити сертифікат")</f>
        <v>Завантажити сертифікат</v>
      </c>
    </row>
    <row r="182" spans="1:6" x14ac:dyDescent="0.3">
      <c r="A182" t="s">
        <v>410</v>
      </c>
      <c r="B182" t="s">
        <v>6</v>
      </c>
      <c r="C182" t="s">
        <v>411</v>
      </c>
      <c r="D182" t="s">
        <v>342</v>
      </c>
      <c r="E182" t="s">
        <v>343</v>
      </c>
      <c r="F182" t="str">
        <f>HYPERLINK("https://talan.bank.gov.ua/get-user-certificate/45CElol3FiNBg_ISuWx6","Завантажити сертифікат")</f>
        <v>Завантажити сертифікат</v>
      </c>
    </row>
    <row r="183" spans="1:6" x14ac:dyDescent="0.3">
      <c r="A183" t="s">
        <v>412</v>
      </c>
      <c r="B183" t="s">
        <v>6</v>
      </c>
      <c r="C183" t="s">
        <v>413</v>
      </c>
      <c r="D183" t="s">
        <v>342</v>
      </c>
      <c r="E183" t="s">
        <v>343</v>
      </c>
      <c r="F183" t="str">
        <f>HYPERLINK("https://talan.bank.gov.ua/get-user-certificate/45CElEkujEzXeeOGorBW","Завантажити сертифікат")</f>
        <v>Завантажити сертифікат</v>
      </c>
    </row>
    <row r="184" spans="1:6" x14ac:dyDescent="0.3">
      <c r="A184" t="s">
        <v>414</v>
      </c>
      <c r="B184" t="s">
        <v>6</v>
      </c>
      <c r="C184" t="s">
        <v>415</v>
      </c>
      <c r="D184" t="s">
        <v>342</v>
      </c>
      <c r="E184" t="s">
        <v>343</v>
      </c>
      <c r="F184" t="str">
        <f>HYPERLINK("https://talan.bank.gov.ua/get-user-certificate/45CElHA7vbe1YwLAE40q","Завантажити сертифікат")</f>
        <v>Завантажити сертифікат</v>
      </c>
    </row>
    <row r="185" spans="1:6" x14ac:dyDescent="0.3">
      <c r="A185" t="s">
        <v>416</v>
      </c>
      <c r="B185" t="s">
        <v>6</v>
      </c>
      <c r="C185" t="s">
        <v>417</v>
      </c>
      <c r="D185" t="s">
        <v>342</v>
      </c>
      <c r="E185" t="s">
        <v>343</v>
      </c>
      <c r="F185" t="str">
        <f>HYPERLINK("https://talan.bank.gov.ua/get-user-certificate/45CElDAnUCNYUty3ZT1E","Завантажити сертифікат")</f>
        <v>Завантажити сертифікат</v>
      </c>
    </row>
    <row r="186" spans="1:6" x14ac:dyDescent="0.3">
      <c r="A186" t="s">
        <v>418</v>
      </c>
      <c r="B186" t="s">
        <v>6</v>
      </c>
      <c r="C186" t="s">
        <v>419</v>
      </c>
      <c r="D186" t="s">
        <v>342</v>
      </c>
      <c r="E186" t="s">
        <v>343</v>
      </c>
      <c r="F186" t="str">
        <f>HYPERLINK("https://talan.bank.gov.ua/get-user-certificate/45CEl8wTPBlUQYiLZTUU","Завантажити сертифікат")</f>
        <v>Завантажити сертифікат</v>
      </c>
    </row>
    <row r="187" spans="1:6" x14ac:dyDescent="0.3">
      <c r="A187" t="s">
        <v>420</v>
      </c>
      <c r="B187" t="s">
        <v>6</v>
      </c>
      <c r="C187" t="s">
        <v>421</v>
      </c>
      <c r="D187" t="s">
        <v>342</v>
      </c>
      <c r="E187" t="s">
        <v>343</v>
      </c>
      <c r="F187" t="str">
        <f>HYPERLINK("https://talan.bank.gov.ua/get-user-certificate/45CElavPwiKwBFjhZ6Ih","Завантажити сертифікат")</f>
        <v>Завантажити сертифікат</v>
      </c>
    </row>
    <row r="188" spans="1:6" x14ac:dyDescent="0.3">
      <c r="A188" t="s">
        <v>422</v>
      </c>
      <c r="B188" t="s">
        <v>6</v>
      </c>
      <c r="C188" t="s">
        <v>423</v>
      </c>
      <c r="D188" t="s">
        <v>342</v>
      </c>
      <c r="E188" t="s">
        <v>343</v>
      </c>
      <c r="F188" t="str">
        <f>HYPERLINK("https://talan.bank.gov.ua/get-user-certificate/45CElEh1kVyjUyhGdqD2","Завантажити сертифікат")</f>
        <v>Завантажити сертифікат</v>
      </c>
    </row>
    <row r="189" spans="1:6" x14ac:dyDescent="0.3">
      <c r="A189" t="s">
        <v>424</v>
      </c>
      <c r="B189" t="s">
        <v>6</v>
      </c>
      <c r="C189" t="s">
        <v>425</v>
      </c>
      <c r="D189" t="s">
        <v>342</v>
      </c>
      <c r="E189" t="s">
        <v>343</v>
      </c>
      <c r="F189" t="str">
        <f>HYPERLINK("https://talan.bank.gov.ua/get-user-certificate/45CEl7WLdoPO98Nnhx_F","Завантажити сертифікат")</f>
        <v>Завантажити сертифікат</v>
      </c>
    </row>
    <row r="190" spans="1:6" x14ac:dyDescent="0.3">
      <c r="A190" t="s">
        <v>426</v>
      </c>
      <c r="B190" t="s">
        <v>6</v>
      </c>
      <c r="C190" t="s">
        <v>427</v>
      </c>
      <c r="D190" t="s">
        <v>342</v>
      </c>
      <c r="E190" t="s">
        <v>343</v>
      </c>
      <c r="F190" t="str">
        <f>HYPERLINK("https://talan.bank.gov.ua/get-user-certificate/45CElQ9P4XM8gcJz5Bf0","Завантажити сертифікат")</f>
        <v>Завантажити сертифікат</v>
      </c>
    </row>
    <row r="191" spans="1:6" x14ac:dyDescent="0.3">
      <c r="A191" t="s">
        <v>428</v>
      </c>
      <c r="B191" t="s">
        <v>6</v>
      </c>
      <c r="C191" t="s">
        <v>429</v>
      </c>
      <c r="D191" t="s">
        <v>342</v>
      </c>
      <c r="E191" t="s">
        <v>343</v>
      </c>
      <c r="F191" t="str">
        <f>HYPERLINK("https://talan.bank.gov.ua/get-user-certificate/45CEltO66y6Q3e_zPzKy","Завантажити сертифікат")</f>
        <v>Завантажити сертифікат</v>
      </c>
    </row>
    <row r="192" spans="1:6" x14ac:dyDescent="0.3">
      <c r="A192" t="s">
        <v>430</v>
      </c>
      <c r="B192" t="s">
        <v>6</v>
      </c>
      <c r="C192" t="s">
        <v>431</v>
      </c>
      <c r="D192" t="s">
        <v>342</v>
      </c>
      <c r="E192" t="s">
        <v>343</v>
      </c>
      <c r="F192" t="str">
        <f>HYPERLINK("https://talan.bank.gov.ua/get-user-certificate/45CElvWavVsyCr8luBtW","Завантажити сертифікат")</f>
        <v>Завантажити сертифікат</v>
      </c>
    </row>
    <row r="193" spans="1:6" x14ac:dyDescent="0.3">
      <c r="A193" t="s">
        <v>432</v>
      </c>
      <c r="B193" t="s">
        <v>6</v>
      </c>
      <c r="C193" t="s">
        <v>433</v>
      </c>
      <c r="D193" t="s">
        <v>342</v>
      </c>
      <c r="E193" t="s">
        <v>343</v>
      </c>
      <c r="F193" t="str">
        <f>HYPERLINK("https://talan.bank.gov.ua/get-user-certificate/45CElejBtuZvYdQarOLL","Завантажити сертифікат")</f>
        <v>Завантажити сертифікат</v>
      </c>
    </row>
    <row r="194" spans="1:6" x14ac:dyDescent="0.3">
      <c r="A194" t="s">
        <v>434</v>
      </c>
      <c r="B194" t="s">
        <v>6</v>
      </c>
      <c r="C194" t="s">
        <v>435</v>
      </c>
      <c r="D194" t="s">
        <v>342</v>
      </c>
      <c r="E194" t="s">
        <v>343</v>
      </c>
      <c r="F194" t="str">
        <f>HYPERLINK("https://talan.bank.gov.ua/get-user-certificate/45CElxg33gQU1d2nzwzX","Завантажити сертифікат")</f>
        <v>Завантажити сертифікат</v>
      </c>
    </row>
    <row r="195" spans="1:6" x14ac:dyDescent="0.3">
      <c r="A195" t="s">
        <v>436</v>
      </c>
      <c r="B195" t="s">
        <v>6</v>
      </c>
      <c r="C195" t="s">
        <v>437</v>
      </c>
      <c r="D195" t="s">
        <v>342</v>
      </c>
      <c r="E195" t="s">
        <v>343</v>
      </c>
      <c r="F195" t="str">
        <f>HYPERLINK("https://talan.bank.gov.ua/get-user-certificate/45CElf7gFKt0ktlYps_c","Завантажити сертифікат")</f>
        <v>Завантажити сертифікат</v>
      </c>
    </row>
    <row r="196" spans="1:6" x14ac:dyDescent="0.3">
      <c r="A196" t="s">
        <v>438</v>
      </c>
      <c r="B196" t="s">
        <v>6</v>
      </c>
      <c r="C196" t="s">
        <v>439</v>
      </c>
      <c r="D196" t="s">
        <v>342</v>
      </c>
      <c r="E196" t="s">
        <v>343</v>
      </c>
      <c r="F196" t="str">
        <f>HYPERLINK("https://talan.bank.gov.ua/get-user-certificate/45CElcENUFm_Vde-LQQx","Завантажити сертифікат")</f>
        <v>Завантажити сертифікат</v>
      </c>
    </row>
    <row r="197" spans="1:6" x14ac:dyDescent="0.3">
      <c r="A197" t="s">
        <v>440</v>
      </c>
      <c r="B197" t="s">
        <v>6</v>
      </c>
      <c r="C197" t="s">
        <v>441</v>
      </c>
      <c r="D197" t="s">
        <v>342</v>
      </c>
      <c r="E197" t="s">
        <v>343</v>
      </c>
      <c r="F197" t="str">
        <f>HYPERLINK("https://talan.bank.gov.ua/get-user-certificate/45CElLbKOBP4NUBRXfOa","Завантажити сертифікат")</f>
        <v>Завантажити сертифікат</v>
      </c>
    </row>
    <row r="198" spans="1:6" x14ac:dyDescent="0.3">
      <c r="A198" t="s">
        <v>442</v>
      </c>
      <c r="B198" t="s">
        <v>6</v>
      </c>
      <c r="C198" t="s">
        <v>443</v>
      </c>
      <c r="D198" t="s">
        <v>444</v>
      </c>
      <c r="E198" t="s">
        <v>445</v>
      </c>
      <c r="F198" t="str">
        <f>HYPERLINK("https://talan.bank.gov.ua/get-user-certificate/45CElXzRJpooQA4_H051","Завантажити сертифікат")</f>
        <v>Завантажити сертифікат</v>
      </c>
    </row>
    <row r="199" spans="1:6" x14ac:dyDescent="0.3">
      <c r="A199" t="s">
        <v>446</v>
      </c>
      <c r="B199" t="s">
        <v>6</v>
      </c>
      <c r="C199" t="s">
        <v>447</v>
      </c>
      <c r="D199" t="s">
        <v>444</v>
      </c>
      <c r="E199" t="s">
        <v>445</v>
      </c>
      <c r="F199" t="str">
        <f>HYPERLINK("https://talan.bank.gov.ua/get-user-certificate/45CElW3-QekHmVMs9GTf","Завантажити сертифікат")</f>
        <v>Завантажити сертифікат</v>
      </c>
    </row>
    <row r="200" spans="1:6" x14ac:dyDescent="0.3">
      <c r="A200" t="s">
        <v>448</v>
      </c>
      <c r="B200" t="s">
        <v>6</v>
      </c>
      <c r="C200" t="s">
        <v>449</v>
      </c>
      <c r="D200" t="s">
        <v>444</v>
      </c>
      <c r="E200" t="s">
        <v>445</v>
      </c>
      <c r="F200" t="str">
        <f>HYPERLINK("https://talan.bank.gov.ua/get-user-certificate/45CElLE4THK4rWLLnXEv","Завантажити сертифікат")</f>
        <v>Завантажити сертифікат</v>
      </c>
    </row>
    <row r="201" spans="1:6" x14ac:dyDescent="0.3">
      <c r="A201" t="s">
        <v>450</v>
      </c>
      <c r="B201" t="s">
        <v>6</v>
      </c>
      <c r="C201" t="s">
        <v>451</v>
      </c>
      <c r="D201" t="s">
        <v>444</v>
      </c>
      <c r="E201" t="s">
        <v>445</v>
      </c>
      <c r="F201" t="str">
        <f>HYPERLINK("https://talan.bank.gov.ua/get-user-certificate/45CElnRkjrK_DYaPw0LG","Завантажити сертифікат")</f>
        <v>Завантажити сертифікат</v>
      </c>
    </row>
    <row r="202" spans="1:6" x14ac:dyDescent="0.3">
      <c r="A202" t="s">
        <v>452</v>
      </c>
      <c r="B202" t="s">
        <v>6</v>
      </c>
      <c r="C202" t="s">
        <v>453</v>
      </c>
      <c r="D202" t="s">
        <v>444</v>
      </c>
      <c r="E202" t="s">
        <v>445</v>
      </c>
      <c r="F202" t="str">
        <f>HYPERLINK("https://talan.bank.gov.ua/get-user-certificate/45CElCBri-VYGYQA11i2","Завантажити сертифікат")</f>
        <v>Завантажити сертифікат</v>
      </c>
    </row>
    <row r="203" spans="1:6" x14ac:dyDescent="0.3">
      <c r="A203" t="s">
        <v>454</v>
      </c>
      <c r="B203" t="s">
        <v>6</v>
      </c>
      <c r="C203" t="s">
        <v>455</v>
      </c>
      <c r="D203" t="s">
        <v>444</v>
      </c>
      <c r="E203" t="s">
        <v>445</v>
      </c>
      <c r="F203" t="str">
        <f>HYPERLINK("https://talan.bank.gov.ua/get-user-certificate/45CEl-AvVFZwMXEpEb2J","Завантажити сертифікат")</f>
        <v>Завантажити сертифікат</v>
      </c>
    </row>
    <row r="204" spans="1:6" x14ac:dyDescent="0.3">
      <c r="A204" t="s">
        <v>456</v>
      </c>
      <c r="B204" t="s">
        <v>6</v>
      </c>
      <c r="C204" t="s">
        <v>457</v>
      </c>
      <c r="D204" t="s">
        <v>444</v>
      </c>
      <c r="E204" t="s">
        <v>445</v>
      </c>
      <c r="F204" t="str">
        <f>HYPERLINK("https://talan.bank.gov.ua/get-user-certificate/45CElUUfde-9J7q-so2D","Завантажити сертифікат")</f>
        <v>Завантажити сертифікат</v>
      </c>
    </row>
    <row r="205" spans="1:6" x14ac:dyDescent="0.3">
      <c r="A205" t="s">
        <v>458</v>
      </c>
      <c r="B205" t="s">
        <v>6</v>
      </c>
      <c r="C205" t="s">
        <v>459</v>
      </c>
      <c r="D205" t="s">
        <v>444</v>
      </c>
      <c r="E205" t="s">
        <v>445</v>
      </c>
      <c r="F205" t="str">
        <f>HYPERLINK("https://talan.bank.gov.ua/get-user-certificate/45CElgniBFnEKe39HXAn","Завантажити сертифікат")</f>
        <v>Завантажити сертифікат</v>
      </c>
    </row>
    <row r="206" spans="1:6" x14ac:dyDescent="0.3">
      <c r="A206" t="s">
        <v>460</v>
      </c>
      <c r="B206" t="s">
        <v>6</v>
      </c>
      <c r="C206" t="s">
        <v>461</v>
      </c>
      <c r="D206" t="s">
        <v>444</v>
      </c>
      <c r="E206" t="s">
        <v>445</v>
      </c>
      <c r="F206" t="str">
        <f>HYPERLINK("https://talan.bank.gov.ua/get-user-certificate/45CElZrETABlVstuoF1i","Завантажити сертифікат")</f>
        <v>Завантажити сертифікат</v>
      </c>
    </row>
    <row r="207" spans="1:6" x14ac:dyDescent="0.3">
      <c r="A207" t="s">
        <v>462</v>
      </c>
      <c r="B207" t="s">
        <v>6</v>
      </c>
      <c r="C207" t="s">
        <v>463</v>
      </c>
      <c r="D207" t="s">
        <v>444</v>
      </c>
      <c r="E207" t="s">
        <v>445</v>
      </c>
      <c r="F207" t="str">
        <f>HYPERLINK("https://talan.bank.gov.ua/get-user-certificate/45CElbqiN_XEpvpbfLPc","Завантажити сертифікат")</f>
        <v>Завантажити сертифікат</v>
      </c>
    </row>
    <row r="208" spans="1:6" x14ac:dyDescent="0.3">
      <c r="A208" t="s">
        <v>464</v>
      </c>
      <c r="B208" t="s">
        <v>6</v>
      </c>
      <c r="C208" t="s">
        <v>465</v>
      </c>
      <c r="D208" t="s">
        <v>444</v>
      </c>
      <c r="E208" t="s">
        <v>445</v>
      </c>
      <c r="F208" t="str">
        <f>HYPERLINK("https://talan.bank.gov.ua/get-user-certificate/45CElfsaFycmRegvpKRL","Завантажити сертифікат")</f>
        <v>Завантажити сертифікат</v>
      </c>
    </row>
    <row r="209" spans="1:6" x14ac:dyDescent="0.3">
      <c r="A209" t="s">
        <v>466</v>
      </c>
      <c r="B209" t="s">
        <v>6</v>
      </c>
      <c r="C209" t="s">
        <v>467</v>
      </c>
      <c r="D209" t="s">
        <v>444</v>
      </c>
      <c r="E209" t="s">
        <v>445</v>
      </c>
      <c r="F209" t="str">
        <f>HYPERLINK("https://talan.bank.gov.ua/get-user-certificate/45CElGO_mdBMRyd03wlk","Завантажити сертифікат")</f>
        <v>Завантажити сертифікат</v>
      </c>
    </row>
    <row r="210" spans="1:6" x14ac:dyDescent="0.3">
      <c r="A210" t="s">
        <v>468</v>
      </c>
      <c r="B210" t="s">
        <v>6</v>
      </c>
      <c r="C210" t="s">
        <v>469</v>
      </c>
      <c r="D210" t="s">
        <v>444</v>
      </c>
      <c r="E210" t="s">
        <v>445</v>
      </c>
      <c r="F210" t="str">
        <f>HYPERLINK("https://talan.bank.gov.ua/get-user-certificate/45CEl4Ps3qe4J2ejC831","Завантажити сертифікат")</f>
        <v>Завантажити сертифікат</v>
      </c>
    </row>
    <row r="211" spans="1:6" x14ac:dyDescent="0.3">
      <c r="A211" t="s">
        <v>470</v>
      </c>
      <c r="B211" t="s">
        <v>6</v>
      </c>
      <c r="C211" t="s">
        <v>471</v>
      </c>
      <c r="D211" t="s">
        <v>444</v>
      </c>
      <c r="E211" t="s">
        <v>445</v>
      </c>
      <c r="F211" t="str">
        <f>HYPERLINK("https://talan.bank.gov.ua/get-user-certificate/45CEl36qE4AH0WYrhD2l","Завантажити сертифікат")</f>
        <v>Завантажити сертифікат</v>
      </c>
    </row>
    <row r="212" spans="1:6" x14ac:dyDescent="0.3">
      <c r="A212" t="s">
        <v>472</v>
      </c>
      <c r="B212" t="s">
        <v>6</v>
      </c>
      <c r="C212" t="s">
        <v>473</v>
      </c>
      <c r="D212" t="s">
        <v>444</v>
      </c>
      <c r="E212" t="s">
        <v>445</v>
      </c>
      <c r="F212" t="str">
        <f>HYPERLINK("https://talan.bank.gov.ua/get-user-certificate/45CEle2duiYKiY-f0U-A","Завантажити сертифікат")</f>
        <v>Завантажити сертифікат</v>
      </c>
    </row>
    <row r="213" spans="1:6" x14ac:dyDescent="0.3">
      <c r="A213" t="s">
        <v>474</v>
      </c>
      <c r="B213" t="s">
        <v>6</v>
      </c>
      <c r="C213" t="s">
        <v>475</v>
      </c>
      <c r="D213" t="s">
        <v>444</v>
      </c>
      <c r="E213" t="s">
        <v>445</v>
      </c>
      <c r="F213" t="str">
        <f>HYPERLINK("https://talan.bank.gov.ua/get-user-certificate/45CElyJInj2risSaIblw","Завантажити сертифікат")</f>
        <v>Завантажити сертифікат</v>
      </c>
    </row>
    <row r="214" spans="1:6" x14ac:dyDescent="0.3">
      <c r="A214" t="s">
        <v>476</v>
      </c>
      <c r="B214" t="s">
        <v>6</v>
      </c>
      <c r="C214" t="s">
        <v>477</v>
      </c>
      <c r="D214" t="s">
        <v>444</v>
      </c>
      <c r="E214" t="s">
        <v>445</v>
      </c>
      <c r="F214" t="str">
        <f>HYPERLINK("https://talan.bank.gov.ua/get-user-certificate/45CEld0SoiIXUP1YSluW","Завантажити сертифікат")</f>
        <v>Завантажити сертифікат</v>
      </c>
    </row>
    <row r="215" spans="1:6" x14ac:dyDescent="0.3">
      <c r="A215" t="s">
        <v>478</v>
      </c>
      <c r="B215" t="s">
        <v>6</v>
      </c>
      <c r="C215" t="s">
        <v>479</v>
      </c>
      <c r="D215" t="s">
        <v>444</v>
      </c>
      <c r="E215" t="s">
        <v>445</v>
      </c>
      <c r="F215" t="str">
        <f>HYPERLINK("https://talan.bank.gov.ua/get-user-certificate/45CElGa7QRJiPuzJx7W3","Завантажити сертифікат")</f>
        <v>Завантажити сертифікат</v>
      </c>
    </row>
    <row r="216" spans="1:6" x14ac:dyDescent="0.3">
      <c r="A216" t="s">
        <v>480</v>
      </c>
      <c r="B216" t="s">
        <v>6</v>
      </c>
      <c r="C216" t="s">
        <v>481</v>
      </c>
      <c r="D216" t="s">
        <v>444</v>
      </c>
      <c r="E216" t="s">
        <v>445</v>
      </c>
      <c r="F216" t="str">
        <f>HYPERLINK("https://talan.bank.gov.ua/get-user-certificate/45CElay05B3P_wfFaZ7w","Завантажити сертифікат")</f>
        <v>Завантажити сертифікат</v>
      </c>
    </row>
    <row r="217" spans="1:6" x14ac:dyDescent="0.3">
      <c r="A217" t="s">
        <v>482</v>
      </c>
      <c r="B217" t="s">
        <v>6</v>
      </c>
      <c r="C217" t="s">
        <v>483</v>
      </c>
      <c r="D217" t="s">
        <v>484</v>
      </c>
      <c r="E217" t="s">
        <v>485</v>
      </c>
      <c r="F217" t="str">
        <f>HYPERLINK("https://talan.bank.gov.ua/get-user-certificate/45CElSSn9wzi2hJlFX4-","Завантажити сертифікат")</f>
        <v>Завантажити сертифікат</v>
      </c>
    </row>
    <row r="218" spans="1:6" x14ac:dyDescent="0.3">
      <c r="A218" t="s">
        <v>486</v>
      </c>
      <c r="B218" t="s">
        <v>6</v>
      </c>
      <c r="C218" t="s">
        <v>487</v>
      </c>
      <c r="D218" t="s">
        <v>484</v>
      </c>
      <c r="E218" t="s">
        <v>485</v>
      </c>
      <c r="F218" t="str">
        <f>HYPERLINK("https://talan.bank.gov.ua/get-user-certificate/45CElTNrAbun004vBzHq","Завантажити сертифікат")</f>
        <v>Завантажити сертифікат</v>
      </c>
    </row>
    <row r="219" spans="1:6" x14ac:dyDescent="0.3">
      <c r="A219" t="s">
        <v>488</v>
      </c>
      <c r="B219" t="s">
        <v>6</v>
      </c>
      <c r="C219" t="s">
        <v>489</v>
      </c>
      <c r="D219" t="s">
        <v>484</v>
      </c>
      <c r="E219" t="s">
        <v>485</v>
      </c>
      <c r="F219" t="str">
        <f>HYPERLINK("https://talan.bank.gov.ua/get-user-certificate/45CElrE5UUV-EnZ-f-N0","Завантажити сертифікат")</f>
        <v>Завантажити сертифікат</v>
      </c>
    </row>
    <row r="220" spans="1:6" x14ac:dyDescent="0.3">
      <c r="A220" t="s">
        <v>490</v>
      </c>
      <c r="B220" t="s">
        <v>6</v>
      </c>
      <c r="C220" t="s">
        <v>491</v>
      </c>
      <c r="D220" t="s">
        <v>484</v>
      </c>
      <c r="E220" t="s">
        <v>485</v>
      </c>
      <c r="F220" t="str">
        <f>HYPERLINK("https://talan.bank.gov.ua/get-user-certificate/45CEllk4qdUadn2OQosq","Завантажити сертифікат")</f>
        <v>Завантажити сертифікат</v>
      </c>
    </row>
    <row r="221" spans="1:6" x14ac:dyDescent="0.3">
      <c r="A221" t="s">
        <v>492</v>
      </c>
      <c r="B221" t="s">
        <v>6</v>
      </c>
      <c r="C221" t="s">
        <v>493</v>
      </c>
      <c r="D221" t="s">
        <v>484</v>
      </c>
      <c r="E221" t="s">
        <v>485</v>
      </c>
      <c r="F221" t="str">
        <f>HYPERLINK("https://talan.bank.gov.ua/get-user-certificate/45CElhoEttWMxVXnxTpX","Завантажити сертифікат")</f>
        <v>Завантажити сертифікат</v>
      </c>
    </row>
    <row r="222" spans="1:6" x14ac:dyDescent="0.3">
      <c r="A222" t="s">
        <v>494</v>
      </c>
      <c r="B222" t="s">
        <v>6</v>
      </c>
      <c r="C222" t="s">
        <v>495</v>
      </c>
      <c r="D222" t="s">
        <v>484</v>
      </c>
      <c r="E222" t="s">
        <v>485</v>
      </c>
      <c r="F222" t="str">
        <f>HYPERLINK("https://talan.bank.gov.ua/get-user-certificate/45CElQECD_kwwXk24tZa","Завантажити сертифікат")</f>
        <v>Завантажити сертифікат</v>
      </c>
    </row>
    <row r="223" spans="1:6" x14ac:dyDescent="0.3">
      <c r="A223" t="s">
        <v>496</v>
      </c>
      <c r="B223" t="s">
        <v>6</v>
      </c>
      <c r="C223" t="s">
        <v>497</v>
      </c>
      <c r="D223" t="s">
        <v>498</v>
      </c>
      <c r="E223" t="s">
        <v>499</v>
      </c>
      <c r="F223" t="str">
        <f>HYPERLINK("https://talan.bank.gov.ua/get-user-certificate/45CElKCrWZ9443vAOYBz","Завантажити сертифікат")</f>
        <v>Завантажити сертифікат</v>
      </c>
    </row>
    <row r="224" spans="1:6" x14ac:dyDescent="0.3">
      <c r="A224" t="s">
        <v>500</v>
      </c>
      <c r="B224" t="s">
        <v>6</v>
      </c>
      <c r="C224" t="s">
        <v>501</v>
      </c>
      <c r="D224" t="s">
        <v>498</v>
      </c>
      <c r="E224" t="s">
        <v>499</v>
      </c>
      <c r="F224" t="str">
        <f>HYPERLINK("https://talan.bank.gov.ua/get-user-certificate/45CElcn5P3atDNjBBVXF","Завантажити сертифікат")</f>
        <v>Завантажити сертифікат</v>
      </c>
    </row>
    <row r="225" spans="1:6" x14ac:dyDescent="0.3">
      <c r="A225" t="s">
        <v>502</v>
      </c>
      <c r="B225" t="s">
        <v>6</v>
      </c>
      <c r="C225" t="s">
        <v>503</v>
      </c>
      <c r="D225" t="s">
        <v>498</v>
      </c>
      <c r="E225" t="s">
        <v>499</v>
      </c>
      <c r="F225" t="str">
        <f>HYPERLINK("https://talan.bank.gov.ua/get-user-certificate/45CElgpq7CYV0x75sRkt","Завантажити сертифікат")</f>
        <v>Завантажити сертифікат</v>
      </c>
    </row>
    <row r="226" spans="1:6" x14ac:dyDescent="0.3">
      <c r="A226" t="s">
        <v>504</v>
      </c>
      <c r="B226" t="s">
        <v>6</v>
      </c>
      <c r="C226" t="s">
        <v>505</v>
      </c>
      <c r="D226" t="s">
        <v>498</v>
      </c>
      <c r="E226" t="s">
        <v>499</v>
      </c>
      <c r="F226" t="str">
        <f>HYPERLINK("https://talan.bank.gov.ua/get-user-certificate/45CElVh9EWvDyov-yMTc","Завантажити сертифікат")</f>
        <v>Завантажити сертифікат</v>
      </c>
    </row>
    <row r="227" spans="1:6" x14ac:dyDescent="0.3">
      <c r="A227" t="s">
        <v>506</v>
      </c>
      <c r="B227" t="s">
        <v>6</v>
      </c>
      <c r="C227" t="s">
        <v>507</v>
      </c>
      <c r="D227" t="s">
        <v>498</v>
      </c>
      <c r="E227" t="s">
        <v>499</v>
      </c>
      <c r="F227" t="str">
        <f>HYPERLINK("https://talan.bank.gov.ua/get-user-certificate/45CElXnIoxNbwA22_cN3","Завантажити сертифікат")</f>
        <v>Завантажити сертифікат</v>
      </c>
    </row>
    <row r="228" spans="1:6" x14ac:dyDescent="0.3">
      <c r="A228" t="s">
        <v>508</v>
      </c>
      <c r="B228" t="s">
        <v>6</v>
      </c>
      <c r="C228" t="s">
        <v>509</v>
      </c>
      <c r="D228" t="s">
        <v>498</v>
      </c>
      <c r="E228" t="s">
        <v>499</v>
      </c>
      <c r="F228" t="str">
        <f>HYPERLINK("https://talan.bank.gov.ua/get-user-certificate/45CElJAy7di7OUVjQzDN","Завантажити сертифікат")</f>
        <v>Завантажити сертифікат</v>
      </c>
    </row>
    <row r="229" spans="1:6" x14ac:dyDescent="0.3">
      <c r="A229" t="s">
        <v>510</v>
      </c>
      <c r="B229" t="s">
        <v>6</v>
      </c>
      <c r="C229" t="s">
        <v>511</v>
      </c>
      <c r="D229" t="s">
        <v>498</v>
      </c>
      <c r="E229" t="s">
        <v>499</v>
      </c>
      <c r="F229" t="str">
        <f>HYPERLINK("https://talan.bank.gov.ua/get-user-certificate/45CElKY35J2CFjY4r3O1","Завантажити сертифікат")</f>
        <v>Завантажити сертифікат</v>
      </c>
    </row>
    <row r="230" spans="1:6" x14ac:dyDescent="0.3">
      <c r="A230" t="s">
        <v>512</v>
      </c>
      <c r="B230" t="s">
        <v>6</v>
      </c>
      <c r="C230" t="s">
        <v>513</v>
      </c>
      <c r="D230" t="s">
        <v>498</v>
      </c>
      <c r="E230" t="s">
        <v>499</v>
      </c>
      <c r="F230" t="str">
        <f>HYPERLINK("https://talan.bank.gov.ua/get-user-certificate/45CElA_LxjOrGXMzcgVN","Завантажити сертифікат")</f>
        <v>Завантажити сертифікат</v>
      </c>
    </row>
    <row r="231" spans="1:6" x14ac:dyDescent="0.3">
      <c r="A231" t="s">
        <v>514</v>
      </c>
      <c r="B231" t="s">
        <v>6</v>
      </c>
      <c r="C231" t="s">
        <v>515</v>
      </c>
      <c r="D231" t="s">
        <v>498</v>
      </c>
      <c r="E231" t="s">
        <v>499</v>
      </c>
      <c r="F231" t="str">
        <f>HYPERLINK("https://talan.bank.gov.ua/get-user-certificate/45CElLd1X4eXEj2BS-X6","Завантажити сертифікат")</f>
        <v>Завантажити сертифікат</v>
      </c>
    </row>
    <row r="232" spans="1:6" x14ac:dyDescent="0.3">
      <c r="A232" t="s">
        <v>516</v>
      </c>
      <c r="B232" t="s">
        <v>6</v>
      </c>
      <c r="C232" t="s">
        <v>517</v>
      </c>
      <c r="D232" t="s">
        <v>498</v>
      </c>
      <c r="E232" t="s">
        <v>499</v>
      </c>
      <c r="F232" t="str">
        <f>HYPERLINK("https://talan.bank.gov.ua/get-user-certificate/45CElD8zg2JnKCbwBCzn","Завантажити сертифікат")</f>
        <v>Завантажити сертифікат</v>
      </c>
    </row>
    <row r="233" spans="1:6" x14ac:dyDescent="0.3">
      <c r="A233" t="s">
        <v>518</v>
      </c>
      <c r="B233" t="s">
        <v>6</v>
      </c>
      <c r="C233" t="s">
        <v>519</v>
      </c>
      <c r="D233" t="s">
        <v>498</v>
      </c>
      <c r="E233" t="s">
        <v>499</v>
      </c>
      <c r="F233" t="str">
        <f>HYPERLINK("https://talan.bank.gov.ua/get-user-certificate/45CElSUAOYxZMgt31JiH","Завантажити сертифікат")</f>
        <v>Завантажити сертифікат</v>
      </c>
    </row>
    <row r="234" spans="1:6" x14ac:dyDescent="0.3">
      <c r="A234" t="s">
        <v>520</v>
      </c>
      <c r="B234" t="s">
        <v>6</v>
      </c>
      <c r="C234" t="s">
        <v>521</v>
      </c>
      <c r="D234" t="s">
        <v>498</v>
      </c>
      <c r="E234" t="s">
        <v>499</v>
      </c>
      <c r="F234" t="str">
        <f>HYPERLINK("https://talan.bank.gov.ua/get-user-certificate/45CElp4d1FL0N94x47cr","Завантажити сертифікат")</f>
        <v>Завантажити сертифікат</v>
      </c>
    </row>
    <row r="235" spans="1:6" x14ac:dyDescent="0.3">
      <c r="A235" t="s">
        <v>522</v>
      </c>
      <c r="B235" t="s">
        <v>6</v>
      </c>
      <c r="C235" t="s">
        <v>523</v>
      </c>
      <c r="D235" t="s">
        <v>498</v>
      </c>
      <c r="E235" t="s">
        <v>499</v>
      </c>
      <c r="F235" t="str">
        <f>HYPERLINK("https://talan.bank.gov.ua/get-user-certificate/45CElPPJf6Mhaz-JVHjN","Завантажити сертифікат")</f>
        <v>Завантажити сертифікат</v>
      </c>
    </row>
    <row r="236" spans="1:6" x14ac:dyDescent="0.3">
      <c r="A236" t="s">
        <v>524</v>
      </c>
      <c r="B236" t="s">
        <v>6</v>
      </c>
      <c r="C236" t="s">
        <v>525</v>
      </c>
      <c r="D236" t="s">
        <v>498</v>
      </c>
      <c r="E236" t="s">
        <v>499</v>
      </c>
      <c r="F236" t="str">
        <f>HYPERLINK("https://talan.bank.gov.ua/get-user-certificate/45CElLLXtiq20m65XjhZ","Завантажити сертифікат")</f>
        <v>Завантажити сертифікат</v>
      </c>
    </row>
    <row r="237" spans="1:6" x14ac:dyDescent="0.3">
      <c r="A237" t="s">
        <v>526</v>
      </c>
      <c r="B237" t="s">
        <v>6</v>
      </c>
      <c r="C237" t="s">
        <v>527</v>
      </c>
      <c r="D237" t="s">
        <v>498</v>
      </c>
      <c r="E237" t="s">
        <v>499</v>
      </c>
      <c r="F237" t="str">
        <f>HYPERLINK("https://talan.bank.gov.ua/get-user-certificate/45CElgxCnxLoYG4QZJxo","Завантажити сертифікат")</f>
        <v>Завантажити сертифікат</v>
      </c>
    </row>
    <row r="238" spans="1:6" x14ac:dyDescent="0.3">
      <c r="A238" t="s">
        <v>528</v>
      </c>
      <c r="B238" t="s">
        <v>6</v>
      </c>
      <c r="C238" t="s">
        <v>529</v>
      </c>
      <c r="D238" t="s">
        <v>498</v>
      </c>
      <c r="E238" t="s">
        <v>499</v>
      </c>
      <c r="F238" t="str">
        <f>HYPERLINK("https://talan.bank.gov.ua/get-user-certificate/45CEl9MITghpTS1ig6Gr","Завантажити сертифікат")</f>
        <v>Завантажити сертифікат</v>
      </c>
    </row>
    <row r="239" spans="1:6" x14ac:dyDescent="0.3">
      <c r="A239" t="s">
        <v>530</v>
      </c>
      <c r="B239" t="s">
        <v>6</v>
      </c>
      <c r="C239" t="s">
        <v>531</v>
      </c>
      <c r="D239" t="s">
        <v>498</v>
      </c>
      <c r="E239" t="s">
        <v>499</v>
      </c>
      <c r="F239" t="str">
        <f>HYPERLINK("https://talan.bank.gov.ua/get-user-certificate/45CElJyW7cMlPP9PliUy","Завантажити сертифікат")</f>
        <v>Завантажити сертифікат</v>
      </c>
    </row>
    <row r="240" spans="1:6" x14ac:dyDescent="0.3">
      <c r="A240" t="s">
        <v>532</v>
      </c>
      <c r="B240" t="s">
        <v>6</v>
      </c>
      <c r="C240" t="s">
        <v>533</v>
      </c>
      <c r="D240" t="s">
        <v>498</v>
      </c>
      <c r="E240" t="s">
        <v>499</v>
      </c>
      <c r="F240" t="str">
        <f>HYPERLINK("https://talan.bank.gov.ua/get-user-certificate/45CElufeFTzlj6RHasba","Завантажити сертифікат")</f>
        <v>Завантажити сертифікат</v>
      </c>
    </row>
    <row r="241" spans="1:6" x14ac:dyDescent="0.3">
      <c r="A241" t="s">
        <v>534</v>
      </c>
      <c r="B241" t="s">
        <v>6</v>
      </c>
      <c r="C241" t="s">
        <v>535</v>
      </c>
      <c r="D241" t="s">
        <v>498</v>
      </c>
      <c r="E241" t="s">
        <v>499</v>
      </c>
      <c r="F241" t="str">
        <f>HYPERLINK("https://talan.bank.gov.ua/get-user-certificate/45CElKKYa4z04djefNhX","Завантажити сертифікат")</f>
        <v>Завантажити сертифікат</v>
      </c>
    </row>
    <row r="242" spans="1:6" x14ac:dyDescent="0.3">
      <c r="A242" t="s">
        <v>536</v>
      </c>
      <c r="B242" t="s">
        <v>6</v>
      </c>
      <c r="C242" t="s">
        <v>537</v>
      </c>
      <c r="D242" t="s">
        <v>538</v>
      </c>
      <c r="E242" t="s">
        <v>539</v>
      </c>
      <c r="F242" t="str">
        <f>HYPERLINK("https://talan.bank.gov.ua/get-user-certificate/45CElqNeuyVTPQoY8Pvp","Завантажити сертифікат")</f>
        <v>Завантажити сертифікат</v>
      </c>
    </row>
    <row r="243" spans="1:6" x14ac:dyDescent="0.3">
      <c r="A243" t="s">
        <v>540</v>
      </c>
      <c r="B243" t="s">
        <v>6</v>
      </c>
      <c r="C243" t="s">
        <v>541</v>
      </c>
      <c r="D243" t="s">
        <v>538</v>
      </c>
      <c r="E243" t="s">
        <v>539</v>
      </c>
      <c r="F243" t="str">
        <f>HYPERLINK("https://talan.bank.gov.ua/get-user-certificate/45CElrsGnO_2aqyYszwj","Завантажити сертифікат")</f>
        <v>Завантажити сертифікат</v>
      </c>
    </row>
    <row r="244" spans="1:6" x14ac:dyDescent="0.3">
      <c r="A244" t="s">
        <v>542</v>
      </c>
      <c r="B244" t="s">
        <v>6</v>
      </c>
      <c r="C244" t="s">
        <v>543</v>
      </c>
      <c r="D244" t="s">
        <v>538</v>
      </c>
      <c r="E244" t="s">
        <v>539</v>
      </c>
      <c r="F244" t="str">
        <f>HYPERLINK("https://talan.bank.gov.ua/get-user-certificate/45CElqHmz8iqDyQm0h7e","Завантажити сертифікат")</f>
        <v>Завантажити сертифікат</v>
      </c>
    </row>
    <row r="245" spans="1:6" x14ac:dyDescent="0.3">
      <c r="A245" t="s">
        <v>544</v>
      </c>
      <c r="B245" t="s">
        <v>6</v>
      </c>
      <c r="C245" t="s">
        <v>545</v>
      </c>
      <c r="D245" t="s">
        <v>538</v>
      </c>
      <c r="E245" t="s">
        <v>539</v>
      </c>
      <c r="F245" t="str">
        <f>HYPERLINK("https://talan.bank.gov.ua/get-user-certificate/45CElkLTAlVa316aOts_","Завантажити сертифікат")</f>
        <v>Завантажити сертифікат</v>
      </c>
    </row>
    <row r="246" spans="1:6" x14ac:dyDescent="0.3">
      <c r="A246" t="s">
        <v>546</v>
      </c>
      <c r="B246" t="s">
        <v>6</v>
      </c>
      <c r="C246" t="s">
        <v>547</v>
      </c>
      <c r="D246" t="s">
        <v>538</v>
      </c>
      <c r="E246" t="s">
        <v>539</v>
      </c>
      <c r="F246" t="str">
        <f>HYPERLINK("https://talan.bank.gov.ua/get-user-certificate/45CElcDeHybMfHAI4AyV","Завантажити сертифікат")</f>
        <v>Завантажити сертифікат</v>
      </c>
    </row>
    <row r="247" spans="1:6" x14ac:dyDescent="0.3">
      <c r="A247" t="s">
        <v>548</v>
      </c>
      <c r="B247" t="s">
        <v>6</v>
      </c>
      <c r="C247" t="s">
        <v>549</v>
      </c>
      <c r="D247" t="s">
        <v>538</v>
      </c>
      <c r="E247" t="s">
        <v>539</v>
      </c>
      <c r="F247" t="str">
        <f>HYPERLINK("https://talan.bank.gov.ua/get-user-certificate/45CElusidJ2BYS2L6yQM","Завантажити сертифікат")</f>
        <v>Завантажити сертифікат</v>
      </c>
    </row>
    <row r="248" spans="1:6" x14ac:dyDescent="0.3">
      <c r="A248" t="s">
        <v>550</v>
      </c>
      <c r="B248" t="s">
        <v>6</v>
      </c>
      <c r="C248" t="s">
        <v>551</v>
      </c>
      <c r="D248" t="s">
        <v>538</v>
      </c>
      <c r="E248" t="s">
        <v>539</v>
      </c>
      <c r="F248" t="str">
        <f>HYPERLINK("https://talan.bank.gov.ua/get-user-certificate/45CElKWj6XuOLyDs5SBU","Завантажити сертифікат")</f>
        <v>Завантажити сертифікат</v>
      </c>
    </row>
    <row r="249" spans="1:6" x14ac:dyDescent="0.3">
      <c r="A249" t="s">
        <v>552</v>
      </c>
      <c r="B249" t="s">
        <v>6</v>
      </c>
      <c r="C249" t="s">
        <v>553</v>
      </c>
      <c r="D249" t="s">
        <v>538</v>
      </c>
      <c r="E249" t="s">
        <v>539</v>
      </c>
      <c r="F249" t="str">
        <f>HYPERLINK("https://talan.bank.gov.ua/get-user-certificate/45CEltNMgRlQ_xOAn_dp","Завантажити сертифікат")</f>
        <v>Завантажити сертифікат</v>
      </c>
    </row>
    <row r="250" spans="1:6" x14ac:dyDescent="0.3">
      <c r="A250" t="s">
        <v>554</v>
      </c>
      <c r="B250" t="s">
        <v>6</v>
      </c>
      <c r="C250" t="s">
        <v>555</v>
      </c>
      <c r="D250" t="s">
        <v>538</v>
      </c>
      <c r="E250" t="s">
        <v>539</v>
      </c>
      <c r="F250" t="str">
        <f>HYPERLINK("https://talan.bank.gov.ua/get-user-certificate/45CElQSngTZWS6Go0QDE","Завантажити сертифікат")</f>
        <v>Завантажити сертифікат</v>
      </c>
    </row>
    <row r="251" spans="1:6" x14ac:dyDescent="0.3">
      <c r="A251" t="s">
        <v>556</v>
      </c>
      <c r="B251" t="s">
        <v>6</v>
      </c>
      <c r="C251" t="s">
        <v>557</v>
      </c>
      <c r="D251" t="s">
        <v>538</v>
      </c>
      <c r="E251" t="s">
        <v>539</v>
      </c>
      <c r="F251" t="str">
        <f>HYPERLINK("https://talan.bank.gov.ua/get-user-certificate/45CElU7BqMc-zXV6saRU","Завантажити сертифікат")</f>
        <v>Завантажити сертифікат</v>
      </c>
    </row>
    <row r="252" spans="1:6" x14ac:dyDescent="0.3">
      <c r="A252" t="s">
        <v>558</v>
      </c>
      <c r="B252" t="s">
        <v>6</v>
      </c>
      <c r="C252" t="s">
        <v>559</v>
      </c>
      <c r="D252" t="s">
        <v>538</v>
      </c>
      <c r="E252" t="s">
        <v>539</v>
      </c>
      <c r="F252" t="str">
        <f>HYPERLINK("https://talan.bank.gov.ua/get-user-certificate/45CElN0dEl15NulxHX4M","Завантажити сертифікат")</f>
        <v>Завантажити сертифікат</v>
      </c>
    </row>
    <row r="253" spans="1:6" x14ac:dyDescent="0.3">
      <c r="A253" t="s">
        <v>560</v>
      </c>
      <c r="B253" t="s">
        <v>6</v>
      </c>
      <c r="C253" t="s">
        <v>561</v>
      </c>
      <c r="D253" t="s">
        <v>538</v>
      </c>
      <c r="E253" t="s">
        <v>539</v>
      </c>
      <c r="F253" t="str">
        <f>HYPERLINK("https://talan.bank.gov.ua/get-user-certificate/45CElH4nGYO3NgdLyMUG","Завантажити сертифікат")</f>
        <v>Завантажити сертифікат</v>
      </c>
    </row>
    <row r="254" spans="1:6" x14ac:dyDescent="0.3">
      <c r="A254" t="s">
        <v>562</v>
      </c>
      <c r="B254" t="s">
        <v>6</v>
      </c>
      <c r="C254" t="s">
        <v>563</v>
      </c>
      <c r="D254" t="s">
        <v>538</v>
      </c>
      <c r="E254" t="s">
        <v>539</v>
      </c>
      <c r="F254" t="str">
        <f>HYPERLINK("https://talan.bank.gov.ua/get-user-certificate/45CEluo2j3Jsqy08dQPb","Завантажити сертифікат")</f>
        <v>Завантажити сертифікат</v>
      </c>
    </row>
    <row r="255" spans="1:6" x14ac:dyDescent="0.3">
      <c r="A255" t="s">
        <v>564</v>
      </c>
      <c r="B255" t="s">
        <v>6</v>
      </c>
      <c r="C255" t="s">
        <v>565</v>
      </c>
      <c r="D255" t="s">
        <v>566</v>
      </c>
      <c r="E255" t="s">
        <v>567</v>
      </c>
      <c r="F255" t="str">
        <f>HYPERLINK("https://talan.bank.gov.ua/get-user-certificate/45CElJ9N6v4Ee_Ia8Ibg","Завантажити сертифікат")</f>
        <v>Завантажити сертифікат</v>
      </c>
    </row>
    <row r="256" spans="1:6" x14ac:dyDescent="0.3">
      <c r="A256" t="s">
        <v>568</v>
      </c>
      <c r="B256" t="s">
        <v>6</v>
      </c>
      <c r="C256" t="s">
        <v>569</v>
      </c>
      <c r="D256" t="s">
        <v>566</v>
      </c>
      <c r="E256" t="s">
        <v>567</v>
      </c>
      <c r="F256" t="str">
        <f>HYPERLINK("https://talan.bank.gov.ua/get-user-certificate/45CElnYaqkEwYGsLOnaF","Завантажити сертифікат")</f>
        <v>Завантажити сертифікат</v>
      </c>
    </row>
    <row r="257" spans="1:6" x14ac:dyDescent="0.3">
      <c r="A257" t="s">
        <v>570</v>
      </c>
      <c r="B257" t="s">
        <v>6</v>
      </c>
      <c r="C257" t="s">
        <v>571</v>
      </c>
      <c r="D257" t="s">
        <v>566</v>
      </c>
      <c r="E257" t="s">
        <v>567</v>
      </c>
      <c r="F257" t="str">
        <f>HYPERLINK("https://talan.bank.gov.ua/get-user-certificate/45CElFl25rver5IKbF-k","Завантажити сертифікат")</f>
        <v>Завантажити сертифікат</v>
      </c>
    </row>
    <row r="258" spans="1:6" x14ac:dyDescent="0.3">
      <c r="A258" t="s">
        <v>572</v>
      </c>
      <c r="B258" t="s">
        <v>6</v>
      </c>
      <c r="C258" t="s">
        <v>573</v>
      </c>
      <c r="D258" t="s">
        <v>566</v>
      </c>
      <c r="E258" t="s">
        <v>567</v>
      </c>
      <c r="F258" t="str">
        <f>HYPERLINK("https://talan.bank.gov.ua/get-user-certificate/45CElnNY9tiZjYm8c_5b","Завантажити сертифікат")</f>
        <v>Завантажити сертифікат</v>
      </c>
    </row>
    <row r="259" spans="1:6" x14ac:dyDescent="0.3">
      <c r="A259" t="s">
        <v>574</v>
      </c>
      <c r="B259" t="s">
        <v>6</v>
      </c>
      <c r="C259" t="s">
        <v>575</v>
      </c>
      <c r="D259" t="s">
        <v>566</v>
      </c>
      <c r="E259" t="s">
        <v>567</v>
      </c>
      <c r="F259" t="str">
        <f>HYPERLINK("https://talan.bank.gov.ua/get-user-certificate/45CElrlrwGPeEOgRqvZt","Завантажити сертифікат")</f>
        <v>Завантажити сертифікат</v>
      </c>
    </row>
    <row r="260" spans="1:6" x14ac:dyDescent="0.3">
      <c r="A260" t="s">
        <v>576</v>
      </c>
      <c r="B260" t="s">
        <v>6</v>
      </c>
      <c r="C260" t="s">
        <v>577</v>
      </c>
      <c r="D260" t="s">
        <v>578</v>
      </c>
      <c r="E260" t="s">
        <v>579</v>
      </c>
      <c r="F260" t="str">
        <f>HYPERLINK("https://talan.bank.gov.ua/get-user-certificate/45CEl0ubcJIma0dhLRte","Завантажити сертифікат")</f>
        <v>Завантажити сертифікат</v>
      </c>
    </row>
    <row r="261" spans="1:6" x14ac:dyDescent="0.3">
      <c r="A261" t="s">
        <v>580</v>
      </c>
      <c r="B261" t="s">
        <v>6</v>
      </c>
      <c r="C261" t="s">
        <v>581</v>
      </c>
      <c r="D261" t="s">
        <v>578</v>
      </c>
      <c r="E261" t="s">
        <v>579</v>
      </c>
      <c r="F261" t="str">
        <f>HYPERLINK("https://talan.bank.gov.ua/get-user-certificate/45CEllNuaGWNS6RbIpAP","Завантажити сертифікат")</f>
        <v>Завантажити сертифікат</v>
      </c>
    </row>
    <row r="262" spans="1:6" x14ac:dyDescent="0.3">
      <c r="A262" t="s">
        <v>582</v>
      </c>
      <c r="B262" t="s">
        <v>6</v>
      </c>
      <c r="C262" t="s">
        <v>583</v>
      </c>
      <c r="D262" t="s">
        <v>578</v>
      </c>
      <c r="E262" t="s">
        <v>579</v>
      </c>
      <c r="F262" t="str">
        <f>HYPERLINK("https://talan.bank.gov.ua/get-user-certificate/45CElp65TmIMmK0oYp3-","Завантажити сертифікат")</f>
        <v>Завантажити сертифікат</v>
      </c>
    </row>
    <row r="263" spans="1:6" x14ac:dyDescent="0.3">
      <c r="A263" t="s">
        <v>584</v>
      </c>
      <c r="B263" t="s">
        <v>6</v>
      </c>
      <c r="C263" t="s">
        <v>585</v>
      </c>
      <c r="D263" t="s">
        <v>586</v>
      </c>
      <c r="E263" t="s">
        <v>587</v>
      </c>
      <c r="F263" t="str">
        <f>HYPERLINK("https://talan.bank.gov.ua/get-user-certificate/45CEllwRERbdHCsxBN0g","Завантажити сертифікат")</f>
        <v>Завантажити сертифікат</v>
      </c>
    </row>
    <row r="264" spans="1:6" x14ac:dyDescent="0.3">
      <c r="A264" t="s">
        <v>588</v>
      </c>
      <c r="B264" t="s">
        <v>6</v>
      </c>
      <c r="C264" t="s">
        <v>589</v>
      </c>
      <c r="D264" t="s">
        <v>586</v>
      </c>
      <c r="E264" t="s">
        <v>587</v>
      </c>
      <c r="F264" t="str">
        <f>HYPERLINK("https://talan.bank.gov.ua/get-user-certificate/45CElEE9Lm3Ep0ptrQyK","Завантажити сертифікат")</f>
        <v>Завантажити сертифікат</v>
      </c>
    </row>
    <row r="265" spans="1:6" x14ac:dyDescent="0.3">
      <c r="A265" t="s">
        <v>590</v>
      </c>
      <c r="B265" t="s">
        <v>6</v>
      </c>
      <c r="C265" t="s">
        <v>591</v>
      </c>
      <c r="D265" t="s">
        <v>586</v>
      </c>
      <c r="E265" t="s">
        <v>587</v>
      </c>
      <c r="F265" t="str">
        <f>HYPERLINK("https://talan.bank.gov.ua/get-user-certificate/45CElHP8bUVxEQM5_okY","Завантажити сертифікат")</f>
        <v>Завантажити сертифікат</v>
      </c>
    </row>
    <row r="266" spans="1:6" x14ac:dyDescent="0.3">
      <c r="A266" t="s">
        <v>592</v>
      </c>
      <c r="B266" t="s">
        <v>6</v>
      </c>
      <c r="C266" t="s">
        <v>593</v>
      </c>
      <c r="D266" t="s">
        <v>586</v>
      </c>
      <c r="E266" t="s">
        <v>587</v>
      </c>
      <c r="F266" t="str">
        <f>HYPERLINK("https://talan.bank.gov.ua/get-user-certificate/45CEl_VFyEH0lymspON2","Завантажити сертифікат")</f>
        <v>Завантажити сертифікат</v>
      </c>
    </row>
    <row r="267" spans="1:6" x14ac:dyDescent="0.3">
      <c r="A267" t="s">
        <v>594</v>
      </c>
      <c r="B267" t="s">
        <v>6</v>
      </c>
      <c r="C267" t="s">
        <v>595</v>
      </c>
      <c r="D267" t="s">
        <v>586</v>
      </c>
      <c r="E267" t="s">
        <v>587</v>
      </c>
      <c r="F267" t="str">
        <f>HYPERLINK("https://talan.bank.gov.ua/get-user-certificate/45CEltFpVZiZXs2gq_zw","Завантажити сертифікат")</f>
        <v>Завантажити сертифікат</v>
      </c>
    </row>
    <row r="268" spans="1:6" x14ac:dyDescent="0.3">
      <c r="A268" t="s">
        <v>596</v>
      </c>
      <c r="B268" t="s">
        <v>6</v>
      </c>
      <c r="C268" t="s">
        <v>597</v>
      </c>
      <c r="D268" t="s">
        <v>586</v>
      </c>
      <c r="E268" t="s">
        <v>587</v>
      </c>
      <c r="F268" t="str">
        <f>HYPERLINK("https://talan.bank.gov.ua/get-user-certificate/45CElnZYddDqG5XO2M8d","Завантажити сертифікат")</f>
        <v>Завантажити сертифікат</v>
      </c>
    </row>
    <row r="269" spans="1:6" x14ac:dyDescent="0.3">
      <c r="A269" t="s">
        <v>598</v>
      </c>
      <c r="B269" t="s">
        <v>6</v>
      </c>
      <c r="C269" t="s">
        <v>599</v>
      </c>
      <c r="D269" t="s">
        <v>586</v>
      </c>
      <c r="E269" t="s">
        <v>587</v>
      </c>
      <c r="F269" t="str">
        <f>HYPERLINK("https://talan.bank.gov.ua/get-user-certificate/45CElLHVh2M0E6xZCM8G","Завантажити сертифікат")</f>
        <v>Завантажити сертифікат</v>
      </c>
    </row>
    <row r="270" spans="1:6" x14ac:dyDescent="0.3">
      <c r="A270" t="s">
        <v>600</v>
      </c>
      <c r="B270" t="s">
        <v>6</v>
      </c>
      <c r="C270" t="s">
        <v>601</v>
      </c>
      <c r="D270" t="s">
        <v>586</v>
      </c>
      <c r="E270" t="s">
        <v>587</v>
      </c>
      <c r="F270" t="str">
        <f>HYPERLINK("https://talan.bank.gov.ua/get-user-certificate/45CElNIziF7rh4TkHW_o","Завантажити сертифікат")</f>
        <v>Завантажити сертифікат</v>
      </c>
    </row>
    <row r="271" spans="1:6" x14ac:dyDescent="0.3">
      <c r="A271" t="s">
        <v>602</v>
      </c>
      <c r="B271" t="s">
        <v>6</v>
      </c>
      <c r="C271" t="s">
        <v>603</v>
      </c>
      <c r="D271" t="s">
        <v>586</v>
      </c>
      <c r="E271" t="s">
        <v>587</v>
      </c>
      <c r="F271" t="str">
        <f>HYPERLINK("https://talan.bank.gov.ua/get-user-certificate/45CElz_yDlgpOPvTVXVc","Завантажити сертифікат")</f>
        <v>Завантажити сертифікат</v>
      </c>
    </row>
    <row r="272" spans="1:6" x14ac:dyDescent="0.3">
      <c r="A272" t="s">
        <v>604</v>
      </c>
      <c r="B272" t="s">
        <v>6</v>
      </c>
      <c r="C272" t="s">
        <v>605</v>
      </c>
      <c r="D272" t="s">
        <v>586</v>
      </c>
      <c r="E272" t="s">
        <v>587</v>
      </c>
      <c r="F272" t="str">
        <f>HYPERLINK("https://talan.bank.gov.ua/get-user-certificate/45CElw4ITVzUFbrTiC5w","Завантажити сертифікат")</f>
        <v>Завантажити сертифікат</v>
      </c>
    </row>
    <row r="273" spans="1:6" x14ac:dyDescent="0.3">
      <c r="A273" t="s">
        <v>606</v>
      </c>
      <c r="B273" t="s">
        <v>6</v>
      </c>
      <c r="C273" t="s">
        <v>607</v>
      </c>
      <c r="D273" t="s">
        <v>586</v>
      </c>
      <c r="E273" t="s">
        <v>587</v>
      </c>
      <c r="F273" t="str">
        <f>HYPERLINK("https://talan.bank.gov.ua/get-user-certificate/45CElA8KJH_XWOj8oWQg","Завантажити сертифікат")</f>
        <v>Завантажити сертифікат</v>
      </c>
    </row>
    <row r="274" spans="1:6" x14ac:dyDescent="0.3">
      <c r="A274" t="s">
        <v>608</v>
      </c>
      <c r="B274" t="s">
        <v>6</v>
      </c>
      <c r="C274" t="s">
        <v>609</v>
      </c>
      <c r="D274" t="s">
        <v>586</v>
      </c>
      <c r="E274" t="s">
        <v>587</v>
      </c>
      <c r="F274" t="str">
        <f>HYPERLINK("https://talan.bank.gov.ua/get-user-certificate/45CElwxptjpRJu8giNjk","Завантажити сертифікат")</f>
        <v>Завантажити сертифікат</v>
      </c>
    </row>
    <row r="275" spans="1:6" x14ac:dyDescent="0.3">
      <c r="A275" t="s">
        <v>610</v>
      </c>
      <c r="B275" t="s">
        <v>6</v>
      </c>
      <c r="C275" t="s">
        <v>611</v>
      </c>
      <c r="D275" t="s">
        <v>586</v>
      </c>
      <c r="E275" t="s">
        <v>587</v>
      </c>
      <c r="F275" t="str">
        <f>HYPERLINK("https://talan.bank.gov.ua/get-user-certificate/45CEl9pkBTtfb5rVXCpo","Завантажити сертифікат")</f>
        <v>Завантажити сертифікат</v>
      </c>
    </row>
    <row r="276" spans="1:6" x14ac:dyDescent="0.3">
      <c r="A276" t="s">
        <v>612</v>
      </c>
      <c r="B276" t="s">
        <v>6</v>
      </c>
      <c r="C276" t="s">
        <v>613</v>
      </c>
      <c r="D276" t="s">
        <v>614</v>
      </c>
      <c r="E276" t="s">
        <v>615</v>
      </c>
      <c r="F276" t="str">
        <f>HYPERLINK("https://talan.bank.gov.ua/get-user-certificate/45CElgUA59vnJ8TwUwTO","Завантажити сертифікат")</f>
        <v>Завантажити сертифікат</v>
      </c>
    </row>
    <row r="277" spans="1:6" x14ac:dyDescent="0.3">
      <c r="A277" t="s">
        <v>616</v>
      </c>
      <c r="B277" t="s">
        <v>6</v>
      </c>
      <c r="C277" t="s">
        <v>617</v>
      </c>
      <c r="D277" t="s">
        <v>614</v>
      </c>
      <c r="E277" t="s">
        <v>615</v>
      </c>
      <c r="F277" t="str">
        <f>HYPERLINK("https://talan.bank.gov.ua/get-user-certificate/45CElLHVlMq2o48ojnw6","Завантажити сертифікат")</f>
        <v>Завантажити сертифікат</v>
      </c>
    </row>
    <row r="278" spans="1:6" x14ac:dyDescent="0.3">
      <c r="A278" t="s">
        <v>618</v>
      </c>
      <c r="B278" t="s">
        <v>6</v>
      </c>
      <c r="C278" t="s">
        <v>619</v>
      </c>
      <c r="D278" t="s">
        <v>614</v>
      </c>
      <c r="E278" t="s">
        <v>615</v>
      </c>
      <c r="F278" t="str">
        <f>HYPERLINK("https://talan.bank.gov.ua/get-user-certificate/45CElAG86yATFghB5rvX","Завантажити сертифікат")</f>
        <v>Завантажити сертифікат</v>
      </c>
    </row>
    <row r="279" spans="1:6" x14ac:dyDescent="0.3">
      <c r="A279" t="s">
        <v>620</v>
      </c>
      <c r="B279" t="s">
        <v>6</v>
      </c>
      <c r="C279" t="s">
        <v>621</v>
      </c>
      <c r="D279" t="s">
        <v>614</v>
      </c>
      <c r="E279" t="s">
        <v>615</v>
      </c>
      <c r="F279" t="str">
        <f>HYPERLINK("https://talan.bank.gov.ua/get-user-certificate/45CElFWTNdN7V1rp03eJ","Завантажити сертифікат")</f>
        <v>Завантажити сертифікат</v>
      </c>
    </row>
    <row r="280" spans="1:6" x14ac:dyDescent="0.3">
      <c r="A280" t="s">
        <v>622</v>
      </c>
      <c r="B280" t="s">
        <v>6</v>
      </c>
      <c r="C280" t="s">
        <v>623</v>
      </c>
      <c r="D280" t="s">
        <v>614</v>
      </c>
      <c r="E280" t="s">
        <v>615</v>
      </c>
      <c r="F280" t="str">
        <f>HYPERLINK("https://talan.bank.gov.ua/get-user-certificate/45CEllYXrNtugqApOaet","Завантажити сертифікат")</f>
        <v>Завантажити сертифікат</v>
      </c>
    </row>
    <row r="281" spans="1:6" x14ac:dyDescent="0.3">
      <c r="A281" t="s">
        <v>624</v>
      </c>
      <c r="B281" t="s">
        <v>6</v>
      </c>
      <c r="C281" t="s">
        <v>625</v>
      </c>
      <c r="D281" t="s">
        <v>614</v>
      </c>
      <c r="E281" t="s">
        <v>615</v>
      </c>
      <c r="F281" t="str">
        <f>HYPERLINK("https://talan.bank.gov.ua/get-user-certificate/45CElo_gS0s_IuoZZk6V","Завантажити сертифікат")</f>
        <v>Завантажити сертифікат</v>
      </c>
    </row>
    <row r="282" spans="1:6" x14ac:dyDescent="0.3">
      <c r="A282" t="s">
        <v>626</v>
      </c>
      <c r="B282" t="s">
        <v>6</v>
      </c>
      <c r="C282" t="s">
        <v>627</v>
      </c>
      <c r="D282" t="s">
        <v>614</v>
      </c>
      <c r="E282" t="s">
        <v>615</v>
      </c>
      <c r="F282" t="str">
        <f>HYPERLINK("https://talan.bank.gov.ua/get-user-certificate/45CEliJKA4ZxooQ-Ql3e","Завантажити сертифікат")</f>
        <v>Завантажити сертифікат</v>
      </c>
    </row>
    <row r="283" spans="1:6" x14ac:dyDescent="0.3">
      <c r="A283" t="s">
        <v>628</v>
      </c>
      <c r="B283" t="s">
        <v>6</v>
      </c>
      <c r="C283" t="s">
        <v>629</v>
      </c>
      <c r="D283" t="s">
        <v>614</v>
      </c>
      <c r="E283" t="s">
        <v>615</v>
      </c>
      <c r="F283" t="str">
        <f>HYPERLINK("https://talan.bank.gov.ua/get-user-certificate/45CElQT_hl9u25P_WZc1","Завантажити сертифікат")</f>
        <v>Завантажити сертифікат</v>
      </c>
    </row>
    <row r="284" spans="1:6" x14ac:dyDescent="0.3">
      <c r="A284" t="s">
        <v>630</v>
      </c>
      <c r="B284" t="s">
        <v>6</v>
      </c>
      <c r="C284" t="s">
        <v>631</v>
      </c>
      <c r="D284" t="s">
        <v>614</v>
      </c>
      <c r="E284" t="s">
        <v>615</v>
      </c>
      <c r="F284" t="str">
        <f>HYPERLINK("https://talan.bank.gov.ua/get-user-certificate/45CEl2ObaMxRDa3PKv6S","Завантажити сертифікат")</f>
        <v>Завантажити сертифікат</v>
      </c>
    </row>
    <row r="285" spans="1:6" x14ac:dyDescent="0.3">
      <c r="A285" t="s">
        <v>632</v>
      </c>
      <c r="B285" t="s">
        <v>6</v>
      </c>
      <c r="C285" t="s">
        <v>633</v>
      </c>
      <c r="D285" t="s">
        <v>614</v>
      </c>
      <c r="E285" t="s">
        <v>615</v>
      </c>
      <c r="F285" t="str">
        <f>HYPERLINK("https://talan.bank.gov.ua/get-user-certificate/45CElzrIt3UQfmpmmcFo","Завантажити сертифікат")</f>
        <v>Завантажити сертифікат</v>
      </c>
    </row>
    <row r="286" spans="1:6" x14ac:dyDescent="0.3">
      <c r="A286" t="s">
        <v>634</v>
      </c>
      <c r="B286" t="s">
        <v>6</v>
      </c>
      <c r="C286" t="s">
        <v>635</v>
      </c>
      <c r="D286" t="s">
        <v>614</v>
      </c>
      <c r="E286" t="s">
        <v>615</v>
      </c>
      <c r="F286" t="str">
        <f>HYPERLINK("https://talan.bank.gov.ua/get-user-certificate/45CElJsqCH0EIG7EWTPf","Завантажити сертифікат")</f>
        <v>Завантажити сертифікат</v>
      </c>
    </row>
    <row r="287" spans="1:6" x14ac:dyDescent="0.3">
      <c r="A287" t="s">
        <v>636</v>
      </c>
      <c r="B287" t="s">
        <v>6</v>
      </c>
      <c r="C287" t="s">
        <v>637</v>
      </c>
      <c r="D287" t="s">
        <v>614</v>
      </c>
      <c r="E287" t="s">
        <v>615</v>
      </c>
      <c r="F287" t="str">
        <f>HYPERLINK("https://talan.bank.gov.ua/get-user-certificate/45CElml58_9N5-Mx3vGN","Завантажити сертифікат")</f>
        <v>Завантажити сертифікат</v>
      </c>
    </row>
    <row r="288" spans="1:6" x14ac:dyDescent="0.3">
      <c r="A288" t="s">
        <v>638</v>
      </c>
      <c r="B288" t="s">
        <v>6</v>
      </c>
      <c r="C288" t="s">
        <v>639</v>
      </c>
      <c r="D288" t="s">
        <v>614</v>
      </c>
      <c r="E288" t="s">
        <v>615</v>
      </c>
      <c r="F288" t="str">
        <f>HYPERLINK("https://talan.bank.gov.ua/get-user-certificate/45CElfr8sjOfa9WOJTKp","Завантажити сертифікат")</f>
        <v>Завантажити сертифікат</v>
      </c>
    </row>
    <row r="289" spans="1:6" x14ac:dyDescent="0.3">
      <c r="A289" t="s">
        <v>640</v>
      </c>
      <c r="B289" t="s">
        <v>6</v>
      </c>
      <c r="C289" t="s">
        <v>641</v>
      </c>
      <c r="D289" t="s">
        <v>614</v>
      </c>
      <c r="E289" t="s">
        <v>615</v>
      </c>
      <c r="F289" t="str">
        <f>HYPERLINK("https://talan.bank.gov.ua/get-user-certificate/45CElJ5Fs6JLMl1b2xax","Завантажити сертифікат")</f>
        <v>Завантажити сертифікат</v>
      </c>
    </row>
    <row r="290" spans="1:6" x14ac:dyDescent="0.3">
      <c r="A290" t="s">
        <v>642</v>
      </c>
      <c r="B290" t="s">
        <v>6</v>
      </c>
      <c r="C290" t="s">
        <v>643</v>
      </c>
      <c r="D290" t="s">
        <v>614</v>
      </c>
      <c r="E290" t="s">
        <v>615</v>
      </c>
      <c r="F290" t="str">
        <f>HYPERLINK("https://talan.bank.gov.ua/get-user-certificate/45CEllKa_5Jp0A4dz5Wo","Завантажити сертифікат")</f>
        <v>Завантажити сертифікат</v>
      </c>
    </row>
    <row r="291" spans="1:6" x14ac:dyDescent="0.3">
      <c r="A291" t="s">
        <v>644</v>
      </c>
      <c r="B291" t="s">
        <v>6</v>
      </c>
      <c r="C291" t="s">
        <v>645</v>
      </c>
      <c r="D291" t="s">
        <v>614</v>
      </c>
      <c r="E291" t="s">
        <v>615</v>
      </c>
      <c r="F291" t="str">
        <f>HYPERLINK("https://talan.bank.gov.ua/get-user-certificate/45CElTutqoHVLXAxMZ_w","Завантажити сертифікат")</f>
        <v>Завантажити сертифікат</v>
      </c>
    </row>
    <row r="292" spans="1:6" x14ac:dyDescent="0.3">
      <c r="A292" t="s">
        <v>646</v>
      </c>
      <c r="B292" t="s">
        <v>6</v>
      </c>
      <c r="C292" t="s">
        <v>647</v>
      </c>
      <c r="D292" t="s">
        <v>614</v>
      </c>
      <c r="E292" t="s">
        <v>615</v>
      </c>
      <c r="F292" t="str">
        <f>HYPERLINK("https://talan.bank.gov.ua/get-user-certificate/45CEl1IdpZ0bCzd0lx5u","Завантажити сертифікат")</f>
        <v>Завантажити сертифікат</v>
      </c>
    </row>
    <row r="293" spans="1:6" x14ac:dyDescent="0.3">
      <c r="A293" t="s">
        <v>648</v>
      </c>
      <c r="B293" t="s">
        <v>6</v>
      </c>
      <c r="C293" t="s">
        <v>649</v>
      </c>
      <c r="D293" t="s">
        <v>614</v>
      </c>
      <c r="E293" t="s">
        <v>615</v>
      </c>
      <c r="F293" t="str">
        <f>HYPERLINK("https://talan.bank.gov.ua/get-user-certificate/45CElsxc0X53CtdAzl1E","Завантажити сертифікат")</f>
        <v>Завантажити сертифікат</v>
      </c>
    </row>
    <row r="294" spans="1:6" x14ac:dyDescent="0.3">
      <c r="A294" t="s">
        <v>650</v>
      </c>
      <c r="B294" t="s">
        <v>6</v>
      </c>
      <c r="C294" t="s">
        <v>651</v>
      </c>
      <c r="D294" t="s">
        <v>614</v>
      </c>
      <c r="E294" t="s">
        <v>615</v>
      </c>
      <c r="F294" t="str">
        <f>HYPERLINK("https://talan.bank.gov.ua/get-user-certificate/45CElls3EBRenzkMMXOn","Завантажити сертифікат")</f>
        <v>Завантажити сертифікат</v>
      </c>
    </row>
    <row r="295" spans="1:6" x14ac:dyDescent="0.3">
      <c r="A295" t="s">
        <v>652</v>
      </c>
      <c r="B295" t="s">
        <v>6</v>
      </c>
      <c r="C295" t="s">
        <v>653</v>
      </c>
      <c r="D295" t="s">
        <v>614</v>
      </c>
      <c r="E295" t="s">
        <v>615</v>
      </c>
      <c r="F295" t="str">
        <f>HYPERLINK("https://talan.bank.gov.ua/get-user-certificate/45CElmW-jbNvneZZ83sF","Завантажити сертифікат")</f>
        <v>Завантажити сертифікат</v>
      </c>
    </row>
    <row r="296" spans="1:6" x14ac:dyDescent="0.3">
      <c r="A296" t="s">
        <v>654</v>
      </c>
      <c r="B296" t="s">
        <v>6</v>
      </c>
      <c r="C296" t="s">
        <v>655</v>
      </c>
      <c r="D296" t="s">
        <v>614</v>
      </c>
      <c r="E296" t="s">
        <v>615</v>
      </c>
      <c r="F296" t="str">
        <f>HYPERLINK("https://talan.bank.gov.ua/get-user-certificate/45CElPcF8HtLjfyyEdHZ","Завантажити сертифікат")</f>
        <v>Завантажити сертифікат</v>
      </c>
    </row>
    <row r="297" spans="1:6" x14ac:dyDescent="0.3">
      <c r="A297" t="s">
        <v>656</v>
      </c>
      <c r="B297" t="s">
        <v>6</v>
      </c>
      <c r="C297" t="s">
        <v>657</v>
      </c>
      <c r="D297" t="s">
        <v>614</v>
      </c>
      <c r="E297" t="s">
        <v>615</v>
      </c>
      <c r="F297" t="str">
        <f>HYPERLINK("https://talan.bank.gov.ua/get-user-certificate/45CEl8ERne4mCo0BA39B","Завантажити сертифікат")</f>
        <v>Завантажити сертифікат</v>
      </c>
    </row>
    <row r="298" spans="1:6" x14ac:dyDescent="0.3">
      <c r="A298" t="s">
        <v>658</v>
      </c>
      <c r="B298" t="s">
        <v>6</v>
      </c>
      <c r="C298" t="s">
        <v>659</v>
      </c>
      <c r="D298" t="s">
        <v>660</v>
      </c>
      <c r="E298" t="s">
        <v>661</v>
      </c>
      <c r="F298" t="str">
        <f>HYPERLINK("https://talan.bank.gov.ua/get-user-certificate/45CEl2738ojzcoHj4QPV","Завантажити сертифікат")</f>
        <v>Завантажити сертифікат</v>
      </c>
    </row>
    <row r="299" spans="1:6" x14ac:dyDescent="0.3">
      <c r="A299" t="s">
        <v>662</v>
      </c>
      <c r="B299" t="s">
        <v>6</v>
      </c>
      <c r="C299" t="s">
        <v>663</v>
      </c>
      <c r="D299" t="s">
        <v>660</v>
      </c>
      <c r="E299" t="s">
        <v>661</v>
      </c>
      <c r="F299" t="str">
        <f>HYPERLINK("https://talan.bank.gov.ua/get-user-certificate/45CEluExKtrFT9VVrM5D","Завантажити сертифікат")</f>
        <v>Завантажити сертифікат</v>
      </c>
    </row>
    <row r="300" spans="1:6" x14ac:dyDescent="0.3">
      <c r="A300" t="s">
        <v>664</v>
      </c>
      <c r="B300" t="s">
        <v>6</v>
      </c>
      <c r="C300" t="s">
        <v>665</v>
      </c>
      <c r="D300" t="s">
        <v>660</v>
      </c>
      <c r="E300" t="s">
        <v>661</v>
      </c>
      <c r="F300" t="str">
        <f>HYPERLINK("https://talan.bank.gov.ua/get-user-certificate/45CElPHNmI-OIJkfgt6o","Завантажити сертифікат")</f>
        <v>Завантажити сертифікат</v>
      </c>
    </row>
    <row r="301" spans="1:6" x14ac:dyDescent="0.3">
      <c r="A301" t="s">
        <v>666</v>
      </c>
      <c r="B301" t="s">
        <v>6</v>
      </c>
      <c r="C301" t="s">
        <v>667</v>
      </c>
      <c r="D301" t="s">
        <v>660</v>
      </c>
      <c r="E301" t="s">
        <v>661</v>
      </c>
      <c r="F301" t="str">
        <f>HYPERLINK("https://talan.bank.gov.ua/get-user-certificate/45CEl0RF1WFIABIzXEpq","Завантажити сертифікат")</f>
        <v>Завантажити сертифікат</v>
      </c>
    </row>
    <row r="302" spans="1:6" x14ac:dyDescent="0.3">
      <c r="A302" t="s">
        <v>668</v>
      </c>
      <c r="B302" t="s">
        <v>6</v>
      </c>
      <c r="C302" t="s">
        <v>669</v>
      </c>
      <c r="D302" t="s">
        <v>660</v>
      </c>
      <c r="E302" t="s">
        <v>661</v>
      </c>
      <c r="F302" t="str">
        <f>HYPERLINK("https://talan.bank.gov.ua/get-user-certificate/45CElmEEZuBRhhMdKCmI","Завантажити сертифікат")</f>
        <v>Завантажити сертифікат</v>
      </c>
    </row>
    <row r="303" spans="1:6" x14ac:dyDescent="0.3">
      <c r="A303" t="s">
        <v>670</v>
      </c>
      <c r="B303" t="s">
        <v>6</v>
      </c>
      <c r="C303" t="s">
        <v>671</v>
      </c>
      <c r="D303" t="s">
        <v>660</v>
      </c>
      <c r="E303" t="s">
        <v>661</v>
      </c>
      <c r="F303" t="str">
        <f>HYPERLINK("https://talan.bank.gov.ua/get-user-certificate/45CElO_crJOpH8TJ1-lK","Завантажити сертифікат")</f>
        <v>Завантажити сертифікат</v>
      </c>
    </row>
    <row r="304" spans="1:6" x14ac:dyDescent="0.3">
      <c r="A304" t="s">
        <v>672</v>
      </c>
      <c r="B304" t="s">
        <v>6</v>
      </c>
      <c r="C304" t="s">
        <v>673</v>
      </c>
      <c r="D304" t="s">
        <v>660</v>
      </c>
      <c r="E304" t="s">
        <v>661</v>
      </c>
      <c r="F304" t="str">
        <f>HYPERLINK("https://talan.bank.gov.ua/get-user-certificate/45CEl70T7_Hg1Sb0FwNd","Завантажити сертифікат")</f>
        <v>Завантажити сертифікат</v>
      </c>
    </row>
    <row r="305" spans="1:6" x14ac:dyDescent="0.3">
      <c r="A305" t="s">
        <v>674</v>
      </c>
      <c r="B305" t="s">
        <v>6</v>
      </c>
      <c r="C305" t="s">
        <v>675</v>
      </c>
      <c r="D305" t="s">
        <v>676</v>
      </c>
      <c r="E305" t="s">
        <v>677</v>
      </c>
      <c r="F305" t="str">
        <f>HYPERLINK("https://talan.bank.gov.ua/get-user-certificate/45CEl0tZzJrmoyLRFExy","Завантажити сертифікат")</f>
        <v>Завантажити сертифікат</v>
      </c>
    </row>
    <row r="306" spans="1:6" x14ac:dyDescent="0.3">
      <c r="A306" t="s">
        <v>678</v>
      </c>
      <c r="B306" t="s">
        <v>6</v>
      </c>
      <c r="C306" t="s">
        <v>679</v>
      </c>
      <c r="D306" t="s">
        <v>676</v>
      </c>
      <c r="E306" t="s">
        <v>677</v>
      </c>
      <c r="F306" t="str">
        <f>HYPERLINK("https://talan.bank.gov.ua/get-user-certificate/45CEl-6ZDpUzwCweMeME","Завантажити сертифікат")</f>
        <v>Завантажити сертифікат</v>
      </c>
    </row>
    <row r="307" spans="1:6" x14ac:dyDescent="0.3">
      <c r="A307" t="s">
        <v>680</v>
      </c>
      <c r="B307" t="s">
        <v>6</v>
      </c>
      <c r="C307" t="s">
        <v>681</v>
      </c>
      <c r="D307" t="s">
        <v>676</v>
      </c>
      <c r="E307" t="s">
        <v>677</v>
      </c>
      <c r="F307" t="str">
        <f>HYPERLINK("https://talan.bank.gov.ua/get-user-certificate/45CElWfQCENJEZvXlGoz","Завантажити сертифікат")</f>
        <v>Завантажити сертифікат</v>
      </c>
    </row>
    <row r="308" spans="1:6" x14ac:dyDescent="0.3">
      <c r="A308" t="s">
        <v>682</v>
      </c>
      <c r="B308" t="s">
        <v>6</v>
      </c>
      <c r="C308" t="s">
        <v>683</v>
      </c>
      <c r="D308" t="s">
        <v>676</v>
      </c>
      <c r="E308" t="s">
        <v>677</v>
      </c>
      <c r="F308" t="str">
        <f>HYPERLINK("https://talan.bank.gov.ua/get-user-certificate/45CElJb3sSIrNIrLDBUg","Завантажити сертифікат")</f>
        <v>Завантажити сертифікат</v>
      </c>
    </row>
    <row r="309" spans="1:6" x14ac:dyDescent="0.3">
      <c r="A309" t="s">
        <v>684</v>
      </c>
      <c r="B309" t="s">
        <v>6</v>
      </c>
      <c r="C309" t="s">
        <v>685</v>
      </c>
      <c r="D309" t="s">
        <v>676</v>
      </c>
      <c r="E309" t="s">
        <v>677</v>
      </c>
      <c r="F309" t="str">
        <f>HYPERLINK("https://talan.bank.gov.ua/get-user-certificate/45CElwXv7UW4laBSeAfx","Завантажити сертифікат")</f>
        <v>Завантажити сертифікат</v>
      </c>
    </row>
    <row r="310" spans="1:6" x14ac:dyDescent="0.3">
      <c r="A310" t="s">
        <v>686</v>
      </c>
      <c r="B310" t="s">
        <v>6</v>
      </c>
      <c r="C310" t="s">
        <v>687</v>
      </c>
      <c r="D310" t="s">
        <v>676</v>
      </c>
      <c r="E310" t="s">
        <v>677</v>
      </c>
      <c r="F310" t="str">
        <f>HYPERLINK("https://talan.bank.gov.ua/get-user-certificate/45CElhX31UwnXo-1bUoL","Завантажити сертифікат")</f>
        <v>Завантажити сертифікат</v>
      </c>
    </row>
    <row r="311" spans="1:6" x14ac:dyDescent="0.3">
      <c r="A311" t="s">
        <v>688</v>
      </c>
      <c r="B311" t="s">
        <v>6</v>
      </c>
      <c r="C311" t="s">
        <v>689</v>
      </c>
      <c r="D311" t="s">
        <v>676</v>
      </c>
      <c r="E311" t="s">
        <v>677</v>
      </c>
      <c r="F311" t="str">
        <f>HYPERLINK("https://talan.bank.gov.ua/get-user-certificate/45CElgbo7KXYjkECPtO8","Завантажити сертифікат")</f>
        <v>Завантажити сертифікат</v>
      </c>
    </row>
    <row r="312" spans="1:6" x14ac:dyDescent="0.3">
      <c r="A312" t="s">
        <v>690</v>
      </c>
      <c r="B312" t="s">
        <v>6</v>
      </c>
      <c r="C312" t="s">
        <v>691</v>
      </c>
      <c r="D312" t="s">
        <v>692</v>
      </c>
      <c r="E312" t="s">
        <v>693</v>
      </c>
      <c r="F312" t="str">
        <f>HYPERLINK("https://talan.bank.gov.ua/get-user-certificate/45CElp_eNyvBgL5iwe7y","Завантажити сертифікат")</f>
        <v>Завантажити сертифікат</v>
      </c>
    </row>
    <row r="313" spans="1:6" x14ac:dyDescent="0.3">
      <c r="A313" t="s">
        <v>694</v>
      </c>
      <c r="B313" t="s">
        <v>6</v>
      </c>
      <c r="C313" t="s">
        <v>695</v>
      </c>
      <c r="D313" t="s">
        <v>692</v>
      </c>
      <c r="E313" t="s">
        <v>693</v>
      </c>
      <c r="F313" t="str">
        <f>HYPERLINK("https://talan.bank.gov.ua/get-user-certificate/45CElVmlaNpVpguAKtxw","Завантажити сертифікат")</f>
        <v>Завантажити сертифікат</v>
      </c>
    </row>
    <row r="314" spans="1:6" x14ac:dyDescent="0.3">
      <c r="A314" t="s">
        <v>696</v>
      </c>
      <c r="B314" t="s">
        <v>6</v>
      </c>
      <c r="C314" t="s">
        <v>697</v>
      </c>
      <c r="D314" t="s">
        <v>692</v>
      </c>
      <c r="E314" t="s">
        <v>693</v>
      </c>
      <c r="F314" t="str">
        <f>HYPERLINK("https://talan.bank.gov.ua/get-user-certificate/45CElTPWW3EvXBrMDh9x","Завантажити сертифікат")</f>
        <v>Завантажити сертифікат</v>
      </c>
    </row>
    <row r="315" spans="1:6" x14ac:dyDescent="0.3">
      <c r="A315" t="s">
        <v>698</v>
      </c>
      <c r="B315" t="s">
        <v>6</v>
      </c>
      <c r="C315" t="s">
        <v>699</v>
      </c>
      <c r="D315" t="s">
        <v>692</v>
      </c>
      <c r="E315" t="s">
        <v>693</v>
      </c>
      <c r="F315" t="str">
        <f>HYPERLINK("https://talan.bank.gov.ua/get-user-certificate/45CEliaNR8Wghib64HVh","Завантажити сертифікат")</f>
        <v>Завантажити сертифікат</v>
      </c>
    </row>
    <row r="316" spans="1:6" x14ac:dyDescent="0.3">
      <c r="A316" t="s">
        <v>700</v>
      </c>
      <c r="B316" t="s">
        <v>6</v>
      </c>
      <c r="C316" t="s">
        <v>701</v>
      </c>
      <c r="D316" t="s">
        <v>692</v>
      </c>
      <c r="E316" t="s">
        <v>693</v>
      </c>
      <c r="F316" t="str">
        <f>HYPERLINK("https://talan.bank.gov.ua/get-user-certificate/45CEl48VBOmk3KUt1NJL","Завантажити сертифікат")</f>
        <v>Завантажити сертифікат</v>
      </c>
    </row>
    <row r="317" spans="1:6" x14ac:dyDescent="0.3">
      <c r="A317" t="s">
        <v>702</v>
      </c>
      <c r="B317" t="s">
        <v>6</v>
      </c>
      <c r="C317" t="s">
        <v>703</v>
      </c>
      <c r="D317" t="s">
        <v>704</v>
      </c>
      <c r="E317" t="s">
        <v>705</v>
      </c>
      <c r="F317" t="str">
        <f>HYPERLINK("https://talan.bank.gov.ua/get-user-certificate/45CElaOinMTHZpb1MXAV","Завантажити сертифікат")</f>
        <v>Завантажити сертифікат</v>
      </c>
    </row>
    <row r="318" spans="1:6" x14ac:dyDescent="0.3">
      <c r="A318" t="s">
        <v>706</v>
      </c>
      <c r="B318" t="s">
        <v>6</v>
      </c>
      <c r="C318" t="s">
        <v>707</v>
      </c>
      <c r="D318" t="s">
        <v>704</v>
      </c>
      <c r="E318" t="s">
        <v>705</v>
      </c>
      <c r="F318" t="str">
        <f>HYPERLINK("https://talan.bank.gov.ua/get-user-certificate/45CElzm4GBHHlVxZbV4o","Завантажити сертифікат")</f>
        <v>Завантажити сертифікат</v>
      </c>
    </row>
    <row r="319" spans="1:6" x14ac:dyDescent="0.3">
      <c r="A319" t="s">
        <v>708</v>
      </c>
      <c r="B319" t="s">
        <v>6</v>
      </c>
      <c r="C319" t="s">
        <v>709</v>
      </c>
      <c r="D319" t="s">
        <v>704</v>
      </c>
      <c r="E319" t="s">
        <v>705</v>
      </c>
      <c r="F319" t="str">
        <f>HYPERLINK("https://talan.bank.gov.ua/get-user-certificate/45CElTLpRWX88h83OGNS","Завантажити сертифікат")</f>
        <v>Завантажити сертифікат</v>
      </c>
    </row>
    <row r="320" spans="1:6" x14ac:dyDescent="0.3">
      <c r="A320" t="s">
        <v>710</v>
      </c>
      <c r="B320" t="s">
        <v>6</v>
      </c>
      <c r="C320" t="s">
        <v>711</v>
      </c>
      <c r="D320" t="s">
        <v>704</v>
      </c>
      <c r="E320" t="s">
        <v>705</v>
      </c>
      <c r="F320" t="str">
        <f>HYPERLINK("https://talan.bank.gov.ua/get-user-certificate/45CEldAoSZ6dUZjm-INH","Завантажити сертифікат")</f>
        <v>Завантажити сертифікат</v>
      </c>
    </row>
    <row r="321" spans="1:6" x14ac:dyDescent="0.3">
      <c r="A321" t="s">
        <v>712</v>
      </c>
      <c r="B321" t="s">
        <v>6</v>
      </c>
      <c r="C321" t="s">
        <v>713</v>
      </c>
      <c r="D321" t="s">
        <v>704</v>
      </c>
      <c r="E321" t="s">
        <v>705</v>
      </c>
      <c r="F321" t="str">
        <f>HYPERLINK("https://talan.bank.gov.ua/get-user-certificate/45CElxQBz1amKiVOzNdt","Завантажити сертифікат")</f>
        <v>Завантажити сертифікат</v>
      </c>
    </row>
    <row r="322" spans="1:6" x14ac:dyDescent="0.3">
      <c r="A322" t="s">
        <v>714</v>
      </c>
      <c r="B322" t="s">
        <v>6</v>
      </c>
      <c r="C322" t="s">
        <v>715</v>
      </c>
      <c r="D322" t="s">
        <v>704</v>
      </c>
      <c r="E322" t="s">
        <v>705</v>
      </c>
      <c r="F322" t="str">
        <f>HYPERLINK("https://talan.bank.gov.ua/get-user-certificate/45CElmoSHiOjr9ShJkSG","Завантажити сертифікат")</f>
        <v>Завантажити сертифікат</v>
      </c>
    </row>
    <row r="323" spans="1:6" x14ac:dyDescent="0.3">
      <c r="A323" t="s">
        <v>716</v>
      </c>
      <c r="B323" t="s">
        <v>6</v>
      </c>
      <c r="C323" t="s">
        <v>717</v>
      </c>
      <c r="D323" t="s">
        <v>704</v>
      </c>
      <c r="E323" t="s">
        <v>705</v>
      </c>
      <c r="F323" t="str">
        <f>HYPERLINK("https://talan.bank.gov.ua/get-user-certificate/45CElPD7DsqGYC-_BQN_","Завантажити сертифікат")</f>
        <v>Завантажити сертифікат</v>
      </c>
    </row>
    <row r="324" spans="1:6" x14ac:dyDescent="0.3">
      <c r="A324" t="s">
        <v>718</v>
      </c>
      <c r="B324" t="s">
        <v>6</v>
      </c>
      <c r="C324" t="s">
        <v>719</v>
      </c>
      <c r="D324" t="s">
        <v>704</v>
      </c>
      <c r="E324" t="s">
        <v>705</v>
      </c>
      <c r="F324" t="str">
        <f>HYPERLINK("https://talan.bank.gov.ua/get-user-certificate/45CEl68I8yrrG0a6EIjH","Завантажити сертифікат")</f>
        <v>Завантажити сертифікат</v>
      </c>
    </row>
    <row r="325" spans="1:6" x14ac:dyDescent="0.3">
      <c r="A325" t="s">
        <v>720</v>
      </c>
      <c r="B325" t="s">
        <v>6</v>
      </c>
      <c r="C325" t="s">
        <v>721</v>
      </c>
      <c r="D325" t="s">
        <v>704</v>
      </c>
      <c r="E325" t="s">
        <v>705</v>
      </c>
      <c r="F325" t="str">
        <f>HYPERLINK("https://talan.bank.gov.ua/get-user-certificate/45CEle-HmgGVfwUjlBcx","Завантажити сертифікат")</f>
        <v>Завантажити сертифікат</v>
      </c>
    </row>
    <row r="326" spans="1:6" x14ac:dyDescent="0.3">
      <c r="A326" t="s">
        <v>722</v>
      </c>
      <c r="B326" t="s">
        <v>6</v>
      </c>
      <c r="C326" t="s">
        <v>723</v>
      </c>
      <c r="D326" t="s">
        <v>704</v>
      </c>
      <c r="E326" t="s">
        <v>705</v>
      </c>
      <c r="F326" t="str">
        <f>HYPERLINK("https://talan.bank.gov.ua/get-user-certificate/45CElLRTKsTmIX33rmE-","Завантажити сертифікат")</f>
        <v>Завантажити сертифікат</v>
      </c>
    </row>
    <row r="327" spans="1:6" x14ac:dyDescent="0.3">
      <c r="A327" t="s">
        <v>724</v>
      </c>
      <c r="B327" t="s">
        <v>6</v>
      </c>
      <c r="C327" t="s">
        <v>725</v>
      </c>
      <c r="D327" t="s">
        <v>704</v>
      </c>
      <c r="E327" t="s">
        <v>705</v>
      </c>
      <c r="F327" t="str">
        <f>HYPERLINK("https://talan.bank.gov.ua/get-user-certificate/45CEloaZmrhmRYluCcFp","Завантажити сертифікат")</f>
        <v>Завантажити сертифікат</v>
      </c>
    </row>
    <row r="328" spans="1:6" x14ac:dyDescent="0.3">
      <c r="A328" t="s">
        <v>726</v>
      </c>
      <c r="B328" t="s">
        <v>6</v>
      </c>
      <c r="C328" t="s">
        <v>727</v>
      </c>
      <c r="D328" t="s">
        <v>704</v>
      </c>
      <c r="E328" t="s">
        <v>705</v>
      </c>
      <c r="F328" t="str">
        <f>HYPERLINK("https://talan.bank.gov.ua/get-user-certificate/45CElasK_DHjQYzJtZ3V","Завантажити сертифікат")</f>
        <v>Завантажити сертифікат</v>
      </c>
    </row>
    <row r="329" spans="1:6" x14ac:dyDescent="0.3">
      <c r="A329" t="s">
        <v>728</v>
      </c>
      <c r="B329" t="s">
        <v>6</v>
      </c>
      <c r="C329" t="s">
        <v>729</v>
      </c>
      <c r="D329" t="s">
        <v>704</v>
      </c>
      <c r="E329" t="s">
        <v>705</v>
      </c>
      <c r="F329" t="str">
        <f>HYPERLINK("https://talan.bank.gov.ua/get-user-certificate/45CElkkCUYw9j3TFcpHJ","Завантажити сертифікат")</f>
        <v>Завантажити сертифікат</v>
      </c>
    </row>
    <row r="330" spans="1:6" x14ac:dyDescent="0.3">
      <c r="A330" t="s">
        <v>730</v>
      </c>
      <c r="B330" t="s">
        <v>6</v>
      </c>
      <c r="C330" t="s">
        <v>731</v>
      </c>
      <c r="D330" t="s">
        <v>704</v>
      </c>
      <c r="E330" t="s">
        <v>705</v>
      </c>
      <c r="F330" t="str">
        <f>HYPERLINK("https://talan.bank.gov.ua/get-user-certificate/45CElg8TuFTEaGnQqvCB","Завантажити сертифікат")</f>
        <v>Завантажити сертифікат</v>
      </c>
    </row>
    <row r="331" spans="1:6" x14ac:dyDescent="0.3">
      <c r="A331" t="s">
        <v>732</v>
      </c>
      <c r="B331" t="s">
        <v>6</v>
      </c>
      <c r="C331" t="s">
        <v>733</v>
      </c>
      <c r="D331" t="s">
        <v>704</v>
      </c>
      <c r="E331" t="s">
        <v>705</v>
      </c>
      <c r="F331" t="str">
        <f>HYPERLINK("https://talan.bank.gov.ua/get-user-certificate/45CElmJUU4Q-VRc1DnoD","Завантажити сертифікат")</f>
        <v>Завантажити сертифікат</v>
      </c>
    </row>
    <row r="332" spans="1:6" x14ac:dyDescent="0.3">
      <c r="A332" t="s">
        <v>734</v>
      </c>
      <c r="B332" t="s">
        <v>6</v>
      </c>
      <c r="C332" t="s">
        <v>735</v>
      </c>
      <c r="D332" t="s">
        <v>736</v>
      </c>
      <c r="E332" t="s">
        <v>737</v>
      </c>
      <c r="F332" t="str">
        <f>HYPERLINK("https://talan.bank.gov.ua/get-user-certificate/45CElaDKT-YTP-ihympo","Завантажити сертифікат")</f>
        <v>Завантажити сертифікат</v>
      </c>
    </row>
    <row r="333" spans="1:6" x14ac:dyDescent="0.3">
      <c r="A333" t="s">
        <v>738</v>
      </c>
      <c r="B333" t="s">
        <v>6</v>
      </c>
      <c r="C333" t="s">
        <v>739</v>
      </c>
      <c r="D333" t="s">
        <v>736</v>
      </c>
      <c r="E333" t="s">
        <v>737</v>
      </c>
      <c r="F333" t="str">
        <f>HYPERLINK("https://talan.bank.gov.ua/get-user-certificate/45CElLmiF8ntXr2oTyXb","Завантажити сертифікат")</f>
        <v>Завантажити сертифікат</v>
      </c>
    </row>
    <row r="334" spans="1:6" x14ac:dyDescent="0.3">
      <c r="A334" t="s">
        <v>740</v>
      </c>
      <c r="B334" t="s">
        <v>6</v>
      </c>
      <c r="C334" t="s">
        <v>741</v>
      </c>
      <c r="D334" t="s">
        <v>736</v>
      </c>
      <c r="E334" t="s">
        <v>737</v>
      </c>
      <c r="F334" t="str">
        <f>HYPERLINK("https://talan.bank.gov.ua/get-user-certificate/45CEl-BpCGUs82uP0lIx","Завантажити сертифікат")</f>
        <v>Завантажити сертифікат</v>
      </c>
    </row>
    <row r="335" spans="1:6" x14ac:dyDescent="0.3">
      <c r="A335" t="s">
        <v>742</v>
      </c>
      <c r="B335" t="s">
        <v>6</v>
      </c>
      <c r="C335" t="s">
        <v>743</v>
      </c>
      <c r="D335" t="s">
        <v>736</v>
      </c>
      <c r="E335" t="s">
        <v>737</v>
      </c>
      <c r="F335" t="str">
        <f>HYPERLINK("https://talan.bank.gov.ua/get-user-certificate/45CElgJqYgdFvh1AaEr7","Завантажити сертифікат")</f>
        <v>Завантажити сертифікат</v>
      </c>
    </row>
    <row r="336" spans="1:6" x14ac:dyDescent="0.3">
      <c r="A336" t="s">
        <v>744</v>
      </c>
      <c r="B336" t="s">
        <v>6</v>
      </c>
      <c r="C336" t="s">
        <v>745</v>
      </c>
      <c r="D336" t="s">
        <v>736</v>
      </c>
      <c r="E336" t="s">
        <v>737</v>
      </c>
      <c r="F336" t="str">
        <f>HYPERLINK("https://talan.bank.gov.ua/get-user-certificate/45CElWUUeZFJnWTjItV2","Завантажити сертифікат")</f>
        <v>Завантажити сертифікат</v>
      </c>
    </row>
    <row r="337" spans="1:6" x14ac:dyDescent="0.3">
      <c r="A337" t="s">
        <v>746</v>
      </c>
      <c r="B337" t="s">
        <v>6</v>
      </c>
      <c r="C337" t="s">
        <v>747</v>
      </c>
      <c r="D337" t="s">
        <v>736</v>
      </c>
      <c r="E337" t="s">
        <v>737</v>
      </c>
      <c r="F337" t="str">
        <f>HYPERLINK("https://talan.bank.gov.ua/get-user-certificate/45CElCBMpm122jkAcMYi","Завантажити сертифікат")</f>
        <v>Завантажити сертифікат</v>
      </c>
    </row>
    <row r="338" spans="1:6" x14ac:dyDescent="0.3">
      <c r="A338" t="s">
        <v>748</v>
      </c>
      <c r="B338" t="s">
        <v>6</v>
      </c>
      <c r="C338" t="s">
        <v>749</v>
      </c>
      <c r="D338" t="s">
        <v>736</v>
      </c>
      <c r="E338" t="s">
        <v>737</v>
      </c>
      <c r="F338" t="str">
        <f>HYPERLINK("https://talan.bank.gov.ua/get-user-certificate/45CEl_Mlg7TFrD0OXJJj","Завантажити сертифікат")</f>
        <v>Завантажити сертифікат</v>
      </c>
    </row>
    <row r="339" spans="1:6" x14ac:dyDescent="0.3">
      <c r="A339" t="s">
        <v>750</v>
      </c>
      <c r="B339" t="s">
        <v>6</v>
      </c>
      <c r="C339" t="s">
        <v>751</v>
      </c>
      <c r="D339" t="s">
        <v>736</v>
      </c>
      <c r="E339" t="s">
        <v>737</v>
      </c>
      <c r="F339" t="str">
        <f>HYPERLINK("https://talan.bank.gov.ua/get-user-certificate/45CElrnZD1ZIkATeZb_F","Завантажити сертифікат")</f>
        <v>Завантажити сертифікат</v>
      </c>
    </row>
    <row r="340" spans="1:6" x14ac:dyDescent="0.3">
      <c r="A340" t="s">
        <v>752</v>
      </c>
      <c r="B340" t="s">
        <v>6</v>
      </c>
      <c r="C340" t="s">
        <v>753</v>
      </c>
      <c r="D340" t="s">
        <v>736</v>
      </c>
      <c r="E340" t="s">
        <v>737</v>
      </c>
      <c r="F340" t="str">
        <f>HYPERLINK("https://talan.bank.gov.ua/get-user-certificate/45CElUAXAA-5Kbeahchk","Завантажити сертифікат")</f>
        <v>Завантажити сертифікат</v>
      </c>
    </row>
    <row r="341" spans="1:6" x14ac:dyDescent="0.3">
      <c r="A341" t="s">
        <v>754</v>
      </c>
      <c r="B341" t="s">
        <v>6</v>
      </c>
      <c r="C341" t="s">
        <v>755</v>
      </c>
      <c r="D341" t="s">
        <v>736</v>
      </c>
      <c r="E341" t="s">
        <v>737</v>
      </c>
      <c r="F341" t="str">
        <f>HYPERLINK("https://talan.bank.gov.ua/get-user-certificate/45CElVwVFeCV3SRQJJTG","Завантажити сертифікат")</f>
        <v>Завантажити сертифікат</v>
      </c>
    </row>
    <row r="342" spans="1:6" x14ac:dyDescent="0.3">
      <c r="A342" t="s">
        <v>756</v>
      </c>
      <c r="B342" t="s">
        <v>6</v>
      </c>
      <c r="C342" t="s">
        <v>757</v>
      </c>
      <c r="D342" t="s">
        <v>758</v>
      </c>
      <c r="E342" t="s">
        <v>759</v>
      </c>
      <c r="F342" t="str">
        <f>HYPERLINK("https://talan.bank.gov.ua/get-user-certificate/45CElM13bmJGivST706Q","Завантажити сертифікат")</f>
        <v>Завантажити сертифікат</v>
      </c>
    </row>
    <row r="343" spans="1:6" x14ac:dyDescent="0.3">
      <c r="A343" t="s">
        <v>760</v>
      </c>
      <c r="B343" t="s">
        <v>6</v>
      </c>
      <c r="C343" t="s">
        <v>761</v>
      </c>
      <c r="D343" t="s">
        <v>758</v>
      </c>
      <c r="E343" t="s">
        <v>759</v>
      </c>
      <c r="F343" t="str">
        <f>HYPERLINK("https://talan.bank.gov.ua/get-user-certificate/45CElozavCWKNF08y-u7","Завантажити сертифікат")</f>
        <v>Завантажити сертифікат</v>
      </c>
    </row>
    <row r="344" spans="1:6" x14ac:dyDescent="0.3">
      <c r="A344" t="s">
        <v>762</v>
      </c>
      <c r="B344" t="s">
        <v>6</v>
      </c>
      <c r="C344" t="s">
        <v>763</v>
      </c>
      <c r="D344" t="s">
        <v>758</v>
      </c>
      <c r="E344" t="s">
        <v>759</v>
      </c>
      <c r="F344" t="str">
        <f>HYPERLINK("https://talan.bank.gov.ua/get-user-certificate/45CEl7JsUgcXRWwFXwr6","Завантажити сертифікат")</f>
        <v>Завантажити сертифікат</v>
      </c>
    </row>
    <row r="345" spans="1:6" x14ac:dyDescent="0.3">
      <c r="A345" t="s">
        <v>764</v>
      </c>
      <c r="B345" t="s">
        <v>6</v>
      </c>
      <c r="C345" t="s">
        <v>765</v>
      </c>
      <c r="D345" t="s">
        <v>758</v>
      </c>
      <c r="E345" t="s">
        <v>759</v>
      </c>
      <c r="F345" t="str">
        <f>HYPERLINK("https://talan.bank.gov.ua/get-user-certificate/45CEl1ptiXilsFsFdd-L","Завантажити сертифікат")</f>
        <v>Завантажити сертифікат</v>
      </c>
    </row>
    <row r="346" spans="1:6" x14ac:dyDescent="0.3">
      <c r="A346" t="s">
        <v>766</v>
      </c>
      <c r="B346" t="s">
        <v>6</v>
      </c>
      <c r="C346" t="s">
        <v>767</v>
      </c>
      <c r="D346" t="s">
        <v>758</v>
      </c>
      <c r="E346" t="s">
        <v>759</v>
      </c>
      <c r="F346" t="str">
        <f>HYPERLINK("https://talan.bank.gov.ua/get-user-certificate/45CElnqgwhHvJ5SREVVn","Завантажити сертифікат")</f>
        <v>Завантажити сертифікат</v>
      </c>
    </row>
    <row r="347" spans="1:6" x14ac:dyDescent="0.3">
      <c r="A347" t="s">
        <v>768</v>
      </c>
      <c r="B347" t="s">
        <v>6</v>
      </c>
      <c r="C347" t="s">
        <v>769</v>
      </c>
      <c r="D347" t="s">
        <v>758</v>
      </c>
      <c r="E347" t="s">
        <v>759</v>
      </c>
      <c r="F347" t="str">
        <f>HYPERLINK("https://talan.bank.gov.ua/get-user-certificate/45CElhGHHS_eejSPh0r2","Завантажити сертифікат")</f>
        <v>Завантажити сертифікат</v>
      </c>
    </row>
    <row r="348" spans="1:6" x14ac:dyDescent="0.3">
      <c r="A348" t="s">
        <v>770</v>
      </c>
      <c r="B348" t="s">
        <v>6</v>
      </c>
      <c r="C348" t="s">
        <v>771</v>
      </c>
      <c r="D348" t="s">
        <v>758</v>
      </c>
      <c r="E348" t="s">
        <v>759</v>
      </c>
      <c r="F348" t="str">
        <f>HYPERLINK("https://talan.bank.gov.ua/get-user-certificate/45CElX2cawisgb8kH581","Завантажити сертифікат")</f>
        <v>Завантажити сертифікат</v>
      </c>
    </row>
    <row r="349" spans="1:6" x14ac:dyDescent="0.3">
      <c r="A349" t="s">
        <v>772</v>
      </c>
      <c r="B349" t="s">
        <v>6</v>
      </c>
      <c r="C349" t="s">
        <v>773</v>
      </c>
      <c r="D349" t="s">
        <v>758</v>
      </c>
      <c r="E349" t="s">
        <v>759</v>
      </c>
      <c r="F349" t="str">
        <f>HYPERLINK("https://talan.bank.gov.ua/get-user-certificate/45CElvcWkXj0C1LC-Kzw","Завантажити сертифікат")</f>
        <v>Завантажити сертифікат</v>
      </c>
    </row>
    <row r="350" spans="1:6" x14ac:dyDescent="0.3">
      <c r="A350" t="s">
        <v>774</v>
      </c>
      <c r="B350" t="s">
        <v>6</v>
      </c>
      <c r="C350" t="s">
        <v>775</v>
      </c>
      <c r="D350" t="s">
        <v>758</v>
      </c>
      <c r="E350" t="s">
        <v>759</v>
      </c>
      <c r="F350" t="str">
        <f>HYPERLINK("https://talan.bank.gov.ua/get-user-certificate/45CElA76tVKd-SAl0Jvl","Завантажити сертифікат")</f>
        <v>Завантажити сертифікат</v>
      </c>
    </row>
    <row r="351" spans="1:6" x14ac:dyDescent="0.3">
      <c r="A351" t="s">
        <v>776</v>
      </c>
      <c r="B351" t="s">
        <v>6</v>
      </c>
      <c r="C351" t="s">
        <v>777</v>
      </c>
      <c r="D351" t="s">
        <v>758</v>
      </c>
      <c r="E351" t="s">
        <v>759</v>
      </c>
      <c r="F351" t="str">
        <f>HYPERLINK("https://talan.bank.gov.ua/get-user-certificate/45CElVUnaxWe3Ejs3ZeZ","Завантажити сертифікат")</f>
        <v>Завантажити сертифікат</v>
      </c>
    </row>
    <row r="352" spans="1:6" x14ac:dyDescent="0.3">
      <c r="A352" t="s">
        <v>778</v>
      </c>
      <c r="B352" t="s">
        <v>6</v>
      </c>
      <c r="C352" t="s">
        <v>779</v>
      </c>
      <c r="D352" t="s">
        <v>758</v>
      </c>
      <c r="E352" t="s">
        <v>759</v>
      </c>
      <c r="F352" t="str">
        <f>HYPERLINK("https://talan.bank.gov.ua/get-user-certificate/45CEl0SmVuXAaSfwGCub","Завантажити сертифікат")</f>
        <v>Завантажити сертифікат</v>
      </c>
    </row>
    <row r="353" spans="1:6" x14ac:dyDescent="0.3">
      <c r="A353" t="s">
        <v>780</v>
      </c>
      <c r="B353" t="s">
        <v>6</v>
      </c>
      <c r="C353" t="s">
        <v>781</v>
      </c>
      <c r="D353" t="s">
        <v>758</v>
      </c>
      <c r="E353" t="s">
        <v>759</v>
      </c>
      <c r="F353" t="str">
        <f>HYPERLINK("https://talan.bank.gov.ua/get-user-certificate/45CEl3j23Fwnehmg6scL","Завантажити сертифікат")</f>
        <v>Завантажити сертифікат</v>
      </c>
    </row>
    <row r="354" spans="1:6" x14ac:dyDescent="0.3">
      <c r="A354" t="s">
        <v>782</v>
      </c>
      <c r="B354" t="s">
        <v>6</v>
      </c>
      <c r="C354" t="s">
        <v>783</v>
      </c>
      <c r="D354" t="s">
        <v>758</v>
      </c>
      <c r="E354" t="s">
        <v>759</v>
      </c>
      <c r="F354" t="str">
        <f>HYPERLINK("https://talan.bank.gov.ua/get-user-certificate/45CElRE72753EoxQqF2A","Завантажити сертифікат")</f>
        <v>Завантажити сертифікат</v>
      </c>
    </row>
    <row r="355" spans="1:6" x14ac:dyDescent="0.3">
      <c r="A355" t="s">
        <v>784</v>
      </c>
      <c r="B355" t="s">
        <v>6</v>
      </c>
      <c r="C355" t="s">
        <v>785</v>
      </c>
      <c r="D355" t="s">
        <v>786</v>
      </c>
      <c r="E355" t="s">
        <v>787</v>
      </c>
      <c r="F355" t="str">
        <f>HYPERLINK("https://talan.bank.gov.ua/get-user-certificate/45CElnRMh1o2AGR660rF","Завантажити сертифікат")</f>
        <v>Завантажити сертифікат</v>
      </c>
    </row>
    <row r="356" spans="1:6" x14ac:dyDescent="0.3">
      <c r="A356" t="s">
        <v>788</v>
      </c>
      <c r="B356" t="s">
        <v>6</v>
      </c>
      <c r="C356" t="s">
        <v>789</v>
      </c>
      <c r="D356" t="s">
        <v>786</v>
      </c>
      <c r="E356" t="s">
        <v>787</v>
      </c>
      <c r="F356" t="str">
        <f>HYPERLINK("https://talan.bank.gov.ua/get-user-certificate/45CEll_4cFxD_CFQJx-L","Завантажити сертифікат")</f>
        <v>Завантажити сертифікат</v>
      </c>
    </row>
    <row r="357" spans="1:6" x14ac:dyDescent="0.3">
      <c r="A357" t="s">
        <v>790</v>
      </c>
      <c r="B357" t="s">
        <v>6</v>
      </c>
      <c r="C357" t="s">
        <v>791</v>
      </c>
      <c r="D357" t="s">
        <v>786</v>
      </c>
      <c r="E357" t="s">
        <v>787</v>
      </c>
      <c r="F357" t="str">
        <f>HYPERLINK("https://talan.bank.gov.ua/get-user-certificate/45CElthufExeplm3T5T3","Завантажити сертифікат")</f>
        <v>Завантажити сертифікат</v>
      </c>
    </row>
    <row r="358" spans="1:6" x14ac:dyDescent="0.3">
      <c r="A358" t="s">
        <v>792</v>
      </c>
      <c r="B358" t="s">
        <v>6</v>
      </c>
      <c r="C358" t="s">
        <v>793</v>
      </c>
      <c r="D358" t="s">
        <v>786</v>
      </c>
      <c r="E358" t="s">
        <v>787</v>
      </c>
      <c r="F358" t="str">
        <f>HYPERLINK("https://talan.bank.gov.ua/get-user-certificate/45CElViIG72GtIHcGdIC","Завантажити сертифікат")</f>
        <v>Завантажити сертифікат</v>
      </c>
    </row>
    <row r="359" spans="1:6" x14ac:dyDescent="0.3">
      <c r="A359" t="s">
        <v>794</v>
      </c>
      <c r="B359" t="s">
        <v>6</v>
      </c>
      <c r="C359" t="s">
        <v>795</v>
      </c>
      <c r="D359" t="s">
        <v>786</v>
      </c>
      <c r="E359" t="s">
        <v>787</v>
      </c>
      <c r="F359" t="str">
        <f>HYPERLINK("https://talan.bank.gov.ua/get-user-certificate/45CElT19NRbNR_j_CPaO","Завантажити сертифікат")</f>
        <v>Завантажити сертифікат</v>
      </c>
    </row>
    <row r="360" spans="1:6" x14ac:dyDescent="0.3">
      <c r="A360" t="s">
        <v>796</v>
      </c>
      <c r="B360" t="s">
        <v>6</v>
      </c>
      <c r="C360" t="s">
        <v>797</v>
      </c>
      <c r="D360" t="s">
        <v>786</v>
      </c>
      <c r="E360" t="s">
        <v>787</v>
      </c>
      <c r="F360" t="str">
        <f>HYPERLINK("https://talan.bank.gov.ua/get-user-certificate/45CElOJf0aaJH7MywX3d","Завантажити сертифікат")</f>
        <v>Завантажити сертифікат</v>
      </c>
    </row>
    <row r="361" spans="1:6" x14ac:dyDescent="0.3">
      <c r="A361" t="s">
        <v>798</v>
      </c>
      <c r="B361" t="s">
        <v>6</v>
      </c>
      <c r="C361" t="s">
        <v>799</v>
      </c>
      <c r="D361" t="s">
        <v>786</v>
      </c>
      <c r="E361" t="s">
        <v>787</v>
      </c>
      <c r="F361" t="str">
        <f>HYPERLINK("https://talan.bank.gov.ua/get-user-certificate/45CEljwOG2O36plgQ0IG","Завантажити сертифікат")</f>
        <v>Завантажити сертифікат</v>
      </c>
    </row>
    <row r="362" spans="1:6" x14ac:dyDescent="0.3">
      <c r="A362" t="s">
        <v>800</v>
      </c>
      <c r="B362" t="s">
        <v>6</v>
      </c>
      <c r="C362" t="s">
        <v>801</v>
      </c>
      <c r="D362" t="s">
        <v>786</v>
      </c>
      <c r="E362" t="s">
        <v>787</v>
      </c>
      <c r="F362" t="str">
        <f>HYPERLINK("https://talan.bank.gov.ua/get-user-certificate/45CElYsgs5K1j0Mlp_lB","Завантажити сертифікат")</f>
        <v>Завантажити сертифікат</v>
      </c>
    </row>
    <row r="363" spans="1:6" x14ac:dyDescent="0.3">
      <c r="A363" t="s">
        <v>802</v>
      </c>
      <c r="B363" t="s">
        <v>6</v>
      </c>
      <c r="C363" t="s">
        <v>803</v>
      </c>
      <c r="D363" t="s">
        <v>804</v>
      </c>
      <c r="E363" t="s">
        <v>805</v>
      </c>
      <c r="F363" t="str">
        <f>HYPERLINK("https://talan.bank.gov.ua/get-user-certificate/45CElKpnMaEhVFRHaKtr","Завантажити сертифікат")</f>
        <v>Завантажити сертифікат</v>
      </c>
    </row>
    <row r="364" spans="1:6" x14ac:dyDescent="0.3">
      <c r="A364" t="s">
        <v>806</v>
      </c>
      <c r="B364" t="s">
        <v>6</v>
      </c>
      <c r="C364" t="s">
        <v>807</v>
      </c>
      <c r="D364" t="s">
        <v>804</v>
      </c>
      <c r="E364" t="s">
        <v>805</v>
      </c>
      <c r="F364" t="str">
        <f>HYPERLINK("https://talan.bank.gov.ua/get-user-certificate/45CElQL4FEsdNXAi8BrX","Завантажити сертифікат")</f>
        <v>Завантажити сертифікат</v>
      </c>
    </row>
    <row r="365" spans="1:6" x14ac:dyDescent="0.3">
      <c r="A365" t="s">
        <v>808</v>
      </c>
      <c r="B365" t="s">
        <v>6</v>
      </c>
      <c r="C365" t="s">
        <v>809</v>
      </c>
      <c r="D365" t="s">
        <v>804</v>
      </c>
      <c r="E365" t="s">
        <v>805</v>
      </c>
      <c r="F365" t="str">
        <f>HYPERLINK("https://talan.bank.gov.ua/get-user-certificate/45CEl0yqZyQcqqwzQTzH","Завантажити сертифікат")</f>
        <v>Завантажити сертифікат</v>
      </c>
    </row>
    <row r="366" spans="1:6" x14ac:dyDescent="0.3">
      <c r="A366" t="s">
        <v>810</v>
      </c>
      <c r="B366" t="s">
        <v>6</v>
      </c>
      <c r="C366" t="s">
        <v>811</v>
      </c>
      <c r="D366" t="s">
        <v>804</v>
      </c>
      <c r="E366" t="s">
        <v>805</v>
      </c>
      <c r="F366" t="str">
        <f>HYPERLINK("https://talan.bank.gov.ua/get-user-certificate/45CElMhZkxidDocLeDPE","Завантажити сертифікат")</f>
        <v>Завантажити сертифікат</v>
      </c>
    </row>
    <row r="367" spans="1:6" x14ac:dyDescent="0.3">
      <c r="A367" t="s">
        <v>812</v>
      </c>
      <c r="B367" t="s">
        <v>6</v>
      </c>
      <c r="C367" t="s">
        <v>813</v>
      </c>
      <c r="D367" t="s">
        <v>804</v>
      </c>
      <c r="E367" t="s">
        <v>805</v>
      </c>
      <c r="F367" t="str">
        <f>HYPERLINK("https://talan.bank.gov.ua/get-user-certificate/45CElR6I4wfT7xl-U02Q","Завантажити сертифікат")</f>
        <v>Завантажити сертифікат</v>
      </c>
    </row>
    <row r="368" spans="1:6" x14ac:dyDescent="0.3">
      <c r="A368" t="s">
        <v>814</v>
      </c>
      <c r="B368" t="s">
        <v>6</v>
      </c>
      <c r="C368" t="s">
        <v>815</v>
      </c>
      <c r="D368" t="s">
        <v>804</v>
      </c>
      <c r="E368" t="s">
        <v>805</v>
      </c>
      <c r="F368" t="str">
        <f>HYPERLINK("https://talan.bank.gov.ua/get-user-certificate/45CEluBlaCoEsXB4AX1V","Завантажити сертифікат")</f>
        <v>Завантажити сертифікат</v>
      </c>
    </row>
    <row r="369" spans="1:6" x14ac:dyDescent="0.3">
      <c r="A369" t="s">
        <v>816</v>
      </c>
      <c r="B369" t="s">
        <v>6</v>
      </c>
      <c r="C369" t="s">
        <v>817</v>
      </c>
      <c r="D369" t="s">
        <v>804</v>
      </c>
      <c r="E369" t="s">
        <v>805</v>
      </c>
      <c r="F369" t="str">
        <f>HYPERLINK("https://talan.bank.gov.ua/get-user-certificate/45CEll4vCosblk1bR4iX","Завантажити сертифікат")</f>
        <v>Завантажити сертифікат</v>
      </c>
    </row>
    <row r="370" spans="1:6" x14ac:dyDescent="0.3">
      <c r="A370" t="s">
        <v>818</v>
      </c>
      <c r="B370" t="s">
        <v>6</v>
      </c>
      <c r="C370" t="s">
        <v>819</v>
      </c>
      <c r="D370" t="s">
        <v>804</v>
      </c>
      <c r="E370" t="s">
        <v>805</v>
      </c>
      <c r="F370" t="str">
        <f>HYPERLINK("https://talan.bank.gov.ua/get-user-certificate/45CEl9fzrpMWxst9Hrvb","Завантажити сертифікат")</f>
        <v>Завантажити сертифікат</v>
      </c>
    </row>
    <row r="371" spans="1:6" x14ac:dyDescent="0.3">
      <c r="A371" t="s">
        <v>820</v>
      </c>
      <c r="B371" t="s">
        <v>6</v>
      </c>
      <c r="C371" t="s">
        <v>821</v>
      </c>
      <c r="D371" t="s">
        <v>804</v>
      </c>
      <c r="E371" t="s">
        <v>805</v>
      </c>
      <c r="F371" t="str">
        <f>HYPERLINK("https://talan.bank.gov.ua/get-user-certificate/45CElJvdvY3kDVnTZKv_","Завантажити сертифікат")</f>
        <v>Завантажити сертифікат</v>
      </c>
    </row>
    <row r="372" spans="1:6" x14ac:dyDescent="0.3">
      <c r="A372" t="s">
        <v>822</v>
      </c>
      <c r="B372" t="s">
        <v>6</v>
      </c>
      <c r="C372" t="s">
        <v>823</v>
      </c>
      <c r="D372" t="s">
        <v>804</v>
      </c>
      <c r="E372" t="s">
        <v>805</v>
      </c>
      <c r="F372" t="str">
        <f>HYPERLINK("https://talan.bank.gov.ua/get-user-certificate/45CElmr3_3gKYnVljEz3","Завантажити сертифікат")</f>
        <v>Завантажити сертифікат</v>
      </c>
    </row>
    <row r="373" spans="1:6" x14ac:dyDescent="0.3">
      <c r="A373" t="s">
        <v>824</v>
      </c>
      <c r="B373" t="s">
        <v>6</v>
      </c>
      <c r="C373" t="s">
        <v>825</v>
      </c>
      <c r="D373" t="s">
        <v>804</v>
      </c>
      <c r="E373" t="s">
        <v>805</v>
      </c>
      <c r="F373" t="str">
        <f>HYPERLINK("https://talan.bank.gov.ua/get-user-certificate/45CElvAuxwBmzboFwhVV","Завантажити сертифікат")</f>
        <v>Завантажити сертифікат</v>
      </c>
    </row>
    <row r="374" spans="1:6" x14ac:dyDescent="0.3">
      <c r="A374" t="s">
        <v>826</v>
      </c>
      <c r="B374" t="s">
        <v>6</v>
      </c>
      <c r="C374" t="s">
        <v>827</v>
      </c>
      <c r="D374" t="s">
        <v>828</v>
      </c>
      <c r="E374" t="s">
        <v>829</v>
      </c>
      <c r="F374" t="str">
        <f>HYPERLINK("https://talan.bank.gov.ua/get-user-certificate/45CElzDYiiU7H-JsCBU3","Завантажити сертифікат")</f>
        <v>Завантажити сертифікат</v>
      </c>
    </row>
    <row r="375" spans="1:6" x14ac:dyDescent="0.3">
      <c r="A375" t="s">
        <v>830</v>
      </c>
      <c r="B375" t="s">
        <v>6</v>
      </c>
      <c r="C375" t="s">
        <v>831</v>
      </c>
      <c r="D375" t="s">
        <v>828</v>
      </c>
      <c r="E375" t="s">
        <v>829</v>
      </c>
      <c r="F375" t="str">
        <f>HYPERLINK("https://talan.bank.gov.ua/get-user-certificate/45CElbQsu3pFr-wVtgZ_","Завантажити сертифікат")</f>
        <v>Завантажити сертифікат</v>
      </c>
    </row>
    <row r="376" spans="1:6" x14ac:dyDescent="0.3">
      <c r="A376" t="s">
        <v>832</v>
      </c>
      <c r="B376" t="s">
        <v>6</v>
      </c>
      <c r="C376" t="s">
        <v>833</v>
      </c>
      <c r="D376" t="s">
        <v>828</v>
      </c>
      <c r="E376" t="s">
        <v>829</v>
      </c>
      <c r="F376" t="str">
        <f>HYPERLINK("https://talan.bank.gov.ua/get-user-certificate/45CEl4ZnxdzSp-bqqYso","Завантажити сертифікат")</f>
        <v>Завантажити сертифікат</v>
      </c>
    </row>
    <row r="377" spans="1:6" x14ac:dyDescent="0.3">
      <c r="A377" t="s">
        <v>834</v>
      </c>
      <c r="B377" t="s">
        <v>6</v>
      </c>
      <c r="C377" t="s">
        <v>835</v>
      </c>
      <c r="D377" t="s">
        <v>828</v>
      </c>
      <c r="E377" t="s">
        <v>829</v>
      </c>
      <c r="F377" t="str">
        <f>HYPERLINK("https://talan.bank.gov.ua/get-user-certificate/45CElDo3oS3gc-LBWRxP","Завантажити сертифікат")</f>
        <v>Завантажити сертифікат</v>
      </c>
    </row>
    <row r="378" spans="1:6" x14ac:dyDescent="0.3">
      <c r="A378" t="s">
        <v>836</v>
      </c>
      <c r="B378" t="s">
        <v>6</v>
      </c>
      <c r="C378" t="s">
        <v>837</v>
      </c>
      <c r="D378" t="s">
        <v>828</v>
      </c>
      <c r="E378" t="s">
        <v>829</v>
      </c>
      <c r="F378" t="str">
        <f>HYPERLINK("https://talan.bank.gov.ua/get-user-certificate/45CEle4AhHReQ69Zb488","Завантажити сертифікат")</f>
        <v>Завантажити сертифікат</v>
      </c>
    </row>
    <row r="379" spans="1:6" x14ac:dyDescent="0.3">
      <c r="A379" t="s">
        <v>838</v>
      </c>
      <c r="B379" t="s">
        <v>6</v>
      </c>
      <c r="C379" t="s">
        <v>839</v>
      </c>
      <c r="D379" t="s">
        <v>828</v>
      </c>
      <c r="E379" t="s">
        <v>829</v>
      </c>
      <c r="F379" t="str">
        <f>HYPERLINK("https://talan.bank.gov.ua/get-user-certificate/45CElq9P6Ph12edNpZN5","Завантажити сертифікат")</f>
        <v>Завантажити сертифікат</v>
      </c>
    </row>
    <row r="380" spans="1:6" x14ac:dyDescent="0.3">
      <c r="A380" t="s">
        <v>840</v>
      </c>
      <c r="B380" t="s">
        <v>6</v>
      </c>
      <c r="C380" t="s">
        <v>841</v>
      </c>
      <c r="D380" t="s">
        <v>828</v>
      </c>
      <c r="E380" t="s">
        <v>829</v>
      </c>
      <c r="F380" t="str">
        <f>HYPERLINK("https://talan.bank.gov.ua/get-user-certificate/45CElTO72N_MgyEOhs0m","Завантажити сертифікат")</f>
        <v>Завантажити сертифікат</v>
      </c>
    </row>
    <row r="381" spans="1:6" x14ac:dyDescent="0.3">
      <c r="A381" t="s">
        <v>842</v>
      </c>
      <c r="B381" t="s">
        <v>6</v>
      </c>
      <c r="C381" t="s">
        <v>843</v>
      </c>
      <c r="D381" t="s">
        <v>828</v>
      </c>
      <c r="E381" t="s">
        <v>829</v>
      </c>
      <c r="F381" t="str">
        <f>HYPERLINK("https://talan.bank.gov.ua/get-user-certificate/45CEl3IIz86Uisrkd83P","Завантажити сертифікат")</f>
        <v>Завантажити сертифікат</v>
      </c>
    </row>
    <row r="382" spans="1:6" x14ac:dyDescent="0.3">
      <c r="A382" t="s">
        <v>844</v>
      </c>
      <c r="B382" t="s">
        <v>6</v>
      </c>
      <c r="C382" t="s">
        <v>845</v>
      </c>
      <c r="D382" t="s">
        <v>828</v>
      </c>
      <c r="E382" t="s">
        <v>829</v>
      </c>
      <c r="F382" t="str">
        <f>HYPERLINK("https://talan.bank.gov.ua/get-user-certificate/45CElLNcACfg05zsZ8Sw","Завантажити сертифікат")</f>
        <v>Завантажити сертифікат</v>
      </c>
    </row>
    <row r="383" spans="1:6" x14ac:dyDescent="0.3">
      <c r="A383" t="s">
        <v>846</v>
      </c>
      <c r="B383" t="s">
        <v>6</v>
      </c>
      <c r="C383" t="s">
        <v>847</v>
      </c>
      <c r="D383" t="s">
        <v>828</v>
      </c>
      <c r="E383" t="s">
        <v>829</v>
      </c>
      <c r="F383" t="str">
        <f>HYPERLINK("https://talan.bank.gov.ua/get-user-certificate/45CEl-OdrD8hLc11SZb7","Завантажити сертифікат")</f>
        <v>Завантажити сертифікат</v>
      </c>
    </row>
    <row r="384" spans="1:6" x14ac:dyDescent="0.3">
      <c r="A384" t="s">
        <v>848</v>
      </c>
      <c r="B384" t="s">
        <v>6</v>
      </c>
      <c r="C384" t="s">
        <v>849</v>
      </c>
      <c r="D384" t="s">
        <v>828</v>
      </c>
      <c r="E384" t="s">
        <v>829</v>
      </c>
      <c r="F384" t="str">
        <f>HYPERLINK("https://talan.bank.gov.ua/get-user-certificate/45CEl5_aR6YMzrZ6I0hR","Завантажити сертифікат")</f>
        <v>Завантажити сертифікат</v>
      </c>
    </row>
    <row r="385" spans="1:6" x14ac:dyDescent="0.3">
      <c r="A385" t="s">
        <v>850</v>
      </c>
      <c r="B385" t="s">
        <v>6</v>
      </c>
      <c r="C385" t="s">
        <v>851</v>
      </c>
      <c r="D385" t="s">
        <v>828</v>
      </c>
      <c r="E385" t="s">
        <v>829</v>
      </c>
      <c r="F385" t="str">
        <f>HYPERLINK("https://talan.bank.gov.ua/get-user-certificate/45CEl1o987Zk0z1NwxWz","Завантажити сертифікат")</f>
        <v>Завантажити сертифікат</v>
      </c>
    </row>
    <row r="386" spans="1:6" x14ac:dyDescent="0.3">
      <c r="A386" t="s">
        <v>852</v>
      </c>
      <c r="B386" t="s">
        <v>6</v>
      </c>
      <c r="C386" t="s">
        <v>853</v>
      </c>
      <c r="D386" t="s">
        <v>828</v>
      </c>
      <c r="E386" t="s">
        <v>829</v>
      </c>
      <c r="F386" t="str">
        <f>HYPERLINK("https://talan.bank.gov.ua/get-user-certificate/45CEldT5vqRCN6M18OQA","Завантажити сертифікат")</f>
        <v>Завантажити сертифікат</v>
      </c>
    </row>
    <row r="387" spans="1:6" x14ac:dyDescent="0.3">
      <c r="A387" t="s">
        <v>854</v>
      </c>
      <c r="B387" t="s">
        <v>6</v>
      </c>
      <c r="C387" t="s">
        <v>855</v>
      </c>
      <c r="D387" t="s">
        <v>828</v>
      </c>
      <c r="E387" t="s">
        <v>829</v>
      </c>
      <c r="F387" t="str">
        <f>HYPERLINK("https://talan.bank.gov.ua/get-user-certificate/45CEl6nTE_t0qTo5QR09","Завантажити сертифікат")</f>
        <v>Завантажити сертифікат</v>
      </c>
    </row>
    <row r="388" spans="1:6" x14ac:dyDescent="0.3">
      <c r="A388" t="s">
        <v>856</v>
      </c>
      <c r="B388" t="s">
        <v>6</v>
      </c>
      <c r="C388" t="s">
        <v>857</v>
      </c>
      <c r="D388" t="s">
        <v>828</v>
      </c>
      <c r="E388" t="s">
        <v>829</v>
      </c>
      <c r="F388" t="str">
        <f>HYPERLINK("https://talan.bank.gov.ua/get-user-certificate/45CElQCAAWl59W1Vihen","Завантажити сертифікат")</f>
        <v>Завантажити сертифікат</v>
      </c>
    </row>
    <row r="389" spans="1:6" x14ac:dyDescent="0.3">
      <c r="A389" t="s">
        <v>858</v>
      </c>
      <c r="B389" t="s">
        <v>6</v>
      </c>
      <c r="C389" t="s">
        <v>859</v>
      </c>
      <c r="D389" t="s">
        <v>828</v>
      </c>
      <c r="E389" t="s">
        <v>829</v>
      </c>
      <c r="F389" t="str">
        <f>HYPERLINK("https://talan.bank.gov.ua/get-user-certificate/45CElyW81RoAHVCJ7FHL","Завантажити сертифікат")</f>
        <v>Завантажити сертифікат</v>
      </c>
    </row>
    <row r="390" spans="1:6" x14ac:dyDescent="0.3">
      <c r="A390" t="s">
        <v>860</v>
      </c>
      <c r="B390" t="s">
        <v>6</v>
      </c>
      <c r="C390" t="s">
        <v>861</v>
      </c>
      <c r="D390" t="s">
        <v>862</v>
      </c>
      <c r="E390" t="s">
        <v>863</v>
      </c>
      <c r="F390" t="str">
        <f>HYPERLINK("https://talan.bank.gov.ua/get-user-certificate/45CElQmSFCLK6AzYno6i","Завантажити сертифікат")</f>
        <v>Завантажити сертифікат</v>
      </c>
    </row>
    <row r="391" spans="1:6" x14ac:dyDescent="0.3">
      <c r="A391" t="s">
        <v>864</v>
      </c>
      <c r="B391" t="s">
        <v>6</v>
      </c>
      <c r="C391" t="s">
        <v>865</v>
      </c>
      <c r="D391" t="s">
        <v>862</v>
      </c>
      <c r="E391" t="s">
        <v>863</v>
      </c>
      <c r="F391" t="str">
        <f>HYPERLINK("https://talan.bank.gov.ua/get-user-certificate/45CEl_4MWj-2rHeXS0tj","Завантажити сертифікат")</f>
        <v>Завантажити сертифікат</v>
      </c>
    </row>
    <row r="392" spans="1:6" x14ac:dyDescent="0.3">
      <c r="A392" t="s">
        <v>866</v>
      </c>
      <c r="B392" t="s">
        <v>6</v>
      </c>
      <c r="C392" t="s">
        <v>867</v>
      </c>
      <c r="D392" t="s">
        <v>862</v>
      </c>
      <c r="E392" t="s">
        <v>863</v>
      </c>
      <c r="F392" t="str">
        <f>HYPERLINK("https://talan.bank.gov.ua/get-user-certificate/45CElL9UbJnWdOB1T3pp","Завантажити сертифікат")</f>
        <v>Завантажити сертифікат</v>
      </c>
    </row>
    <row r="393" spans="1:6" x14ac:dyDescent="0.3">
      <c r="A393" t="s">
        <v>868</v>
      </c>
      <c r="B393" t="s">
        <v>6</v>
      </c>
      <c r="C393" t="s">
        <v>869</v>
      </c>
      <c r="D393" t="s">
        <v>862</v>
      </c>
      <c r="E393" t="s">
        <v>863</v>
      </c>
      <c r="F393" t="str">
        <f>HYPERLINK("https://talan.bank.gov.ua/get-user-certificate/45CEl8pg42SBvpsxzF8p","Завантажити сертифікат")</f>
        <v>Завантажити сертифікат</v>
      </c>
    </row>
    <row r="394" spans="1:6" x14ac:dyDescent="0.3">
      <c r="A394" t="s">
        <v>870</v>
      </c>
      <c r="B394" t="s">
        <v>6</v>
      </c>
      <c r="C394" t="s">
        <v>871</v>
      </c>
      <c r="D394" t="s">
        <v>862</v>
      </c>
      <c r="E394" t="s">
        <v>863</v>
      </c>
      <c r="F394" t="str">
        <f>HYPERLINK("https://talan.bank.gov.ua/get-user-certificate/45CEl0sEK5mCaBhpHnp4","Завантажити сертифікат")</f>
        <v>Завантажити сертифікат</v>
      </c>
    </row>
    <row r="395" spans="1:6" x14ac:dyDescent="0.3">
      <c r="A395" t="s">
        <v>872</v>
      </c>
      <c r="B395" t="s">
        <v>6</v>
      </c>
      <c r="C395" t="s">
        <v>873</v>
      </c>
      <c r="D395" t="s">
        <v>874</v>
      </c>
      <c r="E395" t="s">
        <v>875</v>
      </c>
      <c r="F395" t="str">
        <f>HYPERLINK("https://talan.bank.gov.ua/get-user-certificate/45CElJ2Dr_AH5gsQds_4","Завантажити сертифікат")</f>
        <v>Завантажити сертифікат</v>
      </c>
    </row>
    <row r="396" spans="1:6" x14ac:dyDescent="0.3">
      <c r="A396" t="s">
        <v>876</v>
      </c>
      <c r="B396" t="s">
        <v>6</v>
      </c>
      <c r="C396" t="s">
        <v>877</v>
      </c>
      <c r="D396" t="s">
        <v>874</v>
      </c>
      <c r="E396" t="s">
        <v>875</v>
      </c>
      <c r="F396" t="str">
        <f>HYPERLINK("https://talan.bank.gov.ua/get-user-certificate/45CElGzoaDmJRwoslo7J","Завантажити сертифікат")</f>
        <v>Завантажити сертифікат</v>
      </c>
    </row>
    <row r="397" spans="1:6" x14ac:dyDescent="0.3">
      <c r="A397" t="s">
        <v>878</v>
      </c>
      <c r="B397" t="s">
        <v>6</v>
      </c>
      <c r="C397" t="s">
        <v>879</v>
      </c>
      <c r="D397" t="s">
        <v>874</v>
      </c>
      <c r="E397" t="s">
        <v>875</v>
      </c>
      <c r="F397" t="str">
        <f>HYPERLINK("https://talan.bank.gov.ua/get-user-certificate/45CElpg4c9IW3b4D02xD","Завантажити сертифікат")</f>
        <v>Завантажити сертифікат</v>
      </c>
    </row>
    <row r="398" spans="1:6" x14ac:dyDescent="0.3">
      <c r="A398" t="s">
        <v>880</v>
      </c>
      <c r="B398" t="s">
        <v>6</v>
      </c>
      <c r="C398" t="s">
        <v>881</v>
      </c>
      <c r="D398" t="s">
        <v>874</v>
      </c>
      <c r="E398" t="s">
        <v>875</v>
      </c>
      <c r="F398" t="str">
        <f>HYPERLINK("https://talan.bank.gov.ua/get-user-certificate/45CEl5DRr9qa6T38RW02","Завантажити сертифікат")</f>
        <v>Завантажити сертифікат</v>
      </c>
    </row>
    <row r="399" spans="1:6" x14ac:dyDescent="0.3">
      <c r="A399" t="s">
        <v>882</v>
      </c>
      <c r="B399" t="s">
        <v>6</v>
      </c>
      <c r="C399" t="s">
        <v>883</v>
      </c>
      <c r="D399" t="s">
        <v>874</v>
      </c>
      <c r="E399" t="s">
        <v>875</v>
      </c>
      <c r="F399" t="str">
        <f>HYPERLINK("https://talan.bank.gov.ua/get-user-certificate/45CElHsw56sfIlhY_BkX","Завантажити сертифікат")</f>
        <v>Завантажити сертифікат</v>
      </c>
    </row>
    <row r="400" spans="1:6" x14ac:dyDescent="0.3">
      <c r="A400" t="s">
        <v>884</v>
      </c>
      <c r="B400" t="s">
        <v>6</v>
      </c>
      <c r="C400" t="s">
        <v>885</v>
      </c>
      <c r="D400" t="s">
        <v>874</v>
      </c>
      <c r="E400" t="s">
        <v>875</v>
      </c>
      <c r="F400" t="str">
        <f>HYPERLINK("https://talan.bank.gov.ua/get-user-certificate/45CElD8qPDk1n8n7j2Aa","Завантажити сертифікат")</f>
        <v>Завантажити сертифікат</v>
      </c>
    </row>
    <row r="401" spans="1:6" x14ac:dyDescent="0.3">
      <c r="A401" t="s">
        <v>886</v>
      </c>
      <c r="B401" t="s">
        <v>6</v>
      </c>
      <c r="C401" t="s">
        <v>887</v>
      </c>
      <c r="D401" t="s">
        <v>874</v>
      </c>
      <c r="E401" t="s">
        <v>875</v>
      </c>
      <c r="F401" t="str">
        <f>HYPERLINK("https://talan.bank.gov.ua/get-user-certificate/45CElyg77CC76PY71Byx","Завантажити сертифікат")</f>
        <v>Завантажити сертифікат</v>
      </c>
    </row>
    <row r="402" spans="1:6" x14ac:dyDescent="0.3">
      <c r="A402" t="s">
        <v>888</v>
      </c>
      <c r="B402" t="s">
        <v>6</v>
      </c>
      <c r="C402" t="s">
        <v>889</v>
      </c>
      <c r="D402" t="s">
        <v>874</v>
      </c>
      <c r="E402" t="s">
        <v>875</v>
      </c>
      <c r="F402" t="str">
        <f>HYPERLINK("https://talan.bank.gov.ua/get-user-certificate/45CEldQERNOw-ssqW83n","Завантажити сертифікат")</f>
        <v>Завантажити сертифікат</v>
      </c>
    </row>
    <row r="403" spans="1:6" x14ac:dyDescent="0.3">
      <c r="A403" t="s">
        <v>890</v>
      </c>
      <c r="B403" t="s">
        <v>6</v>
      </c>
      <c r="C403" t="s">
        <v>891</v>
      </c>
      <c r="D403" t="s">
        <v>874</v>
      </c>
      <c r="E403" t="s">
        <v>875</v>
      </c>
      <c r="F403" t="str">
        <f>HYPERLINK("https://talan.bank.gov.ua/get-user-certificate/45CElbJ3nklT4NLPhMhm","Завантажити сертифікат")</f>
        <v>Завантажити сертифікат</v>
      </c>
    </row>
    <row r="404" spans="1:6" x14ac:dyDescent="0.3">
      <c r="A404" t="s">
        <v>892</v>
      </c>
      <c r="B404" t="s">
        <v>6</v>
      </c>
      <c r="C404" t="s">
        <v>893</v>
      </c>
      <c r="D404" t="s">
        <v>874</v>
      </c>
      <c r="E404" t="s">
        <v>875</v>
      </c>
      <c r="F404" t="str">
        <f>HYPERLINK("https://talan.bank.gov.ua/get-user-certificate/45CElLzfDwx5g7ieKdG2","Завантажити сертифікат")</f>
        <v>Завантажити сертифікат</v>
      </c>
    </row>
    <row r="405" spans="1:6" x14ac:dyDescent="0.3">
      <c r="A405" t="s">
        <v>894</v>
      </c>
      <c r="B405" t="s">
        <v>6</v>
      </c>
      <c r="C405" t="s">
        <v>895</v>
      </c>
      <c r="D405" t="s">
        <v>874</v>
      </c>
      <c r="E405" t="s">
        <v>875</v>
      </c>
      <c r="F405" t="str">
        <f>HYPERLINK("https://talan.bank.gov.ua/get-user-certificate/45CElW7Z74O5eJbiqsHR","Завантажити сертифікат")</f>
        <v>Завантажити сертифікат</v>
      </c>
    </row>
    <row r="406" spans="1:6" x14ac:dyDescent="0.3">
      <c r="A406" t="s">
        <v>896</v>
      </c>
      <c r="B406" t="s">
        <v>6</v>
      </c>
      <c r="C406" t="s">
        <v>897</v>
      </c>
      <c r="D406" t="s">
        <v>874</v>
      </c>
      <c r="E406" t="s">
        <v>875</v>
      </c>
      <c r="F406" t="str">
        <f>HYPERLINK("https://talan.bank.gov.ua/get-user-certificate/45CElICS34CYcBj53nA-","Завантажити сертифікат")</f>
        <v>Завантажити сертифікат</v>
      </c>
    </row>
    <row r="407" spans="1:6" x14ac:dyDescent="0.3">
      <c r="A407" t="s">
        <v>898</v>
      </c>
      <c r="B407" t="s">
        <v>6</v>
      </c>
      <c r="C407" t="s">
        <v>899</v>
      </c>
      <c r="D407" t="s">
        <v>874</v>
      </c>
      <c r="E407" t="s">
        <v>875</v>
      </c>
      <c r="F407" t="str">
        <f>HYPERLINK("https://talan.bank.gov.ua/get-user-certificate/45CEljQVTSD2ApLuAMat","Завантажити сертифікат")</f>
        <v>Завантажити сертифікат</v>
      </c>
    </row>
    <row r="408" spans="1:6" x14ac:dyDescent="0.3">
      <c r="A408" t="s">
        <v>900</v>
      </c>
      <c r="B408" t="s">
        <v>6</v>
      </c>
      <c r="C408" t="s">
        <v>901</v>
      </c>
      <c r="D408" t="s">
        <v>874</v>
      </c>
      <c r="E408" t="s">
        <v>875</v>
      </c>
      <c r="F408" t="str">
        <f>HYPERLINK("https://talan.bank.gov.ua/get-user-certificate/45CEl9bYEa16G4IfLr1M","Завантажити сертифікат")</f>
        <v>Завантажити сертифікат</v>
      </c>
    </row>
    <row r="409" spans="1:6" x14ac:dyDescent="0.3">
      <c r="A409" t="s">
        <v>902</v>
      </c>
      <c r="B409" t="s">
        <v>6</v>
      </c>
      <c r="C409" t="s">
        <v>903</v>
      </c>
      <c r="D409" t="s">
        <v>874</v>
      </c>
      <c r="E409" t="s">
        <v>875</v>
      </c>
      <c r="F409" t="str">
        <f>HYPERLINK("https://talan.bank.gov.ua/get-user-certificate/45CEl8v4ZsKPsvtq1_Qn","Завантажити сертифікат")</f>
        <v>Завантажити сертифікат</v>
      </c>
    </row>
    <row r="410" spans="1:6" x14ac:dyDescent="0.3">
      <c r="A410" t="s">
        <v>904</v>
      </c>
      <c r="B410" t="s">
        <v>6</v>
      </c>
      <c r="C410" t="s">
        <v>905</v>
      </c>
      <c r="D410" t="s">
        <v>874</v>
      </c>
      <c r="E410" t="s">
        <v>875</v>
      </c>
      <c r="F410" t="str">
        <f>HYPERLINK("https://talan.bank.gov.ua/get-user-certificate/45CEld15to9FFjhi3FG_","Завантажити сертифікат")</f>
        <v>Завантажити сертифікат</v>
      </c>
    </row>
    <row r="411" spans="1:6" x14ac:dyDescent="0.3">
      <c r="A411" t="s">
        <v>906</v>
      </c>
      <c r="B411" t="s">
        <v>6</v>
      </c>
      <c r="C411" t="s">
        <v>907</v>
      </c>
      <c r="D411" t="s">
        <v>874</v>
      </c>
      <c r="E411" t="s">
        <v>875</v>
      </c>
      <c r="F411" t="str">
        <f>HYPERLINK("https://talan.bank.gov.ua/get-user-certificate/45CElms0Jn-hXpMp202e","Завантажити сертифікат")</f>
        <v>Завантажити сертифікат</v>
      </c>
    </row>
    <row r="412" spans="1:6" x14ac:dyDescent="0.3">
      <c r="A412" t="s">
        <v>908</v>
      </c>
      <c r="B412" t="s">
        <v>6</v>
      </c>
      <c r="C412" t="s">
        <v>909</v>
      </c>
      <c r="D412" t="s">
        <v>874</v>
      </c>
      <c r="E412" t="s">
        <v>875</v>
      </c>
      <c r="F412" t="str">
        <f>HYPERLINK("https://talan.bank.gov.ua/get-user-certificate/45CElTnlD6ujTBb51QhN","Завантажити сертифікат")</f>
        <v>Завантажити сертифікат</v>
      </c>
    </row>
    <row r="413" spans="1:6" x14ac:dyDescent="0.3">
      <c r="A413" t="s">
        <v>910</v>
      </c>
      <c r="B413" t="s">
        <v>6</v>
      </c>
      <c r="C413" t="s">
        <v>911</v>
      </c>
      <c r="D413" t="s">
        <v>874</v>
      </c>
      <c r="E413" t="s">
        <v>875</v>
      </c>
      <c r="F413" t="str">
        <f>HYPERLINK("https://talan.bank.gov.ua/get-user-certificate/45CElXUHexbeEjGLiy-F","Завантажити сертифікат")</f>
        <v>Завантажити сертифікат</v>
      </c>
    </row>
    <row r="414" spans="1:6" x14ac:dyDescent="0.3">
      <c r="A414" t="s">
        <v>912</v>
      </c>
      <c r="B414" t="s">
        <v>6</v>
      </c>
      <c r="C414" t="s">
        <v>913</v>
      </c>
      <c r="D414" t="s">
        <v>874</v>
      </c>
      <c r="E414" t="s">
        <v>875</v>
      </c>
      <c r="F414" t="str">
        <f>HYPERLINK("https://talan.bank.gov.ua/get-user-certificate/45CElkiy7e0kkSGHTy6v","Завантажити сертифікат")</f>
        <v>Завантажити сертифікат</v>
      </c>
    </row>
    <row r="415" spans="1:6" x14ac:dyDescent="0.3">
      <c r="A415" t="s">
        <v>914</v>
      </c>
      <c r="B415" t="s">
        <v>6</v>
      </c>
      <c r="C415" t="s">
        <v>915</v>
      </c>
      <c r="D415" t="s">
        <v>874</v>
      </c>
      <c r="E415" t="s">
        <v>875</v>
      </c>
      <c r="F415" t="str">
        <f>HYPERLINK("https://talan.bank.gov.ua/get-user-certificate/45CEldbOxrTFfXTHNMLP","Завантажити сертифікат")</f>
        <v>Завантажити сертифікат</v>
      </c>
    </row>
    <row r="416" spans="1:6" x14ac:dyDescent="0.3">
      <c r="A416" t="s">
        <v>916</v>
      </c>
      <c r="B416" t="s">
        <v>6</v>
      </c>
      <c r="C416" t="s">
        <v>917</v>
      </c>
      <c r="D416" t="s">
        <v>874</v>
      </c>
      <c r="E416" t="s">
        <v>875</v>
      </c>
      <c r="F416" t="str">
        <f>HYPERLINK("https://talan.bank.gov.ua/get-user-certificate/45CEllcYEtucCgQtWPSn","Завантажити сертифікат")</f>
        <v>Завантажити сертифікат</v>
      </c>
    </row>
    <row r="417" spans="1:6" x14ac:dyDescent="0.3">
      <c r="A417" t="s">
        <v>918</v>
      </c>
      <c r="B417" t="s">
        <v>6</v>
      </c>
      <c r="C417" t="s">
        <v>919</v>
      </c>
      <c r="D417" t="s">
        <v>874</v>
      </c>
      <c r="E417" t="s">
        <v>875</v>
      </c>
      <c r="F417" t="str">
        <f>HYPERLINK("https://talan.bank.gov.ua/get-user-certificate/45CElMe1tnvkGuZ-LTTb","Завантажити сертифікат")</f>
        <v>Завантажити сертифікат</v>
      </c>
    </row>
    <row r="418" spans="1:6" x14ac:dyDescent="0.3">
      <c r="A418" t="s">
        <v>920</v>
      </c>
      <c r="B418" t="s">
        <v>6</v>
      </c>
      <c r="C418" t="s">
        <v>921</v>
      </c>
      <c r="D418" t="s">
        <v>874</v>
      </c>
      <c r="E418" t="s">
        <v>875</v>
      </c>
      <c r="F418" t="str">
        <f>HYPERLINK("https://talan.bank.gov.ua/get-user-certificate/45CEl0U0n9fFxEnbZUsf","Завантажити сертифікат")</f>
        <v>Завантажити сертифікат</v>
      </c>
    </row>
    <row r="419" spans="1:6" x14ac:dyDescent="0.3">
      <c r="A419" t="s">
        <v>922</v>
      </c>
      <c r="B419" t="s">
        <v>6</v>
      </c>
      <c r="C419" t="s">
        <v>923</v>
      </c>
      <c r="D419" t="s">
        <v>874</v>
      </c>
      <c r="E419" t="s">
        <v>875</v>
      </c>
      <c r="F419" t="str">
        <f>HYPERLINK("https://talan.bank.gov.ua/get-user-certificate/45CEltCHvN4hBRlo97fH","Завантажити сертифікат")</f>
        <v>Завантажити сертифікат</v>
      </c>
    </row>
    <row r="420" spans="1:6" x14ac:dyDescent="0.3">
      <c r="A420" t="s">
        <v>924</v>
      </c>
      <c r="B420" t="s">
        <v>6</v>
      </c>
      <c r="C420" t="s">
        <v>925</v>
      </c>
      <c r="D420" t="s">
        <v>874</v>
      </c>
      <c r="E420" t="s">
        <v>875</v>
      </c>
      <c r="F420" t="str">
        <f>HYPERLINK("https://talan.bank.gov.ua/get-user-certificate/45CElgzhaDKaKIHNt_UK","Завантажити сертифікат")</f>
        <v>Завантажити сертифікат</v>
      </c>
    </row>
    <row r="421" spans="1:6" x14ac:dyDescent="0.3">
      <c r="A421" t="s">
        <v>926</v>
      </c>
      <c r="B421" t="s">
        <v>6</v>
      </c>
      <c r="C421" t="s">
        <v>927</v>
      </c>
      <c r="D421" t="s">
        <v>874</v>
      </c>
      <c r="E421" t="s">
        <v>875</v>
      </c>
      <c r="F421" t="str">
        <f>HYPERLINK("https://talan.bank.gov.ua/get-user-certificate/45CEl-yc7HtZatWgOuXR","Завантажити сертифікат")</f>
        <v>Завантажити сертифікат</v>
      </c>
    </row>
    <row r="422" spans="1:6" x14ac:dyDescent="0.3">
      <c r="A422" t="s">
        <v>928</v>
      </c>
      <c r="B422" t="s">
        <v>6</v>
      </c>
      <c r="C422" t="s">
        <v>929</v>
      </c>
      <c r="D422" t="s">
        <v>874</v>
      </c>
      <c r="E422" t="s">
        <v>875</v>
      </c>
      <c r="F422" t="str">
        <f>HYPERLINK("https://talan.bank.gov.ua/get-user-certificate/45CElx15BpZctyBziLAY","Завантажити сертифікат")</f>
        <v>Завантажити сертифікат</v>
      </c>
    </row>
    <row r="423" spans="1:6" x14ac:dyDescent="0.3">
      <c r="A423" t="s">
        <v>930</v>
      </c>
      <c r="B423" t="s">
        <v>6</v>
      </c>
      <c r="C423" t="s">
        <v>931</v>
      </c>
      <c r="D423" t="s">
        <v>874</v>
      </c>
      <c r="E423" t="s">
        <v>875</v>
      </c>
      <c r="F423" t="str">
        <f>HYPERLINK("https://talan.bank.gov.ua/get-user-certificate/45CElDK3lyB8hlhQJGYM","Завантажити сертифікат")</f>
        <v>Завантажити сертифікат</v>
      </c>
    </row>
    <row r="424" spans="1:6" x14ac:dyDescent="0.3">
      <c r="A424" t="s">
        <v>932</v>
      </c>
      <c r="B424" t="s">
        <v>6</v>
      </c>
      <c r="C424" t="s">
        <v>933</v>
      </c>
      <c r="D424" t="s">
        <v>874</v>
      </c>
      <c r="E424" t="s">
        <v>875</v>
      </c>
      <c r="F424" t="str">
        <f>HYPERLINK("https://talan.bank.gov.ua/get-user-certificate/45CElqogZwyBURfJKzho","Завантажити сертифікат")</f>
        <v>Завантажити сертифікат</v>
      </c>
    </row>
    <row r="425" spans="1:6" x14ac:dyDescent="0.3">
      <c r="A425" t="s">
        <v>934</v>
      </c>
      <c r="B425" t="s">
        <v>6</v>
      </c>
      <c r="C425" t="s">
        <v>935</v>
      </c>
      <c r="D425" t="s">
        <v>874</v>
      </c>
      <c r="E425" t="s">
        <v>875</v>
      </c>
      <c r="F425" t="str">
        <f>HYPERLINK("https://talan.bank.gov.ua/get-user-certificate/45CEluPf0___elufSaIt","Завантажити сертифікат")</f>
        <v>Завантажити сертифікат</v>
      </c>
    </row>
    <row r="426" spans="1:6" x14ac:dyDescent="0.3">
      <c r="A426" t="s">
        <v>936</v>
      </c>
      <c r="B426" t="s">
        <v>6</v>
      </c>
      <c r="C426" t="s">
        <v>937</v>
      </c>
      <c r="D426" t="s">
        <v>874</v>
      </c>
      <c r="E426" t="s">
        <v>875</v>
      </c>
      <c r="F426" t="str">
        <f>HYPERLINK("https://talan.bank.gov.ua/get-user-certificate/45CElVI1nziq1eys9Tjx","Завантажити сертифікат")</f>
        <v>Завантажити сертифікат</v>
      </c>
    </row>
    <row r="427" spans="1:6" x14ac:dyDescent="0.3">
      <c r="A427" t="s">
        <v>938</v>
      </c>
      <c r="B427" t="s">
        <v>6</v>
      </c>
      <c r="C427" t="s">
        <v>939</v>
      </c>
      <c r="D427" t="s">
        <v>874</v>
      </c>
      <c r="E427" t="s">
        <v>875</v>
      </c>
      <c r="F427" t="str">
        <f>HYPERLINK("https://talan.bank.gov.ua/get-user-certificate/45CElcuZzC72UhImF2rU","Завантажити сертифікат")</f>
        <v>Завантажити сертифікат</v>
      </c>
    </row>
    <row r="428" spans="1:6" x14ac:dyDescent="0.3">
      <c r="A428" t="s">
        <v>940</v>
      </c>
      <c r="B428" t="s">
        <v>6</v>
      </c>
      <c r="C428" t="s">
        <v>941</v>
      </c>
      <c r="D428" t="s">
        <v>874</v>
      </c>
      <c r="E428" t="s">
        <v>875</v>
      </c>
      <c r="F428" t="str">
        <f>HYPERLINK("https://talan.bank.gov.ua/get-user-certificate/45CEloy24Y4_wGumvDZb","Завантажити сертифікат")</f>
        <v>Завантажити сертифікат</v>
      </c>
    </row>
    <row r="429" spans="1:6" x14ac:dyDescent="0.3">
      <c r="A429" t="s">
        <v>942</v>
      </c>
      <c r="B429" t="s">
        <v>6</v>
      </c>
      <c r="C429" t="s">
        <v>943</v>
      </c>
      <c r="D429" t="s">
        <v>874</v>
      </c>
      <c r="E429" t="s">
        <v>875</v>
      </c>
      <c r="F429" t="str">
        <f>HYPERLINK("https://talan.bank.gov.ua/get-user-certificate/45CElkxUOc659S-YSocZ","Завантажити сертифікат")</f>
        <v>Завантажити сертифікат</v>
      </c>
    </row>
    <row r="430" spans="1:6" x14ac:dyDescent="0.3">
      <c r="A430" t="s">
        <v>944</v>
      </c>
      <c r="B430" t="s">
        <v>6</v>
      </c>
      <c r="C430" t="s">
        <v>945</v>
      </c>
      <c r="D430" t="s">
        <v>874</v>
      </c>
      <c r="E430" t="s">
        <v>875</v>
      </c>
      <c r="F430" t="str">
        <f>HYPERLINK("https://talan.bank.gov.ua/get-user-certificate/45CElFbeT1yPUl9H8Xi7","Завантажити сертифікат")</f>
        <v>Завантажити сертифікат</v>
      </c>
    </row>
    <row r="431" spans="1:6" x14ac:dyDescent="0.3">
      <c r="A431" t="s">
        <v>946</v>
      </c>
      <c r="B431" t="s">
        <v>6</v>
      </c>
      <c r="C431" t="s">
        <v>947</v>
      </c>
      <c r="D431" t="s">
        <v>874</v>
      </c>
      <c r="E431" t="s">
        <v>875</v>
      </c>
      <c r="F431" t="str">
        <f>HYPERLINK("https://talan.bank.gov.ua/get-user-certificate/45CEliJcN4JZB96vHXvD","Завантажити сертифікат")</f>
        <v>Завантажити сертифікат</v>
      </c>
    </row>
    <row r="432" spans="1:6" x14ac:dyDescent="0.3">
      <c r="A432" t="s">
        <v>948</v>
      </c>
      <c r="B432" t="s">
        <v>6</v>
      </c>
      <c r="C432" t="s">
        <v>949</v>
      </c>
      <c r="D432" t="s">
        <v>874</v>
      </c>
      <c r="E432" t="s">
        <v>875</v>
      </c>
      <c r="F432" t="str">
        <f>HYPERLINK("https://talan.bank.gov.ua/get-user-certificate/45CElXM7hszpXNrvx421","Завантажити сертифікат")</f>
        <v>Завантажити сертифікат</v>
      </c>
    </row>
    <row r="433" spans="1:6" x14ac:dyDescent="0.3">
      <c r="A433" t="s">
        <v>950</v>
      </c>
      <c r="B433" t="s">
        <v>6</v>
      </c>
      <c r="C433" t="s">
        <v>951</v>
      </c>
      <c r="D433" t="s">
        <v>874</v>
      </c>
      <c r="E433" t="s">
        <v>875</v>
      </c>
      <c r="F433" t="str">
        <f>HYPERLINK("https://talan.bank.gov.ua/get-user-certificate/45CEl644cwn-OjDHljbx","Завантажити сертифікат")</f>
        <v>Завантажити сертифікат</v>
      </c>
    </row>
    <row r="434" spans="1:6" x14ac:dyDescent="0.3">
      <c r="A434" t="s">
        <v>952</v>
      </c>
      <c r="B434" t="s">
        <v>6</v>
      </c>
      <c r="C434" t="s">
        <v>953</v>
      </c>
      <c r="D434" t="s">
        <v>874</v>
      </c>
      <c r="E434" t="s">
        <v>875</v>
      </c>
      <c r="F434" t="str">
        <f>HYPERLINK("https://talan.bank.gov.ua/get-user-certificate/45CElGByE5hWBCmF1qVE","Завантажити сертифікат")</f>
        <v>Завантажити сертифікат</v>
      </c>
    </row>
    <row r="435" spans="1:6" x14ac:dyDescent="0.3">
      <c r="A435" t="s">
        <v>954</v>
      </c>
      <c r="B435" t="s">
        <v>6</v>
      </c>
      <c r="C435" t="s">
        <v>955</v>
      </c>
      <c r="D435" t="s">
        <v>956</v>
      </c>
      <c r="E435" t="s">
        <v>957</v>
      </c>
      <c r="F435" t="str">
        <f>HYPERLINK("https://talan.bank.gov.ua/get-user-certificate/45CElP7ARHl55fSaDjJq","Завантажити сертифікат")</f>
        <v>Завантажити сертифікат</v>
      </c>
    </row>
    <row r="436" spans="1:6" x14ac:dyDescent="0.3">
      <c r="A436" t="s">
        <v>958</v>
      </c>
      <c r="B436" t="s">
        <v>6</v>
      </c>
      <c r="C436" t="s">
        <v>959</v>
      </c>
      <c r="D436" t="s">
        <v>956</v>
      </c>
      <c r="E436" t="s">
        <v>957</v>
      </c>
      <c r="F436" t="str">
        <f>HYPERLINK("https://talan.bank.gov.ua/get-user-certificate/45CEltK6CbhcdVkrDR0B","Завантажити сертифікат")</f>
        <v>Завантажити сертифікат</v>
      </c>
    </row>
    <row r="437" spans="1:6" x14ac:dyDescent="0.3">
      <c r="A437" t="s">
        <v>960</v>
      </c>
      <c r="B437" t="s">
        <v>6</v>
      </c>
      <c r="C437" t="s">
        <v>961</v>
      </c>
      <c r="D437" t="s">
        <v>956</v>
      </c>
      <c r="E437" t="s">
        <v>957</v>
      </c>
      <c r="F437" t="str">
        <f>HYPERLINK("https://talan.bank.gov.ua/get-user-certificate/45CElxd4IAqDB1Tvu6QL","Завантажити сертифікат")</f>
        <v>Завантажити сертифікат</v>
      </c>
    </row>
    <row r="438" spans="1:6" x14ac:dyDescent="0.3">
      <c r="A438" t="s">
        <v>962</v>
      </c>
      <c r="B438" t="s">
        <v>6</v>
      </c>
      <c r="C438" t="s">
        <v>963</v>
      </c>
      <c r="D438" t="s">
        <v>956</v>
      </c>
      <c r="E438" t="s">
        <v>957</v>
      </c>
      <c r="F438" t="str">
        <f>HYPERLINK("https://talan.bank.gov.ua/get-user-certificate/45CEluNkagUfChUy5th7","Завантажити сертифікат")</f>
        <v>Завантажити сертифікат</v>
      </c>
    </row>
    <row r="439" spans="1:6" x14ac:dyDescent="0.3">
      <c r="A439" t="s">
        <v>964</v>
      </c>
      <c r="B439" t="s">
        <v>6</v>
      </c>
      <c r="C439" t="s">
        <v>965</v>
      </c>
      <c r="D439" t="s">
        <v>956</v>
      </c>
      <c r="E439" t="s">
        <v>957</v>
      </c>
      <c r="F439" t="str">
        <f>HYPERLINK("https://talan.bank.gov.ua/get-user-certificate/45CElwdpJ29x3yXyma1g","Завантажити сертифікат")</f>
        <v>Завантажити сертифікат</v>
      </c>
    </row>
    <row r="440" spans="1:6" x14ac:dyDescent="0.3">
      <c r="A440" t="s">
        <v>966</v>
      </c>
      <c r="B440" t="s">
        <v>6</v>
      </c>
      <c r="C440" t="s">
        <v>967</v>
      </c>
      <c r="D440" t="s">
        <v>956</v>
      </c>
      <c r="E440" t="s">
        <v>957</v>
      </c>
      <c r="F440" t="str">
        <f>HYPERLINK("https://talan.bank.gov.ua/get-user-certificate/45CElNuFo87NA6edZ0Mq","Завантажити сертифікат")</f>
        <v>Завантажити сертифікат</v>
      </c>
    </row>
    <row r="441" spans="1:6" x14ac:dyDescent="0.3">
      <c r="A441" t="s">
        <v>968</v>
      </c>
      <c r="B441" t="s">
        <v>6</v>
      </c>
      <c r="C441" t="s">
        <v>969</v>
      </c>
      <c r="D441" t="s">
        <v>956</v>
      </c>
      <c r="E441" t="s">
        <v>957</v>
      </c>
      <c r="F441" t="str">
        <f>HYPERLINK("https://talan.bank.gov.ua/get-user-certificate/45CEll30zrcIhIZ_LSZH","Завантажити сертифікат")</f>
        <v>Завантажити сертифікат</v>
      </c>
    </row>
    <row r="442" spans="1:6" x14ac:dyDescent="0.3">
      <c r="A442" t="s">
        <v>970</v>
      </c>
      <c r="B442" t="s">
        <v>6</v>
      </c>
      <c r="C442" t="s">
        <v>971</v>
      </c>
      <c r="D442" t="s">
        <v>956</v>
      </c>
      <c r="E442" t="s">
        <v>957</v>
      </c>
      <c r="F442" t="str">
        <f>HYPERLINK("https://talan.bank.gov.ua/get-user-certificate/45CElzRPDX2LAswtF-o6","Завантажити сертифікат")</f>
        <v>Завантажити сертифікат</v>
      </c>
    </row>
    <row r="443" spans="1:6" x14ac:dyDescent="0.3">
      <c r="A443" t="s">
        <v>972</v>
      </c>
      <c r="B443" t="s">
        <v>6</v>
      </c>
      <c r="C443" t="s">
        <v>973</v>
      </c>
      <c r="D443" t="s">
        <v>956</v>
      </c>
      <c r="E443" t="s">
        <v>957</v>
      </c>
      <c r="F443" t="str">
        <f>HYPERLINK("https://talan.bank.gov.ua/get-user-certificate/45CEl-W6ocUMVChj1fxU","Завантажити сертифікат")</f>
        <v>Завантажити сертифікат</v>
      </c>
    </row>
    <row r="444" spans="1:6" x14ac:dyDescent="0.3">
      <c r="A444" t="s">
        <v>974</v>
      </c>
      <c r="B444" t="s">
        <v>6</v>
      </c>
      <c r="C444" t="s">
        <v>975</v>
      </c>
      <c r="D444" t="s">
        <v>956</v>
      </c>
      <c r="E444" t="s">
        <v>957</v>
      </c>
      <c r="F444" t="str">
        <f>HYPERLINK("https://talan.bank.gov.ua/get-user-certificate/45CElJwWga3BaG1sPjMZ","Завантажити сертифікат")</f>
        <v>Завантажити сертифікат</v>
      </c>
    </row>
    <row r="445" spans="1:6" x14ac:dyDescent="0.3">
      <c r="A445" t="s">
        <v>976</v>
      </c>
      <c r="B445" t="s">
        <v>6</v>
      </c>
      <c r="C445" t="s">
        <v>977</v>
      </c>
      <c r="D445" t="s">
        <v>956</v>
      </c>
      <c r="E445" t="s">
        <v>957</v>
      </c>
      <c r="F445" t="str">
        <f>HYPERLINK("https://talan.bank.gov.ua/get-user-certificate/45CEl5rDIxltFHLJUqK2","Завантажити сертифікат")</f>
        <v>Завантажити сертифікат</v>
      </c>
    </row>
    <row r="446" spans="1:6" x14ac:dyDescent="0.3">
      <c r="A446" t="s">
        <v>978</v>
      </c>
      <c r="B446" t="s">
        <v>6</v>
      </c>
      <c r="C446" t="s">
        <v>979</v>
      </c>
      <c r="D446" t="s">
        <v>956</v>
      </c>
      <c r="E446" t="s">
        <v>957</v>
      </c>
      <c r="F446" t="str">
        <f>HYPERLINK("https://talan.bank.gov.ua/get-user-certificate/45CElByOJP1IPMApH4IJ","Завантажити сертифікат")</f>
        <v>Завантажити сертифікат</v>
      </c>
    </row>
    <row r="447" spans="1:6" x14ac:dyDescent="0.3">
      <c r="A447" t="s">
        <v>980</v>
      </c>
      <c r="B447" t="s">
        <v>6</v>
      </c>
      <c r="C447" t="s">
        <v>981</v>
      </c>
      <c r="D447" t="s">
        <v>956</v>
      </c>
      <c r="E447" t="s">
        <v>957</v>
      </c>
      <c r="F447" t="str">
        <f>HYPERLINK("https://talan.bank.gov.ua/get-user-certificate/45CElH9yFAiXx_YzlmTM","Завантажити сертифікат")</f>
        <v>Завантажити сертифікат</v>
      </c>
    </row>
    <row r="448" spans="1:6" x14ac:dyDescent="0.3">
      <c r="A448" t="s">
        <v>982</v>
      </c>
      <c r="B448" t="s">
        <v>6</v>
      </c>
      <c r="C448" t="s">
        <v>983</v>
      </c>
      <c r="D448" t="s">
        <v>984</v>
      </c>
      <c r="E448" t="s">
        <v>985</v>
      </c>
      <c r="F448" t="str">
        <f>HYPERLINK("https://talan.bank.gov.ua/get-user-certificate/45CElW8OOktzwjk6G2j3","Завантажити сертифікат")</f>
        <v>Завантажити сертифікат</v>
      </c>
    </row>
    <row r="449" spans="1:6" x14ac:dyDescent="0.3">
      <c r="A449" t="s">
        <v>986</v>
      </c>
      <c r="B449" t="s">
        <v>6</v>
      </c>
      <c r="C449" t="s">
        <v>987</v>
      </c>
      <c r="D449" t="s">
        <v>984</v>
      </c>
      <c r="E449" t="s">
        <v>985</v>
      </c>
      <c r="F449" t="str">
        <f>HYPERLINK("https://talan.bank.gov.ua/get-user-certificate/45CElLx-qzs8sQHvUhDq","Завантажити сертифікат")</f>
        <v>Завантажити сертифікат</v>
      </c>
    </row>
    <row r="450" spans="1:6" x14ac:dyDescent="0.3">
      <c r="A450" t="s">
        <v>988</v>
      </c>
      <c r="B450" t="s">
        <v>6</v>
      </c>
      <c r="C450" t="s">
        <v>989</v>
      </c>
      <c r="D450" t="s">
        <v>984</v>
      </c>
      <c r="E450" t="s">
        <v>985</v>
      </c>
      <c r="F450" t="str">
        <f>HYPERLINK("https://talan.bank.gov.ua/get-user-certificate/45CElsrLimGNrdt17OtR","Завантажити сертифікат")</f>
        <v>Завантажити сертифікат</v>
      </c>
    </row>
    <row r="451" spans="1:6" x14ac:dyDescent="0.3">
      <c r="A451" t="s">
        <v>990</v>
      </c>
      <c r="B451" t="s">
        <v>6</v>
      </c>
      <c r="C451" t="s">
        <v>991</v>
      </c>
      <c r="D451" t="s">
        <v>984</v>
      </c>
      <c r="E451" t="s">
        <v>985</v>
      </c>
      <c r="F451" t="str">
        <f>HYPERLINK("https://talan.bank.gov.ua/get-user-certificate/45CEle8SbMNEsATNlqq7","Завантажити сертифікат")</f>
        <v>Завантажити сертифікат</v>
      </c>
    </row>
    <row r="452" spans="1:6" x14ac:dyDescent="0.3">
      <c r="A452" t="s">
        <v>992</v>
      </c>
      <c r="B452" t="s">
        <v>6</v>
      </c>
      <c r="C452" t="s">
        <v>993</v>
      </c>
      <c r="D452" t="s">
        <v>984</v>
      </c>
      <c r="E452" t="s">
        <v>985</v>
      </c>
      <c r="F452" t="str">
        <f>HYPERLINK("https://talan.bank.gov.ua/get-user-certificate/45CElr3UY1Dm8LiDNajt","Завантажити сертифікат")</f>
        <v>Завантажити сертифікат</v>
      </c>
    </row>
    <row r="453" spans="1:6" x14ac:dyDescent="0.3">
      <c r="A453" t="s">
        <v>994</v>
      </c>
      <c r="B453" t="s">
        <v>6</v>
      </c>
      <c r="C453" t="s">
        <v>995</v>
      </c>
      <c r="D453" t="s">
        <v>984</v>
      </c>
      <c r="E453" t="s">
        <v>985</v>
      </c>
      <c r="F453" t="str">
        <f>HYPERLINK("https://talan.bank.gov.ua/get-user-certificate/45CElwlVLpVNYcriq8m3","Завантажити сертифікат")</f>
        <v>Завантажити сертифікат</v>
      </c>
    </row>
    <row r="454" spans="1:6" x14ac:dyDescent="0.3">
      <c r="A454" t="s">
        <v>996</v>
      </c>
      <c r="B454" t="s">
        <v>6</v>
      </c>
      <c r="C454" t="s">
        <v>997</v>
      </c>
      <c r="D454" t="s">
        <v>984</v>
      </c>
      <c r="E454" t="s">
        <v>985</v>
      </c>
      <c r="F454" t="str">
        <f>HYPERLINK("https://talan.bank.gov.ua/get-user-certificate/45CElnICgHhwIMO6Z0b1","Завантажити сертифікат")</f>
        <v>Завантажити сертифікат</v>
      </c>
    </row>
    <row r="455" spans="1:6" x14ac:dyDescent="0.3">
      <c r="A455" t="s">
        <v>998</v>
      </c>
      <c r="B455" t="s">
        <v>6</v>
      </c>
      <c r="C455" t="s">
        <v>999</v>
      </c>
      <c r="D455" t="s">
        <v>984</v>
      </c>
      <c r="E455" t="s">
        <v>985</v>
      </c>
      <c r="F455" t="str">
        <f>HYPERLINK("https://talan.bank.gov.ua/get-user-certificate/45CEl5Vg3db9AhcEXNr6","Завантажити сертифікат")</f>
        <v>Завантажити сертифікат</v>
      </c>
    </row>
    <row r="456" spans="1:6" x14ac:dyDescent="0.3">
      <c r="A456" t="s">
        <v>1000</v>
      </c>
      <c r="B456" t="s">
        <v>6</v>
      </c>
      <c r="C456" t="s">
        <v>1001</v>
      </c>
      <c r="D456" t="s">
        <v>984</v>
      </c>
      <c r="E456" t="s">
        <v>985</v>
      </c>
      <c r="F456" t="str">
        <f>HYPERLINK("https://talan.bank.gov.ua/get-user-certificate/45CEl2urrF1bjKLCAeYf","Завантажити сертифікат")</f>
        <v>Завантажити сертифікат</v>
      </c>
    </row>
    <row r="457" spans="1:6" x14ac:dyDescent="0.3">
      <c r="A457" t="s">
        <v>1002</v>
      </c>
      <c r="B457" t="s">
        <v>6</v>
      </c>
      <c r="C457" t="s">
        <v>1003</v>
      </c>
      <c r="D457" t="s">
        <v>984</v>
      </c>
      <c r="E457" t="s">
        <v>985</v>
      </c>
      <c r="F457" t="str">
        <f>HYPERLINK("https://talan.bank.gov.ua/get-user-certificate/45CEl-MC9Tih0-q8lrxn","Завантажити сертифікат")</f>
        <v>Завантажити сертифікат</v>
      </c>
    </row>
    <row r="458" spans="1:6" x14ac:dyDescent="0.3">
      <c r="A458" t="s">
        <v>1004</v>
      </c>
      <c r="B458" t="s">
        <v>6</v>
      </c>
      <c r="C458" t="s">
        <v>1005</v>
      </c>
      <c r="D458" t="s">
        <v>1006</v>
      </c>
      <c r="E458" t="s">
        <v>1007</v>
      </c>
      <c r="F458" t="str">
        <f>HYPERLINK("https://talan.bank.gov.ua/get-user-certificate/45CElAYpmdBnY-caxCmz","Завантажити сертифікат")</f>
        <v>Завантажити сертифікат</v>
      </c>
    </row>
    <row r="459" spans="1:6" x14ac:dyDescent="0.3">
      <c r="A459" t="s">
        <v>1008</v>
      </c>
      <c r="B459" t="s">
        <v>6</v>
      </c>
      <c r="C459" t="s">
        <v>1009</v>
      </c>
      <c r="D459" t="s">
        <v>1006</v>
      </c>
      <c r="E459" t="s">
        <v>1007</v>
      </c>
      <c r="F459" t="str">
        <f>HYPERLINK("https://talan.bank.gov.ua/get-user-certificate/45CElnJAGfCNqX8wG99G","Завантажити сертифікат")</f>
        <v>Завантажити сертифікат</v>
      </c>
    </row>
    <row r="460" spans="1:6" x14ac:dyDescent="0.3">
      <c r="A460" t="s">
        <v>1010</v>
      </c>
      <c r="B460" t="s">
        <v>6</v>
      </c>
      <c r="C460" t="s">
        <v>1011</v>
      </c>
      <c r="D460" t="s">
        <v>1006</v>
      </c>
      <c r="E460" t="s">
        <v>1007</v>
      </c>
      <c r="F460" t="str">
        <f>HYPERLINK("https://talan.bank.gov.ua/get-user-certificate/45CElSsCiX8ADJwgyaNt","Завантажити сертифікат")</f>
        <v>Завантажити сертифікат</v>
      </c>
    </row>
    <row r="461" spans="1:6" x14ac:dyDescent="0.3">
      <c r="A461" t="s">
        <v>1012</v>
      </c>
      <c r="B461" t="s">
        <v>6</v>
      </c>
      <c r="C461" t="s">
        <v>1013</v>
      </c>
      <c r="D461" t="s">
        <v>1006</v>
      </c>
      <c r="E461" t="s">
        <v>1007</v>
      </c>
      <c r="F461" t="str">
        <f>HYPERLINK("https://talan.bank.gov.ua/get-user-certificate/45CElejQgCa4VktQnnMm","Завантажити сертифікат")</f>
        <v>Завантажити сертифікат</v>
      </c>
    </row>
    <row r="462" spans="1:6" x14ac:dyDescent="0.3">
      <c r="A462" t="s">
        <v>1014</v>
      </c>
      <c r="B462" t="s">
        <v>6</v>
      </c>
      <c r="C462" t="s">
        <v>1015</v>
      </c>
      <c r="D462" t="s">
        <v>1006</v>
      </c>
      <c r="E462" t="s">
        <v>1007</v>
      </c>
      <c r="F462" t="str">
        <f>HYPERLINK("https://talan.bank.gov.ua/get-user-certificate/45CEleugkWzgR-u5RW6G","Завантажити сертифікат")</f>
        <v>Завантажити сертифікат</v>
      </c>
    </row>
    <row r="463" spans="1:6" x14ac:dyDescent="0.3">
      <c r="A463" t="s">
        <v>1016</v>
      </c>
      <c r="B463" t="s">
        <v>6</v>
      </c>
      <c r="C463" t="s">
        <v>1017</v>
      </c>
      <c r="D463" t="s">
        <v>1006</v>
      </c>
      <c r="E463" t="s">
        <v>1007</v>
      </c>
      <c r="F463" t="str">
        <f>HYPERLINK("https://talan.bank.gov.ua/get-user-certificate/45CElECawopyBh1xmdVy","Завантажити сертифікат")</f>
        <v>Завантажити сертифікат</v>
      </c>
    </row>
    <row r="464" spans="1:6" x14ac:dyDescent="0.3">
      <c r="A464" t="s">
        <v>1018</v>
      </c>
      <c r="B464" t="s">
        <v>6</v>
      </c>
      <c r="C464" t="s">
        <v>1019</v>
      </c>
      <c r="D464" t="s">
        <v>1006</v>
      </c>
      <c r="E464" t="s">
        <v>1007</v>
      </c>
      <c r="F464" t="str">
        <f>HYPERLINK("https://talan.bank.gov.ua/get-user-certificate/45CElnO8pXG-3KVfPd5M","Завантажити сертифікат")</f>
        <v>Завантажити сертифікат</v>
      </c>
    </row>
    <row r="465" spans="1:6" x14ac:dyDescent="0.3">
      <c r="A465" t="s">
        <v>1020</v>
      </c>
      <c r="B465" t="s">
        <v>6</v>
      </c>
      <c r="C465" t="s">
        <v>1021</v>
      </c>
      <c r="D465" t="s">
        <v>1006</v>
      </c>
      <c r="E465" t="s">
        <v>1007</v>
      </c>
      <c r="F465" t="str">
        <f>HYPERLINK("https://talan.bank.gov.ua/get-user-certificate/45CElDqULwzu_f1Dd4VS","Завантажити сертифікат")</f>
        <v>Завантажити сертифікат</v>
      </c>
    </row>
    <row r="466" spans="1:6" x14ac:dyDescent="0.3">
      <c r="A466" t="s">
        <v>1022</v>
      </c>
      <c r="B466" t="s">
        <v>6</v>
      </c>
      <c r="C466" t="s">
        <v>1023</v>
      </c>
      <c r="D466" t="s">
        <v>1006</v>
      </c>
      <c r="E466" t="s">
        <v>1007</v>
      </c>
      <c r="F466" t="str">
        <f>HYPERLINK("https://talan.bank.gov.ua/get-user-certificate/45CElDF36nrLUP5hWoIk","Завантажити сертифікат")</f>
        <v>Завантажити сертифікат</v>
      </c>
    </row>
    <row r="467" spans="1:6" x14ac:dyDescent="0.3">
      <c r="A467" t="s">
        <v>1024</v>
      </c>
      <c r="B467" t="s">
        <v>6</v>
      </c>
      <c r="C467" t="s">
        <v>1025</v>
      </c>
      <c r="D467" t="s">
        <v>1006</v>
      </c>
      <c r="E467" t="s">
        <v>1007</v>
      </c>
      <c r="F467" t="str">
        <f>HYPERLINK("https://talan.bank.gov.ua/get-user-certificate/45CElBwXewoFbnp98qR6","Завантажити сертифікат")</f>
        <v>Завантажити сертифікат</v>
      </c>
    </row>
    <row r="468" spans="1:6" x14ac:dyDescent="0.3">
      <c r="A468" t="s">
        <v>1026</v>
      </c>
      <c r="B468" t="s">
        <v>6</v>
      </c>
      <c r="C468" t="s">
        <v>1027</v>
      </c>
      <c r="D468" t="s">
        <v>1028</v>
      </c>
      <c r="E468" t="s">
        <v>1029</v>
      </c>
      <c r="F468" t="str">
        <f>HYPERLINK("https://talan.bank.gov.ua/get-user-certificate/45CElypkoyq2lyknqxV5","Завантажити сертифікат")</f>
        <v>Завантажити сертифікат</v>
      </c>
    </row>
    <row r="469" spans="1:6" x14ac:dyDescent="0.3">
      <c r="A469" t="s">
        <v>1030</v>
      </c>
      <c r="B469" t="s">
        <v>6</v>
      </c>
      <c r="C469" t="s">
        <v>1031</v>
      </c>
      <c r="D469" t="s">
        <v>1028</v>
      </c>
      <c r="E469" t="s">
        <v>1029</v>
      </c>
      <c r="F469" t="str">
        <f>HYPERLINK("https://talan.bank.gov.ua/get-user-certificate/45CEl3jN4FedLZW8fXfc","Завантажити сертифікат")</f>
        <v>Завантажити сертифікат</v>
      </c>
    </row>
    <row r="470" spans="1:6" x14ac:dyDescent="0.3">
      <c r="A470" t="s">
        <v>1032</v>
      </c>
      <c r="B470" t="s">
        <v>6</v>
      </c>
      <c r="C470" t="s">
        <v>1033</v>
      </c>
      <c r="D470" t="s">
        <v>1028</v>
      </c>
      <c r="E470" t="s">
        <v>1029</v>
      </c>
      <c r="F470" t="str">
        <f>HYPERLINK("https://talan.bank.gov.ua/get-user-certificate/45CEl2xM2KYChaKE6FdX","Завантажити сертифікат")</f>
        <v>Завантажити сертифікат</v>
      </c>
    </row>
    <row r="471" spans="1:6" x14ac:dyDescent="0.3">
      <c r="A471" t="s">
        <v>1034</v>
      </c>
      <c r="B471" t="s">
        <v>6</v>
      </c>
      <c r="C471" t="s">
        <v>1035</v>
      </c>
      <c r="D471" t="s">
        <v>1028</v>
      </c>
      <c r="E471" t="s">
        <v>1029</v>
      </c>
      <c r="F471" t="str">
        <f>HYPERLINK("https://talan.bank.gov.ua/get-user-certificate/45CEleV7cz-eu-4bvNHD","Завантажити сертифікат")</f>
        <v>Завантажити сертифікат</v>
      </c>
    </row>
    <row r="472" spans="1:6" x14ac:dyDescent="0.3">
      <c r="A472" t="s">
        <v>1036</v>
      </c>
      <c r="B472" t="s">
        <v>6</v>
      </c>
      <c r="C472" t="s">
        <v>1037</v>
      </c>
      <c r="D472" t="s">
        <v>1028</v>
      </c>
      <c r="E472" t="s">
        <v>1029</v>
      </c>
      <c r="F472" t="str">
        <f>HYPERLINK("https://talan.bank.gov.ua/get-user-certificate/45CEl29xLgAlN21hMvJ2","Завантажити сертифікат")</f>
        <v>Завантажити сертифікат</v>
      </c>
    </row>
    <row r="473" spans="1:6" x14ac:dyDescent="0.3">
      <c r="A473" t="s">
        <v>1038</v>
      </c>
      <c r="B473" t="s">
        <v>6</v>
      </c>
      <c r="C473" t="s">
        <v>1039</v>
      </c>
      <c r="D473" t="s">
        <v>1028</v>
      </c>
      <c r="E473" t="s">
        <v>1029</v>
      </c>
      <c r="F473" t="str">
        <f>HYPERLINK("https://talan.bank.gov.ua/get-user-certificate/45CElwRd48_SVroB5FRD","Завантажити сертифікат")</f>
        <v>Завантажити сертифікат</v>
      </c>
    </row>
    <row r="474" spans="1:6" x14ac:dyDescent="0.3">
      <c r="A474" t="s">
        <v>1040</v>
      </c>
      <c r="B474" t="s">
        <v>6</v>
      </c>
      <c r="C474" t="s">
        <v>1041</v>
      </c>
      <c r="D474" t="s">
        <v>1028</v>
      </c>
      <c r="E474" t="s">
        <v>1029</v>
      </c>
      <c r="F474" t="str">
        <f>HYPERLINK("https://talan.bank.gov.ua/get-user-certificate/45CElu1zdZ-jlbdbI7oS","Завантажити сертифікат")</f>
        <v>Завантажити сертифікат</v>
      </c>
    </row>
    <row r="475" spans="1:6" x14ac:dyDescent="0.3">
      <c r="A475" t="s">
        <v>1042</v>
      </c>
      <c r="B475" t="s">
        <v>6</v>
      </c>
      <c r="C475" t="s">
        <v>1043</v>
      </c>
      <c r="D475" t="s">
        <v>1028</v>
      </c>
      <c r="E475" t="s">
        <v>1029</v>
      </c>
      <c r="F475" t="str">
        <f>HYPERLINK("https://talan.bank.gov.ua/get-user-certificate/45CElI_peMzk25usI40h","Завантажити сертифікат")</f>
        <v>Завантажити сертифікат</v>
      </c>
    </row>
    <row r="476" spans="1:6" x14ac:dyDescent="0.3">
      <c r="A476" t="s">
        <v>1044</v>
      </c>
      <c r="B476" t="s">
        <v>6</v>
      </c>
      <c r="C476" t="s">
        <v>1045</v>
      </c>
      <c r="D476" t="s">
        <v>1046</v>
      </c>
      <c r="E476" t="s">
        <v>1047</v>
      </c>
      <c r="F476" t="str">
        <f>HYPERLINK("https://talan.bank.gov.ua/get-user-certificate/45CEl1lhhmPaF-71TqAj","Завантажити сертифікат")</f>
        <v>Завантажити сертифікат</v>
      </c>
    </row>
    <row r="477" spans="1:6" x14ac:dyDescent="0.3">
      <c r="A477" t="s">
        <v>1048</v>
      </c>
      <c r="B477" t="s">
        <v>6</v>
      </c>
      <c r="C477" t="s">
        <v>1049</v>
      </c>
      <c r="D477" t="s">
        <v>1046</v>
      </c>
      <c r="E477" t="s">
        <v>1047</v>
      </c>
      <c r="F477" t="str">
        <f>HYPERLINK("https://talan.bank.gov.ua/get-user-certificate/45CElOWMYcZGSv66eAuJ","Завантажити сертифікат")</f>
        <v>Завантажити сертифікат</v>
      </c>
    </row>
    <row r="478" spans="1:6" x14ac:dyDescent="0.3">
      <c r="A478" t="s">
        <v>1050</v>
      </c>
      <c r="B478" t="s">
        <v>6</v>
      </c>
      <c r="C478" t="s">
        <v>1051</v>
      </c>
      <c r="D478" t="s">
        <v>1046</v>
      </c>
      <c r="E478" t="s">
        <v>1047</v>
      </c>
      <c r="F478" t="str">
        <f>HYPERLINK("https://talan.bank.gov.ua/get-user-certificate/45CEl1PxHGzXj4aBRC_B","Завантажити сертифікат")</f>
        <v>Завантажити сертифікат</v>
      </c>
    </row>
    <row r="479" spans="1:6" x14ac:dyDescent="0.3">
      <c r="A479" t="s">
        <v>1052</v>
      </c>
      <c r="B479" t="s">
        <v>6</v>
      </c>
      <c r="C479" t="s">
        <v>1053</v>
      </c>
      <c r="D479" t="s">
        <v>1046</v>
      </c>
      <c r="E479" t="s">
        <v>1047</v>
      </c>
      <c r="F479" t="str">
        <f>HYPERLINK("https://talan.bank.gov.ua/get-user-certificate/45CElWLjw50NmPVGoxDF","Завантажити сертифікат")</f>
        <v>Завантажити сертифікат</v>
      </c>
    </row>
    <row r="480" spans="1:6" x14ac:dyDescent="0.3">
      <c r="A480" t="s">
        <v>1054</v>
      </c>
      <c r="B480" t="s">
        <v>6</v>
      </c>
      <c r="C480" t="s">
        <v>1055</v>
      </c>
      <c r="D480" t="s">
        <v>1046</v>
      </c>
      <c r="E480" t="s">
        <v>1047</v>
      </c>
      <c r="F480" t="str">
        <f>HYPERLINK("https://talan.bank.gov.ua/get-user-certificate/45CElLrrZQrRDhuhyRgZ","Завантажити сертифікат")</f>
        <v>Завантажити сертифікат</v>
      </c>
    </row>
    <row r="481" spans="1:6" x14ac:dyDescent="0.3">
      <c r="A481" t="s">
        <v>1056</v>
      </c>
      <c r="B481" t="s">
        <v>6</v>
      </c>
      <c r="C481" t="s">
        <v>1057</v>
      </c>
      <c r="D481" t="s">
        <v>1058</v>
      </c>
      <c r="E481" t="s">
        <v>1059</v>
      </c>
      <c r="F481" t="str">
        <f>HYPERLINK("https://talan.bank.gov.ua/get-user-certificate/45CEl_6dNg5eJTUpi-6m","Завантажити сертифікат")</f>
        <v>Завантажити сертифікат</v>
      </c>
    </row>
    <row r="482" spans="1:6" x14ac:dyDescent="0.3">
      <c r="A482" t="s">
        <v>1060</v>
      </c>
      <c r="B482" t="s">
        <v>6</v>
      </c>
      <c r="C482" t="s">
        <v>1061</v>
      </c>
      <c r="D482" t="s">
        <v>1058</v>
      </c>
      <c r="E482" t="s">
        <v>1059</v>
      </c>
      <c r="F482" t="str">
        <f>HYPERLINK("https://talan.bank.gov.ua/get-user-certificate/45CElp3GOFj_HkwUTMvx","Завантажити сертифікат")</f>
        <v>Завантажити сертифікат</v>
      </c>
    </row>
    <row r="483" spans="1:6" x14ac:dyDescent="0.3">
      <c r="A483" t="s">
        <v>1062</v>
      </c>
      <c r="B483" t="s">
        <v>6</v>
      </c>
      <c r="C483" t="s">
        <v>1063</v>
      </c>
      <c r="D483" t="s">
        <v>1058</v>
      </c>
      <c r="E483" t="s">
        <v>1059</v>
      </c>
      <c r="F483" t="str">
        <f>HYPERLINK("https://talan.bank.gov.ua/get-user-certificate/45CElOAXfeJv3nedkr0V","Завантажити сертифікат")</f>
        <v>Завантажити сертифікат</v>
      </c>
    </row>
    <row r="484" spans="1:6" x14ac:dyDescent="0.3">
      <c r="A484" t="s">
        <v>1064</v>
      </c>
      <c r="B484" t="s">
        <v>6</v>
      </c>
      <c r="C484" t="s">
        <v>1065</v>
      </c>
      <c r="D484" t="s">
        <v>1058</v>
      </c>
      <c r="E484" t="s">
        <v>1059</v>
      </c>
      <c r="F484" t="str">
        <f>HYPERLINK("https://talan.bank.gov.ua/get-user-certificate/45CEl_EU-n-vv6klOiwR","Завантажити сертифікат")</f>
        <v>Завантажити сертифікат</v>
      </c>
    </row>
    <row r="485" spans="1:6" x14ac:dyDescent="0.3">
      <c r="A485" t="s">
        <v>1066</v>
      </c>
      <c r="B485" t="s">
        <v>6</v>
      </c>
      <c r="C485" t="s">
        <v>1067</v>
      </c>
      <c r="D485" t="s">
        <v>1058</v>
      </c>
      <c r="E485" t="s">
        <v>1059</v>
      </c>
      <c r="F485" t="str">
        <f>HYPERLINK("https://talan.bank.gov.ua/get-user-certificate/45CElscoTnCy5LoFivef","Завантажити сертифікат")</f>
        <v>Завантажити сертифікат</v>
      </c>
    </row>
    <row r="486" spans="1:6" x14ac:dyDescent="0.3">
      <c r="A486" t="s">
        <v>1068</v>
      </c>
      <c r="B486" t="s">
        <v>6</v>
      </c>
      <c r="C486" t="s">
        <v>1069</v>
      </c>
      <c r="D486" t="s">
        <v>1070</v>
      </c>
      <c r="E486" t="s">
        <v>1071</v>
      </c>
      <c r="F486" t="str">
        <f>HYPERLINK("https://talan.bank.gov.ua/get-user-certificate/45CEl_Bq4RYy21ls2bGT","Завантажити сертифікат")</f>
        <v>Завантажити сертифікат</v>
      </c>
    </row>
    <row r="487" spans="1:6" x14ac:dyDescent="0.3">
      <c r="A487" t="s">
        <v>1072</v>
      </c>
      <c r="B487" t="s">
        <v>6</v>
      </c>
      <c r="C487" t="s">
        <v>1073</v>
      </c>
      <c r="D487" t="s">
        <v>1070</v>
      </c>
      <c r="E487" t="s">
        <v>1071</v>
      </c>
      <c r="F487" t="str">
        <f>HYPERLINK("https://talan.bank.gov.ua/get-user-certificate/45CElprErwacCnO7gB2c","Завантажити сертифікат")</f>
        <v>Завантажити сертифікат</v>
      </c>
    </row>
    <row r="488" spans="1:6" x14ac:dyDescent="0.3">
      <c r="A488" t="s">
        <v>1074</v>
      </c>
      <c r="B488" t="s">
        <v>6</v>
      </c>
      <c r="C488" t="s">
        <v>1075</v>
      </c>
      <c r="D488" t="s">
        <v>1070</v>
      </c>
      <c r="E488" t="s">
        <v>1071</v>
      </c>
      <c r="F488" t="str">
        <f>HYPERLINK("https://talan.bank.gov.ua/get-user-certificate/45CElM94sHb8MAflqAd-","Завантажити сертифікат")</f>
        <v>Завантажити сертифікат</v>
      </c>
    </row>
    <row r="489" spans="1:6" x14ac:dyDescent="0.3">
      <c r="A489" t="s">
        <v>1076</v>
      </c>
      <c r="B489" t="s">
        <v>6</v>
      </c>
      <c r="C489" t="s">
        <v>1077</v>
      </c>
      <c r="D489" t="s">
        <v>1070</v>
      </c>
      <c r="E489" t="s">
        <v>1071</v>
      </c>
      <c r="F489" t="str">
        <f>HYPERLINK("https://talan.bank.gov.ua/get-user-certificate/45CElKdSeWz79qz9d-V5","Завантажити сертифікат")</f>
        <v>Завантажити сертифікат</v>
      </c>
    </row>
    <row r="490" spans="1:6" x14ac:dyDescent="0.3">
      <c r="A490" t="s">
        <v>1078</v>
      </c>
      <c r="B490" t="s">
        <v>6</v>
      </c>
      <c r="C490" t="s">
        <v>1079</v>
      </c>
      <c r="D490" t="s">
        <v>1070</v>
      </c>
      <c r="E490" t="s">
        <v>1071</v>
      </c>
      <c r="F490" t="str">
        <f>HYPERLINK("https://talan.bank.gov.ua/get-user-certificate/45CElTai9NM6sM7EXpK1","Завантажити сертифікат")</f>
        <v>Завантажити сертифікат</v>
      </c>
    </row>
    <row r="491" spans="1:6" x14ac:dyDescent="0.3">
      <c r="A491" t="s">
        <v>1080</v>
      </c>
      <c r="B491" t="s">
        <v>6</v>
      </c>
      <c r="C491" t="s">
        <v>1081</v>
      </c>
      <c r="D491" t="s">
        <v>1070</v>
      </c>
      <c r="E491" t="s">
        <v>1071</v>
      </c>
      <c r="F491" t="str">
        <f>HYPERLINK("https://talan.bank.gov.ua/get-user-certificate/45CElIi4x-FBZYnjKQeT","Завантажити сертифікат")</f>
        <v>Завантажити сертифікат</v>
      </c>
    </row>
    <row r="492" spans="1:6" x14ac:dyDescent="0.3">
      <c r="A492" t="s">
        <v>1082</v>
      </c>
      <c r="B492" t="s">
        <v>6</v>
      </c>
      <c r="C492" t="s">
        <v>1083</v>
      </c>
      <c r="D492" t="s">
        <v>1070</v>
      </c>
      <c r="E492" t="s">
        <v>1071</v>
      </c>
      <c r="F492" t="str">
        <f>HYPERLINK("https://talan.bank.gov.ua/get-user-certificate/45CElLgqtKvTIDn4DONZ","Завантажити сертифікат")</f>
        <v>Завантажити сертифікат</v>
      </c>
    </row>
    <row r="493" spans="1:6" x14ac:dyDescent="0.3">
      <c r="A493" t="s">
        <v>1084</v>
      </c>
      <c r="B493" t="s">
        <v>6</v>
      </c>
      <c r="C493" t="s">
        <v>1085</v>
      </c>
      <c r="D493" t="s">
        <v>1070</v>
      </c>
      <c r="E493" t="s">
        <v>1071</v>
      </c>
      <c r="F493" t="str">
        <f>HYPERLINK("https://talan.bank.gov.ua/get-user-certificate/45CElb0h7nCerTdd4Eus","Завантажити сертифікат")</f>
        <v>Завантажити сертифікат</v>
      </c>
    </row>
    <row r="494" spans="1:6" x14ac:dyDescent="0.3">
      <c r="A494" t="s">
        <v>1086</v>
      </c>
      <c r="B494" t="s">
        <v>6</v>
      </c>
      <c r="C494" t="s">
        <v>1087</v>
      </c>
      <c r="D494" t="s">
        <v>1070</v>
      </c>
      <c r="E494" t="s">
        <v>1071</v>
      </c>
      <c r="F494" t="str">
        <f>HYPERLINK("https://talan.bank.gov.ua/get-user-certificate/45CElK3EvfSwWicyDzXb","Завантажити сертифікат")</f>
        <v>Завантажити сертифікат</v>
      </c>
    </row>
    <row r="495" spans="1:6" x14ac:dyDescent="0.3">
      <c r="A495" t="s">
        <v>1088</v>
      </c>
      <c r="B495" t="s">
        <v>6</v>
      </c>
      <c r="C495" t="s">
        <v>1089</v>
      </c>
      <c r="D495" t="s">
        <v>1070</v>
      </c>
      <c r="E495" t="s">
        <v>1071</v>
      </c>
      <c r="F495" t="str">
        <f>HYPERLINK("https://talan.bank.gov.ua/get-user-certificate/45CElSg-L1E19oZgPECP","Завантажити сертифікат")</f>
        <v>Завантажити сертифікат</v>
      </c>
    </row>
    <row r="496" spans="1:6" x14ac:dyDescent="0.3">
      <c r="A496" t="s">
        <v>1090</v>
      </c>
      <c r="B496" t="s">
        <v>6</v>
      </c>
      <c r="C496" t="s">
        <v>1091</v>
      </c>
      <c r="D496" t="s">
        <v>1070</v>
      </c>
      <c r="E496" t="s">
        <v>1071</v>
      </c>
      <c r="F496" t="str">
        <f>HYPERLINK("https://talan.bank.gov.ua/get-user-certificate/45CElTH1nj510B_zUW5i","Завантажити сертифікат")</f>
        <v>Завантажити сертифікат</v>
      </c>
    </row>
    <row r="497" spans="1:6" x14ac:dyDescent="0.3">
      <c r="A497" t="s">
        <v>1092</v>
      </c>
      <c r="B497" t="s">
        <v>6</v>
      </c>
      <c r="C497" t="s">
        <v>1093</v>
      </c>
      <c r="D497" t="s">
        <v>1070</v>
      </c>
      <c r="E497" t="s">
        <v>1071</v>
      </c>
      <c r="F497" t="str">
        <f>HYPERLINK("https://talan.bank.gov.ua/get-user-certificate/45CElXQ8haJJiYi5hd9d","Завантажити сертифікат")</f>
        <v>Завантажити сертифікат</v>
      </c>
    </row>
    <row r="498" spans="1:6" x14ac:dyDescent="0.3">
      <c r="A498" t="s">
        <v>1094</v>
      </c>
      <c r="B498" t="s">
        <v>6</v>
      </c>
      <c r="C498" t="s">
        <v>1095</v>
      </c>
      <c r="D498" t="s">
        <v>1070</v>
      </c>
      <c r="E498" t="s">
        <v>1071</v>
      </c>
      <c r="F498" t="str">
        <f>HYPERLINK("https://talan.bank.gov.ua/get-user-certificate/45CElxT9nzzDD1V7X9bG","Завантажити сертифікат")</f>
        <v>Завантажити сертифікат</v>
      </c>
    </row>
    <row r="499" spans="1:6" x14ac:dyDescent="0.3">
      <c r="A499" t="s">
        <v>1096</v>
      </c>
      <c r="B499" t="s">
        <v>6</v>
      </c>
      <c r="C499" t="s">
        <v>1097</v>
      </c>
      <c r="D499" t="s">
        <v>1070</v>
      </c>
      <c r="E499" t="s">
        <v>1071</v>
      </c>
      <c r="F499" t="str">
        <f>HYPERLINK("https://talan.bank.gov.ua/get-user-certificate/45CElq38GUmxPxkiAS3d","Завантажити сертифікат")</f>
        <v>Завантажити сертифікат</v>
      </c>
    </row>
    <row r="500" spans="1:6" x14ac:dyDescent="0.3">
      <c r="A500" t="s">
        <v>1098</v>
      </c>
      <c r="B500" t="s">
        <v>6</v>
      </c>
      <c r="C500" t="s">
        <v>1099</v>
      </c>
      <c r="D500" t="s">
        <v>1100</v>
      </c>
      <c r="E500" t="s">
        <v>1101</v>
      </c>
      <c r="F500" t="str">
        <f>HYPERLINK("https://talan.bank.gov.ua/get-user-certificate/45CElHdQCGnciYTh5zhL","Завантажити сертифікат")</f>
        <v>Завантажити сертифікат</v>
      </c>
    </row>
    <row r="501" spans="1:6" x14ac:dyDescent="0.3">
      <c r="A501" t="s">
        <v>1102</v>
      </c>
      <c r="B501" t="s">
        <v>6</v>
      </c>
      <c r="C501" t="s">
        <v>1103</v>
      </c>
      <c r="D501" t="s">
        <v>1100</v>
      </c>
      <c r="E501" t="s">
        <v>1101</v>
      </c>
      <c r="F501" t="str">
        <f>HYPERLINK("https://talan.bank.gov.ua/get-user-certificate/45CEl226KdXpqMHvLoXw","Завантажити сертифікат")</f>
        <v>Завантажити сертифікат</v>
      </c>
    </row>
    <row r="502" spans="1:6" x14ac:dyDescent="0.3">
      <c r="A502" t="s">
        <v>1104</v>
      </c>
      <c r="B502" t="s">
        <v>6</v>
      </c>
      <c r="C502" t="s">
        <v>1105</v>
      </c>
      <c r="D502" t="s">
        <v>1100</v>
      </c>
      <c r="E502" t="s">
        <v>1101</v>
      </c>
      <c r="F502" t="str">
        <f>HYPERLINK("https://talan.bank.gov.ua/get-user-certificate/45CEl4FvXY8Dnkwb6mdC","Завантажити сертифікат")</f>
        <v>Завантажити сертифікат</v>
      </c>
    </row>
    <row r="503" spans="1:6" x14ac:dyDescent="0.3">
      <c r="A503" t="s">
        <v>1106</v>
      </c>
      <c r="B503" t="s">
        <v>6</v>
      </c>
      <c r="C503" t="s">
        <v>1107</v>
      </c>
      <c r="D503" t="s">
        <v>1100</v>
      </c>
      <c r="E503" t="s">
        <v>1101</v>
      </c>
      <c r="F503" t="str">
        <f>HYPERLINK("https://talan.bank.gov.ua/get-user-certificate/45CElAWuoru7Elc_g6Wt","Завантажити сертифікат")</f>
        <v>Завантажити сертифікат</v>
      </c>
    </row>
    <row r="504" spans="1:6" x14ac:dyDescent="0.3">
      <c r="A504" t="s">
        <v>1108</v>
      </c>
      <c r="B504" t="s">
        <v>6</v>
      </c>
      <c r="C504" t="s">
        <v>1109</v>
      </c>
      <c r="D504" t="s">
        <v>1100</v>
      </c>
      <c r="E504" t="s">
        <v>1101</v>
      </c>
      <c r="F504" t="str">
        <f>HYPERLINK("https://talan.bank.gov.ua/get-user-certificate/45CElMlPq4cOsvlgJ4XN","Завантажити сертифікат")</f>
        <v>Завантажити сертифікат</v>
      </c>
    </row>
    <row r="505" spans="1:6" x14ac:dyDescent="0.3">
      <c r="A505" t="s">
        <v>1110</v>
      </c>
      <c r="B505" t="s">
        <v>6</v>
      </c>
      <c r="C505" t="s">
        <v>1111</v>
      </c>
      <c r="D505" t="s">
        <v>1100</v>
      </c>
      <c r="E505" t="s">
        <v>1101</v>
      </c>
      <c r="F505" t="str">
        <f>HYPERLINK("https://talan.bank.gov.ua/get-user-certificate/45CElfGNwdeEvtYhJus_","Завантажити сертифікат")</f>
        <v>Завантажити сертифікат</v>
      </c>
    </row>
    <row r="506" spans="1:6" x14ac:dyDescent="0.3">
      <c r="A506" t="s">
        <v>1112</v>
      </c>
      <c r="B506" t="s">
        <v>6</v>
      </c>
      <c r="C506" t="s">
        <v>1113</v>
      </c>
      <c r="D506" t="s">
        <v>1114</v>
      </c>
      <c r="E506" t="s">
        <v>1115</v>
      </c>
      <c r="F506" t="str">
        <f>HYPERLINK("https://talan.bank.gov.ua/get-user-certificate/45CElFoX5yXi9OEProMd","Завантажити сертифікат")</f>
        <v>Завантажити сертифікат</v>
      </c>
    </row>
    <row r="507" spans="1:6" x14ac:dyDescent="0.3">
      <c r="A507" t="s">
        <v>1116</v>
      </c>
      <c r="B507" t="s">
        <v>6</v>
      </c>
      <c r="C507" t="s">
        <v>1117</v>
      </c>
      <c r="D507" t="s">
        <v>1114</v>
      </c>
      <c r="E507" t="s">
        <v>1115</v>
      </c>
      <c r="F507" t="str">
        <f>HYPERLINK("https://talan.bank.gov.ua/get-user-certificate/45CEl93f9G4Yhg57Kd7S","Завантажити сертифікат")</f>
        <v>Завантажити сертифікат</v>
      </c>
    </row>
    <row r="508" spans="1:6" x14ac:dyDescent="0.3">
      <c r="A508" t="s">
        <v>1118</v>
      </c>
      <c r="B508" t="s">
        <v>6</v>
      </c>
      <c r="C508" t="s">
        <v>1119</v>
      </c>
      <c r="D508" t="s">
        <v>1114</v>
      </c>
      <c r="E508" t="s">
        <v>1115</v>
      </c>
      <c r="F508" t="str">
        <f>HYPERLINK("https://talan.bank.gov.ua/get-user-certificate/45CElwBF2_vr1SYMvvXc","Завантажити сертифікат")</f>
        <v>Завантажити сертифікат</v>
      </c>
    </row>
    <row r="509" spans="1:6" x14ac:dyDescent="0.3">
      <c r="A509" t="s">
        <v>1120</v>
      </c>
      <c r="B509" t="s">
        <v>6</v>
      </c>
      <c r="C509" t="s">
        <v>1121</v>
      </c>
      <c r="D509" t="s">
        <v>1114</v>
      </c>
      <c r="E509" t="s">
        <v>1115</v>
      </c>
      <c r="F509" t="str">
        <f>HYPERLINK("https://talan.bank.gov.ua/get-user-certificate/45CElnBpNhjUv8cW8QfI","Завантажити сертифікат")</f>
        <v>Завантажити сертифікат</v>
      </c>
    </row>
    <row r="510" spans="1:6" x14ac:dyDescent="0.3">
      <c r="A510" t="s">
        <v>1122</v>
      </c>
      <c r="B510" t="s">
        <v>6</v>
      </c>
      <c r="C510" t="s">
        <v>1123</v>
      </c>
      <c r="D510" t="s">
        <v>1114</v>
      </c>
      <c r="E510" t="s">
        <v>1115</v>
      </c>
      <c r="F510" t="str">
        <f>HYPERLINK("https://talan.bank.gov.ua/get-user-certificate/45CElbyeGttdsF7SQmhh","Завантажити сертифікат")</f>
        <v>Завантажити сертифікат</v>
      </c>
    </row>
    <row r="511" spans="1:6" x14ac:dyDescent="0.3">
      <c r="A511" t="s">
        <v>1124</v>
      </c>
      <c r="B511" t="s">
        <v>6</v>
      </c>
      <c r="C511" t="s">
        <v>1125</v>
      </c>
      <c r="D511" t="s">
        <v>1114</v>
      </c>
      <c r="E511" t="s">
        <v>1115</v>
      </c>
      <c r="F511" t="str">
        <f>HYPERLINK("https://talan.bank.gov.ua/get-user-certificate/45CEloJ-WXIZfExjfmbc","Завантажити сертифікат")</f>
        <v>Завантажити сертифікат</v>
      </c>
    </row>
    <row r="512" spans="1:6" x14ac:dyDescent="0.3">
      <c r="A512" t="s">
        <v>1126</v>
      </c>
      <c r="B512" t="s">
        <v>6</v>
      </c>
      <c r="C512" t="s">
        <v>1127</v>
      </c>
      <c r="D512" t="s">
        <v>1114</v>
      </c>
      <c r="E512" t="s">
        <v>1115</v>
      </c>
      <c r="F512" t="str">
        <f>HYPERLINK("https://talan.bank.gov.ua/get-user-certificate/45CElA74RdypLQFfbtmW","Завантажити сертифікат")</f>
        <v>Завантажити сертифікат</v>
      </c>
    </row>
    <row r="513" spans="1:6" x14ac:dyDescent="0.3">
      <c r="A513" t="s">
        <v>1128</v>
      </c>
      <c r="B513" t="s">
        <v>6</v>
      </c>
      <c r="C513" t="s">
        <v>1129</v>
      </c>
      <c r="D513" t="s">
        <v>1114</v>
      </c>
      <c r="E513" t="s">
        <v>1115</v>
      </c>
      <c r="F513" t="str">
        <f>HYPERLINK("https://talan.bank.gov.ua/get-user-certificate/45CElt0t2K5LNDhaqMEb","Завантажити сертифікат")</f>
        <v>Завантажити сертифікат</v>
      </c>
    </row>
    <row r="514" spans="1:6" x14ac:dyDescent="0.3">
      <c r="A514" t="s">
        <v>1130</v>
      </c>
      <c r="B514" t="s">
        <v>6</v>
      </c>
      <c r="C514" t="s">
        <v>1131</v>
      </c>
      <c r="D514" t="s">
        <v>1114</v>
      </c>
      <c r="E514" t="s">
        <v>1115</v>
      </c>
      <c r="F514" t="str">
        <f>HYPERLINK("https://talan.bank.gov.ua/get-user-certificate/45CElnn-F1GCPoTAXjkd","Завантажити сертифікат")</f>
        <v>Завантажити сертифікат</v>
      </c>
    </row>
    <row r="515" spans="1:6" x14ac:dyDescent="0.3">
      <c r="A515" t="s">
        <v>1132</v>
      </c>
      <c r="B515" t="s">
        <v>6</v>
      </c>
      <c r="C515" t="s">
        <v>1133</v>
      </c>
      <c r="D515" t="s">
        <v>1114</v>
      </c>
      <c r="E515" t="s">
        <v>1115</v>
      </c>
      <c r="F515" t="str">
        <f>HYPERLINK("https://talan.bank.gov.ua/get-user-certificate/45CEl16MZcsieTfQ4CXr","Завантажити сертифікат")</f>
        <v>Завантажити сертифікат</v>
      </c>
    </row>
    <row r="516" spans="1:6" x14ac:dyDescent="0.3">
      <c r="A516" t="s">
        <v>1134</v>
      </c>
      <c r="B516" t="s">
        <v>6</v>
      </c>
      <c r="C516" t="s">
        <v>1135</v>
      </c>
      <c r="D516" t="s">
        <v>1114</v>
      </c>
      <c r="E516" t="s">
        <v>1115</v>
      </c>
      <c r="F516" t="str">
        <f>HYPERLINK("https://talan.bank.gov.ua/get-user-certificate/45CElKmf9fD_zzjl9evG","Завантажити сертифікат")</f>
        <v>Завантажити сертифікат</v>
      </c>
    </row>
    <row r="517" spans="1:6" x14ac:dyDescent="0.3">
      <c r="A517" t="s">
        <v>1136</v>
      </c>
      <c r="B517" t="s">
        <v>6</v>
      </c>
      <c r="C517" t="s">
        <v>1137</v>
      </c>
      <c r="D517" t="s">
        <v>1114</v>
      </c>
      <c r="E517" t="s">
        <v>1115</v>
      </c>
      <c r="F517" t="str">
        <f>HYPERLINK("https://talan.bank.gov.ua/get-user-certificate/45CElqT3Qddm1eVwaOcf","Завантажити сертифікат")</f>
        <v>Завантажити сертифікат</v>
      </c>
    </row>
    <row r="518" spans="1:6" x14ac:dyDescent="0.3">
      <c r="A518" t="s">
        <v>1138</v>
      </c>
      <c r="B518" t="s">
        <v>6</v>
      </c>
      <c r="C518" t="s">
        <v>1139</v>
      </c>
      <c r="D518" t="s">
        <v>1114</v>
      </c>
      <c r="E518" t="s">
        <v>1115</v>
      </c>
      <c r="F518" t="str">
        <f>HYPERLINK("https://talan.bank.gov.ua/get-user-certificate/45CElin7PKJGrXkNdakv","Завантажити сертифікат")</f>
        <v>Завантажити сертифікат</v>
      </c>
    </row>
    <row r="519" spans="1:6" x14ac:dyDescent="0.3">
      <c r="A519" t="s">
        <v>1140</v>
      </c>
      <c r="B519" t="s">
        <v>6</v>
      </c>
      <c r="C519" t="s">
        <v>1141</v>
      </c>
      <c r="D519" t="s">
        <v>1114</v>
      </c>
      <c r="E519" t="s">
        <v>1115</v>
      </c>
      <c r="F519" t="str">
        <f>HYPERLINK("https://talan.bank.gov.ua/get-user-certificate/45CElbimHcj3f63WdkXd","Завантажити сертифікат")</f>
        <v>Завантажити сертифікат</v>
      </c>
    </row>
    <row r="520" spans="1:6" x14ac:dyDescent="0.3">
      <c r="A520" t="s">
        <v>1142</v>
      </c>
      <c r="B520" t="s">
        <v>6</v>
      </c>
      <c r="C520" t="s">
        <v>1143</v>
      </c>
      <c r="D520" t="s">
        <v>1114</v>
      </c>
      <c r="E520" t="s">
        <v>1115</v>
      </c>
      <c r="F520" t="str">
        <f>HYPERLINK("https://talan.bank.gov.ua/get-user-certificate/45CElbMEslUwyMsrt_-o","Завантажити сертифікат")</f>
        <v>Завантажити сертифікат</v>
      </c>
    </row>
    <row r="521" spans="1:6" x14ac:dyDescent="0.3">
      <c r="A521" t="s">
        <v>1144</v>
      </c>
      <c r="B521" t="s">
        <v>6</v>
      </c>
      <c r="C521" t="s">
        <v>1145</v>
      </c>
      <c r="D521" t="s">
        <v>1114</v>
      </c>
      <c r="E521" t="s">
        <v>1115</v>
      </c>
      <c r="F521" t="str">
        <f>HYPERLINK("https://talan.bank.gov.ua/get-user-certificate/45CEl1AJ91pgm_cJukG9","Завантажити сертифікат")</f>
        <v>Завантажити сертифікат</v>
      </c>
    </row>
    <row r="522" spans="1:6" x14ac:dyDescent="0.3">
      <c r="A522" t="s">
        <v>1146</v>
      </c>
      <c r="B522" t="s">
        <v>6</v>
      </c>
      <c r="C522" t="s">
        <v>1147</v>
      </c>
      <c r="D522" t="s">
        <v>1114</v>
      </c>
      <c r="E522" t="s">
        <v>1115</v>
      </c>
      <c r="F522" t="str">
        <f>HYPERLINK("https://talan.bank.gov.ua/get-user-certificate/45CEl6vQ4ErBl2XXeUFu","Завантажити сертифікат")</f>
        <v>Завантажити сертифікат</v>
      </c>
    </row>
    <row r="523" spans="1:6" x14ac:dyDescent="0.3">
      <c r="A523" t="s">
        <v>1148</v>
      </c>
      <c r="B523" t="s">
        <v>6</v>
      </c>
      <c r="C523" t="s">
        <v>1149</v>
      </c>
      <c r="D523" t="s">
        <v>1114</v>
      </c>
      <c r="E523" t="s">
        <v>1115</v>
      </c>
      <c r="F523" t="str">
        <f>HYPERLINK("https://talan.bank.gov.ua/get-user-certificate/45CElAdUuJE9YMsUKfD1","Завантажити сертифікат")</f>
        <v>Завантажити сертифікат</v>
      </c>
    </row>
    <row r="524" spans="1:6" x14ac:dyDescent="0.3">
      <c r="A524" t="s">
        <v>1150</v>
      </c>
      <c r="B524" t="s">
        <v>6</v>
      </c>
      <c r="C524" t="s">
        <v>1151</v>
      </c>
      <c r="D524" t="s">
        <v>1114</v>
      </c>
      <c r="E524" t="s">
        <v>1115</v>
      </c>
      <c r="F524" t="str">
        <f>HYPERLINK("https://talan.bank.gov.ua/get-user-certificate/45CElg6xOZ3LHWfHtO3z","Завантажити сертифікат")</f>
        <v>Завантажити сертифікат</v>
      </c>
    </row>
    <row r="525" spans="1:6" x14ac:dyDescent="0.3">
      <c r="A525" t="s">
        <v>1152</v>
      </c>
      <c r="B525" t="s">
        <v>6</v>
      </c>
      <c r="C525" t="s">
        <v>1153</v>
      </c>
      <c r="D525" t="s">
        <v>1114</v>
      </c>
      <c r="E525" t="s">
        <v>1115</v>
      </c>
      <c r="F525" t="str">
        <f>HYPERLINK("https://talan.bank.gov.ua/get-user-certificate/45CEl7yc_rjCmvTo0mGH","Завантажити сертифікат")</f>
        <v>Завантажити сертифікат</v>
      </c>
    </row>
    <row r="526" spans="1:6" x14ac:dyDescent="0.3">
      <c r="A526" t="s">
        <v>1154</v>
      </c>
      <c r="B526" t="s">
        <v>6</v>
      </c>
      <c r="C526" t="s">
        <v>1155</v>
      </c>
      <c r="D526" t="s">
        <v>1114</v>
      </c>
      <c r="E526" t="s">
        <v>1115</v>
      </c>
      <c r="F526" t="str">
        <f>HYPERLINK("https://talan.bank.gov.ua/get-user-certificate/45CElsTURSKf8K3cqFii","Завантажити сертифікат")</f>
        <v>Завантажити сертифікат</v>
      </c>
    </row>
    <row r="527" spans="1:6" x14ac:dyDescent="0.3">
      <c r="A527" t="s">
        <v>1156</v>
      </c>
      <c r="B527" t="s">
        <v>6</v>
      </c>
      <c r="C527" t="s">
        <v>1157</v>
      </c>
      <c r="D527" t="s">
        <v>1114</v>
      </c>
      <c r="E527" t="s">
        <v>1115</v>
      </c>
      <c r="F527" t="str">
        <f>HYPERLINK("https://talan.bank.gov.ua/get-user-certificate/45CElgX-lUL-nIZd2HJ5","Завантажити сертифікат")</f>
        <v>Завантажити сертифікат</v>
      </c>
    </row>
    <row r="528" spans="1:6" x14ac:dyDescent="0.3">
      <c r="A528" t="s">
        <v>1158</v>
      </c>
      <c r="B528" t="s">
        <v>6</v>
      </c>
      <c r="C528" t="s">
        <v>1159</v>
      </c>
      <c r="D528" t="s">
        <v>1114</v>
      </c>
      <c r="E528" t="s">
        <v>1115</v>
      </c>
      <c r="F528" t="str">
        <f>HYPERLINK("https://talan.bank.gov.ua/get-user-certificate/45CEl7WRi5J8p2i0L5DU","Завантажити сертифікат")</f>
        <v>Завантажити сертифікат</v>
      </c>
    </row>
    <row r="529" spans="1:6" x14ac:dyDescent="0.3">
      <c r="A529" t="s">
        <v>1160</v>
      </c>
      <c r="B529" t="s">
        <v>6</v>
      </c>
      <c r="C529" t="s">
        <v>1161</v>
      </c>
      <c r="D529" t="s">
        <v>1114</v>
      </c>
      <c r="E529" t="s">
        <v>1115</v>
      </c>
      <c r="F529" t="str">
        <f>HYPERLINK("https://talan.bank.gov.ua/get-user-certificate/45CEl_nQREqzUT6tOpZu","Завантажити сертифікат")</f>
        <v>Завантажити сертифікат</v>
      </c>
    </row>
    <row r="530" spans="1:6" x14ac:dyDescent="0.3">
      <c r="A530" t="s">
        <v>1162</v>
      </c>
      <c r="B530" t="s">
        <v>6</v>
      </c>
      <c r="C530" t="s">
        <v>1163</v>
      </c>
      <c r="D530" t="s">
        <v>1164</v>
      </c>
      <c r="E530" t="s">
        <v>1165</v>
      </c>
      <c r="F530" t="str">
        <f>HYPERLINK("https://talan.bank.gov.ua/get-user-certificate/45CElKkCE6wMmh6rhGrv","Завантажити сертифікат")</f>
        <v>Завантажити сертифікат</v>
      </c>
    </row>
    <row r="531" spans="1:6" x14ac:dyDescent="0.3">
      <c r="A531" t="s">
        <v>1166</v>
      </c>
      <c r="B531" t="s">
        <v>6</v>
      </c>
      <c r="C531" t="s">
        <v>1167</v>
      </c>
      <c r="D531" t="s">
        <v>1164</v>
      </c>
      <c r="E531" t="s">
        <v>1165</v>
      </c>
      <c r="F531" t="str">
        <f>HYPERLINK("https://talan.bank.gov.ua/get-user-certificate/45CEloWqtmtDSN-z1sDe","Завантажити сертифікат")</f>
        <v>Завантажити сертифікат</v>
      </c>
    </row>
    <row r="532" spans="1:6" x14ac:dyDescent="0.3">
      <c r="A532" t="s">
        <v>1168</v>
      </c>
      <c r="B532" t="s">
        <v>6</v>
      </c>
      <c r="C532" t="s">
        <v>1169</v>
      </c>
      <c r="D532" t="s">
        <v>1164</v>
      </c>
      <c r="E532" t="s">
        <v>1165</v>
      </c>
      <c r="F532" t="str">
        <f>HYPERLINK("https://talan.bank.gov.ua/get-user-certificate/45CEl2ScTiVIZLg0Q0cz","Завантажити сертифікат")</f>
        <v>Завантажити сертифікат</v>
      </c>
    </row>
    <row r="533" spans="1:6" x14ac:dyDescent="0.3">
      <c r="A533" t="s">
        <v>1170</v>
      </c>
      <c r="B533" t="s">
        <v>6</v>
      </c>
      <c r="C533" t="s">
        <v>1171</v>
      </c>
      <c r="D533" t="s">
        <v>1164</v>
      </c>
      <c r="E533" t="s">
        <v>1165</v>
      </c>
      <c r="F533" t="str">
        <f>HYPERLINK("https://talan.bank.gov.ua/get-user-certificate/45CElWOVsZUdqTPiKpVp","Завантажити сертифікат")</f>
        <v>Завантажити сертифікат</v>
      </c>
    </row>
    <row r="534" spans="1:6" x14ac:dyDescent="0.3">
      <c r="A534" t="s">
        <v>1172</v>
      </c>
      <c r="B534" t="s">
        <v>6</v>
      </c>
      <c r="C534" t="s">
        <v>1173</v>
      </c>
      <c r="D534" t="s">
        <v>1164</v>
      </c>
      <c r="E534" t="s">
        <v>1165</v>
      </c>
      <c r="F534" t="str">
        <f>HYPERLINK("https://talan.bank.gov.ua/get-user-certificate/45CElyrI5NfXTzoiaAh2","Завантажити сертифікат")</f>
        <v>Завантажити сертифікат</v>
      </c>
    </row>
    <row r="535" spans="1:6" x14ac:dyDescent="0.3">
      <c r="A535" t="s">
        <v>1174</v>
      </c>
      <c r="B535" t="s">
        <v>6</v>
      </c>
      <c r="C535" t="s">
        <v>1175</v>
      </c>
      <c r="D535" t="s">
        <v>1164</v>
      </c>
      <c r="E535" t="s">
        <v>1165</v>
      </c>
      <c r="F535" t="str">
        <f>HYPERLINK("https://talan.bank.gov.ua/get-user-certificate/45CElQiwzrNyDqlnt33f","Завантажити сертифікат")</f>
        <v>Завантажити сертифікат</v>
      </c>
    </row>
    <row r="536" spans="1:6" x14ac:dyDescent="0.3">
      <c r="A536" t="s">
        <v>1176</v>
      </c>
      <c r="B536" t="s">
        <v>6</v>
      </c>
      <c r="C536" t="s">
        <v>1177</v>
      </c>
      <c r="D536" t="s">
        <v>1164</v>
      </c>
      <c r="E536" t="s">
        <v>1165</v>
      </c>
      <c r="F536" t="str">
        <f>HYPERLINK("https://talan.bank.gov.ua/get-user-certificate/45CElEoURRfj-tkFN5zB","Завантажити сертифікат")</f>
        <v>Завантажити сертифікат</v>
      </c>
    </row>
    <row r="537" spans="1:6" x14ac:dyDescent="0.3">
      <c r="A537" t="s">
        <v>1178</v>
      </c>
      <c r="B537" t="s">
        <v>6</v>
      </c>
      <c r="C537" t="s">
        <v>1179</v>
      </c>
      <c r="D537" t="s">
        <v>1164</v>
      </c>
      <c r="E537" t="s">
        <v>1165</v>
      </c>
      <c r="F537" t="str">
        <f>HYPERLINK("https://talan.bank.gov.ua/get-user-certificate/45CEliGHapbAz3c6iY_L","Завантажити сертифікат")</f>
        <v>Завантажити сертифікат</v>
      </c>
    </row>
    <row r="538" spans="1:6" x14ac:dyDescent="0.3">
      <c r="A538" t="s">
        <v>1180</v>
      </c>
      <c r="B538" t="s">
        <v>6</v>
      </c>
      <c r="C538" t="s">
        <v>1181</v>
      </c>
      <c r="D538" t="s">
        <v>1164</v>
      </c>
      <c r="E538" t="s">
        <v>1165</v>
      </c>
      <c r="F538" t="str">
        <f>HYPERLINK("https://talan.bank.gov.ua/get-user-certificate/45CElWns9-uFVYyz84UE","Завантажити сертифікат")</f>
        <v>Завантажити сертифікат</v>
      </c>
    </row>
    <row r="539" spans="1:6" x14ac:dyDescent="0.3">
      <c r="A539" t="s">
        <v>1182</v>
      </c>
      <c r="B539" t="s">
        <v>6</v>
      </c>
      <c r="C539" t="s">
        <v>1183</v>
      </c>
      <c r="D539" t="s">
        <v>1164</v>
      </c>
      <c r="E539" t="s">
        <v>1165</v>
      </c>
      <c r="F539" t="str">
        <f>HYPERLINK("https://talan.bank.gov.ua/get-user-certificate/45CEluFTbMwvdMNm3m4U","Завантажити сертифікат")</f>
        <v>Завантажити сертифікат</v>
      </c>
    </row>
    <row r="540" spans="1:6" x14ac:dyDescent="0.3">
      <c r="A540" t="s">
        <v>1184</v>
      </c>
      <c r="B540" t="s">
        <v>6</v>
      </c>
      <c r="C540" t="s">
        <v>1185</v>
      </c>
      <c r="D540" t="s">
        <v>1164</v>
      </c>
      <c r="E540" t="s">
        <v>1165</v>
      </c>
      <c r="F540" t="str">
        <f>HYPERLINK("https://talan.bank.gov.ua/get-user-certificate/45CElnpkg47trZqG92Hi","Завантажити сертифікат")</f>
        <v>Завантажити сертифікат</v>
      </c>
    </row>
    <row r="541" spans="1:6" x14ac:dyDescent="0.3">
      <c r="A541" t="s">
        <v>1186</v>
      </c>
      <c r="B541" t="s">
        <v>6</v>
      </c>
      <c r="C541" t="s">
        <v>1187</v>
      </c>
      <c r="D541" t="s">
        <v>1164</v>
      </c>
      <c r="E541" t="s">
        <v>1165</v>
      </c>
      <c r="F541" t="str">
        <f>HYPERLINK("https://talan.bank.gov.ua/get-user-certificate/45CElSy_hkPtGPxTF-Lv","Завантажити сертифікат")</f>
        <v>Завантажити сертифікат</v>
      </c>
    </row>
    <row r="542" spans="1:6" x14ac:dyDescent="0.3">
      <c r="A542" t="s">
        <v>1188</v>
      </c>
      <c r="B542" t="s">
        <v>6</v>
      </c>
      <c r="C542" t="s">
        <v>1189</v>
      </c>
      <c r="D542" t="s">
        <v>1164</v>
      </c>
      <c r="E542" t="s">
        <v>1165</v>
      </c>
      <c r="F542" t="str">
        <f>HYPERLINK("https://talan.bank.gov.ua/get-user-certificate/45CEl6-VuXLhUfkJWQt-","Завантажити сертифікат")</f>
        <v>Завантажити сертифікат</v>
      </c>
    </row>
    <row r="543" spans="1:6" x14ac:dyDescent="0.3">
      <c r="A543" t="s">
        <v>1190</v>
      </c>
      <c r="B543" t="s">
        <v>6</v>
      </c>
      <c r="C543" t="s">
        <v>1191</v>
      </c>
      <c r="D543" t="s">
        <v>1164</v>
      </c>
      <c r="E543" t="s">
        <v>1165</v>
      </c>
      <c r="F543" t="str">
        <f>HYPERLINK("https://talan.bank.gov.ua/get-user-certificate/45CElcO5J-3Bx2YtRLzE","Завантажити сертифікат")</f>
        <v>Завантажити сертифікат</v>
      </c>
    </row>
    <row r="544" spans="1:6" x14ac:dyDescent="0.3">
      <c r="A544" t="s">
        <v>1192</v>
      </c>
      <c r="B544" t="s">
        <v>6</v>
      </c>
      <c r="C544" t="s">
        <v>1193</v>
      </c>
      <c r="D544" t="s">
        <v>1164</v>
      </c>
      <c r="E544" t="s">
        <v>1165</v>
      </c>
      <c r="F544" t="str">
        <f>HYPERLINK("https://talan.bank.gov.ua/get-user-certificate/45CEl5GMc638DjcN7Cxb","Завантажити сертифікат")</f>
        <v>Завантажити сертифікат</v>
      </c>
    </row>
    <row r="545" spans="1:6" x14ac:dyDescent="0.3">
      <c r="A545" t="s">
        <v>1194</v>
      </c>
      <c r="B545" t="s">
        <v>6</v>
      </c>
      <c r="C545" t="s">
        <v>1195</v>
      </c>
      <c r="D545" t="s">
        <v>1164</v>
      </c>
      <c r="E545" t="s">
        <v>1165</v>
      </c>
      <c r="F545" t="str">
        <f>HYPERLINK("https://talan.bank.gov.ua/get-user-certificate/45CElaQ1rlxIHtH33uAD","Завантажити сертифікат")</f>
        <v>Завантажити сертифікат</v>
      </c>
    </row>
    <row r="546" spans="1:6" x14ac:dyDescent="0.3">
      <c r="A546" t="s">
        <v>1196</v>
      </c>
      <c r="B546" t="s">
        <v>6</v>
      </c>
      <c r="C546" t="s">
        <v>1197</v>
      </c>
      <c r="D546" t="s">
        <v>1164</v>
      </c>
      <c r="E546" t="s">
        <v>1165</v>
      </c>
      <c r="F546" t="str">
        <f>HYPERLINK("https://talan.bank.gov.ua/get-user-certificate/45CEltM7KihFLhIFAE0U","Завантажити сертифікат")</f>
        <v>Завантажити сертифікат</v>
      </c>
    </row>
    <row r="547" spans="1:6" x14ac:dyDescent="0.3">
      <c r="A547" t="s">
        <v>1198</v>
      </c>
      <c r="B547" t="s">
        <v>6</v>
      </c>
      <c r="C547" t="s">
        <v>1199</v>
      </c>
      <c r="D547" t="s">
        <v>1164</v>
      </c>
      <c r="E547" t="s">
        <v>1165</v>
      </c>
      <c r="F547" t="str">
        <f>HYPERLINK("https://talan.bank.gov.ua/get-user-certificate/45CElFbw2zXAVBKxFyuX","Завантажити сертифікат")</f>
        <v>Завантажити сертифікат</v>
      </c>
    </row>
    <row r="548" spans="1:6" x14ac:dyDescent="0.3">
      <c r="A548" t="s">
        <v>1200</v>
      </c>
      <c r="B548" t="s">
        <v>6</v>
      </c>
      <c r="C548" t="s">
        <v>1201</v>
      </c>
      <c r="D548" t="s">
        <v>1164</v>
      </c>
      <c r="E548" t="s">
        <v>1165</v>
      </c>
      <c r="F548" t="str">
        <f>HYPERLINK("https://talan.bank.gov.ua/get-user-certificate/45CElvwkGONYGnATYIN4","Завантажити сертифікат")</f>
        <v>Завантажити сертифікат</v>
      </c>
    </row>
    <row r="549" spans="1:6" x14ac:dyDescent="0.3">
      <c r="A549" t="s">
        <v>1202</v>
      </c>
      <c r="B549" t="s">
        <v>6</v>
      </c>
      <c r="C549" t="s">
        <v>1203</v>
      </c>
      <c r="D549" t="s">
        <v>1164</v>
      </c>
      <c r="E549" t="s">
        <v>1165</v>
      </c>
      <c r="F549" t="str">
        <f>HYPERLINK("https://talan.bank.gov.ua/get-user-certificate/45CElREQUxcuSpckZzNJ","Завантажити сертифікат")</f>
        <v>Завантажити сертифікат</v>
      </c>
    </row>
    <row r="550" spans="1:6" x14ac:dyDescent="0.3">
      <c r="A550" t="s">
        <v>1204</v>
      </c>
      <c r="B550" t="s">
        <v>6</v>
      </c>
      <c r="C550" t="s">
        <v>1205</v>
      </c>
      <c r="D550" t="s">
        <v>1164</v>
      </c>
      <c r="E550" t="s">
        <v>1165</v>
      </c>
      <c r="F550" t="str">
        <f>HYPERLINK("https://talan.bank.gov.ua/get-user-certificate/45CElpvYMPv63thjGtdh","Завантажити сертифікат")</f>
        <v>Завантажити сертифікат</v>
      </c>
    </row>
    <row r="551" spans="1:6" x14ac:dyDescent="0.3">
      <c r="A551" t="s">
        <v>1206</v>
      </c>
      <c r="B551" t="s">
        <v>6</v>
      </c>
      <c r="C551" t="s">
        <v>1207</v>
      </c>
      <c r="D551" t="s">
        <v>1164</v>
      </c>
      <c r="E551" t="s">
        <v>1165</v>
      </c>
      <c r="F551" t="str">
        <f>HYPERLINK("https://talan.bank.gov.ua/get-user-certificate/45CElRt8vjxGdjbgtM1K","Завантажити сертифікат")</f>
        <v>Завантажити сертифікат</v>
      </c>
    </row>
    <row r="552" spans="1:6" x14ac:dyDescent="0.3">
      <c r="A552" t="s">
        <v>1208</v>
      </c>
      <c r="B552" t="s">
        <v>6</v>
      </c>
      <c r="C552" t="s">
        <v>1209</v>
      </c>
      <c r="D552" t="s">
        <v>1210</v>
      </c>
      <c r="E552" t="s">
        <v>1211</v>
      </c>
      <c r="F552" t="str">
        <f>HYPERLINK("https://talan.bank.gov.ua/get-user-certificate/45CEl4T5mHMMixfodfvw","Завантажити сертифікат")</f>
        <v>Завантажити сертифікат</v>
      </c>
    </row>
    <row r="553" spans="1:6" x14ac:dyDescent="0.3">
      <c r="A553" t="s">
        <v>1212</v>
      </c>
      <c r="B553" t="s">
        <v>6</v>
      </c>
      <c r="C553" t="s">
        <v>1213</v>
      </c>
      <c r="D553" t="s">
        <v>1210</v>
      </c>
      <c r="E553" t="s">
        <v>1211</v>
      </c>
      <c r="F553" t="str">
        <f>HYPERLINK("https://talan.bank.gov.ua/get-user-certificate/45CElcmMq65o9qBiG6F3","Завантажити сертифікат")</f>
        <v>Завантажити сертифікат</v>
      </c>
    </row>
    <row r="554" spans="1:6" x14ac:dyDescent="0.3">
      <c r="A554" t="s">
        <v>1214</v>
      </c>
      <c r="B554" t="s">
        <v>6</v>
      </c>
      <c r="C554" t="s">
        <v>1215</v>
      </c>
      <c r="D554" t="s">
        <v>1210</v>
      </c>
      <c r="E554" t="s">
        <v>1211</v>
      </c>
      <c r="F554" t="str">
        <f>HYPERLINK("https://talan.bank.gov.ua/get-user-certificate/45CElZr4lm6iQVfNQ_68","Завантажити сертифікат")</f>
        <v>Завантажити сертифікат</v>
      </c>
    </row>
    <row r="555" spans="1:6" x14ac:dyDescent="0.3">
      <c r="A555" t="s">
        <v>1216</v>
      </c>
      <c r="B555" t="s">
        <v>6</v>
      </c>
      <c r="C555" t="s">
        <v>1217</v>
      </c>
      <c r="D555" t="s">
        <v>1210</v>
      </c>
      <c r="E555" t="s">
        <v>1211</v>
      </c>
      <c r="F555" t="str">
        <f>HYPERLINK("https://talan.bank.gov.ua/get-user-certificate/45CElebW63r6ESPBdcPZ","Завантажити сертифікат")</f>
        <v>Завантажити сертифікат</v>
      </c>
    </row>
    <row r="556" spans="1:6" x14ac:dyDescent="0.3">
      <c r="A556" t="s">
        <v>1218</v>
      </c>
      <c r="B556" t="s">
        <v>6</v>
      </c>
      <c r="C556" t="s">
        <v>1219</v>
      </c>
      <c r="D556" t="s">
        <v>1210</v>
      </c>
      <c r="E556" t="s">
        <v>1211</v>
      </c>
      <c r="F556" t="str">
        <f>HYPERLINK("https://talan.bank.gov.ua/get-user-certificate/45CElBHuKFvi6nx_DCkf","Завантажити сертифікат")</f>
        <v>Завантажити сертифікат</v>
      </c>
    </row>
    <row r="557" spans="1:6" x14ac:dyDescent="0.3">
      <c r="A557" t="s">
        <v>1220</v>
      </c>
      <c r="B557" t="s">
        <v>6</v>
      </c>
      <c r="C557" t="s">
        <v>1221</v>
      </c>
      <c r="D557" t="s">
        <v>1210</v>
      </c>
      <c r="E557" t="s">
        <v>1211</v>
      </c>
      <c r="F557" t="str">
        <f>HYPERLINK("https://talan.bank.gov.ua/get-user-certificate/45CElhojr8TmdARmAnlW","Завантажити сертифікат")</f>
        <v>Завантажити сертифікат</v>
      </c>
    </row>
    <row r="558" spans="1:6" x14ac:dyDescent="0.3">
      <c r="A558" t="s">
        <v>1222</v>
      </c>
      <c r="B558" t="s">
        <v>6</v>
      </c>
      <c r="C558" t="s">
        <v>1223</v>
      </c>
      <c r="D558" t="s">
        <v>1210</v>
      </c>
      <c r="E558" t="s">
        <v>1211</v>
      </c>
      <c r="F558" t="str">
        <f>HYPERLINK("https://talan.bank.gov.ua/get-user-certificate/45CElPe9ig8ekKj8T4j7","Завантажити сертифікат")</f>
        <v>Завантажити сертифікат</v>
      </c>
    </row>
    <row r="559" spans="1:6" x14ac:dyDescent="0.3">
      <c r="A559" t="s">
        <v>1224</v>
      </c>
      <c r="B559" t="s">
        <v>6</v>
      </c>
      <c r="C559" t="s">
        <v>1225</v>
      </c>
      <c r="D559" t="s">
        <v>1210</v>
      </c>
      <c r="E559" t="s">
        <v>1211</v>
      </c>
      <c r="F559" t="str">
        <f>HYPERLINK("https://talan.bank.gov.ua/get-user-certificate/45CEla5wrCMvNJl5w87R","Завантажити сертифікат")</f>
        <v>Завантажити сертифікат</v>
      </c>
    </row>
    <row r="560" spans="1:6" x14ac:dyDescent="0.3">
      <c r="A560" t="s">
        <v>1226</v>
      </c>
      <c r="B560" t="s">
        <v>6</v>
      </c>
      <c r="C560" t="s">
        <v>1227</v>
      </c>
      <c r="D560" t="s">
        <v>1210</v>
      </c>
      <c r="E560" t="s">
        <v>1211</v>
      </c>
      <c r="F560" t="str">
        <f>HYPERLINK("https://talan.bank.gov.ua/get-user-certificate/45CElQQDrhHUtC6OM13Z","Завантажити сертифікат")</f>
        <v>Завантажити сертифікат</v>
      </c>
    </row>
    <row r="561" spans="1:6" x14ac:dyDescent="0.3">
      <c r="A561" t="s">
        <v>1228</v>
      </c>
      <c r="B561" t="s">
        <v>6</v>
      </c>
      <c r="C561" t="s">
        <v>1229</v>
      </c>
      <c r="D561" t="s">
        <v>1210</v>
      </c>
      <c r="E561" t="s">
        <v>1211</v>
      </c>
      <c r="F561" t="str">
        <f>HYPERLINK("https://talan.bank.gov.ua/get-user-certificate/45CElTVb3aVQ4ez3-vUr","Завантажити сертифікат")</f>
        <v>Завантажити сертифікат</v>
      </c>
    </row>
    <row r="562" spans="1:6" x14ac:dyDescent="0.3">
      <c r="A562" t="s">
        <v>1230</v>
      </c>
      <c r="B562" t="s">
        <v>6</v>
      </c>
      <c r="C562" t="s">
        <v>1231</v>
      </c>
      <c r="D562" t="s">
        <v>1210</v>
      </c>
      <c r="E562" t="s">
        <v>1211</v>
      </c>
      <c r="F562" t="str">
        <f>HYPERLINK("https://talan.bank.gov.ua/get-user-certificate/45CElbEnDZSWwaDPvCMG","Завантажити сертифікат")</f>
        <v>Завантажити сертифікат</v>
      </c>
    </row>
    <row r="563" spans="1:6" x14ac:dyDescent="0.3">
      <c r="A563" t="s">
        <v>1232</v>
      </c>
      <c r="B563" t="s">
        <v>6</v>
      </c>
      <c r="C563" t="s">
        <v>1233</v>
      </c>
      <c r="D563" t="s">
        <v>1234</v>
      </c>
      <c r="E563" t="s">
        <v>1235</v>
      </c>
      <c r="F563" t="str">
        <f>HYPERLINK("https://talan.bank.gov.ua/get-user-certificate/45CEljdfNWeDSJOiAk0P","Завантажити сертифікат")</f>
        <v>Завантажити сертифікат</v>
      </c>
    </row>
    <row r="564" spans="1:6" x14ac:dyDescent="0.3">
      <c r="A564" t="s">
        <v>1236</v>
      </c>
      <c r="B564" t="s">
        <v>6</v>
      </c>
      <c r="C564" t="s">
        <v>1237</v>
      </c>
      <c r="D564" t="s">
        <v>1234</v>
      </c>
      <c r="E564" t="s">
        <v>1235</v>
      </c>
      <c r="F564" t="str">
        <f>HYPERLINK("https://talan.bank.gov.ua/get-user-certificate/45CEldVyMzD2TeT43AiS","Завантажити сертифікат")</f>
        <v>Завантажити сертифікат</v>
      </c>
    </row>
    <row r="565" spans="1:6" x14ac:dyDescent="0.3">
      <c r="A565" t="s">
        <v>1238</v>
      </c>
      <c r="B565" t="s">
        <v>6</v>
      </c>
      <c r="C565" t="s">
        <v>1239</v>
      </c>
      <c r="D565" t="s">
        <v>1234</v>
      </c>
      <c r="E565" t="s">
        <v>1235</v>
      </c>
      <c r="F565" t="str">
        <f>HYPERLINK("https://talan.bank.gov.ua/get-user-certificate/45CElROeQC_SptV61K6z","Завантажити сертифікат")</f>
        <v>Завантажити сертифікат</v>
      </c>
    </row>
    <row r="566" spans="1:6" x14ac:dyDescent="0.3">
      <c r="A566" t="s">
        <v>1240</v>
      </c>
      <c r="B566" t="s">
        <v>6</v>
      </c>
      <c r="C566" t="s">
        <v>1241</v>
      </c>
      <c r="D566" t="s">
        <v>1234</v>
      </c>
      <c r="E566" t="s">
        <v>1235</v>
      </c>
      <c r="F566" t="str">
        <f>HYPERLINK("https://talan.bank.gov.ua/get-user-certificate/45CElohOT8PUJEYYXLhU","Завантажити сертифікат")</f>
        <v>Завантажити сертифікат</v>
      </c>
    </row>
    <row r="567" spans="1:6" x14ac:dyDescent="0.3">
      <c r="A567" t="s">
        <v>1242</v>
      </c>
      <c r="B567" t="s">
        <v>6</v>
      </c>
      <c r="C567" t="s">
        <v>1243</v>
      </c>
      <c r="D567" t="s">
        <v>1244</v>
      </c>
      <c r="E567" t="s">
        <v>10725</v>
      </c>
      <c r="F567" t="str">
        <f>HYPERLINK("https://talan.bank.gov.ua/get-user-certificate/ki8TnmN0PX4AQwjqIUcZ","Завантажити сертифікат")</f>
        <v>Завантажити сертифікат</v>
      </c>
    </row>
    <row r="568" spans="1:6" x14ac:dyDescent="0.3">
      <c r="A568" t="s">
        <v>1245</v>
      </c>
      <c r="B568" t="s">
        <v>6</v>
      </c>
      <c r="C568" t="s">
        <v>1246</v>
      </c>
      <c r="D568" t="s">
        <v>1244</v>
      </c>
      <c r="E568" t="s">
        <v>10725</v>
      </c>
      <c r="F568" t="str">
        <f>HYPERLINK("https://talan.bank.gov.ua/get-user-certificate/ki8Tn7iy8SjT2IGgIf9D","Завантажити сертифікат")</f>
        <v>Завантажити сертифікат</v>
      </c>
    </row>
    <row r="569" spans="1:6" x14ac:dyDescent="0.3">
      <c r="A569" t="s">
        <v>1247</v>
      </c>
      <c r="B569" t="s">
        <v>6</v>
      </c>
      <c r="C569" t="s">
        <v>1248</v>
      </c>
      <c r="D569" t="s">
        <v>1244</v>
      </c>
      <c r="E569" t="s">
        <v>10725</v>
      </c>
      <c r="F569" t="str">
        <f>HYPERLINK("https://talan.bank.gov.ua/get-user-certificate/ki8Tnfr1CSWIMQk74NGZ","Завантажити сертифікат")</f>
        <v>Завантажити сертифікат</v>
      </c>
    </row>
    <row r="570" spans="1:6" x14ac:dyDescent="0.3">
      <c r="A570" t="s">
        <v>1249</v>
      </c>
      <c r="B570" t="s">
        <v>6</v>
      </c>
      <c r="C570" t="s">
        <v>1250</v>
      </c>
      <c r="D570" t="s">
        <v>1244</v>
      </c>
      <c r="E570" t="s">
        <v>10725</v>
      </c>
      <c r="F570" t="str">
        <f>HYPERLINK("https://talan.bank.gov.ua/get-user-certificate/ki8TnIIL5v6ST9YJpAwo","Завантажити сертифікат")</f>
        <v>Завантажити сертифікат</v>
      </c>
    </row>
    <row r="571" spans="1:6" x14ac:dyDescent="0.3">
      <c r="A571" t="s">
        <v>1251</v>
      </c>
      <c r="B571" t="s">
        <v>6</v>
      </c>
      <c r="C571" t="s">
        <v>1252</v>
      </c>
      <c r="D571" t="s">
        <v>1244</v>
      </c>
      <c r="E571" t="s">
        <v>10725</v>
      </c>
      <c r="F571" t="str">
        <f>HYPERLINK("https://talan.bank.gov.ua/get-user-certificate/ki8Tnk-fsLSwNR4Eceo4","Завантажити сертифікат")</f>
        <v>Завантажити сертифікат</v>
      </c>
    </row>
    <row r="572" spans="1:6" x14ac:dyDescent="0.3">
      <c r="A572" t="s">
        <v>1253</v>
      </c>
      <c r="B572" t="s">
        <v>6</v>
      </c>
      <c r="C572" t="s">
        <v>1254</v>
      </c>
      <c r="D572" t="s">
        <v>1244</v>
      </c>
      <c r="E572" t="s">
        <v>10725</v>
      </c>
      <c r="F572" t="str">
        <f>HYPERLINK("https://talan.bank.gov.ua/get-user-certificate/ki8TnqeOKLqBjdRCZCD4","Завантажити сертифікат")</f>
        <v>Завантажити сертифікат</v>
      </c>
    </row>
    <row r="573" spans="1:6" x14ac:dyDescent="0.3">
      <c r="A573" t="s">
        <v>1255</v>
      </c>
      <c r="B573" t="s">
        <v>6</v>
      </c>
      <c r="C573" t="s">
        <v>1256</v>
      </c>
      <c r="D573" t="s">
        <v>1244</v>
      </c>
      <c r="E573" t="s">
        <v>10725</v>
      </c>
      <c r="F573" t="str">
        <f>HYPERLINK("https://talan.bank.gov.ua/get-user-certificate/ki8TnT7k6_nohS1bgFNR","Завантажити сертифікат")</f>
        <v>Завантажити сертифікат</v>
      </c>
    </row>
    <row r="574" spans="1:6" x14ac:dyDescent="0.3">
      <c r="A574" t="s">
        <v>1257</v>
      </c>
      <c r="B574" t="s">
        <v>6</v>
      </c>
      <c r="C574" t="s">
        <v>1258</v>
      </c>
      <c r="D574" t="s">
        <v>1244</v>
      </c>
      <c r="E574" t="s">
        <v>10725</v>
      </c>
      <c r="F574" t="str">
        <f>HYPERLINK("https://talan.bank.gov.ua/get-user-certificate/ki8Tna5pIT1BSDXiFKpK","Завантажити сертифікат")</f>
        <v>Завантажити сертифікат</v>
      </c>
    </row>
    <row r="575" spans="1:6" x14ac:dyDescent="0.3">
      <c r="A575" t="s">
        <v>1259</v>
      </c>
      <c r="B575" t="s">
        <v>6</v>
      </c>
      <c r="C575" t="s">
        <v>1260</v>
      </c>
      <c r="D575" t="s">
        <v>1244</v>
      </c>
      <c r="E575" t="s">
        <v>10725</v>
      </c>
      <c r="F575" t="str">
        <f>HYPERLINK("https://talan.bank.gov.ua/get-user-certificate/ki8TnoTgRJJWBmv2Wsgz","Завантажити сертифікат")</f>
        <v>Завантажити сертифікат</v>
      </c>
    </row>
    <row r="576" spans="1:6" x14ac:dyDescent="0.3">
      <c r="A576" t="s">
        <v>1261</v>
      </c>
      <c r="B576" t="s">
        <v>6</v>
      </c>
      <c r="C576" t="s">
        <v>1262</v>
      </c>
      <c r="D576" t="s">
        <v>1244</v>
      </c>
      <c r="E576" t="s">
        <v>10725</v>
      </c>
      <c r="F576" t="str">
        <f>HYPERLINK("https://talan.bank.gov.ua/get-user-certificate/ki8TnDJJW9h3TXqQaufX","Завантажити сертифікат")</f>
        <v>Завантажити сертифікат</v>
      </c>
    </row>
    <row r="577" spans="1:6" x14ac:dyDescent="0.3">
      <c r="A577" t="s">
        <v>1263</v>
      </c>
      <c r="B577" t="s">
        <v>6</v>
      </c>
      <c r="C577" t="s">
        <v>1264</v>
      </c>
      <c r="D577" t="s">
        <v>1244</v>
      </c>
      <c r="E577" t="s">
        <v>10725</v>
      </c>
      <c r="F577" t="str">
        <f>HYPERLINK("https://talan.bank.gov.ua/get-user-certificate/ki8TnG0KwHf9hEaRBMgt","Завантажити сертифікат")</f>
        <v>Завантажити сертифікат</v>
      </c>
    </row>
    <row r="578" spans="1:6" x14ac:dyDescent="0.3">
      <c r="A578" t="s">
        <v>1265</v>
      </c>
      <c r="B578" t="s">
        <v>6</v>
      </c>
      <c r="C578" t="s">
        <v>1266</v>
      </c>
      <c r="D578" t="s">
        <v>1267</v>
      </c>
      <c r="E578" t="s">
        <v>1268</v>
      </c>
      <c r="F578" t="str">
        <f>HYPERLINK("https://talan.bank.gov.ua/get-user-certificate/45CEl96sZhhmzoU2t7-Z","Завантажити сертифікат")</f>
        <v>Завантажити сертифікат</v>
      </c>
    </row>
    <row r="579" spans="1:6" x14ac:dyDescent="0.3">
      <c r="A579" t="s">
        <v>1269</v>
      </c>
      <c r="B579" t="s">
        <v>6</v>
      </c>
      <c r="C579" t="s">
        <v>1270</v>
      </c>
      <c r="D579" t="s">
        <v>1267</v>
      </c>
      <c r="E579" t="s">
        <v>1268</v>
      </c>
      <c r="F579" t="str">
        <f>HYPERLINK("https://talan.bank.gov.ua/get-user-certificate/45CElzeVLnkUOhU2xPrq","Завантажити сертифікат")</f>
        <v>Завантажити сертифікат</v>
      </c>
    </row>
    <row r="580" spans="1:6" x14ac:dyDescent="0.3">
      <c r="A580" t="s">
        <v>1271</v>
      </c>
      <c r="B580" t="s">
        <v>6</v>
      </c>
      <c r="C580" t="s">
        <v>1272</v>
      </c>
      <c r="D580" t="s">
        <v>1267</v>
      </c>
      <c r="E580" t="s">
        <v>1268</v>
      </c>
      <c r="F580" t="str">
        <f>HYPERLINK("https://talan.bank.gov.ua/get-user-certificate/45CEluZe9j_c6h0AIVms","Завантажити сертифікат")</f>
        <v>Завантажити сертифікат</v>
      </c>
    </row>
    <row r="581" spans="1:6" x14ac:dyDescent="0.3">
      <c r="A581" t="s">
        <v>1273</v>
      </c>
      <c r="B581" t="s">
        <v>6</v>
      </c>
      <c r="C581" t="s">
        <v>1274</v>
      </c>
      <c r="D581" t="s">
        <v>1267</v>
      </c>
      <c r="E581" t="s">
        <v>1268</v>
      </c>
      <c r="F581" t="str">
        <f>HYPERLINK("https://talan.bank.gov.ua/get-user-certificate/45CElimo99JO3bd3NWQP","Завантажити сертифікат")</f>
        <v>Завантажити сертифікат</v>
      </c>
    </row>
    <row r="582" spans="1:6" x14ac:dyDescent="0.3">
      <c r="A582" t="s">
        <v>1275</v>
      </c>
      <c r="B582" t="s">
        <v>6</v>
      </c>
      <c r="C582" t="s">
        <v>1276</v>
      </c>
      <c r="D582" t="s">
        <v>1267</v>
      </c>
      <c r="E582" t="s">
        <v>1268</v>
      </c>
      <c r="F582" t="str">
        <f>HYPERLINK("https://talan.bank.gov.ua/get-user-certificate/45CElVYNAubNQ_FVHEfd","Завантажити сертифікат")</f>
        <v>Завантажити сертифікат</v>
      </c>
    </row>
    <row r="583" spans="1:6" x14ac:dyDescent="0.3">
      <c r="A583" t="s">
        <v>1277</v>
      </c>
      <c r="B583" t="s">
        <v>6</v>
      </c>
      <c r="C583" t="s">
        <v>1278</v>
      </c>
      <c r="D583" t="s">
        <v>1267</v>
      </c>
      <c r="E583" t="s">
        <v>1268</v>
      </c>
      <c r="F583" t="str">
        <f>HYPERLINK("https://talan.bank.gov.ua/get-user-certificate/45CElYkWXg3jw_4UdPNm","Завантажити сертифікат")</f>
        <v>Завантажити сертифікат</v>
      </c>
    </row>
    <row r="584" spans="1:6" x14ac:dyDescent="0.3">
      <c r="A584" t="s">
        <v>1279</v>
      </c>
      <c r="B584" t="s">
        <v>6</v>
      </c>
      <c r="C584" t="s">
        <v>1280</v>
      </c>
      <c r="D584" t="s">
        <v>1267</v>
      </c>
      <c r="E584" t="s">
        <v>1268</v>
      </c>
      <c r="F584" t="str">
        <f>HYPERLINK("https://talan.bank.gov.ua/get-user-certificate/45CEl4XbrXG_bCtV3Loz","Завантажити сертифікат")</f>
        <v>Завантажити сертифікат</v>
      </c>
    </row>
    <row r="585" spans="1:6" x14ac:dyDescent="0.3">
      <c r="A585" t="s">
        <v>1281</v>
      </c>
      <c r="B585" t="s">
        <v>6</v>
      </c>
      <c r="C585" t="s">
        <v>1282</v>
      </c>
      <c r="D585" t="s">
        <v>1267</v>
      </c>
      <c r="E585" t="s">
        <v>1268</v>
      </c>
      <c r="F585" t="str">
        <f>HYPERLINK("https://talan.bank.gov.ua/get-user-certificate/45CElzArnOXTi6zvFFHa","Завантажити сертифікат")</f>
        <v>Завантажити сертифікат</v>
      </c>
    </row>
    <row r="586" spans="1:6" x14ac:dyDescent="0.3">
      <c r="A586" t="s">
        <v>1283</v>
      </c>
      <c r="B586" t="s">
        <v>6</v>
      </c>
      <c r="C586" t="s">
        <v>1284</v>
      </c>
      <c r="D586" t="s">
        <v>1267</v>
      </c>
      <c r="E586" t="s">
        <v>1268</v>
      </c>
      <c r="F586" t="str">
        <f>HYPERLINK("https://talan.bank.gov.ua/get-user-certificate/45CElw-P6tYHIdWwZWcn","Завантажити сертифікат")</f>
        <v>Завантажити сертифікат</v>
      </c>
    </row>
    <row r="587" spans="1:6" x14ac:dyDescent="0.3">
      <c r="A587" t="s">
        <v>1285</v>
      </c>
      <c r="B587" t="s">
        <v>6</v>
      </c>
      <c r="C587" t="s">
        <v>1286</v>
      </c>
      <c r="D587" t="s">
        <v>1287</v>
      </c>
      <c r="E587" t="s">
        <v>1288</v>
      </c>
      <c r="F587" t="str">
        <f>HYPERLINK("https://talan.bank.gov.ua/get-user-certificate/45CElemnQg3Ytw9lthfc","Завантажити сертифікат")</f>
        <v>Завантажити сертифікат</v>
      </c>
    </row>
    <row r="588" spans="1:6" x14ac:dyDescent="0.3">
      <c r="A588" t="s">
        <v>1289</v>
      </c>
      <c r="B588" t="s">
        <v>6</v>
      </c>
      <c r="C588" t="s">
        <v>1290</v>
      </c>
      <c r="D588" t="s">
        <v>1287</v>
      </c>
      <c r="E588" t="s">
        <v>1288</v>
      </c>
      <c r="F588" t="str">
        <f>HYPERLINK("https://talan.bank.gov.ua/get-user-certificate/45CEloIrL6ZMGIEernFs","Завантажити сертифікат")</f>
        <v>Завантажити сертифікат</v>
      </c>
    </row>
    <row r="589" spans="1:6" x14ac:dyDescent="0.3">
      <c r="A589" t="s">
        <v>1291</v>
      </c>
      <c r="B589" t="s">
        <v>6</v>
      </c>
      <c r="C589" t="s">
        <v>1292</v>
      </c>
      <c r="D589" t="s">
        <v>1287</v>
      </c>
      <c r="E589" t="s">
        <v>1288</v>
      </c>
      <c r="F589" t="str">
        <f>HYPERLINK("https://talan.bank.gov.ua/get-user-certificate/45CElvtZByBgYce2HiSF","Завантажити сертифікат")</f>
        <v>Завантажити сертифікат</v>
      </c>
    </row>
    <row r="590" spans="1:6" x14ac:dyDescent="0.3">
      <c r="A590" t="s">
        <v>1293</v>
      </c>
      <c r="B590" t="s">
        <v>6</v>
      </c>
      <c r="C590" t="s">
        <v>1294</v>
      </c>
      <c r="D590" t="s">
        <v>1287</v>
      </c>
      <c r="E590" t="s">
        <v>1288</v>
      </c>
      <c r="F590" t="str">
        <f>HYPERLINK("https://talan.bank.gov.ua/get-user-certificate/45CEl84EbpShIWUxcOZr","Завантажити сертифікат")</f>
        <v>Завантажити сертифікат</v>
      </c>
    </row>
    <row r="591" spans="1:6" x14ac:dyDescent="0.3">
      <c r="A591" t="s">
        <v>1295</v>
      </c>
      <c r="B591" t="s">
        <v>6</v>
      </c>
      <c r="C591" t="s">
        <v>1296</v>
      </c>
      <c r="D591" t="s">
        <v>1287</v>
      </c>
      <c r="E591" t="s">
        <v>1288</v>
      </c>
      <c r="F591" t="str">
        <f>HYPERLINK("https://talan.bank.gov.ua/get-user-certificate/45CElLmhIJxZ3Wyu-W0K","Завантажити сертифікат")</f>
        <v>Завантажити сертифікат</v>
      </c>
    </row>
    <row r="592" spans="1:6" x14ac:dyDescent="0.3">
      <c r="A592" t="s">
        <v>1297</v>
      </c>
      <c r="B592" t="s">
        <v>6</v>
      </c>
      <c r="C592" t="s">
        <v>1298</v>
      </c>
      <c r="D592" t="s">
        <v>1287</v>
      </c>
      <c r="E592" t="s">
        <v>1288</v>
      </c>
      <c r="F592" t="str">
        <f>HYPERLINK("https://talan.bank.gov.ua/get-user-certificate/45CElZY7ZVK3J3ti-N4O","Завантажити сертифікат")</f>
        <v>Завантажити сертифікат</v>
      </c>
    </row>
    <row r="593" spans="1:6" x14ac:dyDescent="0.3">
      <c r="A593" t="s">
        <v>1299</v>
      </c>
      <c r="B593" t="s">
        <v>6</v>
      </c>
      <c r="C593" t="s">
        <v>1300</v>
      </c>
      <c r="D593" t="s">
        <v>1287</v>
      </c>
      <c r="E593" t="s">
        <v>1288</v>
      </c>
      <c r="F593" t="str">
        <f>HYPERLINK("https://talan.bank.gov.ua/get-user-certificate/45CEl_QISMqqUgpiYPmX","Завантажити сертифікат")</f>
        <v>Завантажити сертифікат</v>
      </c>
    </row>
    <row r="594" spans="1:6" x14ac:dyDescent="0.3">
      <c r="A594" t="s">
        <v>1301</v>
      </c>
      <c r="B594" t="s">
        <v>6</v>
      </c>
      <c r="C594" t="s">
        <v>1302</v>
      </c>
      <c r="D594" t="s">
        <v>1287</v>
      </c>
      <c r="E594" t="s">
        <v>1288</v>
      </c>
      <c r="F594" t="str">
        <f>HYPERLINK("https://talan.bank.gov.ua/get-user-certificate/45CElar1pgm3FHCFHGr3","Завантажити сертифікат")</f>
        <v>Завантажити сертифікат</v>
      </c>
    </row>
    <row r="595" spans="1:6" x14ac:dyDescent="0.3">
      <c r="A595" t="s">
        <v>1303</v>
      </c>
      <c r="B595" t="s">
        <v>6</v>
      </c>
      <c r="C595" t="s">
        <v>1304</v>
      </c>
      <c r="D595" t="s">
        <v>1287</v>
      </c>
      <c r="E595" t="s">
        <v>1288</v>
      </c>
      <c r="F595" t="str">
        <f>HYPERLINK("https://talan.bank.gov.ua/get-user-certificate/45CEl-707VMDr_bo7BXo","Завантажити сертифікат")</f>
        <v>Завантажити сертифікат</v>
      </c>
    </row>
    <row r="596" spans="1:6" x14ac:dyDescent="0.3">
      <c r="A596" t="s">
        <v>1305</v>
      </c>
      <c r="B596" t="s">
        <v>6</v>
      </c>
      <c r="C596" t="s">
        <v>1306</v>
      </c>
      <c r="D596" t="s">
        <v>1287</v>
      </c>
      <c r="E596" t="s">
        <v>1288</v>
      </c>
      <c r="F596" t="str">
        <f>HYPERLINK("https://talan.bank.gov.ua/get-user-certificate/45CEl3dJS56coHykTkGc","Завантажити сертифікат")</f>
        <v>Завантажити сертифікат</v>
      </c>
    </row>
    <row r="597" spans="1:6" x14ac:dyDescent="0.3">
      <c r="A597" t="s">
        <v>1307</v>
      </c>
      <c r="B597" t="s">
        <v>6</v>
      </c>
      <c r="C597" t="s">
        <v>1308</v>
      </c>
      <c r="D597" t="s">
        <v>1287</v>
      </c>
      <c r="E597" t="s">
        <v>1288</v>
      </c>
      <c r="F597" t="str">
        <f>HYPERLINK("https://talan.bank.gov.ua/get-user-certificate/45CElIpEaYZ3lQSpKc7A","Завантажити сертифікат")</f>
        <v>Завантажити сертифікат</v>
      </c>
    </row>
    <row r="598" spans="1:6" x14ac:dyDescent="0.3">
      <c r="A598" t="s">
        <v>1309</v>
      </c>
      <c r="B598" t="s">
        <v>6</v>
      </c>
      <c r="C598" t="s">
        <v>1310</v>
      </c>
      <c r="D598" t="s">
        <v>1287</v>
      </c>
      <c r="E598" t="s">
        <v>1288</v>
      </c>
      <c r="F598" t="str">
        <f>HYPERLINK("https://talan.bank.gov.ua/get-user-certificate/45CElB0X3UvAC7Yge2l2","Завантажити сертифікат")</f>
        <v>Завантажити сертифікат</v>
      </c>
    </row>
    <row r="599" spans="1:6" x14ac:dyDescent="0.3">
      <c r="A599" t="s">
        <v>1311</v>
      </c>
      <c r="B599" t="s">
        <v>6</v>
      </c>
      <c r="C599" t="s">
        <v>1312</v>
      </c>
      <c r="D599" t="s">
        <v>1287</v>
      </c>
      <c r="E599" t="s">
        <v>1288</v>
      </c>
      <c r="F599" t="str">
        <f>HYPERLINK("https://talan.bank.gov.ua/get-user-certificate/45CEli5amz9aP4Nj3yKw","Завантажити сертифікат")</f>
        <v>Завантажити сертифікат</v>
      </c>
    </row>
    <row r="600" spans="1:6" x14ac:dyDescent="0.3">
      <c r="A600" t="s">
        <v>1313</v>
      </c>
      <c r="B600" t="s">
        <v>6</v>
      </c>
      <c r="C600" t="s">
        <v>1314</v>
      </c>
      <c r="D600" t="s">
        <v>1287</v>
      </c>
      <c r="E600" t="s">
        <v>1288</v>
      </c>
      <c r="F600" t="str">
        <f>HYPERLINK("https://talan.bank.gov.ua/get-user-certificate/45CElTlC8HpciuSQ_EhG","Завантажити сертифікат")</f>
        <v>Завантажити сертифікат</v>
      </c>
    </row>
    <row r="601" spans="1:6" x14ac:dyDescent="0.3">
      <c r="A601" t="s">
        <v>1315</v>
      </c>
      <c r="B601" t="s">
        <v>6</v>
      </c>
      <c r="C601" t="s">
        <v>1316</v>
      </c>
      <c r="D601" t="s">
        <v>1287</v>
      </c>
      <c r="E601" t="s">
        <v>1288</v>
      </c>
      <c r="F601" t="str">
        <f>HYPERLINK("https://talan.bank.gov.ua/get-user-certificate/45CElVxCsCTZCYJpGR9L","Завантажити сертифікат")</f>
        <v>Завантажити сертифікат</v>
      </c>
    </row>
    <row r="602" spans="1:6" x14ac:dyDescent="0.3">
      <c r="A602" t="s">
        <v>1317</v>
      </c>
      <c r="B602" t="s">
        <v>6</v>
      </c>
      <c r="C602" t="s">
        <v>1318</v>
      </c>
      <c r="D602" t="s">
        <v>1287</v>
      </c>
      <c r="E602" t="s">
        <v>1288</v>
      </c>
      <c r="F602" t="str">
        <f>HYPERLINK("https://talan.bank.gov.ua/get-user-certificate/45CElt8nZTbeN9xe-kjp","Завантажити сертифікат")</f>
        <v>Завантажити сертифікат</v>
      </c>
    </row>
    <row r="603" spans="1:6" x14ac:dyDescent="0.3">
      <c r="A603" t="s">
        <v>1319</v>
      </c>
      <c r="B603" t="s">
        <v>6</v>
      </c>
      <c r="C603" t="s">
        <v>1320</v>
      </c>
      <c r="D603" t="s">
        <v>1287</v>
      </c>
      <c r="E603" t="s">
        <v>1288</v>
      </c>
      <c r="F603" t="str">
        <f>HYPERLINK("https://talan.bank.gov.ua/get-user-certificate/45CElwwLai-Dqf0i1oy9","Завантажити сертифікат")</f>
        <v>Завантажити сертифікат</v>
      </c>
    </row>
    <row r="604" spans="1:6" x14ac:dyDescent="0.3">
      <c r="A604" t="s">
        <v>1321</v>
      </c>
      <c r="B604" t="s">
        <v>6</v>
      </c>
      <c r="C604" t="s">
        <v>1322</v>
      </c>
      <c r="D604" t="s">
        <v>1287</v>
      </c>
      <c r="E604" t="s">
        <v>1288</v>
      </c>
      <c r="F604" t="str">
        <f>HYPERLINK("https://talan.bank.gov.ua/get-user-certificate/45CElUnV86W7Rkx8BzmL","Завантажити сертифікат")</f>
        <v>Завантажити сертифікат</v>
      </c>
    </row>
    <row r="605" spans="1:6" x14ac:dyDescent="0.3">
      <c r="A605" t="s">
        <v>1323</v>
      </c>
      <c r="B605" t="s">
        <v>6</v>
      </c>
      <c r="C605" t="s">
        <v>1324</v>
      </c>
      <c r="D605" t="s">
        <v>1287</v>
      </c>
      <c r="E605" t="s">
        <v>1288</v>
      </c>
      <c r="F605" t="str">
        <f>HYPERLINK("https://talan.bank.gov.ua/get-user-certificate/45CElnQEEciWxMrGE_qA","Завантажити сертифікат")</f>
        <v>Завантажити сертифікат</v>
      </c>
    </row>
    <row r="606" spans="1:6" x14ac:dyDescent="0.3">
      <c r="A606" t="s">
        <v>1325</v>
      </c>
      <c r="B606" t="s">
        <v>6</v>
      </c>
      <c r="C606" t="s">
        <v>1326</v>
      </c>
      <c r="D606" t="s">
        <v>1287</v>
      </c>
      <c r="E606" t="s">
        <v>1288</v>
      </c>
      <c r="F606" t="str">
        <f>HYPERLINK("https://talan.bank.gov.ua/get-user-certificate/45CEllCjWsjz7jD0zFkP","Завантажити сертифікат")</f>
        <v>Завантажити сертифікат</v>
      </c>
    </row>
    <row r="607" spans="1:6" x14ac:dyDescent="0.3">
      <c r="A607" t="s">
        <v>1327</v>
      </c>
      <c r="B607" t="s">
        <v>6</v>
      </c>
      <c r="C607" t="s">
        <v>1328</v>
      </c>
      <c r="D607" t="s">
        <v>1287</v>
      </c>
      <c r="E607" t="s">
        <v>1288</v>
      </c>
      <c r="F607" t="str">
        <f>HYPERLINK("https://talan.bank.gov.ua/get-user-certificate/45CElJDr_twEQGjh5AM-","Завантажити сертифікат")</f>
        <v>Завантажити сертифікат</v>
      </c>
    </row>
    <row r="608" spans="1:6" x14ac:dyDescent="0.3">
      <c r="A608" t="s">
        <v>1329</v>
      </c>
      <c r="B608" t="s">
        <v>6</v>
      </c>
      <c r="C608" t="s">
        <v>1330</v>
      </c>
      <c r="D608" t="s">
        <v>1287</v>
      </c>
      <c r="E608" t="s">
        <v>1288</v>
      </c>
      <c r="F608" t="str">
        <f>HYPERLINK("https://talan.bank.gov.ua/get-user-certificate/45CElg-QJ5vUP2-Yhinf","Завантажити сертифікат")</f>
        <v>Завантажити сертифікат</v>
      </c>
    </row>
    <row r="609" spans="1:6" x14ac:dyDescent="0.3">
      <c r="A609" t="s">
        <v>1331</v>
      </c>
      <c r="B609" t="s">
        <v>6</v>
      </c>
      <c r="C609" t="s">
        <v>1332</v>
      </c>
      <c r="D609" t="s">
        <v>1287</v>
      </c>
      <c r="E609" t="s">
        <v>1288</v>
      </c>
      <c r="F609" t="str">
        <f>HYPERLINK("https://talan.bank.gov.ua/get-user-certificate/45CEl5vqXANRU57VICk0","Завантажити сертифікат")</f>
        <v>Завантажити сертифікат</v>
      </c>
    </row>
    <row r="610" spans="1:6" x14ac:dyDescent="0.3">
      <c r="A610" t="s">
        <v>1333</v>
      </c>
      <c r="B610" t="s">
        <v>6</v>
      </c>
      <c r="C610" t="s">
        <v>1334</v>
      </c>
      <c r="D610" t="s">
        <v>1287</v>
      </c>
      <c r="E610" t="s">
        <v>1288</v>
      </c>
      <c r="F610" t="str">
        <f>HYPERLINK("https://talan.bank.gov.ua/get-user-certificate/45CElYWAPDjC0Kh1wSEr","Завантажити сертифікат")</f>
        <v>Завантажити сертифікат</v>
      </c>
    </row>
    <row r="611" spans="1:6" x14ac:dyDescent="0.3">
      <c r="A611" t="s">
        <v>1335</v>
      </c>
      <c r="B611" t="s">
        <v>6</v>
      </c>
      <c r="C611" t="s">
        <v>1336</v>
      </c>
      <c r="D611" t="s">
        <v>1287</v>
      </c>
      <c r="E611" t="s">
        <v>1288</v>
      </c>
      <c r="F611" t="str">
        <f>HYPERLINK("https://talan.bank.gov.ua/get-user-certificate/45CElBqT40FdlhX9KZzh","Завантажити сертифікат")</f>
        <v>Завантажити сертифікат</v>
      </c>
    </row>
    <row r="612" spans="1:6" x14ac:dyDescent="0.3">
      <c r="A612" t="s">
        <v>1337</v>
      </c>
      <c r="B612" t="s">
        <v>6</v>
      </c>
      <c r="C612" t="s">
        <v>1338</v>
      </c>
      <c r="D612" t="s">
        <v>1287</v>
      </c>
      <c r="E612" t="s">
        <v>1288</v>
      </c>
      <c r="F612" t="str">
        <f>HYPERLINK("https://talan.bank.gov.ua/get-user-certificate/45CEla-hW8do9n0Qpy5f","Завантажити сертифікат")</f>
        <v>Завантажити сертифікат</v>
      </c>
    </row>
    <row r="613" spans="1:6" x14ac:dyDescent="0.3">
      <c r="A613" t="s">
        <v>1339</v>
      </c>
      <c r="B613" t="s">
        <v>6</v>
      </c>
      <c r="C613" t="s">
        <v>1340</v>
      </c>
      <c r="D613" t="s">
        <v>1287</v>
      </c>
      <c r="E613" t="s">
        <v>1288</v>
      </c>
      <c r="F613" t="str">
        <f>HYPERLINK("https://talan.bank.gov.ua/get-user-certificate/45CEl6328OPwVXVCiHMq","Завантажити сертифікат")</f>
        <v>Завантажити сертифікат</v>
      </c>
    </row>
    <row r="614" spans="1:6" x14ac:dyDescent="0.3">
      <c r="A614" t="s">
        <v>1341</v>
      </c>
      <c r="B614" t="s">
        <v>6</v>
      </c>
      <c r="C614" t="s">
        <v>1342</v>
      </c>
      <c r="D614" t="s">
        <v>1287</v>
      </c>
      <c r="E614" t="s">
        <v>1288</v>
      </c>
      <c r="F614" t="str">
        <f>HYPERLINK("https://talan.bank.gov.ua/get-user-certificate/45CElEJzLK1FiH7iG2ia","Завантажити сертифікат")</f>
        <v>Завантажити сертифікат</v>
      </c>
    </row>
    <row r="615" spans="1:6" x14ac:dyDescent="0.3">
      <c r="A615" t="s">
        <v>1343</v>
      </c>
      <c r="B615" t="s">
        <v>6</v>
      </c>
      <c r="C615" t="s">
        <v>1344</v>
      </c>
      <c r="D615" t="s">
        <v>1345</v>
      </c>
      <c r="E615" t="s">
        <v>1346</v>
      </c>
      <c r="F615" t="str">
        <f>HYPERLINK("https://talan.bank.gov.ua/get-user-certificate/45CElTk2dvogPLALpY0V","Завантажити сертифікат")</f>
        <v>Завантажити сертифікат</v>
      </c>
    </row>
    <row r="616" spans="1:6" x14ac:dyDescent="0.3">
      <c r="A616" t="s">
        <v>1347</v>
      </c>
      <c r="B616" t="s">
        <v>6</v>
      </c>
      <c r="C616" t="s">
        <v>1348</v>
      </c>
      <c r="D616" t="s">
        <v>1349</v>
      </c>
      <c r="E616" t="s">
        <v>1350</v>
      </c>
      <c r="F616" t="str">
        <f>HYPERLINK("https://talan.bank.gov.ua/get-user-certificate/45CElIfAouwRW316EPAo","Завантажити сертифікат")</f>
        <v>Завантажити сертифікат</v>
      </c>
    </row>
    <row r="617" spans="1:6" x14ac:dyDescent="0.3">
      <c r="A617" t="s">
        <v>1351</v>
      </c>
      <c r="B617" t="s">
        <v>6</v>
      </c>
      <c r="C617" t="s">
        <v>1352</v>
      </c>
      <c r="D617" t="s">
        <v>1349</v>
      </c>
      <c r="E617" t="s">
        <v>1350</v>
      </c>
      <c r="F617" t="str">
        <f>HYPERLINK("https://talan.bank.gov.ua/get-user-certificate/45CEleGw3HW2g7v_QuZA","Завантажити сертифікат")</f>
        <v>Завантажити сертифікат</v>
      </c>
    </row>
    <row r="618" spans="1:6" x14ac:dyDescent="0.3">
      <c r="A618" t="s">
        <v>1353</v>
      </c>
      <c r="B618" t="s">
        <v>6</v>
      </c>
      <c r="C618" t="s">
        <v>1354</v>
      </c>
      <c r="D618" t="s">
        <v>1349</v>
      </c>
      <c r="E618" t="s">
        <v>1350</v>
      </c>
      <c r="F618" t="str">
        <f>HYPERLINK("https://talan.bank.gov.ua/get-user-certificate/45CElzyc6TBFvPJT17Cq","Завантажити сертифікат")</f>
        <v>Завантажити сертифікат</v>
      </c>
    </row>
    <row r="619" spans="1:6" x14ac:dyDescent="0.3">
      <c r="A619" t="s">
        <v>1355</v>
      </c>
      <c r="B619" t="s">
        <v>6</v>
      </c>
      <c r="C619" t="s">
        <v>1356</v>
      </c>
      <c r="D619" t="s">
        <v>1349</v>
      </c>
      <c r="E619" t="s">
        <v>1350</v>
      </c>
      <c r="F619" t="str">
        <f>HYPERLINK("https://talan.bank.gov.ua/get-user-certificate/45CEl3uzsCWl67V-8B8p","Завантажити сертифікат")</f>
        <v>Завантажити сертифікат</v>
      </c>
    </row>
    <row r="620" spans="1:6" x14ac:dyDescent="0.3">
      <c r="A620" t="s">
        <v>1357</v>
      </c>
      <c r="B620" t="s">
        <v>6</v>
      </c>
      <c r="C620" t="s">
        <v>1358</v>
      </c>
      <c r="D620" t="s">
        <v>1359</v>
      </c>
      <c r="E620" t="s">
        <v>1360</v>
      </c>
      <c r="F620" t="str">
        <f>HYPERLINK("https://talan.bank.gov.ua/get-user-certificate/45CEl5k1WOdczIULOjuH","Завантажити сертифікат")</f>
        <v>Завантажити сертифікат</v>
      </c>
    </row>
    <row r="621" spans="1:6" x14ac:dyDescent="0.3">
      <c r="A621" t="s">
        <v>1361</v>
      </c>
      <c r="B621" t="s">
        <v>6</v>
      </c>
      <c r="C621" t="s">
        <v>1362</v>
      </c>
      <c r="D621" t="s">
        <v>1359</v>
      </c>
      <c r="E621" t="s">
        <v>1360</v>
      </c>
      <c r="F621" t="str">
        <f>HYPERLINK("https://talan.bank.gov.ua/get-user-certificate/45CElN40zqyu3HaXylCg","Завантажити сертифікат")</f>
        <v>Завантажити сертифікат</v>
      </c>
    </row>
    <row r="622" spans="1:6" x14ac:dyDescent="0.3">
      <c r="A622" t="s">
        <v>1363</v>
      </c>
      <c r="B622" t="s">
        <v>6</v>
      </c>
      <c r="C622" t="s">
        <v>1364</v>
      </c>
      <c r="D622" t="s">
        <v>1359</v>
      </c>
      <c r="E622" t="s">
        <v>1360</v>
      </c>
      <c r="F622" t="str">
        <f>HYPERLINK("https://talan.bank.gov.ua/get-user-certificate/45CEl-oqNHNyzKJ92LQx","Завантажити сертифікат")</f>
        <v>Завантажити сертифікат</v>
      </c>
    </row>
    <row r="623" spans="1:6" x14ac:dyDescent="0.3">
      <c r="A623" t="s">
        <v>1365</v>
      </c>
      <c r="B623" t="s">
        <v>6</v>
      </c>
      <c r="C623" t="s">
        <v>1366</v>
      </c>
      <c r="D623" t="s">
        <v>1359</v>
      </c>
      <c r="E623" t="s">
        <v>1360</v>
      </c>
      <c r="F623" t="str">
        <f>HYPERLINK("https://talan.bank.gov.ua/get-user-certificate/45CElH3f84PBe0yCgLTP","Завантажити сертифікат")</f>
        <v>Завантажити сертифікат</v>
      </c>
    </row>
    <row r="624" spans="1:6" x14ac:dyDescent="0.3">
      <c r="A624" t="s">
        <v>1367</v>
      </c>
      <c r="B624" t="s">
        <v>6</v>
      </c>
      <c r="C624" t="s">
        <v>1368</v>
      </c>
      <c r="D624" t="s">
        <v>1359</v>
      </c>
      <c r="E624" t="s">
        <v>1360</v>
      </c>
      <c r="F624" t="str">
        <f>HYPERLINK("https://talan.bank.gov.ua/get-user-certificate/45CEl_j9NaEpw_0yDRFT","Завантажити сертифікат")</f>
        <v>Завантажити сертифікат</v>
      </c>
    </row>
    <row r="625" spans="1:6" x14ac:dyDescent="0.3">
      <c r="A625" t="s">
        <v>1369</v>
      </c>
      <c r="B625" t="s">
        <v>6</v>
      </c>
      <c r="C625" t="s">
        <v>1370</v>
      </c>
      <c r="D625" t="s">
        <v>1359</v>
      </c>
      <c r="E625" t="s">
        <v>1360</v>
      </c>
      <c r="F625" t="str">
        <f>HYPERLINK("https://talan.bank.gov.ua/get-user-certificate/45CElhTHT__k1TH5OYdz","Завантажити сертифікат")</f>
        <v>Завантажити сертифікат</v>
      </c>
    </row>
    <row r="626" spans="1:6" x14ac:dyDescent="0.3">
      <c r="A626" t="s">
        <v>1371</v>
      </c>
      <c r="B626" t="s">
        <v>6</v>
      </c>
      <c r="C626" t="s">
        <v>1372</v>
      </c>
      <c r="D626" t="s">
        <v>1359</v>
      </c>
      <c r="E626" t="s">
        <v>1360</v>
      </c>
      <c r="F626" t="str">
        <f>HYPERLINK("https://talan.bank.gov.ua/get-user-certificate/45CElaLQxjEzXvtmDYo-","Завантажити сертифікат")</f>
        <v>Завантажити сертифікат</v>
      </c>
    </row>
    <row r="627" spans="1:6" x14ac:dyDescent="0.3">
      <c r="A627" t="s">
        <v>1373</v>
      </c>
      <c r="B627" t="s">
        <v>6</v>
      </c>
      <c r="C627" t="s">
        <v>1374</v>
      </c>
      <c r="D627" t="s">
        <v>1359</v>
      </c>
      <c r="E627" t="s">
        <v>1360</v>
      </c>
      <c r="F627" t="str">
        <f>HYPERLINK("https://talan.bank.gov.ua/get-user-certificate/45CEl22nwdIA7jqUr8Nk","Завантажити сертифікат")</f>
        <v>Завантажити сертифікат</v>
      </c>
    </row>
    <row r="628" spans="1:6" x14ac:dyDescent="0.3">
      <c r="A628" t="s">
        <v>1375</v>
      </c>
      <c r="B628" t="s">
        <v>6</v>
      </c>
      <c r="C628" t="s">
        <v>1376</v>
      </c>
      <c r="D628" t="s">
        <v>1359</v>
      </c>
      <c r="E628" t="s">
        <v>1360</v>
      </c>
      <c r="F628" t="str">
        <f>HYPERLINK("https://talan.bank.gov.ua/get-user-certificate/45CElozYf2YhSMqvdmDH","Завантажити сертифікат")</f>
        <v>Завантажити сертифікат</v>
      </c>
    </row>
    <row r="629" spans="1:6" x14ac:dyDescent="0.3">
      <c r="A629" t="s">
        <v>1377</v>
      </c>
      <c r="B629" t="s">
        <v>6</v>
      </c>
      <c r="C629" t="s">
        <v>1378</v>
      </c>
      <c r="D629" t="s">
        <v>1359</v>
      </c>
      <c r="E629" t="s">
        <v>1360</v>
      </c>
      <c r="F629" t="str">
        <f>HYPERLINK("https://talan.bank.gov.ua/get-user-certificate/45CElKTaT5fRw9Cbt9J_","Завантажити сертифікат")</f>
        <v>Завантажити сертифікат</v>
      </c>
    </row>
    <row r="630" spans="1:6" x14ac:dyDescent="0.3">
      <c r="A630" t="s">
        <v>1379</v>
      </c>
      <c r="B630" t="s">
        <v>6</v>
      </c>
      <c r="C630" t="s">
        <v>1380</v>
      </c>
      <c r="D630" t="s">
        <v>1359</v>
      </c>
      <c r="E630" t="s">
        <v>1360</v>
      </c>
      <c r="F630" t="str">
        <f>HYPERLINK("https://talan.bank.gov.ua/get-user-certificate/45CEly5ImXP7WgyHxnsJ","Завантажити сертифікат")</f>
        <v>Завантажити сертифікат</v>
      </c>
    </row>
    <row r="631" spans="1:6" x14ac:dyDescent="0.3">
      <c r="A631" t="s">
        <v>1381</v>
      </c>
      <c r="B631" t="s">
        <v>6</v>
      </c>
      <c r="C631" t="s">
        <v>1382</v>
      </c>
      <c r="D631" t="s">
        <v>1359</v>
      </c>
      <c r="E631" t="s">
        <v>1360</v>
      </c>
      <c r="F631" t="str">
        <f>HYPERLINK("https://talan.bank.gov.ua/get-user-certificate/45CEleXevWosbuXLTpeg","Завантажити сертифікат")</f>
        <v>Завантажити сертифікат</v>
      </c>
    </row>
    <row r="632" spans="1:6" x14ac:dyDescent="0.3">
      <c r="A632" t="s">
        <v>1383</v>
      </c>
      <c r="B632" t="s">
        <v>6</v>
      </c>
      <c r="C632" t="s">
        <v>1384</v>
      </c>
      <c r="D632" t="s">
        <v>1359</v>
      </c>
      <c r="E632" t="s">
        <v>1360</v>
      </c>
      <c r="F632" t="str">
        <f>HYPERLINK("https://talan.bank.gov.ua/get-user-certificate/45CElO-80QG8cQG0vdsn","Завантажити сертифікат")</f>
        <v>Завантажити сертифікат</v>
      </c>
    </row>
    <row r="633" spans="1:6" x14ac:dyDescent="0.3">
      <c r="A633" t="s">
        <v>1385</v>
      </c>
      <c r="B633" t="s">
        <v>6</v>
      </c>
      <c r="C633" t="s">
        <v>1386</v>
      </c>
      <c r="D633" t="s">
        <v>1359</v>
      </c>
      <c r="E633" t="s">
        <v>1360</v>
      </c>
      <c r="F633" t="str">
        <f>HYPERLINK("https://talan.bank.gov.ua/get-user-certificate/45CElfxoqC9-8QTgsz4S","Завантажити сертифікат")</f>
        <v>Завантажити сертифікат</v>
      </c>
    </row>
    <row r="634" spans="1:6" x14ac:dyDescent="0.3">
      <c r="A634" t="s">
        <v>1387</v>
      </c>
      <c r="B634" t="s">
        <v>6</v>
      </c>
      <c r="C634" t="s">
        <v>1388</v>
      </c>
      <c r="D634" t="s">
        <v>1359</v>
      </c>
      <c r="E634" t="s">
        <v>1360</v>
      </c>
      <c r="F634" t="str">
        <f>HYPERLINK("https://talan.bank.gov.ua/get-user-certificate/45CElWDxwmpUZu3P4ZDV","Завантажити сертифікат")</f>
        <v>Завантажити сертифікат</v>
      </c>
    </row>
    <row r="635" spans="1:6" x14ac:dyDescent="0.3">
      <c r="A635" t="s">
        <v>1389</v>
      </c>
      <c r="B635" t="s">
        <v>6</v>
      </c>
      <c r="C635" t="s">
        <v>1390</v>
      </c>
      <c r="D635" t="s">
        <v>1359</v>
      </c>
      <c r="E635" t="s">
        <v>1360</v>
      </c>
      <c r="F635" t="str">
        <f>HYPERLINK("https://talan.bank.gov.ua/get-user-certificate/45CElChsYJUoI4_IA1r5","Завантажити сертифікат")</f>
        <v>Завантажити сертифікат</v>
      </c>
    </row>
    <row r="636" spans="1:6" x14ac:dyDescent="0.3">
      <c r="A636" t="s">
        <v>1391</v>
      </c>
      <c r="B636" t="s">
        <v>6</v>
      </c>
      <c r="C636" t="s">
        <v>1392</v>
      </c>
      <c r="D636" t="s">
        <v>1359</v>
      </c>
      <c r="E636" t="s">
        <v>1360</v>
      </c>
      <c r="F636" t="str">
        <f>HYPERLINK("https://talan.bank.gov.ua/get-user-certificate/45CElkpPgjhkZaE7Hn5Y","Завантажити сертифікат")</f>
        <v>Завантажити сертифікат</v>
      </c>
    </row>
    <row r="637" spans="1:6" x14ac:dyDescent="0.3">
      <c r="A637" t="s">
        <v>1393</v>
      </c>
      <c r="B637" t="s">
        <v>6</v>
      </c>
      <c r="C637" t="s">
        <v>1394</v>
      </c>
      <c r="D637" t="s">
        <v>1359</v>
      </c>
      <c r="E637" t="s">
        <v>1360</v>
      </c>
      <c r="F637" t="str">
        <f>HYPERLINK("https://talan.bank.gov.ua/get-user-certificate/45CElJtE3oKifFgyss36","Завантажити сертифікат")</f>
        <v>Завантажити сертифікат</v>
      </c>
    </row>
    <row r="638" spans="1:6" x14ac:dyDescent="0.3">
      <c r="A638" t="s">
        <v>1395</v>
      </c>
      <c r="B638" t="s">
        <v>6</v>
      </c>
      <c r="C638" t="s">
        <v>1396</v>
      </c>
      <c r="D638" t="s">
        <v>1359</v>
      </c>
      <c r="E638" t="s">
        <v>1360</v>
      </c>
      <c r="F638" t="str">
        <f>HYPERLINK("https://talan.bank.gov.ua/get-user-certificate/45CElgMiPp7Egvj6FO8-","Завантажити сертифікат")</f>
        <v>Завантажити сертифікат</v>
      </c>
    </row>
    <row r="639" spans="1:6" x14ac:dyDescent="0.3">
      <c r="A639" t="s">
        <v>1397</v>
      </c>
      <c r="B639" t="s">
        <v>6</v>
      </c>
      <c r="C639" t="s">
        <v>1398</v>
      </c>
      <c r="D639" t="s">
        <v>1359</v>
      </c>
      <c r="E639" t="s">
        <v>1360</v>
      </c>
      <c r="F639" t="str">
        <f>HYPERLINK("https://talan.bank.gov.ua/get-user-certificate/45CElLVQvgyBdDyOMk-z","Завантажити сертифікат")</f>
        <v>Завантажити сертифікат</v>
      </c>
    </row>
    <row r="640" spans="1:6" x14ac:dyDescent="0.3">
      <c r="A640" t="s">
        <v>1399</v>
      </c>
      <c r="B640" t="s">
        <v>6</v>
      </c>
      <c r="C640" t="s">
        <v>1400</v>
      </c>
      <c r="D640" t="s">
        <v>1359</v>
      </c>
      <c r="E640" t="s">
        <v>1360</v>
      </c>
      <c r="F640" t="str">
        <f>HYPERLINK("https://talan.bank.gov.ua/get-user-certificate/45CEl3gcz2Fgm1fQZA68","Завантажити сертифікат")</f>
        <v>Завантажити сертифікат</v>
      </c>
    </row>
    <row r="641" spans="1:6" x14ac:dyDescent="0.3">
      <c r="A641" t="s">
        <v>1401</v>
      </c>
      <c r="B641" t="s">
        <v>6</v>
      </c>
      <c r="C641" t="s">
        <v>1402</v>
      </c>
      <c r="D641" t="s">
        <v>1359</v>
      </c>
      <c r="E641" t="s">
        <v>1360</v>
      </c>
      <c r="F641" t="str">
        <f>HYPERLINK("https://talan.bank.gov.ua/get-user-certificate/45CElVI99CbSwW5dlAuk","Завантажити сертифікат")</f>
        <v>Завантажити сертифікат</v>
      </c>
    </row>
    <row r="642" spans="1:6" x14ac:dyDescent="0.3">
      <c r="A642" t="s">
        <v>1403</v>
      </c>
      <c r="B642" t="s">
        <v>6</v>
      </c>
      <c r="C642" t="s">
        <v>1404</v>
      </c>
      <c r="D642" t="s">
        <v>1359</v>
      </c>
      <c r="E642" t="s">
        <v>1360</v>
      </c>
      <c r="F642" t="str">
        <f>HYPERLINK("https://talan.bank.gov.ua/get-user-certificate/45CElAVIbGJWfSkAgqOq","Завантажити сертифікат")</f>
        <v>Завантажити сертифікат</v>
      </c>
    </row>
    <row r="643" spans="1:6" x14ac:dyDescent="0.3">
      <c r="A643" t="s">
        <v>1405</v>
      </c>
      <c r="B643" t="s">
        <v>6</v>
      </c>
      <c r="C643" t="s">
        <v>1406</v>
      </c>
      <c r="D643" t="s">
        <v>1359</v>
      </c>
      <c r="E643" t="s">
        <v>1360</v>
      </c>
      <c r="F643" t="str">
        <f>HYPERLINK("https://talan.bank.gov.ua/get-user-certificate/45CElfQIFuIam9xHuzs_","Завантажити сертифікат")</f>
        <v>Завантажити сертифікат</v>
      </c>
    </row>
    <row r="644" spans="1:6" x14ac:dyDescent="0.3">
      <c r="A644" t="s">
        <v>1407</v>
      </c>
      <c r="B644" t="s">
        <v>6</v>
      </c>
      <c r="C644" t="s">
        <v>1408</v>
      </c>
      <c r="D644" t="s">
        <v>1359</v>
      </c>
      <c r="E644" t="s">
        <v>1360</v>
      </c>
      <c r="F644" t="str">
        <f>HYPERLINK("https://talan.bank.gov.ua/get-user-certificate/45CElPBLe7iVhxAQzhv0","Завантажити сертифікат")</f>
        <v>Завантажити сертифікат</v>
      </c>
    </row>
    <row r="645" spans="1:6" x14ac:dyDescent="0.3">
      <c r="A645" t="s">
        <v>1409</v>
      </c>
      <c r="B645" t="s">
        <v>6</v>
      </c>
      <c r="C645" t="s">
        <v>1410</v>
      </c>
      <c r="D645" t="s">
        <v>1359</v>
      </c>
      <c r="E645" t="s">
        <v>1360</v>
      </c>
      <c r="F645" t="str">
        <f>HYPERLINK("https://talan.bank.gov.ua/get-user-certificate/45CElbcWRLjUdtrz-J1s","Завантажити сертифікат")</f>
        <v>Завантажити сертифікат</v>
      </c>
    </row>
    <row r="646" spans="1:6" x14ac:dyDescent="0.3">
      <c r="A646" t="s">
        <v>1411</v>
      </c>
      <c r="B646" t="s">
        <v>6</v>
      </c>
      <c r="C646" t="s">
        <v>1412</v>
      </c>
      <c r="D646" t="s">
        <v>1359</v>
      </c>
      <c r="E646" t="s">
        <v>1360</v>
      </c>
      <c r="F646" t="str">
        <f>HYPERLINK("https://talan.bank.gov.ua/get-user-certificate/45CElRRMzEExIuRNlJ7W","Завантажити сертифікат")</f>
        <v>Завантажити сертифікат</v>
      </c>
    </row>
    <row r="647" spans="1:6" x14ac:dyDescent="0.3">
      <c r="A647" t="s">
        <v>1413</v>
      </c>
      <c r="B647" t="s">
        <v>6</v>
      </c>
      <c r="C647" t="s">
        <v>1414</v>
      </c>
      <c r="D647" t="s">
        <v>1359</v>
      </c>
      <c r="E647" t="s">
        <v>1360</v>
      </c>
      <c r="F647" t="str">
        <f>HYPERLINK("https://talan.bank.gov.ua/get-user-certificate/45CElf0sHUW9svs4L1ka","Завантажити сертифікат")</f>
        <v>Завантажити сертифікат</v>
      </c>
    </row>
    <row r="648" spans="1:6" x14ac:dyDescent="0.3">
      <c r="A648" t="s">
        <v>1415</v>
      </c>
      <c r="B648" t="s">
        <v>6</v>
      </c>
      <c r="C648" t="s">
        <v>1416</v>
      </c>
      <c r="D648" t="s">
        <v>1359</v>
      </c>
      <c r="E648" t="s">
        <v>1360</v>
      </c>
      <c r="F648" t="str">
        <f>HYPERLINK("https://talan.bank.gov.ua/get-user-certificate/45CElkDFB_oJv2vy_z80","Завантажити сертифікат")</f>
        <v>Завантажити сертифікат</v>
      </c>
    </row>
    <row r="649" spans="1:6" x14ac:dyDescent="0.3">
      <c r="A649" t="s">
        <v>1417</v>
      </c>
      <c r="B649" t="s">
        <v>6</v>
      </c>
      <c r="C649" t="s">
        <v>1418</v>
      </c>
      <c r="D649" t="s">
        <v>1359</v>
      </c>
      <c r="E649" t="s">
        <v>1360</v>
      </c>
      <c r="F649" t="str">
        <f>HYPERLINK("https://talan.bank.gov.ua/get-user-certificate/45CElMY2UYH8TbEXyqwz","Завантажити сертифікат")</f>
        <v>Завантажити сертифікат</v>
      </c>
    </row>
    <row r="650" spans="1:6" x14ac:dyDescent="0.3">
      <c r="A650" t="s">
        <v>1419</v>
      </c>
      <c r="B650" t="s">
        <v>6</v>
      </c>
      <c r="C650" t="s">
        <v>1420</v>
      </c>
      <c r="D650" t="s">
        <v>1359</v>
      </c>
      <c r="E650" t="s">
        <v>1360</v>
      </c>
      <c r="F650" t="str">
        <f>HYPERLINK("https://talan.bank.gov.ua/get-user-certificate/45CElDawtKP1cbfSedVU","Завантажити сертифікат")</f>
        <v>Завантажити сертифікат</v>
      </c>
    </row>
    <row r="651" spans="1:6" x14ac:dyDescent="0.3">
      <c r="A651" t="s">
        <v>1421</v>
      </c>
      <c r="B651" t="s">
        <v>6</v>
      </c>
      <c r="C651" t="s">
        <v>1422</v>
      </c>
      <c r="D651" t="s">
        <v>1359</v>
      </c>
      <c r="E651" t="s">
        <v>1360</v>
      </c>
      <c r="F651" t="str">
        <f>HYPERLINK("https://talan.bank.gov.ua/get-user-certificate/45CElW8C52IjKngMu0yv","Завантажити сертифікат")</f>
        <v>Завантажити сертифікат</v>
      </c>
    </row>
    <row r="652" spans="1:6" x14ac:dyDescent="0.3">
      <c r="A652" t="s">
        <v>1423</v>
      </c>
      <c r="B652" t="s">
        <v>6</v>
      </c>
      <c r="C652" t="s">
        <v>1424</v>
      </c>
      <c r="D652" t="s">
        <v>1359</v>
      </c>
      <c r="E652" t="s">
        <v>1360</v>
      </c>
      <c r="F652" t="str">
        <f>HYPERLINK("https://talan.bank.gov.ua/get-user-certificate/45CElZhg0_cSkCSos7tB","Завантажити сертифікат")</f>
        <v>Завантажити сертифікат</v>
      </c>
    </row>
    <row r="653" spans="1:6" x14ac:dyDescent="0.3">
      <c r="A653" t="s">
        <v>1425</v>
      </c>
      <c r="B653" t="s">
        <v>6</v>
      </c>
      <c r="C653" t="s">
        <v>1426</v>
      </c>
      <c r="D653" t="s">
        <v>1359</v>
      </c>
      <c r="E653" t="s">
        <v>1360</v>
      </c>
      <c r="F653" t="str">
        <f>HYPERLINK("https://talan.bank.gov.ua/get-user-certificate/45CEleFd-I3IS6b4uP1r","Завантажити сертифікат")</f>
        <v>Завантажити сертифікат</v>
      </c>
    </row>
    <row r="654" spans="1:6" x14ac:dyDescent="0.3">
      <c r="A654" t="s">
        <v>1427</v>
      </c>
      <c r="B654" t="s">
        <v>6</v>
      </c>
      <c r="C654" t="s">
        <v>1428</v>
      </c>
      <c r="D654" t="s">
        <v>1429</v>
      </c>
      <c r="E654" t="s">
        <v>1430</v>
      </c>
      <c r="F654" t="str">
        <f>HYPERLINK("https://talan.bank.gov.ua/get-user-certificate/45CEl2pPJykIVrV103ce","Завантажити сертифікат")</f>
        <v>Завантажити сертифікат</v>
      </c>
    </row>
    <row r="655" spans="1:6" x14ac:dyDescent="0.3">
      <c r="A655" t="s">
        <v>1431</v>
      </c>
      <c r="B655" t="s">
        <v>6</v>
      </c>
      <c r="C655" t="s">
        <v>1432</v>
      </c>
      <c r="D655" t="s">
        <v>1429</v>
      </c>
      <c r="E655" t="s">
        <v>1430</v>
      </c>
      <c r="F655" t="str">
        <f>HYPERLINK("https://talan.bank.gov.ua/get-user-certificate/45CElANO7FEMG4_P3f_y","Завантажити сертифікат")</f>
        <v>Завантажити сертифікат</v>
      </c>
    </row>
    <row r="656" spans="1:6" x14ac:dyDescent="0.3">
      <c r="A656" t="s">
        <v>1433</v>
      </c>
      <c r="B656" t="s">
        <v>6</v>
      </c>
      <c r="C656" t="s">
        <v>1434</v>
      </c>
      <c r="D656" t="s">
        <v>1429</v>
      </c>
      <c r="E656" t="s">
        <v>1430</v>
      </c>
      <c r="F656" t="str">
        <f>HYPERLINK("https://talan.bank.gov.ua/get-user-certificate/45CElkjZpkoRta7yRwzV","Завантажити сертифікат")</f>
        <v>Завантажити сертифікат</v>
      </c>
    </row>
    <row r="657" spans="1:6" x14ac:dyDescent="0.3">
      <c r="A657" t="s">
        <v>1435</v>
      </c>
      <c r="B657" t="s">
        <v>6</v>
      </c>
      <c r="C657" t="s">
        <v>1436</v>
      </c>
      <c r="D657" t="s">
        <v>1437</v>
      </c>
      <c r="E657" t="s">
        <v>1438</v>
      </c>
      <c r="F657" t="str">
        <f>HYPERLINK("https://talan.bank.gov.ua/get-user-certificate/45CElTSGAr5BoRz7AE-d","Завантажити сертифікат")</f>
        <v>Завантажити сертифікат</v>
      </c>
    </row>
    <row r="658" spans="1:6" x14ac:dyDescent="0.3">
      <c r="A658" t="s">
        <v>1439</v>
      </c>
      <c r="B658" t="s">
        <v>6</v>
      </c>
      <c r="C658" t="s">
        <v>1440</v>
      </c>
      <c r="D658" t="s">
        <v>1437</v>
      </c>
      <c r="E658" t="s">
        <v>1438</v>
      </c>
      <c r="F658" t="str">
        <f>HYPERLINK("https://talan.bank.gov.ua/get-user-certificate/45CEl9ypwy1FUOSxQTCp","Завантажити сертифікат")</f>
        <v>Завантажити сертифікат</v>
      </c>
    </row>
    <row r="659" spans="1:6" x14ac:dyDescent="0.3">
      <c r="A659" t="s">
        <v>1441</v>
      </c>
      <c r="B659" t="s">
        <v>6</v>
      </c>
      <c r="C659" t="s">
        <v>1442</v>
      </c>
      <c r="D659" t="s">
        <v>1437</v>
      </c>
      <c r="E659" t="s">
        <v>1438</v>
      </c>
      <c r="F659" t="str">
        <f>HYPERLINK("https://talan.bank.gov.ua/get-user-certificate/45CEl4-EgOEXSDsIidyd","Завантажити сертифікат")</f>
        <v>Завантажити сертифікат</v>
      </c>
    </row>
    <row r="660" spans="1:6" x14ac:dyDescent="0.3">
      <c r="A660" t="s">
        <v>1443</v>
      </c>
      <c r="B660" t="s">
        <v>6</v>
      </c>
      <c r="C660" t="s">
        <v>1444</v>
      </c>
      <c r="D660" t="s">
        <v>1437</v>
      </c>
      <c r="E660" t="s">
        <v>1438</v>
      </c>
      <c r="F660" t="str">
        <f>HYPERLINK("https://talan.bank.gov.ua/get-user-certificate/45CElY0vMTMDkoFW1zhF","Завантажити сертифікат")</f>
        <v>Завантажити сертифікат</v>
      </c>
    </row>
    <row r="661" spans="1:6" x14ac:dyDescent="0.3">
      <c r="A661" t="s">
        <v>1445</v>
      </c>
      <c r="B661" t="s">
        <v>6</v>
      </c>
      <c r="C661" t="s">
        <v>1446</v>
      </c>
      <c r="D661" t="s">
        <v>1437</v>
      </c>
      <c r="E661" t="s">
        <v>1438</v>
      </c>
      <c r="F661" t="str">
        <f>HYPERLINK("https://talan.bank.gov.ua/get-user-certificate/45CEl9-3uR0R31X2hcWF","Завантажити сертифікат")</f>
        <v>Завантажити сертифікат</v>
      </c>
    </row>
    <row r="662" spans="1:6" x14ac:dyDescent="0.3">
      <c r="A662" t="s">
        <v>1447</v>
      </c>
      <c r="B662" t="s">
        <v>6</v>
      </c>
      <c r="C662" t="s">
        <v>1448</v>
      </c>
      <c r="D662" t="s">
        <v>1437</v>
      </c>
      <c r="E662" t="s">
        <v>1438</v>
      </c>
      <c r="F662" t="str">
        <f>HYPERLINK("https://talan.bank.gov.ua/get-user-certificate/45CEljQyJqB1rLizGPCe","Завантажити сертифікат")</f>
        <v>Завантажити сертифікат</v>
      </c>
    </row>
    <row r="663" spans="1:6" x14ac:dyDescent="0.3">
      <c r="A663" t="s">
        <v>1449</v>
      </c>
      <c r="B663" t="s">
        <v>6</v>
      </c>
      <c r="C663" t="s">
        <v>1450</v>
      </c>
      <c r="D663" t="s">
        <v>1437</v>
      </c>
      <c r="E663" t="s">
        <v>1438</v>
      </c>
      <c r="F663" t="str">
        <f>HYPERLINK("https://talan.bank.gov.ua/get-user-certificate/45CElKmTTwTf6gLS10Dh","Завантажити сертифікат")</f>
        <v>Завантажити сертифікат</v>
      </c>
    </row>
    <row r="664" spans="1:6" x14ac:dyDescent="0.3">
      <c r="A664" t="s">
        <v>1451</v>
      </c>
      <c r="B664" t="s">
        <v>6</v>
      </c>
      <c r="C664" t="s">
        <v>1452</v>
      </c>
      <c r="D664" t="s">
        <v>1437</v>
      </c>
      <c r="E664" t="s">
        <v>1438</v>
      </c>
      <c r="F664" t="str">
        <f>HYPERLINK("https://talan.bank.gov.ua/get-user-certificate/45CEl-1L-uwV2zPAuCct","Завантажити сертифікат")</f>
        <v>Завантажити сертифікат</v>
      </c>
    </row>
    <row r="665" spans="1:6" x14ac:dyDescent="0.3">
      <c r="A665" t="s">
        <v>1453</v>
      </c>
      <c r="B665" t="s">
        <v>6</v>
      </c>
      <c r="C665" t="s">
        <v>1454</v>
      </c>
      <c r="D665" t="s">
        <v>1437</v>
      </c>
      <c r="E665" t="s">
        <v>1438</v>
      </c>
      <c r="F665" t="str">
        <f>HYPERLINK("https://talan.bank.gov.ua/get-user-certificate/45CElGJzZdcXolFLljs8","Завантажити сертифікат")</f>
        <v>Завантажити сертифікат</v>
      </c>
    </row>
    <row r="666" spans="1:6" x14ac:dyDescent="0.3">
      <c r="A666" t="s">
        <v>1455</v>
      </c>
      <c r="B666" t="s">
        <v>6</v>
      </c>
      <c r="C666" t="s">
        <v>1456</v>
      </c>
      <c r="D666" t="s">
        <v>1437</v>
      </c>
      <c r="E666" t="s">
        <v>1438</v>
      </c>
      <c r="F666" t="str">
        <f>HYPERLINK("https://talan.bank.gov.ua/get-user-certificate/45CEl5OoLVxkRYiVsKbB","Завантажити сертифікат")</f>
        <v>Завантажити сертифікат</v>
      </c>
    </row>
    <row r="667" spans="1:6" x14ac:dyDescent="0.3">
      <c r="A667" t="s">
        <v>1457</v>
      </c>
      <c r="B667" t="s">
        <v>6</v>
      </c>
      <c r="C667" t="s">
        <v>1458</v>
      </c>
      <c r="D667" t="s">
        <v>1437</v>
      </c>
      <c r="E667" t="s">
        <v>1438</v>
      </c>
      <c r="F667" t="str">
        <f>HYPERLINK("https://talan.bank.gov.ua/get-user-certificate/45CElWVdcUSAa4Ro00Ch","Завантажити сертифікат")</f>
        <v>Завантажити сертифікат</v>
      </c>
    </row>
    <row r="668" spans="1:6" x14ac:dyDescent="0.3">
      <c r="A668" t="s">
        <v>1459</v>
      </c>
      <c r="B668" t="s">
        <v>6</v>
      </c>
      <c r="C668" t="s">
        <v>1460</v>
      </c>
      <c r="D668" t="s">
        <v>1437</v>
      </c>
      <c r="E668" t="s">
        <v>1438</v>
      </c>
      <c r="F668" t="str">
        <f>HYPERLINK("https://talan.bank.gov.ua/get-user-certificate/45CEl32ZQC286Lpr5CFq","Завантажити сертифікат")</f>
        <v>Завантажити сертифікат</v>
      </c>
    </row>
    <row r="669" spans="1:6" x14ac:dyDescent="0.3">
      <c r="A669" t="s">
        <v>1461</v>
      </c>
      <c r="B669" t="s">
        <v>6</v>
      </c>
      <c r="C669" t="s">
        <v>1462</v>
      </c>
      <c r="D669" t="s">
        <v>1437</v>
      </c>
      <c r="E669" t="s">
        <v>1438</v>
      </c>
      <c r="F669" t="str">
        <f>HYPERLINK("https://talan.bank.gov.ua/get-user-certificate/45CElcA0gXW4awMTrjKb","Завантажити сертифікат")</f>
        <v>Завантажити сертифікат</v>
      </c>
    </row>
    <row r="670" spans="1:6" x14ac:dyDescent="0.3">
      <c r="A670" t="s">
        <v>1463</v>
      </c>
      <c r="B670" t="s">
        <v>6</v>
      </c>
      <c r="C670" t="s">
        <v>1464</v>
      </c>
      <c r="D670" t="s">
        <v>1437</v>
      </c>
      <c r="E670" t="s">
        <v>1438</v>
      </c>
      <c r="F670" t="str">
        <f>HYPERLINK("https://talan.bank.gov.ua/get-user-certificate/45CEld98v1vEUzqQ5l6u","Завантажити сертифікат")</f>
        <v>Завантажити сертифікат</v>
      </c>
    </row>
    <row r="671" spans="1:6" x14ac:dyDescent="0.3">
      <c r="A671" t="s">
        <v>1465</v>
      </c>
      <c r="B671" t="s">
        <v>6</v>
      </c>
      <c r="C671" t="s">
        <v>1466</v>
      </c>
      <c r="D671" t="s">
        <v>1437</v>
      </c>
      <c r="E671" t="s">
        <v>1438</v>
      </c>
      <c r="F671" t="str">
        <f>HYPERLINK("https://talan.bank.gov.ua/get-user-certificate/45CElXaO7gnHJ-xNSmC_","Завантажити сертифікат")</f>
        <v>Завантажити сертифікат</v>
      </c>
    </row>
    <row r="672" spans="1:6" x14ac:dyDescent="0.3">
      <c r="A672" t="s">
        <v>1467</v>
      </c>
      <c r="B672" t="s">
        <v>6</v>
      </c>
      <c r="C672" t="s">
        <v>1468</v>
      </c>
      <c r="D672" t="s">
        <v>1437</v>
      </c>
      <c r="E672" t="s">
        <v>1438</v>
      </c>
      <c r="F672" t="str">
        <f>HYPERLINK("https://talan.bank.gov.ua/get-user-certificate/45CElf9fQo1sAsrSjqyI","Завантажити сертифікат")</f>
        <v>Завантажити сертифікат</v>
      </c>
    </row>
    <row r="673" spans="1:6" x14ac:dyDescent="0.3">
      <c r="A673" t="s">
        <v>1469</v>
      </c>
      <c r="B673" t="s">
        <v>6</v>
      </c>
      <c r="C673" t="s">
        <v>1470</v>
      </c>
      <c r="D673" t="s">
        <v>1437</v>
      </c>
      <c r="E673" t="s">
        <v>1438</v>
      </c>
      <c r="F673" t="str">
        <f>HYPERLINK("https://talan.bank.gov.ua/get-user-certificate/45CElFIPzmmjbttVrCAN","Завантажити сертифікат")</f>
        <v>Завантажити сертифікат</v>
      </c>
    </row>
    <row r="674" spans="1:6" x14ac:dyDescent="0.3">
      <c r="A674" t="s">
        <v>1471</v>
      </c>
      <c r="B674" t="s">
        <v>6</v>
      </c>
      <c r="C674" t="s">
        <v>1472</v>
      </c>
      <c r="D674" t="s">
        <v>1437</v>
      </c>
      <c r="E674" t="s">
        <v>1438</v>
      </c>
      <c r="F674" t="str">
        <f>HYPERLINK("https://talan.bank.gov.ua/get-user-certificate/45CEla22JubajzmsI6mU","Завантажити сертифікат")</f>
        <v>Завантажити сертифікат</v>
      </c>
    </row>
    <row r="675" spans="1:6" x14ac:dyDescent="0.3">
      <c r="A675" t="s">
        <v>1473</v>
      </c>
      <c r="B675" t="s">
        <v>6</v>
      </c>
      <c r="C675" t="s">
        <v>1474</v>
      </c>
      <c r="D675" t="s">
        <v>1437</v>
      </c>
      <c r="E675" t="s">
        <v>1438</v>
      </c>
      <c r="F675" t="str">
        <f>HYPERLINK("https://talan.bank.gov.ua/get-user-certificate/45CElbYRLuVbeKzqYHjO","Завантажити сертифікат")</f>
        <v>Завантажити сертифікат</v>
      </c>
    </row>
    <row r="676" spans="1:6" x14ac:dyDescent="0.3">
      <c r="A676" t="s">
        <v>1475</v>
      </c>
      <c r="B676" t="s">
        <v>6</v>
      </c>
      <c r="C676" t="s">
        <v>1476</v>
      </c>
      <c r="D676" t="s">
        <v>1477</v>
      </c>
      <c r="E676" t="s">
        <v>1478</v>
      </c>
      <c r="F676" t="str">
        <f>HYPERLINK("https://talan.bank.gov.ua/get-user-certificate/45CElEW7B9PVG4-VUg0G","Завантажити сертифікат")</f>
        <v>Завантажити сертифікат</v>
      </c>
    </row>
    <row r="677" spans="1:6" x14ac:dyDescent="0.3">
      <c r="A677" t="s">
        <v>1479</v>
      </c>
      <c r="B677" t="s">
        <v>6</v>
      </c>
      <c r="C677" t="s">
        <v>1480</v>
      </c>
      <c r="D677" t="s">
        <v>1477</v>
      </c>
      <c r="E677" t="s">
        <v>1478</v>
      </c>
      <c r="F677" t="str">
        <f>HYPERLINK("https://talan.bank.gov.ua/get-user-certificate/45CElDH7oYnxEBxEVTul","Завантажити сертифікат")</f>
        <v>Завантажити сертифікат</v>
      </c>
    </row>
    <row r="678" spans="1:6" x14ac:dyDescent="0.3">
      <c r="A678" t="s">
        <v>1481</v>
      </c>
      <c r="B678" t="s">
        <v>6</v>
      </c>
      <c r="C678" t="s">
        <v>1482</v>
      </c>
      <c r="D678" t="s">
        <v>1477</v>
      </c>
      <c r="E678" t="s">
        <v>1478</v>
      </c>
      <c r="F678" t="str">
        <f>HYPERLINK("https://talan.bank.gov.ua/get-user-certificate/45CElGLdksjIZVXOtdCI","Завантажити сертифікат")</f>
        <v>Завантажити сертифікат</v>
      </c>
    </row>
    <row r="679" spans="1:6" x14ac:dyDescent="0.3">
      <c r="A679" t="s">
        <v>1483</v>
      </c>
      <c r="B679" t="s">
        <v>6</v>
      </c>
      <c r="C679" t="s">
        <v>1484</v>
      </c>
      <c r="D679" t="s">
        <v>1477</v>
      </c>
      <c r="E679" t="s">
        <v>1478</v>
      </c>
      <c r="F679" t="str">
        <f>HYPERLINK("https://talan.bank.gov.ua/get-user-certificate/45CEl4etFiZHjvg0j_cp","Завантажити сертифікат")</f>
        <v>Завантажити сертифікат</v>
      </c>
    </row>
    <row r="680" spans="1:6" x14ac:dyDescent="0.3">
      <c r="A680" t="s">
        <v>1485</v>
      </c>
      <c r="B680" t="s">
        <v>6</v>
      </c>
      <c r="C680" t="s">
        <v>1486</v>
      </c>
      <c r="D680" t="s">
        <v>1477</v>
      </c>
      <c r="E680" t="s">
        <v>1478</v>
      </c>
      <c r="F680" t="str">
        <f>HYPERLINK("https://talan.bank.gov.ua/get-user-certificate/45CElIUzpx38NXlklx3M","Завантажити сертифікат")</f>
        <v>Завантажити сертифікат</v>
      </c>
    </row>
    <row r="681" spans="1:6" x14ac:dyDescent="0.3">
      <c r="A681" t="s">
        <v>1487</v>
      </c>
      <c r="B681" t="s">
        <v>6</v>
      </c>
      <c r="C681" t="s">
        <v>1488</v>
      </c>
      <c r="D681" t="s">
        <v>1477</v>
      </c>
      <c r="E681" t="s">
        <v>1478</v>
      </c>
      <c r="F681" t="str">
        <f>HYPERLINK("https://talan.bank.gov.ua/get-user-certificate/45CElhHsVNghQxzulP2D","Завантажити сертифікат")</f>
        <v>Завантажити сертифікат</v>
      </c>
    </row>
    <row r="682" spans="1:6" x14ac:dyDescent="0.3">
      <c r="A682" t="s">
        <v>1489</v>
      </c>
      <c r="B682" t="s">
        <v>6</v>
      </c>
      <c r="C682" t="s">
        <v>1490</v>
      </c>
      <c r="D682" t="s">
        <v>1477</v>
      </c>
      <c r="E682" t="s">
        <v>1478</v>
      </c>
      <c r="F682" t="str">
        <f>HYPERLINK("https://talan.bank.gov.ua/get-user-certificate/45CElLQvKWJJdXmpOTAZ","Завантажити сертифікат")</f>
        <v>Завантажити сертифікат</v>
      </c>
    </row>
    <row r="683" spans="1:6" x14ac:dyDescent="0.3">
      <c r="A683" t="s">
        <v>1491</v>
      </c>
      <c r="B683" t="s">
        <v>6</v>
      </c>
      <c r="C683" t="s">
        <v>1492</v>
      </c>
      <c r="D683" t="s">
        <v>1477</v>
      </c>
      <c r="E683" t="s">
        <v>1478</v>
      </c>
      <c r="F683" t="str">
        <f>HYPERLINK("https://talan.bank.gov.ua/get-user-certificate/45CEl6bkG3UtBL8J8r8c","Завантажити сертифікат")</f>
        <v>Завантажити сертифікат</v>
      </c>
    </row>
    <row r="684" spans="1:6" x14ac:dyDescent="0.3">
      <c r="A684" t="s">
        <v>1493</v>
      </c>
      <c r="B684" t="s">
        <v>6</v>
      </c>
      <c r="C684" t="s">
        <v>1494</v>
      </c>
      <c r="D684" t="s">
        <v>1495</v>
      </c>
      <c r="E684" t="s">
        <v>1496</v>
      </c>
      <c r="F684" t="str">
        <f>HYPERLINK("https://talan.bank.gov.ua/get-user-certificate/45CElPeMyQlqttGj25Iz","Завантажити сертифікат")</f>
        <v>Завантажити сертифікат</v>
      </c>
    </row>
    <row r="685" spans="1:6" x14ac:dyDescent="0.3">
      <c r="A685" t="s">
        <v>1497</v>
      </c>
      <c r="B685" t="s">
        <v>6</v>
      </c>
      <c r="C685" t="s">
        <v>1498</v>
      </c>
      <c r="D685" t="s">
        <v>1495</v>
      </c>
      <c r="E685" t="s">
        <v>1496</v>
      </c>
      <c r="F685" t="str">
        <f>HYPERLINK("https://talan.bank.gov.ua/get-user-certificate/45CElzww7YAKxIm0kuuv","Завантажити сертифікат")</f>
        <v>Завантажити сертифікат</v>
      </c>
    </row>
    <row r="686" spans="1:6" x14ac:dyDescent="0.3">
      <c r="A686" t="s">
        <v>1499</v>
      </c>
      <c r="B686" t="s">
        <v>6</v>
      </c>
      <c r="C686" t="s">
        <v>1500</v>
      </c>
      <c r="D686" t="s">
        <v>1495</v>
      </c>
      <c r="E686" t="s">
        <v>1496</v>
      </c>
      <c r="F686" t="str">
        <f>HYPERLINK("https://talan.bank.gov.ua/get-user-certificate/45CElb6cK0OMI5agl849","Завантажити сертифікат")</f>
        <v>Завантажити сертифікат</v>
      </c>
    </row>
    <row r="687" spans="1:6" x14ac:dyDescent="0.3">
      <c r="A687" t="s">
        <v>1501</v>
      </c>
      <c r="B687" t="s">
        <v>6</v>
      </c>
      <c r="C687" t="s">
        <v>1502</v>
      </c>
      <c r="D687" t="s">
        <v>1495</v>
      </c>
      <c r="E687" t="s">
        <v>1496</v>
      </c>
      <c r="F687" t="str">
        <f>HYPERLINK("https://talan.bank.gov.ua/get-user-certificate/45CElA85ZydQi_kszlsH","Завантажити сертифікат")</f>
        <v>Завантажити сертифікат</v>
      </c>
    </row>
    <row r="688" spans="1:6" x14ac:dyDescent="0.3">
      <c r="A688" t="s">
        <v>1503</v>
      </c>
      <c r="B688" t="s">
        <v>6</v>
      </c>
      <c r="C688" t="s">
        <v>1504</v>
      </c>
      <c r="D688" t="s">
        <v>1495</v>
      </c>
      <c r="E688" t="s">
        <v>1496</v>
      </c>
      <c r="F688" t="str">
        <f>HYPERLINK("https://talan.bank.gov.ua/get-user-certificate/45CElWrTJBnCdXtMEnPr","Завантажити сертифікат")</f>
        <v>Завантажити сертифікат</v>
      </c>
    </row>
    <row r="689" spans="1:6" x14ac:dyDescent="0.3">
      <c r="A689" t="s">
        <v>1505</v>
      </c>
      <c r="B689" t="s">
        <v>6</v>
      </c>
      <c r="C689" t="s">
        <v>1506</v>
      </c>
      <c r="D689" t="s">
        <v>1495</v>
      </c>
      <c r="E689" t="s">
        <v>1496</v>
      </c>
      <c r="F689" t="str">
        <f>HYPERLINK("https://talan.bank.gov.ua/get-user-certificate/45CEl9RwxWnuLFIhh2La","Завантажити сертифікат")</f>
        <v>Завантажити сертифікат</v>
      </c>
    </row>
    <row r="690" spans="1:6" x14ac:dyDescent="0.3">
      <c r="A690" t="s">
        <v>1507</v>
      </c>
      <c r="B690" t="s">
        <v>6</v>
      </c>
      <c r="C690" t="s">
        <v>1508</v>
      </c>
      <c r="D690" t="s">
        <v>1495</v>
      </c>
      <c r="E690" t="s">
        <v>1496</v>
      </c>
      <c r="F690" t="str">
        <f>HYPERLINK("https://talan.bank.gov.ua/get-user-certificate/45CEleyK9kJVSNGGcMHw","Завантажити сертифікат")</f>
        <v>Завантажити сертифікат</v>
      </c>
    </row>
    <row r="691" spans="1:6" x14ac:dyDescent="0.3">
      <c r="A691" t="s">
        <v>1509</v>
      </c>
      <c r="B691" t="s">
        <v>6</v>
      </c>
      <c r="C691" t="s">
        <v>1510</v>
      </c>
      <c r="D691" t="s">
        <v>1495</v>
      </c>
      <c r="E691" t="s">
        <v>1496</v>
      </c>
      <c r="F691" t="str">
        <f>HYPERLINK("https://talan.bank.gov.ua/get-user-certificate/45CEl6xzXMirQz7eH0id","Завантажити сертифікат")</f>
        <v>Завантажити сертифікат</v>
      </c>
    </row>
    <row r="692" spans="1:6" x14ac:dyDescent="0.3">
      <c r="A692" t="s">
        <v>1511</v>
      </c>
      <c r="B692" t="s">
        <v>6</v>
      </c>
      <c r="C692" t="s">
        <v>1512</v>
      </c>
      <c r="D692" t="s">
        <v>1495</v>
      </c>
      <c r="E692" t="s">
        <v>1496</v>
      </c>
      <c r="F692" t="str">
        <f>HYPERLINK("https://talan.bank.gov.ua/get-user-certificate/45CEl9MhHzJX6Q-Tc86v","Завантажити сертифікат")</f>
        <v>Завантажити сертифікат</v>
      </c>
    </row>
    <row r="693" spans="1:6" x14ac:dyDescent="0.3">
      <c r="A693" t="s">
        <v>1513</v>
      </c>
      <c r="B693" t="s">
        <v>6</v>
      </c>
      <c r="C693" t="s">
        <v>1514</v>
      </c>
      <c r="D693" t="s">
        <v>1495</v>
      </c>
      <c r="E693" t="s">
        <v>1496</v>
      </c>
      <c r="F693" t="str">
        <f>HYPERLINK("https://talan.bank.gov.ua/get-user-certificate/45CElSmoCp7CW_Q7OMRC","Завантажити сертифікат")</f>
        <v>Завантажити сертифікат</v>
      </c>
    </row>
    <row r="694" spans="1:6" x14ac:dyDescent="0.3">
      <c r="A694" t="s">
        <v>1515</v>
      </c>
      <c r="B694" t="s">
        <v>6</v>
      </c>
      <c r="C694" t="s">
        <v>1516</v>
      </c>
      <c r="D694" t="s">
        <v>1495</v>
      </c>
      <c r="E694" t="s">
        <v>1496</v>
      </c>
      <c r="F694" t="str">
        <f>HYPERLINK("https://talan.bank.gov.ua/get-user-certificate/45CElQlMK0jXvGtoJird","Завантажити сертифікат")</f>
        <v>Завантажити сертифікат</v>
      </c>
    </row>
    <row r="695" spans="1:6" x14ac:dyDescent="0.3">
      <c r="A695" t="s">
        <v>1517</v>
      </c>
      <c r="B695" t="s">
        <v>6</v>
      </c>
      <c r="C695" t="s">
        <v>1518</v>
      </c>
      <c r="D695" t="s">
        <v>1495</v>
      </c>
      <c r="E695" t="s">
        <v>1496</v>
      </c>
      <c r="F695" t="str">
        <f>HYPERLINK("https://talan.bank.gov.ua/get-user-certificate/45CElzTAVC3wxng-GjRM","Завантажити сертифікат")</f>
        <v>Завантажити сертифікат</v>
      </c>
    </row>
    <row r="696" spans="1:6" x14ac:dyDescent="0.3">
      <c r="A696" t="s">
        <v>1519</v>
      </c>
      <c r="B696" t="s">
        <v>6</v>
      </c>
      <c r="C696" t="s">
        <v>1520</v>
      </c>
      <c r="D696" t="s">
        <v>1495</v>
      </c>
      <c r="E696" t="s">
        <v>1496</v>
      </c>
      <c r="F696" t="str">
        <f>HYPERLINK("https://talan.bank.gov.ua/get-user-certificate/45CEltmE_goJqcppznCH","Завантажити сертифікат")</f>
        <v>Завантажити сертифікат</v>
      </c>
    </row>
    <row r="697" spans="1:6" x14ac:dyDescent="0.3">
      <c r="A697" t="s">
        <v>1521</v>
      </c>
      <c r="B697" t="s">
        <v>6</v>
      </c>
      <c r="C697" t="s">
        <v>1522</v>
      </c>
      <c r="D697" t="s">
        <v>1495</v>
      </c>
      <c r="E697" t="s">
        <v>1496</v>
      </c>
      <c r="F697" t="str">
        <f>HYPERLINK("https://talan.bank.gov.ua/get-user-certificate/45CEle-VtLKKc4YfLNPN","Завантажити сертифікат")</f>
        <v>Завантажити сертифікат</v>
      </c>
    </row>
    <row r="698" spans="1:6" x14ac:dyDescent="0.3">
      <c r="A698" t="s">
        <v>1523</v>
      </c>
      <c r="B698" t="s">
        <v>6</v>
      </c>
      <c r="C698" t="s">
        <v>1524</v>
      </c>
      <c r="D698" t="s">
        <v>1495</v>
      </c>
      <c r="E698" t="s">
        <v>1496</v>
      </c>
      <c r="F698" t="str">
        <f>HYPERLINK("https://talan.bank.gov.ua/get-user-certificate/45CElfmFhmFabS6zQOIK","Завантажити сертифікат")</f>
        <v>Завантажити сертифікат</v>
      </c>
    </row>
    <row r="699" spans="1:6" x14ac:dyDescent="0.3">
      <c r="A699" t="s">
        <v>1525</v>
      </c>
      <c r="B699" t="s">
        <v>6</v>
      </c>
      <c r="C699" t="s">
        <v>1526</v>
      </c>
      <c r="D699" t="s">
        <v>1495</v>
      </c>
      <c r="E699" t="s">
        <v>1496</v>
      </c>
      <c r="F699" t="str">
        <f>HYPERLINK("https://talan.bank.gov.ua/get-user-certificate/45CElTeDeJ5pDsCEpUhY","Завантажити сертифікат")</f>
        <v>Завантажити сертифікат</v>
      </c>
    </row>
    <row r="700" spans="1:6" x14ac:dyDescent="0.3">
      <c r="A700" t="s">
        <v>1527</v>
      </c>
      <c r="B700" t="s">
        <v>6</v>
      </c>
      <c r="C700" t="s">
        <v>1528</v>
      </c>
      <c r="D700" t="s">
        <v>1495</v>
      </c>
      <c r="E700" t="s">
        <v>1496</v>
      </c>
      <c r="F700" t="str">
        <f>HYPERLINK("https://talan.bank.gov.ua/get-user-certificate/45CEl4Ns81yFk8yKby-u","Завантажити сертифікат")</f>
        <v>Завантажити сертифікат</v>
      </c>
    </row>
    <row r="701" spans="1:6" x14ac:dyDescent="0.3">
      <c r="A701" t="s">
        <v>1529</v>
      </c>
      <c r="B701" t="s">
        <v>6</v>
      </c>
      <c r="C701" t="s">
        <v>1530</v>
      </c>
      <c r="D701" t="s">
        <v>1495</v>
      </c>
      <c r="E701" t="s">
        <v>1496</v>
      </c>
      <c r="F701" t="str">
        <f>HYPERLINK("https://talan.bank.gov.ua/get-user-certificate/45CElx4Tws2ft3ZqWRUj","Завантажити сертифікат")</f>
        <v>Завантажити сертифікат</v>
      </c>
    </row>
    <row r="702" spans="1:6" x14ac:dyDescent="0.3">
      <c r="A702" t="s">
        <v>1531</v>
      </c>
      <c r="B702" t="s">
        <v>6</v>
      </c>
      <c r="C702" t="s">
        <v>1532</v>
      </c>
      <c r="D702" t="s">
        <v>1495</v>
      </c>
      <c r="E702" t="s">
        <v>1496</v>
      </c>
      <c r="F702" t="str">
        <f>HYPERLINK("https://talan.bank.gov.ua/get-user-certificate/45CEltSSzjV2GBeLrmIw","Завантажити сертифікат")</f>
        <v>Завантажити сертифікат</v>
      </c>
    </row>
    <row r="703" spans="1:6" x14ac:dyDescent="0.3">
      <c r="A703" t="s">
        <v>1533</v>
      </c>
      <c r="B703" t="s">
        <v>6</v>
      </c>
      <c r="C703" t="s">
        <v>1534</v>
      </c>
      <c r="D703" t="s">
        <v>1495</v>
      </c>
      <c r="E703" t="s">
        <v>1496</v>
      </c>
      <c r="F703" t="str">
        <f>HYPERLINK("https://talan.bank.gov.ua/get-user-certificate/45CElvPS1np8oUgqcRcg","Завантажити сертифікат")</f>
        <v>Завантажити сертифікат</v>
      </c>
    </row>
    <row r="704" spans="1:6" x14ac:dyDescent="0.3">
      <c r="A704" t="s">
        <v>1535</v>
      </c>
      <c r="B704" t="s">
        <v>6</v>
      </c>
      <c r="C704" t="s">
        <v>1536</v>
      </c>
      <c r="D704" t="s">
        <v>1495</v>
      </c>
      <c r="E704" t="s">
        <v>1496</v>
      </c>
      <c r="F704" t="str">
        <f>HYPERLINK("https://talan.bank.gov.ua/get-user-certificate/45CElge0RojjCFA3l_Bo","Завантажити сертифікат")</f>
        <v>Завантажити сертифікат</v>
      </c>
    </row>
    <row r="705" spans="1:6" x14ac:dyDescent="0.3">
      <c r="A705" t="s">
        <v>1537</v>
      </c>
      <c r="B705" t="s">
        <v>6</v>
      </c>
      <c r="C705" t="s">
        <v>1538</v>
      </c>
      <c r="D705" t="s">
        <v>1495</v>
      </c>
      <c r="E705" t="s">
        <v>1496</v>
      </c>
      <c r="F705" t="str">
        <f>HYPERLINK("https://talan.bank.gov.ua/get-user-certificate/45CElmuTd_XBen2DyZMU","Завантажити сертифікат")</f>
        <v>Завантажити сертифікат</v>
      </c>
    </row>
    <row r="706" spans="1:6" x14ac:dyDescent="0.3">
      <c r="A706" t="s">
        <v>1539</v>
      </c>
      <c r="B706" t="s">
        <v>6</v>
      </c>
      <c r="C706" t="s">
        <v>1540</v>
      </c>
      <c r="D706" t="s">
        <v>1495</v>
      </c>
      <c r="E706" t="s">
        <v>1496</v>
      </c>
      <c r="F706" t="str">
        <f>HYPERLINK("https://talan.bank.gov.ua/get-user-certificate/45CElPcTdhbH4slTzmxo","Завантажити сертифікат")</f>
        <v>Завантажити сертифікат</v>
      </c>
    </row>
    <row r="707" spans="1:6" x14ac:dyDescent="0.3">
      <c r="A707" t="s">
        <v>1541</v>
      </c>
      <c r="B707" t="s">
        <v>6</v>
      </c>
      <c r="C707" t="s">
        <v>1542</v>
      </c>
      <c r="D707" t="s">
        <v>1495</v>
      </c>
      <c r="E707" t="s">
        <v>1496</v>
      </c>
      <c r="F707" t="str">
        <f>HYPERLINK("https://talan.bank.gov.ua/get-user-certificate/45CEllfWYFf1gKrwVFko","Завантажити сертифікат")</f>
        <v>Завантажити сертифікат</v>
      </c>
    </row>
    <row r="708" spans="1:6" x14ac:dyDescent="0.3">
      <c r="A708" t="s">
        <v>1543</v>
      </c>
      <c r="B708" t="s">
        <v>6</v>
      </c>
      <c r="C708" t="s">
        <v>1544</v>
      </c>
      <c r="D708" t="s">
        <v>1495</v>
      </c>
      <c r="E708" t="s">
        <v>1496</v>
      </c>
      <c r="F708" t="str">
        <f>HYPERLINK("https://talan.bank.gov.ua/get-user-certificate/45CElovmgYbU7H_QbWv1","Завантажити сертифікат")</f>
        <v>Завантажити сертифікат</v>
      </c>
    </row>
    <row r="709" spans="1:6" x14ac:dyDescent="0.3">
      <c r="A709" t="s">
        <v>1545</v>
      </c>
      <c r="B709" t="s">
        <v>6</v>
      </c>
      <c r="C709" t="s">
        <v>1546</v>
      </c>
      <c r="D709" t="s">
        <v>1495</v>
      </c>
      <c r="E709" t="s">
        <v>1496</v>
      </c>
      <c r="F709" t="str">
        <f>HYPERLINK("https://talan.bank.gov.ua/get-user-certificate/45CEl6L8ehJGTrTs1AVS","Завантажити сертифікат")</f>
        <v>Завантажити сертифікат</v>
      </c>
    </row>
    <row r="710" spans="1:6" x14ac:dyDescent="0.3">
      <c r="A710" t="s">
        <v>1547</v>
      </c>
      <c r="B710" t="s">
        <v>6</v>
      </c>
      <c r="C710" t="s">
        <v>1548</v>
      </c>
      <c r="D710" t="s">
        <v>1495</v>
      </c>
      <c r="E710" t="s">
        <v>1496</v>
      </c>
      <c r="F710" t="str">
        <f>HYPERLINK("https://talan.bank.gov.ua/get-user-certificate/45CElLIN1er-oniMO6bd","Завантажити сертифікат")</f>
        <v>Завантажити сертифікат</v>
      </c>
    </row>
    <row r="711" spans="1:6" x14ac:dyDescent="0.3">
      <c r="A711" t="s">
        <v>1549</v>
      </c>
      <c r="B711" t="s">
        <v>6</v>
      </c>
      <c r="C711" t="s">
        <v>1550</v>
      </c>
      <c r="D711" t="s">
        <v>1495</v>
      </c>
      <c r="E711" t="s">
        <v>1496</v>
      </c>
      <c r="F711" t="str">
        <f>HYPERLINK("https://talan.bank.gov.ua/get-user-certificate/45CEl5Y94tqaeW83Xush","Завантажити сертифікат")</f>
        <v>Завантажити сертифікат</v>
      </c>
    </row>
    <row r="712" spans="1:6" x14ac:dyDescent="0.3">
      <c r="A712" t="s">
        <v>1551</v>
      </c>
      <c r="B712" t="s">
        <v>6</v>
      </c>
      <c r="C712" t="s">
        <v>1552</v>
      </c>
      <c r="D712" t="s">
        <v>1495</v>
      </c>
      <c r="E712" t="s">
        <v>1496</v>
      </c>
      <c r="F712" t="str">
        <f>HYPERLINK("https://talan.bank.gov.ua/get-user-certificate/45CEl-Avgc-S-LVHc2J5","Завантажити сертифікат")</f>
        <v>Завантажити сертифікат</v>
      </c>
    </row>
    <row r="713" spans="1:6" x14ac:dyDescent="0.3">
      <c r="A713" t="s">
        <v>1553</v>
      </c>
      <c r="B713" t="s">
        <v>6</v>
      </c>
      <c r="C713" t="s">
        <v>1554</v>
      </c>
      <c r="D713" t="s">
        <v>1495</v>
      </c>
      <c r="E713" t="s">
        <v>1496</v>
      </c>
      <c r="F713" t="str">
        <f>HYPERLINK("https://talan.bank.gov.ua/get-user-certificate/45CEl5XBqahFw86sVESZ","Завантажити сертифікат")</f>
        <v>Завантажити сертифікат</v>
      </c>
    </row>
    <row r="714" spans="1:6" x14ac:dyDescent="0.3">
      <c r="A714" t="s">
        <v>1555</v>
      </c>
      <c r="B714" t="s">
        <v>6</v>
      </c>
      <c r="C714" t="s">
        <v>1556</v>
      </c>
      <c r="D714" t="s">
        <v>1495</v>
      </c>
      <c r="E714" t="s">
        <v>1496</v>
      </c>
      <c r="F714" t="str">
        <f>HYPERLINK("https://talan.bank.gov.ua/get-user-certificate/45CElBw8BWe79rVWatqD","Завантажити сертифікат")</f>
        <v>Завантажити сертифікат</v>
      </c>
    </row>
    <row r="715" spans="1:6" x14ac:dyDescent="0.3">
      <c r="A715" t="s">
        <v>1557</v>
      </c>
      <c r="B715" t="s">
        <v>6</v>
      </c>
      <c r="C715" t="s">
        <v>1558</v>
      </c>
      <c r="D715" t="s">
        <v>1495</v>
      </c>
      <c r="E715" t="s">
        <v>1496</v>
      </c>
      <c r="F715" t="str">
        <f>HYPERLINK("https://talan.bank.gov.ua/get-user-certificate/45CEl24IUN1yEQKJNfYP","Завантажити сертифікат")</f>
        <v>Завантажити сертифікат</v>
      </c>
    </row>
    <row r="716" spans="1:6" x14ac:dyDescent="0.3">
      <c r="A716" t="s">
        <v>1559</v>
      </c>
      <c r="B716" t="s">
        <v>6</v>
      </c>
      <c r="C716" t="s">
        <v>1560</v>
      </c>
      <c r="D716" t="s">
        <v>1495</v>
      </c>
      <c r="E716" t="s">
        <v>1496</v>
      </c>
      <c r="F716" t="str">
        <f>HYPERLINK("https://talan.bank.gov.ua/get-user-certificate/45CElOwbsWPuJqkH5nHE","Завантажити сертифікат")</f>
        <v>Завантажити сертифікат</v>
      </c>
    </row>
    <row r="717" spans="1:6" x14ac:dyDescent="0.3">
      <c r="A717" t="s">
        <v>1561</v>
      </c>
      <c r="B717" t="s">
        <v>6</v>
      </c>
      <c r="C717" t="s">
        <v>1562</v>
      </c>
      <c r="D717" t="s">
        <v>1495</v>
      </c>
      <c r="E717" t="s">
        <v>1496</v>
      </c>
      <c r="F717" t="str">
        <f>HYPERLINK("https://talan.bank.gov.ua/get-user-certificate/45CElp7NY-0YfBZMDkBD","Завантажити сертифікат")</f>
        <v>Завантажити сертифікат</v>
      </c>
    </row>
    <row r="718" spans="1:6" x14ac:dyDescent="0.3">
      <c r="A718" t="s">
        <v>1563</v>
      </c>
      <c r="B718" t="s">
        <v>6</v>
      </c>
      <c r="C718" t="s">
        <v>1564</v>
      </c>
      <c r="D718" t="s">
        <v>1495</v>
      </c>
      <c r="E718" t="s">
        <v>1496</v>
      </c>
      <c r="F718" t="str">
        <f>HYPERLINK("https://talan.bank.gov.ua/get-user-certificate/45CElE0IaaeH_JLmWm-v","Завантажити сертифікат")</f>
        <v>Завантажити сертифікат</v>
      </c>
    </row>
    <row r="719" spans="1:6" x14ac:dyDescent="0.3">
      <c r="A719" t="s">
        <v>1565</v>
      </c>
      <c r="B719" t="s">
        <v>6</v>
      </c>
      <c r="C719" t="s">
        <v>1566</v>
      </c>
      <c r="D719" t="s">
        <v>1495</v>
      </c>
      <c r="E719" t="s">
        <v>1496</v>
      </c>
      <c r="F719" t="str">
        <f>HYPERLINK("https://talan.bank.gov.ua/get-user-certificate/45CEl2-WRhOGtY4kjrGc","Завантажити сертифікат")</f>
        <v>Завантажити сертифікат</v>
      </c>
    </row>
    <row r="720" spans="1:6" x14ac:dyDescent="0.3">
      <c r="A720" t="s">
        <v>1567</v>
      </c>
      <c r="B720" t="s">
        <v>6</v>
      </c>
      <c r="C720" t="s">
        <v>1568</v>
      </c>
      <c r="D720" t="s">
        <v>1495</v>
      </c>
      <c r="E720" t="s">
        <v>1496</v>
      </c>
      <c r="F720" t="str">
        <f>HYPERLINK("https://talan.bank.gov.ua/get-user-certificate/45CEl1Y2Nz8jWI5j3sLn","Завантажити сертифікат")</f>
        <v>Завантажити сертифікат</v>
      </c>
    </row>
    <row r="721" spans="1:6" x14ac:dyDescent="0.3">
      <c r="A721" t="s">
        <v>1569</v>
      </c>
      <c r="B721" t="s">
        <v>6</v>
      </c>
      <c r="C721" t="s">
        <v>1570</v>
      </c>
      <c r="D721" t="s">
        <v>1495</v>
      </c>
      <c r="E721" t="s">
        <v>1496</v>
      </c>
      <c r="F721" t="str">
        <f>HYPERLINK("https://talan.bank.gov.ua/get-user-certificate/45CEltsPCAdE2E9QIFeu","Завантажити сертифікат")</f>
        <v>Завантажити сертифікат</v>
      </c>
    </row>
    <row r="722" spans="1:6" x14ac:dyDescent="0.3">
      <c r="A722" t="s">
        <v>1571</v>
      </c>
      <c r="B722" t="s">
        <v>6</v>
      </c>
      <c r="C722" t="s">
        <v>1572</v>
      </c>
      <c r="D722" t="s">
        <v>1495</v>
      </c>
      <c r="E722" t="s">
        <v>1496</v>
      </c>
      <c r="F722" t="str">
        <f>HYPERLINK("https://talan.bank.gov.ua/get-user-certificate/45CElG6RAcuN7mtD23q0","Завантажити сертифікат")</f>
        <v>Завантажити сертифікат</v>
      </c>
    </row>
    <row r="723" spans="1:6" x14ac:dyDescent="0.3">
      <c r="A723" t="s">
        <v>1573</v>
      </c>
      <c r="B723" t="s">
        <v>6</v>
      </c>
      <c r="C723" t="s">
        <v>1574</v>
      </c>
      <c r="D723" t="s">
        <v>1495</v>
      </c>
      <c r="E723" t="s">
        <v>1496</v>
      </c>
      <c r="F723" t="str">
        <f>HYPERLINK("https://talan.bank.gov.ua/get-user-certificate/45CElzkw11-NCh47-7Fh","Завантажити сертифікат")</f>
        <v>Завантажити сертифікат</v>
      </c>
    </row>
    <row r="724" spans="1:6" x14ac:dyDescent="0.3">
      <c r="A724" t="s">
        <v>1575</v>
      </c>
      <c r="B724" t="s">
        <v>6</v>
      </c>
      <c r="C724" t="s">
        <v>1576</v>
      </c>
      <c r="D724" t="s">
        <v>1495</v>
      </c>
      <c r="E724" t="s">
        <v>1496</v>
      </c>
      <c r="F724" t="str">
        <f>HYPERLINK("https://talan.bank.gov.ua/get-user-certificate/45CElcAHuAGI72yO-fKP","Завантажити сертифікат")</f>
        <v>Завантажити сертифікат</v>
      </c>
    </row>
    <row r="725" spans="1:6" x14ac:dyDescent="0.3">
      <c r="A725" t="s">
        <v>1577</v>
      </c>
      <c r="B725" t="s">
        <v>6</v>
      </c>
      <c r="C725" t="s">
        <v>1578</v>
      </c>
      <c r="D725" t="s">
        <v>1495</v>
      </c>
      <c r="E725" t="s">
        <v>1496</v>
      </c>
      <c r="F725" t="str">
        <f>HYPERLINK("https://talan.bank.gov.ua/get-user-certificate/45CElm1eYXgfg3BUvcBV","Завантажити сертифікат")</f>
        <v>Завантажити сертифікат</v>
      </c>
    </row>
    <row r="726" spans="1:6" x14ac:dyDescent="0.3">
      <c r="A726" t="s">
        <v>1579</v>
      </c>
      <c r="B726" t="s">
        <v>6</v>
      </c>
      <c r="C726" t="s">
        <v>1580</v>
      </c>
      <c r="D726" t="s">
        <v>1495</v>
      </c>
      <c r="E726" t="s">
        <v>1496</v>
      </c>
      <c r="F726" t="str">
        <f>HYPERLINK("https://talan.bank.gov.ua/get-user-certificate/45CElq3nmEt04alHIAhA","Завантажити сертифікат")</f>
        <v>Завантажити сертифікат</v>
      </c>
    </row>
    <row r="727" spans="1:6" x14ac:dyDescent="0.3">
      <c r="A727" t="s">
        <v>1581</v>
      </c>
      <c r="B727" t="s">
        <v>6</v>
      </c>
      <c r="C727" t="s">
        <v>1582</v>
      </c>
      <c r="D727" t="s">
        <v>1495</v>
      </c>
      <c r="E727" t="s">
        <v>1496</v>
      </c>
      <c r="F727" t="str">
        <f>HYPERLINK("https://talan.bank.gov.ua/get-user-certificate/45CElcx_Orqy0Y0M1MAS","Завантажити сертифікат")</f>
        <v>Завантажити сертифікат</v>
      </c>
    </row>
    <row r="728" spans="1:6" x14ac:dyDescent="0.3">
      <c r="A728" t="s">
        <v>1583</v>
      </c>
      <c r="B728" t="s">
        <v>6</v>
      </c>
      <c r="C728" t="s">
        <v>1584</v>
      </c>
      <c r="D728" t="s">
        <v>1495</v>
      </c>
      <c r="E728" t="s">
        <v>1496</v>
      </c>
      <c r="F728" t="str">
        <f>HYPERLINK("https://talan.bank.gov.ua/get-user-certificate/45CElx21QNNogHXWlHdI","Завантажити сертифікат")</f>
        <v>Завантажити сертифікат</v>
      </c>
    </row>
    <row r="729" spans="1:6" x14ac:dyDescent="0.3">
      <c r="A729" t="s">
        <v>1585</v>
      </c>
      <c r="B729" t="s">
        <v>6</v>
      </c>
      <c r="C729" t="s">
        <v>1586</v>
      </c>
      <c r="D729" t="s">
        <v>1495</v>
      </c>
      <c r="E729" t="s">
        <v>1496</v>
      </c>
      <c r="F729" t="str">
        <f>HYPERLINK("https://talan.bank.gov.ua/get-user-certificate/45CElMv4k41Z0aTfK1vo","Завантажити сертифікат")</f>
        <v>Завантажити сертифікат</v>
      </c>
    </row>
    <row r="730" spans="1:6" x14ac:dyDescent="0.3">
      <c r="A730" t="s">
        <v>1587</v>
      </c>
      <c r="B730" t="s">
        <v>6</v>
      </c>
      <c r="C730" t="s">
        <v>1588</v>
      </c>
      <c r="D730" t="s">
        <v>1495</v>
      </c>
      <c r="E730" t="s">
        <v>1496</v>
      </c>
      <c r="F730" t="str">
        <f>HYPERLINK("https://talan.bank.gov.ua/get-user-certificate/45CElp7R_u35QC2WTwAl","Завантажити сертифікат")</f>
        <v>Завантажити сертифікат</v>
      </c>
    </row>
    <row r="731" spans="1:6" x14ac:dyDescent="0.3">
      <c r="A731" t="s">
        <v>1589</v>
      </c>
      <c r="B731" t="s">
        <v>6</v>
      </c>
      <c r="C731" t="s">
        <v>1590</v>
      </c>
      <c r="D731" t="s">
        <v>1495</v>
      </c>
      <c r="E731" t="s">
        <v>1496</v>
      </c>
      <c r="F731" t="str">
        <f>HYPERLINK("https://talan.bank.gov.ua/get-user-certificate/45CElnxqt_pvqCGq-GnI","Завантажити сертифікат")</f>
        <v>Завантажити сертифікат</v>
      </c>
    </row>
    <row r="732" spans="1:6" x14ac:dyDescent="0.3">
      <c r="A732" t="s">
        <v>1591</v>
      </c>
      <c r="B732" t="s">
        <v>6</v>
      </c>
      <c r="C732" t="s">
        <v>1592</v>
      </c>
      <c r="D732" t="s">
        <v>1495</v>
      </c>
      <c r="E732" t="s">
        <v>1496</v>
      </c>
      <c r="F732" t="str">
        <f>HYPERLINK("https://talan.bank.gov.ua/get-user-certificate/45CEltGSnWcynPoE0Uhd","Завантажити сертифікат")</f>
        <v>Завантажити сертифікат</v>
      </c>
    </row>
    <row r="733" spans="1:6" x14ac:dyDescent="0.3">
      <c r="A733" t="s">
        <v>1593</v>
      </c>
      <c r="B733" t="s">
        <v>6</v>
      </c>
      <c r="C733" t="s">
        <v>1594</v>
      </c>
      <c r="D733" t="s">
        <v>1495</v>
      </c>
      <c r="E733" t="s">
        <v>1496</v>
      </c>
      <c r="F733" t="str">
        <f>HYPERLINK("https://talan.bank.gov.ua/get-user-certificate/45CEl0n4mRFU5QlbcMUU","Завантажити сертифікат")</f>
        <v>Завантажити сертифікат</v>
      </c>
    </row>
    <row r="734" spans="1:6" x14ac:dyDescent="0.3">
      <c r="A734" t="s">
        <v>1595</v>
      </c>
      <c r="B734" t="s">
        <v>6</v>
      </c>
      <c r="C734" t="s">
        <v>1596</v>
      </c>
      <c r="D734" t="s">
        <v>1495</v>
      </c>
      <c r="E734" t="s">
        <v>1496</v>
      </c>
      <c r="F734" t="str">
        <f>HYPERLINK("https://talan.bank.gov.ua/get-user-certificate/45CElPow7geCOgx0eFTZ","Завантажити сертифікат")</f>
        <v>Завантажити сертифікат</v>
      </c>
    </row>
    <row r="735" spans="1:6" x14ac:dyDescent="0.3">
      <c r="A735" t="s">
        <v>1597</v>
      </c>
      <c r="B735" t="s">
        <v>6</v>
      </c>
      <c r="C735" t="s">
        <v>1598</v>
      </c>
      <c r="D735" t="s">
        <v>1495</v>
      </c>
      <c r="E735" t="s">
        <v>1496</v>
      </c>
      <c r="F735" t="str">
        <f>HYPERLINK("https://talan.bank.gov.ua/get-user-certificate/45CElnNzXHCcbAu-9d_i","Завантажити сертифікат")</f>
        <v>Завантажити сертифікат</v>
      </c>
    </row>
    <row r="736" spans="1:6" x14ac:dyDescent="0.3">
      <c r="A736" t="s">
        <v>1599</v>
      </c>
      <c r="B736" t="s">
        <v>6</v>
      </c>
      <c r="C736" t="s">
        <v>1600</v>
      </c>
      <c r="D736" t="s">
        <v>1495</v>
      </c>
      <c r="E736" t="s">
        <v>1496</v>
      </c>
      <c r="F736" t="str">
        <f>HYPERLINK("https://talan.bank.gov.ua/get-user-certificate/45CElU-Juk0GshhiJhxr","Завантажити сертифікат")</f>
        <v>Завантажити сертифікат</v>
      </c>
    </row>
    <row r="737" spans="1:6" x14ac:dyDescent="0.3">
      <c r="A737" t="s">
        <v>1601</v>
      </c>
      <c r="B737" t="s">
        <v>6</v>
      </c>
      <c r="C737" t="s">
        <v>1602</v>
      </c>
      <c r="D737" t="s">
        <v>1495</v>
      </c>
      <c r="E737" t="s">
        <v>1496</v>
      </c>
      <c r="F737" t="str">
        <f>HYPERLINK("https://talan.bank.gov.ua/get-user-certificate/45CElAFxmdNFz6mzViEZ","Завантажити сертифікат")</f>
        <v>Завантажити сертифікат</v>
      </c>
    </row>
    <row r="738" spans="1:6" x14ac:dyDescent="0.3">
      <c r="A738" t="s">
        <v>1603</v>
      </c>
      <c r="B738" t="s">
        <v>6</v>
      </c>
      <c r="C738" t="s">
        <v>1604</v>
      </c>
      <c r="D738" t="s">
        <v>1495</v>
      </c>
      <c r="E738" t="s">
        <v>1496</v>
      </c>
      <c r="F738" t="str">
        <f>HYPERLINK("https://talan.bank.gov.ua/get-user-certificate/45CElORvKryp1rl1Osd9","Завантажити сертифікат")</f>
        <v>Завантажити сертифікат</v>
      </c>
    </row>
    <row r="739" spans="1:6" x14ac:dyDescent="0.3">
      <c r="A739" t="s">
        <v>1605</v>
      </c>
      <c r="B739" t="s">
        <v>6</v>
      </c>
      <c r="C739" t="s">
        <v>1606</v>
      </c>
      <c r="D739" t="s">
        <v>1495</v>
      </c>
      <c r="E739" t="s">
        <v>1496</v>
      </c>
      <c r="F739" t="str">
        <f>HYPERLINK("https://talan.bank.gov.ua/get-user-certificate/45CElVvx6VawN_wSBd6z","Завантажити сертифікат")</f>
        <v>Завантажити сертифікат</v>
      </c>
    </row>
    <row r="740" spans="1:6" x14ac:dyDescent="0.3">
      <c r="A740" t="s">
        <v>1607</v>
      </c>
      <c r="B740" t="s">
        <v>6</v>
      </c>
      <c r="C740" t="s">
        <v>1608</v>
      </c>
      <c r="D740" t="s">
        <v>1495</v>
      </c>
      <c r="E740" t="s">
        <v>1496</v>
      </c>
      <c r="F740" t="str">
        <f>HYPERLINK("https://talan.bank.gov.ua/get-user-certificate/45CElKs5kZtomrP6LG_I","Завантажити сертифікат")</f>
        <v>Завантажити сертифікат</v>
      </c>
    </row>
    <row r="741" spans="1:6" x14ac:dyDescent="0.3">
      <c r="A741" t="s">
        <v>1609</v>
      </c>
      <c r="B741" t="s">
        <v>6</v>
      </c>
      <c r="C741" t="s">
        <v>1610</v>
      </c>
      <c r="D741" t="s">
        <v>1495</v>
      </c>
      <c r="E741" t="s">
        <v>1496</v>
      </c>
      <c r="F741" t="str">
        <f>HYPERLINK("https://talan.bank.gov.ua/get-user-certificate/45CEl69EbETymMtQBBLP","Завантажити сертифікат")</f>
        <v>Завантажити сертифікат</v>
      </c>
    </row>
    <row r="742" spans="1:6" x14ac:dyDescent="0.3">
      <c r="A742" t="s">
        <v>1611</v>
      </c>
      <c r="B742" t="s">
        <v>6</v>
      </c>
      <c r="C742" t="s">
        <v>1612</v>
      </c>
      <c r="D742" t="s">
        <v>1495</v>
      </c>
      <c r="E742" t="s">
        <v>1496</v>
      </c>
      <c r="F742" t="str">
        <f>HYPERLINK("https://talan.bank.gov.ua/get-user-certificate/45CElpJeYnIlh7c1a3GR","Завантажити сертифікат")</f>
        <v>Завантажити сертифікат</v>
      </c>
    </row>
    <row r="743" spans="1:6" x14ac:dyDescent="0.3">
      <c r="A743" t="s">
        <v>1613</v>
      </c>
      <c r="B743" t="s">
        <v>6</v>
      </c>
      <c r="C743" t="s">
        <v>1614</v>
      </c>
      <c r="D743" t="s">
        <v>1495</v>
      </c>
      <c r="E743" t="s">
        <v>1496</v>
      </c>
      <c r="F743" t="str">
        <f>HYPERLINK("https://talan.bank.gov.ua/get-user-certificate/45CElA3NfiHdVPrrrhgd","Завантажити сертифікат")</f>
        <v>Завантажити сертифікат</v>
      </c>
    </row>
    <row r="744" spans="1:6" x14ac:dyDescent="0.3">
      <c r="A744" t="s">
        <v>1615</v>
      </c>
      <c r="B744" t="s">
        <v>6</v>
      </c>
      <c r="C744" t="s">
        <v>1616</v>
      </c>
      <c r="D744" t="s">
        <v>1495</v>
      </c>
      <c r="E744" t="s">
        <v>1496</v>
      </c>
      <c r="F744" t="str">
        <f>HYPERLINK("https://talan.bank.gov.ua/get-user-certificate/45CElmg76cBQK0H2cx4U","Завантажити сертифікат")</f>
        <v>Завантажити сертифікат</v>
      </c>
    </row>
    <row r="745" spans="1:6" x14ac:dyDescent="0.3">
      <c r="A745" t="s">
        <v>1617</v>
      </c>
      <c r="B745" t="s">
        <v>6</v>
      </c>
      <c r="C745" t="s">
        <v>1618</v>
      </c>
      <c r="D745" t="s">
        <v>1495</v>
      </c>
      <c r="E745" t="s">
        <v>1496</v>
      </c>
      <c r="F745" t="str">
        <f>HYPERLINK("https://talan.bank.gov.ua/get-user-certificate/45CElxq84ulu9TsGG4Rh","Завантажити сертифікат")</f>
        <v>Завантажити сертифікат</v>
      </c>
    </row>
    <row r="746" spans="1:6" x14ac:dyDescent="0.3">
      <c r="A746" t="s">
        <v>1619</v>
      </c>
      <c r="B746" t="s">
        <v>6</v>
      </c>
      <c r="C746" t="s">
        <v>1620</v>
      </c>
      <c r="D746" t="s">
        <v>1495</v>
      </c>
      <c r="E746" t="s">
        <v>1496</v>
      </c>
      <c r="F746" t="str">
        <f>HYPERLINK("https://talan.bank.gov.ua/get-user-certificate/45CElI8HP4-Kc9UpCocM","Завантажити сертифікат")</f>
        <v>Завантажити сертифікат</v>
      </c>
    </row>
    <row r="747" spans="1:6" x14ac:dyDescent="0.3">
      <c r="A747" t="s">
        <v>1621</v>
      </c>
      <c r="B747" t="s">
        <v>6</v>
      </c>
      <c r="C747" t="s">
        <v>1622</v>
      </c>
      <c r="D747" t="s">
        <v>1495</v>
      </c>
      <c r="E747" t="s">
        <v>1496</v>
      </c>
      <c r="F747" t="str">
        <f>HYPERLINK("https://talan.bank.gov.ua/get-user-certificate/45CElYRRo0e4WXlQBJO2","Завантажити сертифікат")</f>
        <v>Завантажити сертифікат</v>
      </c>
    </row>
    <row r="748" spans="1:6" x14ac:dyDescent="0.3">
      <c r="A748" t="s">
        <v>1623</v>
      </c>
      <c r="B748" t="s">
        <v>6</v>
      </c>
      <c r="C748" t="s">
        <v>1624</v>
      </c>
      <c r="D748" t="s">
        <v>1495</v>
      </c>
      <c r="E748" t="s">
        <v>1496</v>
      </c>
      <c r="F748" t="str">
        <f>HYPERLINK("https://talan.bank.gov.ua/get-user-certificate/45CElzdD1SVOV9q_sOAs","Завантажити сертифікат")</f>
        <v>Завантажити сертифікат</v>
      </c>
    </row>
    <row r="749" spans="1:6" x14ac:dyDescent="0.3">
      <c r="A749" t="s">
        <v>1625</v>
      </c>
      <c r="B749" t="s">
        <v>6</v>
      </c>
      <c r="C749" t="s">
        <v>1626</v>
      </c>
      <c r="D749" t="s">
        <v>1495</v>
      </c>
      <c r="E749" t="s">
        <v>1496</v>
      </c>
      <c r="F749" t="str">
        <f>HYPERLINK("https://talan.bank.gov.ua/get-user-certificate/45CElcjFbWZ50RT9tFWC","Завантажити сертифікат")</f>
        <v>Завантажити сертифікат</v>
      </c>
    </row>
    <row r="750" spans="1:6" x14ac:dyDescent="0.3">
      <c r="A750" t="s">
        <v>1627</v>
      </c>
      <c r="B750" t="s">
        <v>6</v>
      </c>
      <c r="C750" t="s">
        <v>1628</v>
      </c>
      <c r="D750" t="s">
        <v>1495</v>
      </c>
      <c r="E750" t="s">
        <v>1496</v>
      </c>
      <c r="F750" t="str">
        <f>HYPERLINK("https://talan.bank.gov.ua/get-user-certificate/45CElBjD7Q6U1V8843an","Завантажити сертифікат")</f>
        <v>Завантажити сертифікат</v>
      </c>
    </row>
    <row r="751" spans="1:6" x14ac:dyDescent="0.3">
      <c r="A751" t="s">
        <v>1629</v>
      </c>
      <c r="B751" t="s">
        <v>6</v>
      </c>
      <c r="C751" t="s">
        <v>1630</v>
      </c>
      <c r="D751" t="s">
        <v>1495</v>
      </c>
      <c r="E751" t="s">
        <v>1496</v>
      </c>
      <c r="F751" t="str">
        <f>HYPERLINK("https://talan.bank.gov.ua/get-user-certificate/45CElihFPVhS_N3Ha8cx","Завантажити сертифікат")</f>
        <v>Завантажити сертифікат</v>
      </c>
    </row>
    <row r="752" spans="1:6" x14ac:dyDescent="0.3">
      <c r="A752" t="s">
        <v>1631</v>
      </c>
      <c r="B752" t="s">
        <v>6</v>
      </c>
      <c r="C752" t="s">
        <v>1632</v>
      </c>
      <c r="D752" t="s">
        <v>1495</v>
      </c>
      <c r="E752" t="s">
        <v>1496</v>
      </c>
      <c r="F752" t="str">
        <f>HYPERLINK("https://talan.bank.gov.ua/get-user-certificate/45CElYq0_dCpeY75Y9wn","Завантажити сертифікат")</f>
        <v>Завантажити сертифікат</v>
      </c>
    </row>
    <row r="753" spans="1:6" x14ac:dyDescent="0.3">
      <c r="A753" t="s">
        <v>1633</v>
      </c>
      <c r="B753" t="s">
        <v>6</v>
      </c>
      <c r="C753" t="s">
        <v>1634</v>
      </c>
      <c r="D753" t="s">
        <v>1495</v>
      </c>
      <c r="E753" t="s">
        <v>1496</v>
      </c>
      <c r="F753" t="str">
        <f>HYPERLINK("https://talan.bank.gov.ua/get-user-certificate/45CElLzI2MpRys-7tI38","Завантажити сертифікат")</f>
        <v>Завантажити сертифікат</v>
      </c>
    </row>
    <row r="754" spans="1:6" x14ac:dyDescent="0.3">
      <c r="A754" t="s">
        <v>1635</v>
      </c>
      <c r="B754" t="s">
        <v>6</v>
      </c>
      <c r="C754" t="s">
        <v>1636</v>
      </c>
      <c r="D754" t="s">
        <v>1495</v>
      </c>
      <c r="E754" t="s">
        <v>1496</v>
      </c>
      <c r="F754" t="str">
        <f>HYPERLINK("https://talan.bank.gov.ua/get-user-certificate/45CElwnucQ7K8LAopYbC","Завантажити сертифікат")</f>
        <v>Завантажити сертифікат</v>
      </c>
    </row>
    <row r="755" spans="1:6" x14ac:dyDescent="0.3">
      <c r="A755" t="s">
        <v>1637</v>
      </c>
      <c r="B755" t="s">
        <v>6</v>
      </c>
      <c r="C755" t="s">
        <v>1638</v>
      </c>
      <c r="D755" t="s">
        <v>1639</v>
      </c>
      <c r="E755" t="s">
        <v>1640</v>
      </c>
      <c r="F755" t="str">
        <f>HYPERLINK("https://talan.bank.gov.ua/get-user-certificate/45CElDhtveaHReG4hbWd","Завантажити сертифікат")</f>
        <v>Завантажити сертифікат</v>
      </c>
    </row>
    <row r="756" spans="1:6" x14ac:dyDescent="0.3">
      <c r="A756" t="s">
        <v>1641</v>
      </c>
      <c r="B756" t="s">
        <v>6</v>
      </c>
      <c r="C756" t="s">
        <v>1642</v>
      </c>
      <c r="D756" t="s">
        <v>1639</v>
      </c>
      <c r="E756" t="s">
        <v>1640</v>
      </c>
      <c r="F756" t="str">
        <f>HYPERLINK("https://talan.bank.gov.ua/get-user-certificate/45CElH2B-x8C3ePNKjjA","Завантажити сертифікат")</f>
        <v>Завантажити сертифікат</v>
      </c>
    </row>
    <row r="757" spans="1:6" x14ac:dyDescent="0.3">
      <c r="A757" t="s">
        <v>1643</v>
      </c>
      <c r="B757" t="s">
        <v>6</v>
      </c>
      <c r="C757" t="s">
        <v>1644</v>
      </c>
      <c r="D757" t="s">
        <v>1639</v>
      </c>
      <c r="E757" t="s">
        <v>1640</v>
      </c>
      <c r="F757" t="str">
        <f>HYPERLINK("https://talan.bank.gov.ua/get-user-certificate/45CElUJPQdjeKZtVWjYy","Завантажити сертифікат")</f>
        <v>Завантажити сертифікат</v>
      </c>
    </row>
    <row r="758" spans="1:6" x14ac:dyDescent="0.3">
      <c r="A758" t="s">
        <v>1645</v>
      </c>
      <c r="B758" t="s">
        <v>6</v>
      </c>
      <c r="C758" t="s">
        <v>1646</v>
      </c>
      <c r="D758" t="s">
        <v>1639</v>
      </c>
      <c r="E758" t="s">
        <v>1640</v>
      </c>
      <c r="F758" t="str">
        <f>HYPERLINK("https://talan.bank.gov.ua/get-user-certificate/45CEl495VHuyrUpHcibp","Завантажити сертифікат")</f>
        <v>Завантажити сертифікат</v>
      </c>
    </row>
    <row r="759" spans="1:6" x14ac:dyDescent="0.3">
      <c r="A759" t="s">
        <v>1647</v>
      </c>
      <c r="B759" t="s">
        <v>6</v>
      </c>
      <c r="C759" t="s">
        <v>1648</v>
      </c>
      <c r="D759" t="s">
        <v>1639</v>
      </c>
      <c r="E759" t="s">
        <v>1640</v>
      </c>
      <c r="F759" t="str">
        <f>HYPERLINK("https://talan.bank.gov.ua/get-user-certificate/45CEl2-5L8Q5aHYKDRvh","Завантажити сертифікат")</f>
        <v>Завантажити сертифікат</v>
      </c>
    </row>
    <row r="760" spans="1:6" x14ac:dyDescent="0.3">
      <c r="A760" t="s">
        <v>1649</v>
      </c>
      <c r="B760" t="s">
        <v>6</v>
      </c>
      <c r="C760" t="s">
        <v>1650</v>
      </c>
      <c r="D760" t="s">
        <v>1639</v>
      </c>
      <c r="E760" t="s">
        <v>1640</v>
      </c>
      <c r="F760" t="str">
        <f>HYPERLINK("https://talan.bank.gov.ua/get-user-certificate/45CElcbEz_u_2RH9wQRO","Завантажити сертифікат")</f>
        <v>Завантажити сертифікат</v>
      </c>
    </row>
    <row r="761" spans="1:6" x14ac:dyDescent="0.3">
      <c r="A761" t="s">
        <v>1651</v>
      </c>
      <c r="B761" t="s">
        <v>6</v>
      </c>
      <c r="C761" t="s">
        <v>1652</v>
      </c>
      <c r="D761" t="s">
        <v>1639</v>
      </c>
      <c r="E761" t="s">
        <v>1640</v>
      </c>
      <c r="F761" t="str">
        <f>HYPERLINK("https://talan.bank.gov.ua/get-user-certificate/45CEl0SLXYV8lcMPxuTu","Завантажити сертифікат")</f>
        <v>Завантажити сертифікат</v>
      </c>
    </row>
    <row r="762" spans="1:6" x14ac:dyDescent="0.3">
      <c r="A762" t="s">
        <v>1653</v>
      </c>
      <c r="B762" t="s">
        <v>6</v>
      </c>
      <c r="C762" t="s">
        <v>1654</v>
      </c>
      <c r="D762" t="s">
        <v>1639</v>
      </c>
      <c r="E762" t="s">
        <v>1640</v>
      </c>
      <c r="F762" t="str">
        <f>HYPERLINK("https://talan.bank.gov.ua/get-user-certificate/45CElYWi5HNOojTxd4wF","Завантажити сертифікат")</f>
        <v>Завантажити сертифікат</v>
      </c>
    </row>
    <row r="763" spans="1:6" x14ac:dyDescent="0.3">
      <c r="A763" t="s">
        <v>1655</v>
      </c>
      <c r="B763" t="s">
        <v>6</v>
      </c>
      <c r="C763" t="s">
        <v>1656</v>
      </c>
      <c r="D763" t="s">
        <v>1639</v>
      </c>
      <c r="E763" t="s">
        <v>1640</v>
      </c>
      <c r="F763" t="str">
        <f>HYPERLINK("https://talan.bank.gov.ua/get-user-certificate/45CEl999AnWjiq2uWFYa","Завантажити сертифікат")</f>
        <v>Завантажити сертифікат</v>
      </c>
    </row>
    <row r="764" spans="1:6" x14ac:dyDescent="0.3">
      <c r="A764" t="s">
        <v>1657</v>
      </c>
      <c r="B764" t="s">
        <v>6</v>
      </c>
      <c r="C764" t="s">
        <v>1658</v>
      </c>
      <c r="D764" t="s">
        <v>1639</v>
      </c>
      <c r="E764" t="s">
        <v>1640</v>
      </c>
      <c r="F764" t="str">
        <f>HYPERLINK("https://talan.bank.gov.ua/get-user-certificate/45CEl83bEN5MULKWMItV","Завантажити сертифікат")</f>
        <v>Завантажити сертифікат</v>
      </c>
    </row>
    <row r="765" spans="1:6" x14ac:dyDescent="0.3">
      <c r="A765" t="s">
        <v>1659</v>
      </c>
      <c r="B765" t="s">
        <v>6</v>
      </c>
      <c r="C765" t="s">
        <v>1660</v>
      </c>
      <c r="D765" t="s">
        <v>1639</v>
      </c>
      <c r="E765" t="s">
        <v>1640</v>
      </c>
      <c r="F765" t="str">
        <f>HYPERLINK("https://talan.bank.gov.ua/get-user-certificate/45CEl5mYi3uqBf-VH2OC","Завантажити сертифікат")</f>
        <v>Завантажити сертифікат</v>
      </c>
    </row>
    <row r="766" spans="1:6" x14ac:dyDescent="0.3">
      <c r="A766" t="s">
        <v>1661</v>
      </c>
      <c r="B766" t="s">
        <v>6</v>
      </c>
      <c r="C766" t="s">
        <v>1662</v>
      </c>
      <c r="D766" t="s">
        <v>1639</v>
      </c>
      <c r="E766" t="s">
        <v>1640</v>
      </c>
      <c r="F766" t="str">
        <f>HYPERLINK("https://talan.bank.gov.ua/get-user-certificate/45CElIp8EGf2gSzBeTIc","Завантажити сертифікат")</f>
        <v>Завантажити сертифікат</v>
      </c>
    </row>
    <row r="767" spans="1:6" x14ac:dyDescent="0.3">
      <c r="A767" t="s">
        <v>1663</v>
      </c>
      <c r="B767" t="s">
        <v>6</v>
      </c>
      <c r="C767" t="s">
        <v>1664</v>
      </c>
      <c r="D767" t="s">
        <v>1639</v>
      </c>
      <c r="E767" t="s">
        <v>1640</v>
      </c>
      <c r="F767" t="str">
        <f>HYPERLINK("https://talan.bank.gov.ua/get-user-certificate/45CElYECdcZ-gcNDeIOW","Завантажити сертифікат")</f>
        <v>Завантажити сертифікат</v>
      </c>
    </row>
    <row r="768" spans="1:6" x14ac:dyDescent="0.3">
      <c r="A768" t="s">
        <v>1665</v>
      </c>
      <c r="B768" t="s">
        <v>6</v>
      </c>
      <c r="C768" t="s">
        <v>1666</v>
      </c>
      <c r="D768" t="s">
        <v>1639</v>
      </c>
      <c r="E768" t="s">
        <v>1640</v>
      </c>
      <c r="F768" t="str">
        <f>HYPERLINK("https://talan.bank.gov.ua/get-user-certificate/45CEl_8PxGV0joX14qW3","Завантажити сертифікат")</f>
        <v>Завантажити сертифікат</v>
      </c>
    </row>
    <row r="769" spans="1:6" x14ac:dyDescent="0.3">
      <c r="A769" t="s">
        <v>1667</v>
      </c>
      <c r="B769" t="s">
        <v>6</v>
      </c>
      <c r="C769" t="s">
        <v>1668</v>
      </c>
      <c r="D769" t="s">
        <v>1639</v>
      </c>
      <c r="E769" t="s">
        <v>1640</v>
      </c>
      <c r="F769" t="str">
        <f>HYPERLINK("https://talan.bank.gov.ua/get-user-certificate/45CElOQuMrmYOuglfC4P","Завантажити сертифікат")</f>
        <v>Завантажити сертифікат</v>
      </c>
    </row>
    <row r="770" spans="1:6" x14ac:dyDescent="0.3">
      <c r="A770" t="s">
        <v>1669</v>
      </c>
      <c r="B770" t="s">
        <v>6</v>
      </c>
      <c r="C770" t="s">
        <v>1670</v>
      </c>
      <c r="D770" t="s">
        <v>1639</v>
      </c>
      <c r="E770" t="s">
        <v>1640</v>
      </c>
      <c r="F770" t="str">
        <f>HYPERLINK("https://talan.bank.gov.ua/get-user-certificate/45CEly9RhyEWSPU2IYIV","Завантажити сертифікат")</f>
        <v>Завантажити сертифікат</v>
      </c>
    </row>
    <row r="771" spans="1:6" x14ac:dyDescent="0.3">
      <c r="A771" t="s">
        <v>1671</v>
      </c>
      <c r="B771" t="s">
        <v>6</v>
      </c>
      <c r="C771" t="s">
        <v>1672</v>
      </c>
      <c r="D771" t="s">
        <v>1639</v>
      </c>
      <c r="E771" t="s">
        <v>1640</v>
      </c>
      <c r="F771" t="str">
        <f>HYPERLINK("https://talan.bank.gov.ua/get-user-certificate/45CElZ_mutkjRwHPpzU8","Завантажити сертифікат")</f>
        <v>Завантажити сертифікат</v>
      </c>
    </row>
    <row r="772" spans="1:6" x14ac:dyDescent="0.3">
      <c r="A772" t="s">
        <v>1673</v>
      </c>
      <c r="B772" t="s">
        <v>6</v>
      </c>
      <c r="C772" t="s">
        <v>1674</v>
      </c>
      <c r="D772" t="s">
        <v>1639</v>
      </c>
      <c r="E772" t="s">
        <v>1640</v>
      </c>
      <c r="F772" t="str">
        <f>HYPERLINK("https://talan.bank.gov.ua/get-user-certificate/45CElvfPbOwz6fBrr-hl","Завантажити сертифікат")</f>
        <v>Завантажити сертифікат</v>
      </c>
    </row>
    <row r="773" spans="1:6" x14ac:dyDescent="0.3">
      <c r="A773" t="s">
        <v>1675</v>
      </c>
      <c r="B773" t="s">
        <v>6</v>
      </c>
      <c r="C773" t="s">
        <v>1676</v>
      </c>
      <c r="D773" t="s">
        <v>1639</v>
      </c>
      <c r="E773" t="s">
        <v>1640</v>
      </c>
      <c r="F773" t="str">
        <f>HYPERLINK("https://talan.bank.gov.ua/get-user-certificate/45CEljgVSkVlQKdJ5N4q","Завантажити сертифікат")</f>
        <v>Завантажити сертифікат</v>
      </c>
    </row>
    <row r="774" spans="1:6" x14ac:dyDescent="0.3">
      <c r="A774" t="s">
        <v>1677</v>
      </c>
      <c r="B774" t="s">
        <v>6</v>
      </c>
      <c r="C774" t="s">
        <v>1678</v>
      </c>
      <c r="D774" t="s">
        <v>1639</v>
      </c>
      <c r="E774" t="s">
        <v>1640</v>
      </c>
      <c r="F774" t="str">
        <f>HYPERLINK("https://talan.bank.gov.ua/get-user-certificate/45CEl_wiIAPuSDzUzhAf","Завантажити сертифікат")</f>
        <v>Завантажити сертифікат</v>
      </c>
    </row>
    <row r="775" spans="1:6" x14ac:dyDescent="0.3">
      <c r="A775" t="s">
        <v>1679</v>
      </c>
      <c r="B775" t="s">
        <v>6</v>
      </c>
      <c r="C775" t="s">
        <v>1680</v>
      </c>
      <c r="D775" t="s">
        <v>1639</v>
      </c>
      <c r="E775" t="s">
        <v>1640</v>
      </c>
      <c r="F775" t="str">
        <f>HYPERLINK("https://talan.bank.gov.ua/get-user-certificate/45CEl9D2UFZkhFptKz_5","Завантажити сертифікат")</f>
        <v>Завантажити сертифікат</v>
      </c>
    </row>
    <row r="776" spans="1:6" x14ac:dyDescent="0.3">
      <c r="A776" t="s">
        <v>1681</v>
      </c>
      <c r="B776" t="s">
        <v>6</v>
      </c>
      <c r="C776" t="s">
        <v>1682</v>
      </c>
      <c r="D776" t="s">
        <v>1639</v>
      </c>
      <c r="E776" t="s">
        <v>1640</v>
      </c>
      <c r="F776" t="str">
        <f>HYPERLINK("https://talan.bank.gov.ua/get-user-certificate/45CElLk4sYOlHouUwLno","Завантажити сертифікат")</f>
        <v>Завантажити сертифікат</v>
      </c>
    </row>
    <row r="777" spans="1:6" x14ac:dyDescent="0.3">
      <c r="A777" t="s">
        <v>1683</v>
      </c>
      <c r="B777" t="s">
        <v>6</v>
      </c>
      <c r="C777" t="s">
        <v>1684</v>
      </c>
      <c r="D777" t="s">
        <v>1639</v>
      </c>
      <c r="E777" t="s">
        <v>1640</v>
      </c>
      <c r="F777" t="str">
        <f>HYPERLINK("https://talan.bank.gov.ua/get-user-certificate/45CEljlY2P4iLXz2zoc1","Завантажити сертифікат")</f>
        <v>Завантажити сертифікат</v>
      </c>
    </row>
    <row r="778" spans="1:6" x14ac:dyDescent="0.3">
      <c r="A778" t="s">
        <v>1685</v>
      </c>
      <c r="B778" t="s">
        <v>6</v>
      </c>
      <c r="C778" t="s">
        <v>1686</v>
      </c>
      <c r="D778" t="s">
        <v>1639</v>
      </c>
      <c r="E778" t="s">
        <v>1640</v>
      </c>
      <c r="F778" t="str">
        <f>HYPERLINK("https://talan.bank.gov.ua/get-user-certificate/45CElQ7oW9hjByvAcxFX","Завантажити сертифікат")</f>
        <v>Завантажити сертифікат</v>
      </c>
    </row>
    <row r="779" spans="1:6" x14ac:dyDescent="0.3">
      <c r="A779" t="s">
        <v>1687</v>
      </c>
      <c r="B779" t="s">
        <v>6</v>
      </c>
      <c r="C779" t="s">
        <v>1688</v>
      </c>
      <c r="D779" t="s">
        <v>1639</v>
      </c>
      <c r="E779" t="s">
        <v>1640</v>
      </c>
      <c r="F779" t="str">
        <f>HYPERLINK("https://talan.bank.gov.ua/get-user-certificate/45CElvs3hEQ1Zo0xSDqw","Завантажити сертифікат")</f>
        <v>Завантажити сертифікат</v>
      </c>
    </row>
    <row r="780" spans="1:6" x14ac:dyDescent="0.3">
      <c r="A780" t="s">
        <v>1689</v>
      </c>
      <c r="B780" t="s">
        <v>6</v>
      </c>
      <c r="C780" t="s">
        <v>1690</v>
      </c>
      <c r="D780" t="s">
        <v>1639</v>
      </c>
      <c r="E780" t="s">
        <v>1640</v>
      </c>
      <c r="F780" t="str">
        <f>HYPERLINK("https://talan.bank.gov.ua/get-user-certificate/45CElb_UyoDWkTaoqO69","Завантажити сертифікат")</f>
        <v>Завантажити сертифікат</v>
      </c>
    </row>
    <row r="781" spans="1:6" x14ac:dyDescent="0.3">
      <c r="A781" t="s">
        <v>1691</v>
      </c>
      <c r="B781" t="s">
        <v>6</v>
      </c>
      <c r="C781" t="s">
        <v>1692</v>
      </c>
      <c r="D781" t="s">
        <v>1639</v>
      </c>
      <c r="E781" t="s">
        <v>1640</v>
      </c>
      <c r="F781" t="str">
        <f>HYPERLINK("https://talan.bank.gov.ua/get-user-certificate/45CElcjKvXFGJ3mou8At","Завантажити сертифікат")</f>
        <v>Завантажити сертифікат</v>
      </c>
    </row>
    <row r="782" spans="1:6" x14ac:dyDescent="0.3">
      <c r="A782" t="s">
        <v>1693</v>
      </c>
      <c r="B782" t="s">
        <v>6</v>
      </c>
      <c r="C782" t="s">
        <v>1694</v>
      </c>
      <c r="D782" t="s">
        <v>1639</v>
      </c>
      <c r="E782" t="s">
        <v>1640</v>
      </c>
      <c r="F782" t="str">
        <f>HYPERLINK("https://talan.bank.gov.ua/get-user-certificate/45CEljvnRND-YMG0JNEX","Завантажити сертифікат")</f>
        <v>Завантажити сертифікат</v>
      </c>
    </row>
    <row r="783" spans="1:6" x14ac:dyDescent="0.3">
      <c r="A783" t="s">
        <v>1695</v>
      </c>
      <c r="B783" t="s">
        <v>6</v>
      </c>
      <c r="C783" t="s">
        <v>1696</v>
      </c>
      <c r="D783" t="s">
        <v>1639</v>
      </c>
      <c r="E783" t="s">
        <v>1640</v>
      </c>
      <c r="F783" t="str">
        <f>HYPERLINK("https://talan.bank.gov.ua/get-user-certificate/45CElTSbryjFsC3do9GO","Завантажити сертифікат")</f>
        <v>Завантажити сертифікат</v>
      </c>
    </row>
    <row r="784" spans="1:6" x14ac:dyDescent="0.3">
      <c r="A784" t="s">
        <v>1697</v>
      </c>
      <c r="B784" t="s">
        <v>6</v>
      </c>
      <c r="C784" t="s">
        <v>1698</v>
      </c>
      <c r="D784" t="s">
        <v>1639</v>
      </c>
      <c r="E784" t="s">
        <v>1640</v>
      </c>
      <c r="F784" t="str">
        <f>HYPERLINK("https://talan.bank.gov.ua/get-user-certificate/45CElGmtXA4cON2GXkX1","Завантажити сертифікат")</f>
        <v>Завантажити сертифікат</v>
      </c>
    </row>
    <row r="785" spans="1:6" x14ac:dyDescent="0.3">
      <c r="A785" t="s">
        <v>1699</v>
      </c>
      <c r="B785" t="s">
        <v>6</v>
      </c>
      <c r="C785" t="s">
        <v>1700</v>
      </c>
      <c r="D785" t="s">
        <v>1639</v>
      </c>
      <c r="E785" t="s">
        <v>1640</v>
      </c>
      <c r="F785" t="str">
        <f>HYPERLINK("https://talan.bank.gov.ua/get-user-certificate/45CEl7qqF606VyefT2VV","Завантажити сертифікат")</f>
        <v>Завантажити сертифікат</v>
      </c>
    </row>
    <row r="786" spans="1:6" x14ac:dyDescent="0.3">
      <c r="A786" t="s">
        <v>1701</v>
      </c>
      <c r="B786" t="s">
        <v>6</v>
      </c>
      <c r="C786" t="s">
        <v>1702</v>
      </c>
      <c r="D786" t="s">
        <v>1639</v>
      </c>
      <c r="E786" t="s">
        <v>1640</v>
      </c>
      <c r="F786" t="str">
        <f>HYPERLINK("https://talan.bank.gov.ua/get-user-certificate/45CElbqGGKFSp4m9LoLl","Завантажити сертифікат")</f>
        <v>Завантажити сертифікат</v>
      </c>
    </row>
    <row r="787" spans="1:6" x14ac:dyDescent="0.3">
      <c r="A787" t="s">
        <v>1703</v>
      </c>
      <c r="B787" t="s">
        <v>6</v>
      </c>
      <c r="C787" t="s">
        <v>1704</v>
      </c>
      <c r="D787" t="s">
        <v>1639</v>
      </c>
      <c r="E787" t="s">
        <v>1640</v>
      </c>
      <c r="F787" t="str">
        <f>HYPERLINK("https://talan.bank.gov.ua/get-user-certificate/45CEl5Njt7Rf5cKZ0xv3","Завантажити сертифікат")</f>
        <v>Завантажити сертифікат</v>
      </c>
    </row>
    <row r="788" spans="1:6" x14ac:dyDescent="0.3">
      <c r="A788" t="s">
        <v>1705</v>
      </c>
      <c r="B788" t="s">
        <v>6</v>
      </c>
      <c r="C788" t="s">
        <v>1706</v>
      </c>
      <c r="D788" t="s">
        <v>1639</v>
      </c>
      <c r="E788" t="s">
        <v>1640</v>
      </c>
      <c r="F788" t="str">
        <f>HYPERLINK("https://talan.bank.gov.ua/get-user-certificate/45CElETKFHEmO9umsYvG","Завантажити сертифікат")</f>
        <v>Завантажити сертифікат</v>
      </c>
    </row>
    <row r="789" spans="1:6" x14ac:dyDescent="0.3">
      <c r="A789" t="s">
        <v>1707</v>
      </c>
      <c r="B789" t="s">
        <v>6</v>
      </c>
      <c r="C789" t="s">
        <v>1708</v>
      </c>
      <c r="D789" t="s">
        <v>1639</v>
      </c>
      <c r="E789" t="s">
        <v>1640</v>
      </c>
      <c r="F789" t="str">
        <f>HYPERLINK("https://talan.bank.gov.ua/get-user-certificate/45CEltcP2Roxl0oIgix4","Завантажити сертифікат")</f>
        <v>Завантажити сертифікат</v>
      </c>
    </row>
    <row r="790" spans="1:6" x14ac:dyDescent="0.3">
      <c r="A790" t="s">
        <v>1709</v>
      </c>
      <c r="B790" t="s">
        <v>6</v>
      </c>
      <c r="C790" t="s">
        <v>1710</v>
      </c>
      <c r="D790" t="s">
        <v>1639</v>
      </c>
      <c r="E790" t="s">
        <v>1640</v>
      </c>
      <c r="F790" t="str">
        <f>HYPERLINK("https://talan.bank.gov.ua/get-user-certificate/45CElzWGhfGtj-YpokxE","Завантажити сертифікат")</f>
        <v>Завантажити сертифікат</v>
      </c>
    </row>
    <row r="791" spans="1:6" x14ac:dyDescent="0.3">
      <c r="A791" t="s">
        <v>1711</v>
      </c>
      <c r="B791" t="s">
        <v>6</v>
      </c>
      <c r="C791" t="s">
        <v>1712</v>
      </c>
      <c r="D791" t="s">
        <v>1639</v>
      </c>
      <c r="E791" t="s">
        <v>1640</v>
      </c>
      <c r="F791" t="str">
        <f>HYPERLINK("https://talan.bank.gov.ua/get-user-certificate/45CEloKbYMl4nHFKatXL","Завантажити сертифікат")</f>
        <v>Завантажити сертифікат</v>
      </c>
    </row>
    <row r="792" spans="1:6" x14ac:dyDescent="0.3">
      <c r="A792" t="s">
        <v>1713</v>
      </c>
      <c r="B792" t="s">
        <v>6</v>
      </c>
      <c r="C792" t="s">
        <v>1714</v>
      </c>
      <c r="D792" t="s">
        <v>1639</v>
      </c>
      <c r="E792" t="s">
        <v>1640</v>
      </c>
      <c r="F792" t="str">
        <f>HYPERLINK("https://talan.bank.gov.ua/get-user-certificate/45CElgYqbDTZUO3ES6iq","Завантажити сертифікат")</f>
        <v>Завантажити сертифікат</v>
      </c>
    </row>
    <row r="793" spans="1:6" x14ac:dyDescent="0.3">
      <c r="A793" t="s">
        <v>1715</v>
      </c>
      <c r="B793" t="s">
        <v>6</v>
      </c>
      <c r="C793" t="s">
        <v>1716</v>
      </c>
      <c r="D793" t="s">
        <v>1639</v>
      </c>
      <c r="E793" t="s">
        <v>1640</v>
      </c>
      <c r="F793" t="str">
        <f>HYPERLINK("https://talan.bank.gov.ua/get-user-certificate/45CElibsEujN0ipuUjaP","Завантажити сертифікат")</f>
        <v>Завантажити сертифікат</v>
      </c>
    </row>
    <row r="794" spans="1:6" x14ac:dyDescent="0.3">
      <c r="A794" t="s">
        <v>1717</v>
      </c>
      <c r="B794" t="s">
        <v>6</v>
      </c>
      <c r="C794" t="s">
        <v>1718</v>
      </c>
      <c r="D794" t="s">
        <v>1639</v>
      </c>
      <c r="E794" t="s">
        <v>1640</v>
      </c>
      <c r="F794" t="str">
        <f>HYPERLINK("https://talan.bank.gov.ua/get-user-certificate/45CElcOp6Zclj851N03d","Завантажити сертифікат")</f>
        <v>Завантажити сертифікат</v>
      </c>
    </row>
    <row r="795" spans="1:6" x14ac:dyDescent="0.3">
      <c r="A795" t="s">
        <v>1719</v>
      </c>
      <c r="B795" t="s">
        <v>6</v>
      </c>
      <c r="C795" t="s">
        <v>1720</v>
      </c>
      <c r="D795" t="s">
        <v>1639</v>
      </c>
      <c r="E795" t="s">
        <v>1640</v>
      </c>
      <c r="F795" t="str">
        <f>HYPERLINK("https://talan.bank.gov.ua/get-user-certificate/45CElqysCBVoLh9vEeuf","Завантажити сертифікат")</f>
        <v>Завантажити сертифікат</v>
      </c>
    </row>
    <row r="796" spans="1:6" x14ac:dyDescent="0.3">
      <c r="A796" t="s">
        <v>1721</v>
      </c>
      <c r="B796" t="s">
        <v>6</v>
      </c>
      <c r="C796" t="s">
        <v>1722</v>
      </c>
      <c r="D796" t="s">
        <v>1639</v>
      </c>
      <c r="E796" t="s">
        <v>1640</v>
      </c>
      <c r="F796" t="str">
        <f>HYPERLINK("https://talan.bank.gov.ua/get-user-certificate/45CElV5M--Hb_U0zVtq3","Завантажити сертифікат")</f>
        <v>Завантажити сертифікат</v>
      </c>
    </row>
    <row r="797" spans="1:6" x14ac:dyDescent="0.3">
      <c r="A797" t="s">
        <v>1723</v>
      </c>
      <c r="B797" t="s">
        <v>6</v>
      </c>
      <c r="C797" t="s">
        <v>1724</v>
      </c>
      <c r="D797" t="s">
        <v>1639</v>
      </c>
      <c r="E797" t="s">
        <v>1640</v>
      </c>
      <c r="F797" t="str">
        <f>HYPERLINK("https://talan.bank.gov.ua/get-user-certificate/45CElGidyYtMJJQzce4A","Завантажити сертифікат")</f>
        <v>Завантажити сертифікат</v>
      </c>
    </row>
    <row r="798" spans="1:6" x14ac:dyDescent="0.3">
      <c r="A798" t="s">
        <v>1725</v>
      </c>
      <c r="B798" t="s">
        <v>6</v>
      </c>
      <c r="C798" t="s">
        <v>1726</v>
      </c>
      <c r="D798" t="s">
        <v>1639</v>
      </c>
      <c r="E798" t="s">
        <v>1640</v>
      </c>
      <c r="F798" t="str">
        <f>HYPERLINK("https://talan.bank.gov.ua/get-user-certificate/45CEldkqiwv_tdvBWD3Z","Завантажити сертифікат")</f>
        <v>Завантажити сертифікат</v>
      </c>
    </row>
    <row r="799" spans="1:6" x14ac:dyDescent="0.3">
      <c r="A799" t="s">
        <v>1727</v>
      </c>
      <c r="B799" t="s">
        <v>6</v>
      </c>
      <c r="C799" t="s">
        <v>1728</v>
      </c>
      <c r="D799" t="s">
        <v>1639</v>
      </c>
      <c r="E799" t="s">
        <v>1640</v>
      </c>
      <c r="F799" t="str">
        <f>HYPERLINK("https://talan.bank.gov.ua/get-user-certificate/45CElJ-RZwFlvclXEH8O","Завантажити сертифікат")</f>
        <v>Завантажити сертифікат</v>
      </c>
    </row>
    <row r="800" spans="1:6" x14ac:dyDescent="0.3">
      <c r="A800" t="s">
        <v>1729</v>
      </c>
      <c r="B800" t="s">
        <v>6</v>
      </c>
      <c r="C800" t="s">
        <v>1730</v>
      </c>
      <c r="D800" t="s">
        <v>1639</v>
      </c>
      <c r="E800" t="s">
        <v>1640</v>
      </c>
      <c r="F800" t="str">
        <f>HYPERLINK("https://talan.bank.gov.ua/get-user-certificate/45CElUoAQADv8QXib_g1","Завантажити сертифікат")</f>
        <v>Завантажити сертифікат</v>
      </c>
    </row>
    <row r="801" spans="1:6" x14ac:dyDescent="0.3">
      <c r="A801" t="s">
        <v>1731</v>
      </c>
      <c r="B801" t="s">
        <v>6</v>
      </c>
      <c r="C801" t="s">
        <v>1732</v>
      </c>
      <c r="D801" t="s">
        <v>1639</v>
      </c>
      <c r="E801" t="s">
        <v>1640</v>
      </c>
      <c r="F801" t="str">
        <f>HYPERLINK("https://talan.bank.gov.ua/get-user-certificate/45CElolnWypId02G_WUc","Завантажити сертифікат")</f>
        <v>Завантажити сертифікат</v>
      </c>
    </row>
    <row r="802" spans="1:6" x14ac:dyDescent="0.3">
      <c r="A802" t="s">
        <v>1733</v>
      </c>
      <c r="B802" t="s">
        <v>6</v>
      </c>
      <c r="C802" t="s">
        <v>1734</v>
      </c>
      <c r="D802" t="s">
        <v>1639</v>
      </c>
      <c r="E802" t="s">
        <v>1640</v>
      </c>
      <c r="F802" t="str">
        <f>HYPERLINK("https://talan.bank.gov.ua/get-user-certificate/45CElS5PswgtErAlqSBG","Завантажити сертифікат")</f>
        <v>Завантажити сертифікат</v>
      </c>
    </row>
    <row r="803" spans="1:6" x14ac:dyDescent="0.3">
      <c r="A803" t="s">
        <v>1735</v>
      </c>
      <c r="B803" t="s">
        <v>6</v>
      </c>
      <c r="C803" t="s">
        <v>1736</v>
      </c>
      <c r="D803" t="s">
        <v>1639</v>
      </c>
      <c r="E803" t="s">
        <v>1640</v>
      </c>
      <c r="F803" t="str">
        <f>HYPERLINK("https://talan.bank.gov.ua/get-user-certificate/45CEla9DP660ujcksA92","Завантажити сертифікат")</f>
        <v>Завантажити сертифікат</v>
      </c>
    </row>
    <row r="804" spans="1:6" x14ac:dyDescent="0.3">
      <c r="A804" t="s">
        <v>1737</v>
      </c>
      <c r="B804" t="s">
        <v>6</v>
      </c>
      <c r="C804" t="s">
        <v>1738</v>
      </c>
      <c r="D804" t="s">
        <v>1639</v>
      </c>
      <c r="E804" t="s">
        <v>1640</v>
      </c>
      <c r="F804" t="str">
        <f>HYPERLINK("https://talan.bank.gov.ua/get-user-certificate/45CEljuPy5IZ1CQfPTnF","Завантажити сертифікат")</f>
        <v>Завантажити сертифікат</v>
      </c>
    </row>
    <row r="805" spans="1:6" x14ac:dyDescent="0.3">
      <c r="A805" t="s">
        <v>1739</v>
      </c>
      <c r="B805" t="s">
        <v>6</v>
      </c>
      <c r="C805" t="s">
        <v>1740</v>
      </c>
      <c r="D805" t="s">
        <v>1639</v>
      </c>
      <c r="E805" t="s">
        <v>1640</v>
      </c>
      <c r="F805" t="str">
        <f>HYPERLINK("https://talan.bank.gov.ua/get-user-certificate/45CElJKkZV84ZNgF-F94","Завантажити сертифікат")</f>
        <v>Завантажити сертифікат</v>
      </c>
    </row>
    <row r="806" spans="1:6" x14ac:dyDescent="0.3">
      <c r="A806" t="s">
        <v>1741</v>
      </c>
      <c r="B806" t="s">
        <v>6</v>
      </c>
      <c r="C806" t="s">
        <v>1742</v>
      </c>
      <c r="D806" t="s">
        <v>1639</v>
      </c>
      <c r="E806" t="s">
        <v>1640</v>
      </c>
      <c r="F806" t="str">
        <f>HYPERLINK("https://talan.bank.gov.ua/get-user-certificate/45CEl5_rtMw2KzbUCr53","Завантажити сертифікат")</f>
        <v>Завантажити сертифікат</v>
      </c>
    </row>
    <row r="807" spans="1:6" x14ac:dyDescent="0.3">
      <c r="A807" t="s">
        <v>1743</v>
      </c>
      <c r="B807" t="s">
        <v>6</v>
      </c>
      <c r="C807" t="s">
        <v>1744</v>
      </c>
      <c r="D807" t="s">
        <v>1639</v>
      </c>
      <c r="E807" t="s">
        <v>1640</v>
      </c>
      <c r="F807" t="str">
        <f>HYPERLINK("https://talan.bank.gov.ua/get-user-certificate/45CElIBJPfOlVB4kcHV_","Завантажити сертифікат")</f>
        <v>Завантажити сертифікат</v>
      </c>
    </row>
    <row r="808" spans="1:6" x14ac:dyDescent="0.3">
      <c r="A808" t="s">
        <v>1745</v>
      </c>
      <c r="B808" t="s">
        <v>6</v>
      </c>
      <c r="C808" t="s">
        <v>1746</v>
      </c>
      <c r="D808" t="s">
        <v>1639</v>
      </c>
      <c r="E808" t="s">
        <v>1640</v>
      </c>
      <c r="F808" t="str">
        <f>HYPERLINK("https://talan.bank.gov.ua/get-user-certificate/45CElaLJl5oENAwMT4ap","Завантажити сертифікат")</f>
        <v>Завантажити сертифікат</v>
      </c>
    </row>
    <row r="809" spans="1:6" x14ac:dyDescent="0.3">
      <c r="A809" t="s">
        <v>1747</v>
      </c>
      <c r="B809" t="s">
        <v>6</v>
      </c>
      <c r="C809" t="s">
        <v>1748</v>
      </c>
      <c r="D809" t="s">
        <v>1749</v>
      </c>
      <c r="E809" t="s">
        <v>1750</v>
      </c>
      <c r="F809" t="str">
        <f>HYPERLINK("https://talan.bank.gov.ua/get-user-certificate/45CElJL-0TIwMaRg75WG","Завантажити сертифікат")</f>
        <v>Завантажити сертифікат</v>
      </c>
    </row>
    <row r="810" spans="1:6" x14ac:dyDescent="0.3">
      <c r="A810" t="s">
        <v>1751</v>
      </c>
      <c r="B810" t="s">
        <v>6</v>
      </c>
      <c r="C810" t="s">
        <v>1752</v>
      </c>
      <c r="D810" t="s">
        <v>1749</v>
      </c>
      <c r="E810" t="s">
        <v>1750</v>
      </c>
      <c r="F810" t="str">
        <f>HYPERLINK("https://talan.bank.gov.ua/get-user-certificate/45CEl6ZT72sKraIbbp7r","Завантажити сертифікат")</f>
        <v>Завантажити сертифікат</v>
      </c>
    </row>
    <row r="811" spans="1:6" x14ac:dyDescent="0.3">
      <c r="A811" t="s">
        <v>1753</v>
      </c>
      <c r="B811" t="s">
        <v>6</v>
      </c>
      <c r="C811" t="s">
        <v>1754</v>
      </c>
      <c r="D811" t="s">
        <v>1749</v>
      </c>
      <c r="E811" t="s">
        <v>1750</v>
      </c>
      <c r="F811" t="str">
        <f>HYPERLINK("https://talan.bank.gov.ua/get-user-certificate/45CEli634JKeLcJsMPg5","Завантажити сертифікат")</f>
        <v>Завантажити сертифікат</v>
      </c>
    </row>
    <row r="812" spans="1:6" x14ac:dyDescent="0.3">
      <c r="A812" t="s">
        <v>1755</v>
      </c>
      <c r="B812" t="s">
        <v>6</v>
      </c>
      <c r="C812" t="s">
        <v>1756</v>
      </c>
      <c r="D812" t="s">
        <v>1757</v>
      </c>
      <c r="E812" t="s">
        <v>1758</v>
      </c>
      <c r="F812" t="str">
        <f>HYPERLINK("https://talan.bank.gov.ua/get-user-certificate/45CElVpji_Oi1s1z55xV","Завантажити сертифікат")</f>
        <v>Завантажити сертифікат</v>
      </c>
    </row>
    <row r="813" spans="1:6" x14ac:dyDescent="0.3">
      <c r="A813" t="s">
        <v>1759</v>
      </c>
      <c r="B813" t="s">
        <v>6</v>
      </c>
      <c r="C813" t="s">
        <v>1760</v>
      </c>
      <c r="D813" t="s">
        <v>1757</v>
      </c>
      <c r="E813" t="s">
        <v>1758</v>
      </c>
      <c r="F813" t="str">
        <f>HYPERLINK("https://talan.bank.gov.ua/get-user-certificate/45CElzUG3MzPzA-wKcx5","Завантажити сертифікат")</f>
        <v>Завантажити сертифікат</v>
      </c>
    </row>
    <row r="814" spans="1:6" x14ac:dyDescent="0.3">
      <c r="A814" t="s">
        <v>1761</v>
      </c>
      <c r="B814" t="s">
        <v>6</v>
      </c>
      <c r="C814" t="s">
        <v>1762</v>
      </c>
      <c r="D814" t="s">
        <v>1757</v>
      </c>
      <c r="E814" t="s">
        <v>1758</v>
      </c>
      <c r="F814" t="str">
        <f>HYPERLINK("https://talan.bank.gov.ua/get-user-certificate/45CElojwFE0gJ_OO9JK9","Завантажити сертифікат")</f>
        <v>Завантажити сертифікат</v>
      </c>
    </row>
    <row r="815" spans="1:6" x14ac:dyDescent="0.3">
      <c r="A815" t="s">
        <v>1763</v>
      </c>
      <c r="B815" t="s">
        <v>6</v>
      </c>
      <c r="C815" t="s">
        <v>1764</v>
      </c>
      <c r="D815" t="s">
        <v>1757</v>
      </c>
      <c r="E815" t="s">
        <v>1758</v>
      </c>
      <c r="F815" t="str">
        <f>HYPERLINK("https://talan.bank.gov.ua/get-user-certificate/45CEl9RI8UWv7R-Kj1pu","Завантажити сертифікат")</f>
        <v>Завантажити сертифікат</v>
      </c>
    </row>
    <row r="816" spans="1:6" x14ac:dyDescent="0.3">
      <c r="A816" t="s">
        <v>1765</v>
      </c>
      <c r="B816" t="s">
        <v>6</v>
      </c>
      <c r="C816" t="s">
        <v>1766</v>
      </c>
      <c r="D816" t="s">
        <v>1757</v>
      </c>
      <c r="E816" t="s">
        <v>1758</v>
      </c>
      <c r="F816" t="str">
        <f>HYPERLINK("https://talan.bank.gov.ua/get-user-certificate/45CEl0xFV2yTJS_a_Yky","Завантажити сертифікат")</f>
        <v>Завантажити сертифікат</v>
      </c>
    </row>
    <row r="817" spans="1:6" x14ac:dyDescent="0.3">
      <c r="A817" t="s">
        <v>1767</v>
      </c>
      <c r="B817" t="s">
        <v>6</v>
      </c>
      <c r="C817" t="s">
        <v>1768</v>
      </c>
      <c r="D817" t="s">
        <v>1757</v>
      </c>
      <c r="E817" t="s">
        <v>1758</v>
      </c>
      <c r="F817" t="str">
        <f>HYPERLINK("https://talan.bank.gov.ua/get-user-certificate/45CElU6svWGRTMgymNDM","Завантажити сертифікат")</f>
        <v>Завантажити сертифікат</v>
      </c>
    </row>
    <row r="818" spans="1:6" x14ac:dyDescent="0.3">
      <c r="A818" t="s">
        <v>1769</v>
      </c>
      <c r="B818" t="s">
        <v>6</v>
      </c>
      <c r="C818" t="s">
        <v>1770</v>
      </c>
      <c r="D818" t="s">
        <v>1757</v>
      </c>
      <c r="E818" t="s">
        <v>1758</v>
      </c>
      <c r="F818" t="str">
        <f>HYPERLINK("https://talan.bank.gov.ua/get-user-certificate/45CElC4In3fgwmaQOVXd","Завантажити сертифікат")</f>
        <v>Завантажити сертифікат</v>
      </c>
    </row>
    <row r="819" spans="1:6" x14ac:dyDescent="0.3">
      <c r="A819" t="s">
        <v>1771</v>
      </c>
      <c r="B819" t="s">
        <v>6</v>
      </c>
      <c r="C819" t="s">
        <v>1772</v>
      </c>
      <c r="D819" t="s">
        <v>1757</v>
      </c>
      <c r="E819" t="s">
        <v>1758</v>
      </c>
      <c r="F819" t="str">
        <f>HYPERLINK("https://talan.bank.gov.ua/get-user-certificate/45CEljalhPuP4Yp8iYuW","Завантажити сертифікат")</f>
        <v>Завантажити сертифікат</v>
      </c>
    </row>
    <row r="820" spans="1:6" x14ac:dyDescent="0.3">
      <c r="A820" t="s">
        <v>1773</v>
      </c>
      <c r="B820" t="s">
        <v>6</v>
      </c>
      <c r="C820" t="s">
        <v>1774</v>
      </c>
      <c r="D820" t="s">
        <v>1757</v>
      </c>
      <c r="E820" t="s">
        <v>1758</v>
      </c>
      <c r="F820" t="str">
        <f>HYPERLINK("https://talan.bank.gov.ua/get-user-certificate/45CElidn5MRujqeQLLX8","Завантажити сертифікат")</f>
        <v>Завантажити сертифікат</v>
      </c>
    </row>
    <row r="821" spans="1:6" x14ac:dyDescent="0.3">
      <c r="A821" t="s">
        <v>1775</v>
      </c>
      <c r="B821" t="s">
        <v>6</v>
      </c>
      <c r="C821" t="s">
        <v>1776</v>
      </c>
      <c r="D821" t="s">
        <v>1757</v>
      </c>
      <c r="E821" t="s">
        <v>1758</v>
      </c>
      <c r="F821" t="str">
        <f>HYPERLINK("https://talan.bank.gov.ua/get-user-certificate/45CEloK9f2IVbc2cHvnG","Завантажити сертифікат")</f>
        <v>Завантажити сертифікат</v>
      </c>
    </row>
    <row r="822" spans="1:6" x14ac:dyDescent="0.3">
      <c r="A822" t="s">
        <v>1777</v>
      </c>
      <c r="B822" t="s">
        <v>6</v>
      </c>
      <c r="C822" t="s">
        <v>1778</v>
      </c>
      <c r="D822" t="s">
        <v>1757</v>
      </c>
      <c r="E822" t="s">
        <v>1758</v>
      </c>
      <c r="F822" t="str">
        <f>HYPERLINK("https://talan.bank.gov.ua/get-user-certificate/45CElb0DzwHLL-v3WpdF","Завантажити сертифікат")</f>
        <v>Завантажити сертифікат</v>
      </c>
    </row>
    <row r="823" spans="1:6" x14ac:dyDescent="0.3">
      <c r="A823" t="s">
        <v>1779</v>
      </c>
      <c r="B823" t="s">
        <v>6</v>
      </c>
      <c r="C823" t="s">
        <v>1780</v>
      </c>
      <c r="D823" t="s">
        <v>1757</v>
      </c>
      <c r="E823" t="s">
        <v>1758</v>
      </c>
      <c r="F823" t="str">
        <f>HYPERLINK("https://talan.bank.gov.ua/get-user-certificate/45CEl8JVMTCNb_sKq5QZ","Завантажити сертифікат")</f>
        <v>Завантажити сертифікат</v>
      </c>
    </row>
    <row r="824" spans="1:6" x14ac:dyDescent="0.3">
      <c r="A824" t="s">
        <v>1781</v>
      </c>
      <c r="B824" t="s">
        <v>6</v>
      </c>
      <c r="C824" t="s">
        <v>1782</v>
      </c>
      <c r="D824" t="s">
        <v>1757</v>
      </c>
      <c r="E824" t="s">
        <v>1758</v>
      </c>
      <c r="F824" t="str">
        <f>HYPERLINK("https://talan.bank.gov.ua/get-user-certificate/45CElhTNACjpGqn9QPf8","Завантажити сертифікат")</f>
        <v>Завантажити сертифікат</v>
      </c>
    </row>
    <row r="825" spans="1:6" x14ac:dyDescent="0.3">
      <c r="A825" t="s">
        <v>1783</v>
      </c>
      <c r="B825" t="s">
        <v>6</v>
      </c>
      <c r="C825" t="s">
        <v>1784</v>
      </c>
      <c r="D825" t="s">
        <v>1757</v>
      </c>
      <c r="E825" t="s">
        <v>1758</v>
      </c>
      <c r="F825" t="str">
        <f>HYPERLINK("https://talan.bank.gov.ua/get-user-certificate/45CEla7hcjYKRaCl56ql","Завантажити сертифікат")</f>
        <v>Завантажити сертифікат</v>
      </c>
    </row>
    <row r="826" spans="1:6" x14ac:dyDescent="0.3">
      <c r="A826" t="s">
        <v>1785</v>
      </c>
      <c r="B826" t="s">
        <v>6</v>
      </c>
      <c r="C826" t="s">
        <v>1786</v>
      </c>
      <c r="D826" t="s">
        <v>1757</v>
      </c>
      <c r="E826" t="s">
        <v>1758</v>
      </c>
      <c r="F826" t="str">
        <f>HYPERLINK("https://talan.bank.gov.ua/get-user-certificate/45CElDCsrMK6PZu16U2m","Завантажити сертифікат")</f>
        <v>Завантажити сертифікат</v>
      </c>
    </row>
    <row r="827" spans="1:6" x14ac:dyDescent="0.3">
      <c r="A827" t="s">
        <v>1787</v>
      </c>
      <c r="B827" t="s">
        <v>6</v>
      </c>
      <c r="C827" t="s">
        <v>1788</v>
      </c>
      <c r="D827" t="s">
        <v>1789</v>
      </c>
      <c r="E827" t="s">
        <v>1790</v>
      </c>
      <c r="F827" t="str">
        <f>HYPERLINK("https://talan.bank.gov.ua/get-user-certificate/45CElHIZGW_tiL6A5o0q","Завантажити сертифікат")</f>
        <v>Завантажити сертифікат</v>
      </c>
    </row>
    <row r="828" spans="1:6" x14ac:dyDescent="0.3">
      <c r="A828" t="s">
        <v>1791</v>
      </c>
      <c r="B828" t="s">
        <v>6</v>
      </c>
      <c r="C828" t="s">
        <v>1792</v>
      </c>
      <c r="D828" t="s">
        <v>1789</v>
      </c>
      <c r="E828" t="s">
        <v>1790</v>
      </c>
      <c r="F828" t="str">
        <f>HYPERLINK("https://talan.bank.gov.ua/get-user-certificate/45CElLJdDaKYnN_ln2iU","Завантажити сертифікат")</f>
        <v>Завантажити сертифікат</v>
      </c>
    </row>
    <row r="829" spans="1:6" x14ac:dyDescent="0.3">
      <c r="A829" t="s">
        <v>1793</v>
      </c>
      <c r="B829" t="s">
        <v>6</v>
      </c>
      <c r="C829" t="s">
        <v>1794</v>
      </c>
      <c r="D829" t="s">
        <v>1789</v>
      </c>
      <c r="E829" t="s">
        <v>1790</v>
      </c>
      <c r="F829" t="str">
        <f>HYPERLINK("https://talan.bank.gov.ua/get-user-certificate/45CElh442zNVpkjuRxgO","Завантажити сертифікат")</f>
        <v>Завантажити сертифікат</v>
      </c>
    </row>
    <row r="830" spans="1:6" x14ac:dyDescent="0.3">
      <c r="A830" t="s">
        <v>1795</v>
      </c>
      <c r="B830" t="s">
        <v>6</v>
      </c>
      <c r="C830" t="s">
        <v>1796</v>
      </c>
      <c r="D830" t="s">
        <v>1789</v>
      </c>
      <c r="E830" t="s">
        <v>1790</v>
      </c>
      <c r="F830" t="str">
        <f>HYPERLINK("https://talan.bank.gov.ua/get-user-certificate/45CElQj8MrTbaUO6kXK1","Завантажити сертифікат")</f>
        <v>Завантажити сертифікат</v>
      </c>
    </row>
    <row r="831" spans="1:6" x14ac:dyDescent="0.3">
      <c r="A831" t="s">
        <v>1797</v>
      </c>
      <c r="B831" t="s">
        <v>6</v>
      </c>
      <c r="C831" t="s">
        <v>1798</v>
      </c>
      <c r="D831" t="s">
        <v>1789</v>
      </c>
      <c r="E831" t="s">
        <v>1790</v>
      </c>
      <c r="F831" t="str">
        <f>HYPERLINK("https://talan.bank.gov.ua/get-user-certificate/45CElSv8RuqQ_QW4X0Ki","Завантажити сертифікат")</f>
        <v>Завантажити сертифікат</v>
      </c>
    </row>
    <row r="832" spans="1:6" x14ac:dyDescent="0.3">
      <c r="A832" t="s">
        <v>1799</v>
      </c>
      <c r="B832" t="s">
        <v>6</v>
      </c>
      <c r="C832" t="s">
        <v>1800</v>
      </c>
      <c r="D832" t="s">
        <v>1789</v>
      </c>
      <c r="E832" t="s">
        <v>1790</v>
      </c>
      <c r="F832" t="str">
        <f>HYPERLINK("https://talan.bank.gov.ua/get-user-certificate/45CElmPgw3RnWM5VtUUe","Завантажити сертифікат")</f>
        <v>Завантажити сертифікат</v>
      </c>
    </row>
    <row r="833" spans="1:6" x14ac:dyDescent="0.3">
      <c r="A833" t="s">
        <v>1801</v>
      </c>
      <c r="B833" t="s">
        <v>6</v>
      </c>
      <c r="C833" t="s">
        <v>1802</v>
      </c>
      <c r="D833" t="s">
        <v>1803</v>
      </c>
      <c r="E833" t="s">
        <v>1804</v>
      </c>
      <c r="F833" t="str">
        <f>HYPERLINK("https://talan.bank.gov.ua/get-user-certificate/45CElVv3jhegq5TcUecw","Завантажити сертифікат")</f>
        <v>Завантажити сертифікат</v>
      </c>
    </row>
    <row r="834" spans="1:6" x14ac:dyDescent="0.3">
      <c r="A834" t="s">
        <v>1805</v>
      </c>
      <c r="B834" t="s">
        <v>6</v>
      </c>
      <c r="C834" t="s">
        <v>1806</v>
      </c>
      <c r="D834" t="s">
        <v>1803</v>
      </c>
      <c r="E834" t="s">
        <v>1804</v>
      </c>
      <c r="F834" t="str">
        <f>HYPERLINK("https://talan.bank.gov.ua/get-user-certificate/45CElakTTa43yHyyj50U","Завантажити сертифікат")</f>
        <v>Завантажити сертифікат</v>
      </c>
    </row>
    <row r="835" spans="1:6" x14ac:dyDescent="0.3">
      <c r="A835" t="s">
        <v>1807</v>
      </c>
      <c r="B835" t="s">
        <v>6</v>
      </c>
      <c r="C835" t="s">
        <v>1808</v>
      </c>
      <c r="D835" t="s">
        <v>1803</v>
      </c>
      <c r="E835" t="s">
        <v>1804</v>
      </c>
      <c r="F835" t="str">
        <f>HYPERLINK("https://talan.bank.gov.ua/get-user-certificate/45CElTJIeJnbWYPq9CEM","Завантажити сертифікат")</f>
        <v>Завантажити сертифікат</v>
      </c>
    </row>
    <row r="836" spans="1:6" x14ac:dyDescent="0.3">
      <c r="A836" t="s">
        <v>1809</v>
      </c>
      <c r="B836" t="s">
        <v>6</v>
      </c>
      <c r="C836" t="s">
        <v>1810</v>
      </c>
      <c r="D836" t="s">
        <v>1803</v>
      </c>
      <c r="E836" t="s">
        <v>1804</v>
      </c>
      <c r="F836" t="str">
        <f>HYPERLINK("https://talan.bank.gov.ua/get-user-certificate/45CEl2aQRK6D5U4AtkFf","Завантажити сертифікат")</f>
        <v>Завантажити сертифікат</v>
      </c>
    </row>
    <row r="837" spans="1:6" x14ac:dyDescent="0.3">
      <c r="A837" t="s">
        <v>1811</v>
      </c>
      <c r="B837" t="s">
        <v>6</v>
      </c>
      <c r="C837" t="s">
        <v>1812</v>
      </c>
      <c r="D837" t="s">
        <v>1803</v>
      </c>
      <c r="E837" t="s">
        <v>1804</v>
      </c>
      <c r="F837" t="str">
        <f>HYPERLINK("https://talan.bank.gov.ua/get-user-certificate/45CElEOO0uCFPb6D8hfd","Завантажити сертифікат")</f>
        <v>Завантажити сертифікат</v>
      </c>
    </row>
    <row r="838" spans="1:6" x14ac:dyDescent="0.3">
      <c r="A838" t="s">
        <v>1813</v>
      </c>
      <c r="B838" t="s">
        <v>6</v>
      </c>
      <c r="C838" t="s">
        <v>1814</v>
      </c>
      <c r="D838" t="s">
        <v>1803</v>
      </c>
      <c r="E838" t="s">
        <v>1804</v>
      </c>
      <c r="F838" t="str">
        <f>HYPERLINK("https://talan.bank.gov.ua/get-user-certificate/45CElBgIiHB6URWKsolH","Завантажити сертифікат")</f>
        <v>Завантажити сертифікат</v>
      </c>
    </row>
    <row r="839" spans="1:6" x14ac:dyDescent="0.3">
      <c r="A839" t="s">
        <v>1815</v>
      </c>
      <c r="B839" t="s">
        <v>6</v>
      </c>
      <c r="C839" t="s">
        <v>1816</v>
      </c>
      <c r="D839" t="s">
        <v>1803</v>
      </c>
      <c r="E839" t="s">
        <v>1804</v>
      </c>
      <c r="F839" t="str">
        <f>HYPERLINK("https://talan.bank.gov.ua/get-user-certificate/45CElV5UjiYRjRIXUDcN","Завантажити сертифікат")</f>
        <v>Завантажити сертифікат</v>
      </c>
    </row>
    <row r="840" spans="1:6" x14ac:dyDescent="0.3">
      <c r="A840" t="s">
        <v>1817</v>
      </c>
      <c r="B840" t="s">
        <v>6</v>
      </c>
      <c r="C840" t="s">
        <v>1818</v>
      </c>
      <c r="D840" t="s">
        <v>1803</v>
      </c>
      <c r="E840" t="s">
        <v>1804</v>
      </c>
      <c r="F840" t="str">
        <f>HYPERLINK("https://talan.bank.gov.ua/get-user-certificate/45CElQWKdAnpvVNAbrvr","Завантажити сертифікат")</f>
        <v>Завантажити сертифікат</v>
      </c>
    </row>
    <row r="841" spans="1:6" x14ac:dyDescent="0.3">
      <c r="A841" t="s">
        <v>1819</v>
      </c>
      <c r="B841" t="s">
        <v>6</v>
      </c>
      <c r="C841" t="s">
        <v>1820</v>
      </c>
      <c r="D841" t="s">
        <v>1803</v>
      </c>
      <c r="E841" t="s">
        <v>1804</v>
      </c>
      <c r="F841" t="str">
        <f>HYPERLINK("https://talan.bank.gov.ua/get-user-certificate/45CElCwe6xhm4RiJUH7u","Завантажити сертифікат")</f>
        <v>Завантажити сертифікат</v>
      </c>
    </row>
    <row r="842" spans="1:6" x14ac:dyDescent="0.3">
      <c r="A842" t="s">
        <v>1821</v>
      </c>
      <c r="B842" t="s">
        <v>6</v>
      </c>
      <c r="C842" t="s">
        <v>1822</v>
      </c>
      <c r="D842" t="s">
        <v>1803</v>
      </c>
      <c r="E842" t="s">
        <v>1804</v>
      </c>
      <c r="F842" t="str">
        <f>HYPERLINK("https://talan.bank.gov.ua/get-user-certificate/45CElq4dm-M2HUK2-osC","Завантажити сертифікат")</f>
        <v>Завантажити сертифікат</v>
      </c>
    </row>
    <row r="843" spans="1:6" x14ac:dyDescent="0.3">
      <c r="A843" t="s">
        <v>1823</v>
      </c>
      <c r="B843" t="s">
        <v>6</v>
      </c>
      <c r="C843" t="s">
        <v>1824</v>
      </c>
      <c r="D843" t="s">
        <v>1803</v>
      </c>
      <c r="E843" t="s">
        <v>1804</v>
      </c>
      <c r="F843" t="str">
        <f>HYPERLINK("https://talan.bank.gov.ua/get-user-certificate/45CElDeq__JZoUmdAkaD","Завантажити сертифікат")</f>
        <v>Завантажити сертифікат</v>
      </c>
    </row>
    <row r="844" spans="1:6" x14ac:dyDescent="0.3">
      <c r="A844" t="s">
        <v>1825</v>
      </c>
      <c r="B844" t="s">
        <v>6</v>
      </c>
      <c r="C844" t="s">
        <v>1826</v>
      </c>
      <c r="D844" t="s">
        <v>1803</v>
      </c>
      <c r="E844" t="s">
        <v>1804</v>
      </c>
      <c r="F844" t="str">
        <f>HYPERLINK("https://talan.bank.gov.ua/get-user-certificate/45CEl86eJaOLNRdLrIti","Завантажити сертифікат")</f>
        <v>Завантажити сертифікат</v>
      </c>
    </row>
    <row r="845" spans="1:6" x14ac:dyDescent="0.3">
      <c r="A845" t="s">
        <v>1827</v>
      </c>
      <c r="B845" t="s">
        <v>6</v>
      </c>
      <c r="C845" t="s">
        <v>1828</v>
      </c>
      <c r="D845" t="s">
        <v>1803</v>
      </c>
      <c r="E845" t="s">
        <v>1804</v>
      </c>
      <c r="F845" t="str">
        <f>HYPERLINK("https://talan.bank.gov.ua/get-user-certificate/45CElZZXTWLZQ1CuWhe3","Завантажити сертифікат")</f>
        <v>Завантажити сертифікат</v>
      </c>
    </row>
    <row r="846" spans="1:6" x14ac:dyDescent="0.3">
      <c r="A846" t="s">
        <v>1829</v>
      </c>
      <c r="B846" t="s">
        <v>6</v>
      </c>
      <c r="C846" t="s">
        <v>1830</v>
      </c>
      <c r="D846" t="s">
        <v>1803</v>
      </c>
      <c r="E846" t="s">
        <v>1804</v>
      </c>
      <c r="F846" t="str">
        <f>HYPERLINK("https://talan.bank.gov.ua/get-user-certificate/45CElagknHIEHhHSNck_","Завантажити сертифікат")</f>
        <v>Завантажити сертифікат</v>
      </c>
    </row>
    <row r="847" spans="1:6" x14ac:dyDescent="0.3">
      <c r="A847" t="s">
        <v>1831</v>
      </c>
      <c r="B847" t="s">
        <v>6</v>
      </c>
      <c r="C847" t="s">
        <v>1832</v>
      </c>
      <c r="D847" t="s">
        <v>1803</v>
      </c>
      <c r="E847" t="s">
        <v>1804</v>
      </c>
      <c r="F847" t="str">
        <f>HYPERLINK("https://talan.bank.gov.ua/get-user-certificate/45CEl8ao0cRydb2PTNaW","Завантажити сертифікат")</f>
        <v>Завантажити сертифікат</v>
      </c>
    </row>
    <row r="848" spans="1:6" x14ac:dyDescent="0.3">
      <c r="A848" t="s">
        <v>1833</v>
      </c>
      <c r="B848" t="s">
        <v>6</v>
      </c>
      <c r="C848" t="s">
        <v>1834</v>
      </c>
      <c r="D848" t="s">
        <v>1803</v>
      </c>
      <c r="E848" t="s">
        <v>1804</v>
      </c>
      <c r="F848" t="str">
        <f>HYPERLINK("https://talan.bank.gov.ua/get-user-certificate/45CElql9a0T3sEJdyOeY","Завантажити сертифікат")</f>
        <v>Завантажити сертифікат</v>
      </c>
    </row>
    <row r="849" spans="1:6" x14ac:dyDescent="0.3">
      <c r="A849" t="s">
        <v>1835</v>
      </c>
      <c r="B849" t="s">
        <v>6</v>
      </c>
      <c r="C849" t="s">
        <v>1836</v>
      </c>
      <c r="D849" t="s">
        <v>1803</v>
      </c>
      <c r="E849" t="s">
        <v>1804</v>
      </c>
      <c r="F849" t="str">
        <f>HYPERLINK("https://talan.bank.gov.ua/get-user-certificate/45CElhi9SnSuWuhWLPOU","Завантажити сертифікат")</f>
        <v>Завантажити сертифікат</v>
      </c>
    </row>
    <row r="850" spans="1:6" x14ac:dyDescent="0.3">
      <c r="A850" t="s">
        <v>1837</v>
      </c>
      <c r="B850" t="s">
        <v>6</v>
      </c>
      <c r="C850" t="s">
        <v>1838</v>
      </c>
      <c r="D850" t="s">
        <v>1803</v>
      </c>
      <c r="E850" t="s">
        <v>1804</v>
      </c>
      <c r="F850" t="str">
        <f>HYPERLINK("https://talan.bank.gov.ua/get-user-certificate/45CElEOAY2BjZ8LIo63i","Завантажити сертифікат")</f>
        <v>Завантажити сертифікат</v>
      </c>
    </row>
    <row r="851" spans="1:6" x14ac:dyDescent="0.3">
      <c r="A851" t="s">
        <v>1839</v>
      </c>
      <c r="B851" t="s">
        <v>6</v>
      </c>
      <c r="C851" t="s">
        <v>1840</v>
      </c>
      <c r="D851" t="s">
        <v>1803</v>
      </c>
      <c r="E851" t="s">
        <v>1804</v>
      </c>
      <c r="F851" t="str">
        <f>HYPERLINK("https://talan.bank.gov.ua/get-user-certificate/45CEl6PTMrMDmEn-wzOx","Завантажити сертифікат")</f>
        <v>Завантажити сертифікат</v>
      </c>
    </row>
    <row r="852" spans="1:6" x14ac:dyDescent="0.3">
      <c r="A852" t="s">
        <v>1841</v>
      </c>
      <c r="B852" t="s">
        <v>6</v>
      </c>
      <c r="C852" t="s">
        <v>1842</v>
      </c>
      <c r="D852" t="s">
        <v>1803</v>
      </c>
      <c r="E852" t="s">
        <v>1804</v>
      </c>
      <c r="F852" t="str">
        <f>HYPERLINK("https://talan.bank.gov.ua/get-user-certificate/45CEldPr2EeB1o4E3Zbm","Завантажити сертифікат")</f>
        <v>Завантажити сертифікат</v>
      </c>
    </row>
    <row r="853" spans="1:6" x14ac:dyDescent="0.3">
      <c r="A853" t="s">
        <v>1843</v>
      </c>
      <c r="B853" t="s">
        <v>6</v>
      </c>
      <c r="C853" t="s">
        <v>1844</v>
      </c>
      <c r="D853" t="s">
        <v>1845</v>
      </c>
      <c r="E853" t="s">
        <v>1846</v>
      </c>
      <c r="F853" t="str">
        <f>HYPERLINK("https://talan.bank.gov.ua/get-user-certificate/45CElv5LTcs-5sosEgNT","Завантажити сертифікат")</f>
        <v>Завантажити сертифікат</v>
      </c>
    </row>
    <row r="854" spans="1:6" x14ac:dyDescent="0.3">
      <c r="A854" t="s">
        <v>1847</v>
      </c>
      <c r="B854" t="s">
        <v>6</v>
      </c>
      <c r="C854" t="s">
        <v>1848</v>
      </c>
      <c r="D854" t="s">
        <v>1845</v>
      </c>
      <c r="E854" t="s">
        <v>1846</v>
      </c>
      <c r="F854" t="str">
        <f>HYPERLINK("https://talan.bank.gov.ua/get-user-certificate/45CElkcKFBCOmCv_QHIV","Завантажити сертифікат")</f>
        <v>Завантажити сертифікат</v>
      </c>
    </row>
    <row r="855" spans="1:6" x14ac:dyDescent="0.3">
      <c r="A855" t="s">
        <v>1849</v>
      </c>
      <c r="B855" t="s">
        <v>6</v>
      </c>
      <c r="C855" t="s">
        <v>1850</v>
      </c>
      <c r="D855" t="s">
        <v>1845</v>
      </c>
      <c r="E855" t="s">
        <v>1846</v>
      </c>
      <c r="F855" t="str">
        <f>HYPERLINK("https://talan.bank.gov.ua/get-user-certificate/45CElwOfsY2e5TFADlem","Завантажити сертифікат")</f>
        <v>Завантажити сертифікат</v>
      </c>
    </row>
    <row r="856" spans="1:6" x14ac:dyDescent="0.3">
      <c r="A856" t="s">
        <v>1851</v>
      </c>
      <c r="B856" t="s">
        <v>6</v>
      </c>
      <c r="C856" t="s">
        <v>1852</v>
      </c>
      <c r="D856" t="s">
        <v>1845</v>
      </c>
      <c r="E856" t="s">
        <v>1846</v>
      </c>
      <c r="F856" t="str">
        <f>HYPERLINK("https://talan.bank.gov.ua/get-user-certificate/45CElXrxAndEIqz1o_jg","Завантажити сертифікат")</f>
        <v>Завантажити сертифікат</v>
      </c>
    </row>
    <row r="857" spans="1:6" x14ac:dyDescent="0.3">
      <c r="A857" t="s">
        <v>1853</v>
      </c>
      <c r="B857" t="s">
        <v>6</v>
      </c>
      <c r="C857" t="s">
        <v>1854</v>
      </c>
      <c r="D857" t="s">
        <v>1845</v>
      </c>
      <c r="E857" t="s">
        <v>1846</v>
      </c>
      <c r="F857" t="str">
        <f>HYPERLINK("https://talan.bank.gov.ua/get-user-certificate/45CElm2mreRNGNeaJpUY","Завантажити сертифікат")</f>
        <v>Завантажити сертифікат</v>
      </c>
    </row>
    <row r="858" spans="1:6" x14ac:dyDescent="0.3">
      <c r="A858" t="s">
        <v>1855</v>
      </c>
      <c r="B858" t="s">
        <v>6</v>
      </c>
      <c r="C858" t="s">
        <v>1856</v>
      </c>
      <c r="D858" t="s">
        <v>1845</v>
      </c>
      <c r="E858" t="s">
        <v>1846</v>
      </c>
      <c r="F858" t="str">
        <f>HYPERLINK("https://talan.bank.gov.ua/get-user-certificate/45CElLR_JR7JQN9S0ZB2","Завантажити сертифікат")</f>
        <v>Завантажити сертифікат</v>
      </c>
    </row>
    <row r="859" spans="1:6" x14ac:dyDescent="0.3">
      <c r="A859" t="s">
        <v>1857</v>
      </c>
      <c r="B859" t="s">
        <v>6</v>
      </c>
      <c r="C859" t="s">
        <v>1858</v>
      </c>
      <c r="D859" t="s">
        <v>1845</v>
      </c>
      <c r="E859" t="s">
        <v>1846</v>
      </c>
      <c r="F859" t="str">
        <f>HYPERLINK("https://talan.bank.gov.ua/get-user-certificate/45CElD1OuPeyPc7ko4Ys","Завантажити сертифікат")</f>
        <v>Завантажити сертифікат</v>
      </c>
    </row>
    <row r="860" spans="1:6" x14ac:dyDescent="0.3">
      <c r="A860" t="s">
        <v>1859</v>
      </c>
      <c r="B860" t="s">
        <v>6</v>
      </c>
      <c r="C860" t="s">
        <v>1860</v>
      </c>
      <c r="D860" t="s">
        <v>1845</v>
      </c>
      <c r="E860" t="s">
        <v>1846</v>
      </c>
      <c r="F860" t="str">
        <f>HYPERLINK("https://talan.bank.gov.ua/get-user-certificate/45CElL1gh2x31W4yvRs8","Завантажити сертифікат")</f>
        <v>Завантажити сертифікат</v>
      </c>
    </row>
    <row r="861" spans="1:6" x14ac:dyDescent="0.3">
      <c r="A861" t="s">
        <v>1861</v>
      </c>
      <c r="B861" t="s">
        <v>6</v>
      </c>
      <c r="C861" t="s">
        <v>1862</v>
      </c>
      <c r="D861" t="s">
        <v>1845</v>
      </c>
      <c r="E861" t="s">
        <v>1846</v>
      </c>
      <c r="F861" t="str">
        <f>HYPERLINK("https://talan.bank.gov.ua/get-user-certificate/45CElUetZk5S40MZUOPB","Завантажити сертифікат")</f>
        <v>Завантажити сертифікат</v>
      </c>
    </row>
    <row r="862" spans="1:6" x14ac:dyDescent="0.3">
      <c r="A862" t="s">
        <v>1863</v>
      </c>
      <c r="B862" t="s">
        <v>6</v>
      </c>
      <c r="C862" t="s">
        <v>1864</v>
      </c>
      <c r="D862" t="s">
        <v>1845</v>
      </c>
      <c r="E862" t="s">
        <v>1846</v>
      </c>
      <c r="F862" t="str">
        <f>HYPERLINK("https://talan.bank.gov.ua/get-user-certificate/45CEleQ6KBsCLDoOUp34","Завантажити сертифікат")</f>
        <v>Завантажити сертифікат</v>
      </c>
    </row>
    <row r="863" spans="1:6" x14ac:dyDescent="0.3">
      <c r="A863" t="s">
        <v>1865</v>
      </c>
      <c r="B863" t="s">
        <v>6</v>
      </c>
      <c r="C863" t="s">
        <v>1866</v>
      </c>
      <c r="D863" t="s">
        <v>1845</v>
      </c>
      <c r="E863" t="s">
        <v>1846</v>
      </c>
      <c r="F863" t="str">
        <f>HYPERLINK("https://talan.bank.gov.ua/get-user-certificate/45CElE_Im9DcDx5lG5vN","Завантажити сертифікат")</f>
        <v>Завантажити сертифікат</v>
      </c>
    </row>
    <row r="864" spans="1:6" x14ac:dyDescent="0.3">
      <c r="A864" t="s">
        <v>1867</v>
      </c>
      <c r="B864" t="s">
        <v>6</v>
      </c>
      <c r="C864" t="s">
        <v>1868</v>
      </c>
      <c r="D864" t="s">
        <v>1845</v>
      </c>
      <c r="E864" t="s">
        <v>1846</v>
      </c>
      <c r="F864" t="str">
        <f>HYPERLINK("https://talan.bank.gov.ua/get-user-certificate/45CElTh3XI7EP3UZPfFY","Завантажити сертифікат")</f>
        <v>Завантажити сертифікат</v>
      </c>
    </row>
    <row r="865" spans="1:6" x14ac:dyDescent="0.3">
      <c r="A865" t="s">
        <v>1869</v>
      </c>
      <c r="B865" t="s">
        <v>6</v>
      </c>
      <c r="C865" t="s">
        <v>1870</v>
      </c>
      <c r="D865" t="s">
        <v>1845</v>
      </c>
      <c r="E865" t="s">
        <v>1846</v>
      </c>
      <c r="F865" t="str">
        <f>HYPERLINK("https://talan.bank.gov.ua/get-user-certificate/45CElMMy2FTgXn3AuvGR","Завантажити сертифікат")</f>
        <v>Завантажити сертифікат</v>
      </c>
    </row>
    <row r="866" spans="1:6" x14ac:dyDescent="0.3">
      <c r="A866" t="s">
        <v>1871</v>
      </c>
      <c r="B866" t="s">
        <v>6</v>
      </c>
      <c r="C866" t="s">
        <v>1872</v>
      </c>
      <c r="D866" t="s">
        <v>1845</v>
      </c>
      <c r="E866" t="s">
        <v>1846</v>
      </c>
      <c r="F866" t="str">
        <f>HYPERLINK("https://talan.bank.gov.ua/get-user-certificate/45CElkiAaXWNrq-vqVgX","Завантажити сертифікат")</f>
        <v>Завантажити сертифікат</v>
      </c>
    </row>
    <row r="867" spans="1:6" x14ac:dyDescent="0.3">
      <c r="A867" t="s">
        <v>1873</v>
      </c>
      <c r="B867" t="s">
        <v>6</v>
      </c>
      <c r="C867" t="s">
        <v>1874</v>
      </c>
      <c r="D867" t="s">
        <v>1845</v>
      </c>
      <c r="E867" t="s">
        <v>1846</v>
      </c>
      <c r="F867" t="str">
        <f>HYPERLINK("https://talan.bank.gov.ua/get-user-certificate/45CElggM-12V4IY_E5b1","Завантажити сертифікат")</f>
        <v>Завантажити сертифікат</v>
      </c>
    </row>
    <row r="868" spans="1:6" x14ac:dyDescent="0.3">
      <c r="A868" t="s">
        <v>1875</v>
      </c>
      <c r="B868" t="s">
        <v>6</v>
      </c>
      <c r="C868" t="s">
        <v>1876</v>
      </c>
      <c r="D868" t="s">
        <v>1845</v>
      </c>
      <c r="E868" t="s">
        <v>1846</v>
      </c>
      <c r="F868" t="str">
        <f>HYPERLINK("https://talan.bank.gov.ua/get-user-certificate/45CElbDyXtgSo4LoBF5d","Завантажити сертифікат")</f>
        <v>Завантажити сертифікат</v>
      </c>
    </row>
    <row r="869" spans="1:6" x14ac:dyDescent="0.3">
      <c r="A869" t="s">
        <v>1877</v>
      </c>
      <c r="B869" t="s">
        <v>6</v>
      </c>
      <c r="C869" t="s">
        <v>1878</v>
      </c>
      <c r="D869" t="s">
        <v>1845</v>
      </c>
      <c r="E869" t="s">
        <v>1846</v>
      </c>
      <c r="F869" t="str">
        <f>HYPERLINK("https://talan.bank.gov.ua/get-user-certificate/45CElkhM-YO9ISbqWZ6r","Завантажити сертифікат")</f>
        <v>Завантажити сертифікат</v>
      </c>
    </row>
    <row r="870" spans="1:6" x14ac:dyDescent="0.3">
      <c r="A870" t="s">
        <v>1879</v>
      </c>
      <c r="B870" t="s">
        <v>6</v>
      </c>
      <c r="C870" t="s">
        <v>1880</v>
      </c>
      <c r="D870" t="s">
        <v>1845</v>
      </c>
      <c r="E870" t="s">
        <v>1846</v>
      </c>
      <c r="F870" t="str">
        <f>HYPERLINK("https://talan.bank.gov.ua/get-user-certificate/45CElVym7kkGeOtsWzFm","Завантажити сертифікат")</f>
        <v>Завантажити сертифікат</v>
      </c>
    </row>
    <row r="871" spans="1:6" x14ac:dyDescent="0.3">
      <c r="A871" t="s">
        <v>1881</v>
      </c>
      <c r="B871" t="s">
        <v>6</v>
      </c>
      <c r="C871" t="s">
        <v>1882</v>
      </c>
      <c r="D871" t="s">
        <v>1845</v>
      </c>
      <c r="E871" t="s">
        <v>1846</v>
      </c>
      <c r="F871" t="str">
        <f>HYPERLINK("https://talan.bank.gov.ua/get-user-certificate/45CElPd07hIHvE8BT2FF","Завантажити сертифікат")</f>
        <v>Завантажити сертифікат</v>
      </c>
    </row>
    <row r="872" spans="1:6" x14ac:dyDescent="0.3">
      <c r="A872" t="s">
        <v>1883</v>
      </c>
      <c r="B872" t="s">
        <v>6</v>
      </c>
      <c r="C872" t="s">
        <v>1884</v>
      </c>
      <c r="D872" t="s">
        <v>1845</v>
      </c>
      <c r="E872" t="s">
        <v>1846</v>
      </c>
      <c r="F872" t="str">
        <f>HYPERLINK("https://talan.bank.gov.ua/get-user-certificate/45CElZy8gOgd4HfQcScb","Завантажити сертифікат")</f>
        <v>Завантажити сертифікат</v>
      </c>
    </row>
    <row r="873" spans="1:6" x14ac:dyDescent="0.3">
      <c r="A873" t="s">
        <v>1885</v>
      </c>
      <c r="B873" t="s">
        <v>6</v>
      </c>
      <c r="C873" t="s">
        <v>1886</v>
      </c>
      <c r="D873" t="s">
        <v>1845</v>
      </c>
      <c r="E873" t="s">
        <v>1846</v>
      </c>
      <c r="F873" t="str">
        <f>HYPERLINK("https://talan.bank.gov.ua/get-user-certificate/45CElk_Jinz96cr2gGx_","Завантажити сертифікат")</f>
        <v>Завантажити сертифікат</v>
      </c>
    </row>
    <row r="874" spans="1:6" x14ac:dyDescent="0.3">
      <c r="A874" t="s">
        <v>1887</v>
      </c>
      <c r="B874" t="s">
        <v>6</v>
      </c>
      <c r="C874" t="s">
        <v>1888</v>
      </c>
      <c r="D874" t="s">
        <v>1845</v>
      </c>
      <c r="E874" t="s">
        <v>1846</v>
      </c>
      <c r="F874" t="str">
        <f>HYPERLINK("https://talan.bank.gov.ua/get-user-certificate/45CElTPu8IIiiRNq9a7O","Завантажити сертифікат")</f>
        <v>Завантажити сертифікат</v>
      </c>
    </row>
    <row r="875" spans="1:6" x14ac:dyDescent="0.3">
      <c r="A875" t="s">
        <v>1889</v>
      </c>
      <c r="B875" t="s">
        <v>6</v>
      </c>
      <c r="C875" t="s">
        <v>1890</v>
      </c>
      <c r="D875" t="s">
        <v>1845</v>
      </c>
      <c r="E875" t="s">
        <v>1846</v>
      </c>
      <c r="F875" t="str">
        <f>HYPERLINK("https://talan.bank.gov.ua/get-user-certificate/45CElyZS8A04y38dBahN","Завантажити сертифікат")</f>
        <v>Завантажити сертифікат</v>
      </c>
    </row>
    <row r="876" spans="1:6" x14ac:dyDescent="0.3">
      <c r="A876" t="s">
        <v>1891</v>
      </c>
      <c r="B876" t="s">
        <v>6</v>
      </c>
      <c r="C876" t="s">
        <v>1892</v>
      </c>
      <c r="D876" t="s">
        <v>1845</v>
      </c>
      <c r="E876" t="s">
        <v>1846</v>
      </c>
      <c r="F876" t="str">
        <f>HYPERLINK("https://talan.bank.gov.ua/get-user-certificate/45CElqJEWvIWvJBiIe7c","Завантажити сертифікат")</f>
        <v>Завантажити сертифікат</v>
      </c>
    </row>
    <row r="877" spans="1:6" x14ac:dyDescent="0.3">
      <c r="A877" t="s">
        <v>1893</v>
      </c>
      <c r="B877" t="s">
        <v>6</v>
      </c>
      <c r="C877" t="s">
        <v>1894</v>
      </c>
      <c r="D877" t="s">
        <v>1845</v>
      </c>
      <c r="E877" t="s">
        <v>1846</v>
      </c>
      <c r="F877" t="str">
        <f>HYPERLINK("https://talan.bank.gov.ua/get-user-certificate/45CElVdifQ94VQ3JPTMW","Завантажити сертифікат")</f>
        <v>Завантажити сертифікат</v>
      </c>
    </row>
    <row r="878" spans="1:6" x14ac:dyDescent="0.3">
      <c r="A878" t="s">
        <v>1895</v>
      </c>
      <c r="B878" t="s">
        <v>6</v>
      </c>
      <c r="C878" t="s">
        <v>1896</v>
      </c>
      <c r="D878" t="s">
        <v>1845</v>
      </c>
      <c r="E878" t="s">
        <v>1846</v>
      </c>
      <c r="F878" t="str">
        <f>HYPERLINK("https://talan.bank.gov.ua/get-user-certificate/45CElFhnWpNs2RLQX06i","Завантажити сертифікат")</f>
        <v>Завантажити сертифікат</v>
      </c>
    </row>
    <row r="879" spans="1:6" x14ac:dyDescent="0.3">
      <c r="A879" t="s">
        <v>1897</v>
      </c>
      <c r="B879" t="s">
        <v>6</v>
      </c>
      <c r="C879" t="s">
        <v>1898</v>
      </c>
      <c r="D879" t="s">
        <v>1845</v>
      </c>
      <c r="E879" t="s">
        <v>1846</v>
      </c>
      <c r="F879" t="str">
        <f>HYPERLINK("https://talan.bank.gov.ua/get-user-certificate/45CElXzvOyso7zoTF78i","Завантажити сертифікат")</f>
        <v>Завантажити сертифікат</v>
      </c>
    </row>
    <row r="880" spans="1:6" x14ac:dyDescent="0.3">
      <c r="A880" t="s">
        <v>1899</v>
      </c>
      <c r="B880" t="s">
        <v>6</v>
      </c>
      <c r="C880" t="s">
        <v>1900</v>
      </c>
      <c r="D880" t="s">
        <v>1845</v>
      </c>
      <c r="E880" t="s">
        <v>1846</v>
      </c>
      <c r="F880" t="str">
        <f>HYPERLINK("https://talan.bank.gov.ua/get-user-certificate/45CElJ1IAIqKLOjWrIfv","Завантажити сертифікат")</f>
        <v>Завантажити сертифікат</v>
      </c>
    </row>
    <row r="881" spans="1:6" x14ac:dyDescent="0.3">
      <c r="A881" t="s">
        <v>1901</v>
      </c>
      <c r="B881" t="s">
        <v>6</v>
      </c>
      <c r="C881" t="s">
        <v>1902</v>
      </c>
      <c r="D881" t="s">
        <v>1845</v>
      </c>
      <c r="E881" t="s">
        <v>1846</v>
      </c>
      <c r="F881" t="str">
        <f>HYPERLINK("https://talan.bank.gov.ua/get-user-certificate/45CElvm7ph5NkAgiBjEA","Завантажити сертифікат")</f>
        <v>Завантажити сертифікат</v>
      </c>
    </row>
    <row r="882" spans="1:6" x14ac:dyDescent="0.3">
      <c r="A882" t="s">
        <v>1903</v>
      </c>
      <c r="B882" t="s">
        <v>6</v>
      </c>
      <c r="C882" t="s">
        <v>1904</v>
      </c>
      <c r="D882" t="s">
        <v>1845</v>
      </c>
      <c r="E882" t="s">
        <v>1846</v>
      </c>
      <c r="F882" t="str">
        <f>HYPERLINK("https://talan.bank.gov.ua/get-user-certificate/45CElnYgwdbDf6rihh8b","Завантажити сертифікат")</f>
        <v>Завантажити сертифікат</v>
      </c>
    </row>
    <row r="883" spans="1:6" x14ac:dyDescent="0.3">
      <c r="A883" t="s">
        <v>1905</v>
      </c>
      <c r="B883" t="s">
        <v>6</v>
      </c>
      <c r="C883" t="s">
        <v>1906</v>
      </c>
      <c r="D883" t="s">
        <v>1845</v>
      </c>
      <c r="E883" t="s">
        <v>1846</v>
      </c>
      <c r="F883" t="str">
        <f>HYPERLINK("https://talan.bank.gov.ua/get-user-certificate/45CElx0Iy-43SzhN8Ka9","Завантажити сертифікат")</f>
        <v>Завантажити сертифікат</v>
      </c>
    </row>
    <row r="884" spans="1:6" x14ac:dyDescent="0.3">
      <c r="A884" t="s">
        <v>1907</v>
      </c>
      <c r="B884" t="s">
        <v>6</v>
      </c>
      <c r="C884" t="s">
        <v>1908</v>
      </c>
      <c r="D884" t="s">
        <v>1845</v>
      </c>
      <c r="E884" t="s">
        <v>1846</v>
      </c>
      <c r="F884" t="str">
        <f>HYPERLINK("https://talan.bank.gov.ua/get-user-certificate/45CElOJvon12tMcCGEUC","Завантажити сертифікат")</f>
        <v>Завантажити сертифікат</v>
      </c>
    </row>
    <row r="885" spans="1:6" x14ac:dyDescent="0.3">
      <c r="A885" t="s">
        <v>1909</v>
      </c>
      <c r="B885" t="s">
        <v>6</v>
      </c>
      <c r="C885" t="s">
        <v>1910</v>
      </c>
      <c r="D885" t="s">
        <v>1845</v>
      </c>
      <c r="E885" t="s">
        <v>1846</v>
      </c>
      <c r="F885" t="str">
        <f>HYPERLINK("https://talan.bank.gov.ua/get-user-certificate/45CElmtqGMlIY-WrshSF","Завантажити сертифікат")</f>
        <v>Завантажити сертифікат</v>
      </c>
    </row>
    <row r="886" spans="1:6" x14ac:dyDescent="0.3">
      <c r="A886" t="s">
        <v>1911</v>
      </c>
      <c r="B886" t="s">
        <v>6</v>
      </c>
      <c r="C886" t="s">
        <v>1912</v>
      </c>
      <c r="D886" t="s">
        <v>1845</v>
      </c>
      <c r="E886" t="s">
        <v>1846</v>
      </c>
      <c r="F886" t="str">
        <f>HYPERLINK("https://talan.bank.gov.ua/get-user-certificate/45CElfl1wOBGdzZPr015","Завантажити сертифікат")</f>
        <v>Завантажити сертифікат</v>
      </c>
    </row>
    <row r="887" spans="1:6" x14ac:dyDescent="0.3">
      <c r="A887" t="s">
        <v>1913</v>
      </c>
      <c r="B887" t="s">
        <v>6</v>
      </c>
      <c r="C887" t="s">
        <v>1914</v>
      </c>
      <c r="D887" t="s">
        <v>1845</v>
      </c>
      <c r="E887" t="s">
        <v>1846</v>
      </c>
      <c r="F887" t="str">
        <f>HYPERLINK("https://talan.bank.gov.ua/get-user-certificate/45CElSJHcvdbsb-6j8-U","Завантажити сертифікат")</f>
        <v>Завантажити сертифікат</v>
      </c>
    </row>
    <row r="888" spans="1:6" x14ac:dyDescent="0.3">
      <c r="A888" t="s">
        <v>1915</v>
      </c>
      <c r="B888" t="s">
        <v>6</v>
      </c>
      <c r="C888" t="s">
        <v>1916</v>
      </c>
      <c r="D888" t="s">
        <v>1845</v>
      </c>
      <c r="E888" t="s">
        <v>1846</v>
      </c>
      <c r="F888" t="str">
        <f>HYPERLINK("https://talan.bank.gov.ua/get-user-certificate/45CElBnRQ7PaRIl-o1yk","Завантажити сертифікат")</f>
        <v>Завантажити сертифікат</v>
      </c>
    </row>
    <row r="889" spans="1:6" x14ac:dyDescent="0.3">
      <c r="A889" t="s">
        <v>1917</v>
      </c>
      <c r="B889" t="s">
        <v>6</v>
      </c>
      <c r="C889" t="s">
        <v>1918</v>
      </c>
      <c r="D889" t="s">
        <v>1919</v>
      </c>
      <c r="E889" t="s">
        <v>1920</v>
      </c>
      <c r="F889" t="str">
        <f>HYPERLINK("https://talan.bank.gov.ua/get-user-certificate/45CEllV9MTBVAvLCmcVs","Завантажити сертифікат")</f>
        <v>Завантажити сертифікат</v>
      </c>
    </row>
    <row r="890" spans="1:6" x14ac:dyDescent="0.3">
      <c r="A890" t="s">
        <v>1921</v>
      </c>
      <c r="B890" t="s">
        <v>6</v>
      </c>
      <c r="C890" t="s">
        <v>1922</v>
      </c>
      <c r="D890" t="s">
        <v>1919</v>
      </c>
      <c r="E890" t="s">
        <v>1920</v>
      </c>
      <c r="F890" t="str">
        <f>HYPERLINK("https://talan.bank.gov.ua/get-user-certificate/45CEl975ALkc1-uG8EPb","Завантажити сертифікат")</f>
        <v>Завантажити сертифікат</v>
      </c>
    </row>
    <row r="891" spans="1:6" x14ac:dyDescent="0.3">
      <c r="A891" t="s">
        <v>1923</v>
      </c>
      <c r="B891" t="s">
        <v>6</v>
      </c>
      <c r="C891" t="s">
        <v>1924</v>
      </c>
      <c r="D891" t="s">
        <v>1919</v>
      </c>
      <c r="E891" t="s">
        <v>1920</v>
      </c>
      <c r="F891" t="str">
        <f>HYPERLINK("https://talan.bank.gov.ua/get-user-certificate/45CEl6vSmmMN-wQTbIte","Завантажити сертифікат")</f>
        <v>Завантажити сертифікат</v>
      </c>
    </row>
    <row r="892" spans="1:6" x14ac:dyDescent="0.3">
      <c r="A892" t="s">
        <v>1925</v>
      </c>
      <c r="B892" t="s">
        <v>6</v>
      </c>
      <c r="C892" t="s">
        <v>1926</v>
      </c>
      <c r="D892" t="s">
        <v>1919</v>
      </c>
      <c r="E892" t="s">
        <v>1920</v>
      </c>
      <c r="F892" t="str">
        <f>HYPERLINK("https://talan.bank.gov.ua/get-user-certificate/45CEl9a_UY5m6sy308qZ","Завантажити сертифікат")</f>
        <v>Завантажити сертифікат</v>
      </c>
    </row>
    <row r="893" spans="1:6" x14ac:dyDescent="0.3">
      <c r="A893" t="s">
        <v>1927</v>
      </c>
      <c r="B893" t="s">
        <v>6</v>
      </c>
      <c r="C893" t="s">
        <v>1928</v>
      </c>
      <c r="D893" t="s">
        <v>1919</v>
      </c>
      <c r="E893" t="s">
        <v>1920</v>
      </c>
      <c r="F893" t="str">
        <f>HYPERLINK("https://talan.bank.gov.ua/get-user-certificate/45CElqG0BqodE_mVNOUQ","Завантажити сертифікат")</f>
        <v>Завантажити сертифікат</v>
      </c>
    </row>
    <row r="894" spans="1:6" x14ac:dyDescent="0.3">
      <c r="A894" t="s">
        <v>1929</v>
      </c>
      <c r="B894" t="s">
        <v>6</v>
      </c>
      <c r="C894" t="s">
        <v>1930</v>
      </c>
      <c r="D894" t="s">
        <v>1919</v>
      </c>
      <c r="E894" t="s">
        <v>1920</v>
      </c>
      <c r="F894" t="str">
        <f>HYPERLINK("https://talan.bank.gov.ua/get-user-certificate/45CEl2UpkVvi9UXdnkiw","Завантажити сертифікат")</f>
        <v>Завантажити сертифікат</v>
      </c>
    </row>
    <row r="895" spans="1:6" x14ac:dyDescent="0.3">
      <c r="A895" t="s">
        <v>1931</v>
      </c>
      <c r="B895" t="s">
        <v>6</v>
      </c>
      <c r="C895" t="s">
        <v>1932</v>
      </c>
      <c r="D895" t="s">
        <v>1933</v>
      </c>
      <c r="E895" t="s">
        <v>1934</v>
      </c>
      <c r="F895" t="str">
        <f>HYPERLINK("https://talan.bank.gov.ua/get-user-certificate/45CElvF7trBi4b_2OPU5","Завантажити сертифікат")</f>
        <v>Завантажити сертифікат</v>
      </c>
    </row>
    <row r="896" spans="1:6" x14ac:dyDescent="0.3">
      <c r="A896" t="s">
        <v>1935</v>
      </c>
      <c r="B896" t="s">
        <v>6</v>
      </c>
      <c r="C896" t="s">
        <v>1936</v>
      </c>
      <c r="D896" t="s">
        <v>1933</v>
      </c>
      <c r="E896" t="s">
        <v>1934</v>
      </c>
      <c r="F896" t="str">
        <f>HYPERLINK("https://talan.bank.gov.ua/get-user-certificate/45CEla-ZEPGSBGhhI6vu","Завантажити сертифікат")</f>
        <v>Завантажити сертифікат</v>
      </c>
    </row>
    <row r="897" spans="1:6" x14ac:dyDescent="0.3">
      <c r="A897" t="s">
        <v>1937</v>
      </c>
      <c r="B897" t="s">
        <v>6</v>
      </c>
      <c r="C897" t="s">
        <v>1938</v>
      </c>
      <c r="D897" t="s">
        <v>1933</v>
      </c>
      <c r="E897" t="s">
        <v>1934</v>
      </c>
      <c r="F897" t="str">
        <f>HYPERLINK("https://talan.bank.gov.ua/get-user-certificate/45CEly1aj888hyHFVSlN","Завантажити сертифікат")</f>
        <v>Завантажити сертифікат</v>
      </c>
    </row>
    <row r="898" spans="1:6" x14ac:dyDescent="0.3">
      <c r="A898" t="s">
        <v>1939</v>
      </c>
      <c r="B898" t="s">
        <v>6</v>
      </c>
      <c r="C898" t="s">
        <v>1940</v>
      </c>
      <c r="D898" t="s">
        <v>1933</v>
      </c>
      <c r="E898" t="s">
        <v>1934</v>
      </c>
      <c r="F898" t="str">
        <f>HYPERLINK("https://talan.bank.gov.ua/get-user-certificate/45CEl9YFA4Xfqy8R-Pt8","Завантажити сертифікат")</f>
        <v>Завантажити сертифікат</v>
      </c>
    </row>
    <row r="899" spans="1:6" x14ac:dyDescent="0.3">
      <c r="A899" t="s">
        <v>1941</v>
      </c>
      <c r="B899" t="s">
        <v>6</v>
      </c>
      <c r="C899" t="s">
        <v>1942</v>
      </c>
      <c r="D899" t="s">
        <v>1943</v>
      </c>
      <c r="E899" t="s">
        <v>1944</v>
      </c>
      <c r="F899" t="str">
        <f>HYPERLINK("https://talan.bank.gov.ua/get-user-certificate/45CEl64dr6sfvApl1jnu","Завантажити сертифікат")</f>
        <v>Завантажити сертифікат</v>
      </c>
    </row>
    <row r="900" spans="1:6" x14ac:dyDescent="0.3">
      <c r="A900" t="s">
        <v>1945</v>
      </c>
      <c r="B900" t="s">
        <v>6</v>
      </c>
      <c r="C900" t="s">
        <v>1946</v>
      </c>
      <c r="D900" t="s">
        <v>1943</v>
      </c>
      <c r="E900" t="s">
        <v>1944</v>
      </c>
      <c r="F900" t="str">
        <f>HYPERLINK("https://talan.bank.gov.ua/get-user-certificate/45CElL-prkFmJW9s8kVp","Завантажити сертифікат")</f>
        <v>Завантажити сертифікат</v>
      </c>
    </row>
    <row r="901" spans="1:6" x14ac:dyDescent="0.3">
      <c r="A901" t="s">
        <v>1947</v>
      </c>
      <c r="B901" t="s">
        <v>6</v>
      </c>
      <c r="C901" t="s">
        <v>1948</v>
      </c>
      <c r="D901" t="s">
        <v>1943</v>
      </c>
      <c r="E901" t="s">
        <v>1944</v>
      </c>
      <c r="F901" t="str">
        <f>HYPERLINK("https://talan.bank.gov.ua/get-user-certificate/45CElNdr4HyLygsH8GPQ","Завантажити сертифікат")</f>
        <v>Завантажити сертифікат</v>
      </c>
    </row>
    <row r="902" spans="1:6" x14ac:dyDescent="0.3">
      <c r="A902" t="s">
        <v>1949</v>
      </c>
      <c r="B902" t="s">
        <v>6</v>
      </c>
      <c r="C902" t="s">
        <v>1950</v>
      </c>
      <c r="D902" t="s">
        <v>1943</v>
      </c>
      <c r="E902" t="s">
        <v>1944</v>
      </c>
      <c r="F902" t="str">
        <f>HYPERLINK("https://talan.bank.gov.ua/get-user-certificate/45CElD9-nczDof5r7IvJ","Завантажити сертифікат")</f>
        <v>Завантажити сертифікат</v>
      </c>
    </row>
    <row r="903" spans="1:6" x14ac:dyDescent="0.3">
      <c r="A903" t="s">
        <v>1951</v>
      </c>
      <c r="B903" t="s">
        <v>6</v>
      </c>
      <c r="C903" t="s">
        <v>1952</v>
      </c>
      <c r="D903" t="s">
        <v>1943</v>
      </c>
      <c r="E903" t="s">
        <v>1944</v>
      </c>
      <c r="F903" t="str">
        <f>HYPERLINK("https://talan.bank.gov.ua/get-user-certificate/45CElzbAZD7A-WJB3CJg","Завантажити сертифікат")</f>
        <v>Завантажити сертифікат</v>
      </c>
    </row>
    <row r="904" spans="1:6" x14ac:dyDescent="0.3">
      <c r="A904" t="s">
        <v>1953</v>
      </c>
      <c r="B904" t="s">
        <v>6</v>
      </c>
      <c r="C904" t="s">
        <v>1954</v>
      </c>
      <c r="D904" t="s">
        <v>1943</v>
      </c>
      <c r="E904" t="s">
        <v>1944</v>
      </c>
      <c r="F904" t="str">
        <f>HYPERLINK("https://talan.bank.gov.ua/get-user-certificate/45CElqXirxGDfdPAF9tV","Завантажити сертифікат")</f>
        <v>Завантажити сертифікат</v>
      </c>
    </row>
    <row r="905" spans="1:6" x14ac:dyDescent="0.3">
      <c r="A905" t="s">
        <v>1955</v>
      </c>
      <c r="B905" t="s">
        <v>6</v>
      </c>
      <c r="C905" t="s">
        <v>1956</v>
      </c>
      <c r="D905" t="s">
        <v>1943</v>
      </c>
      <c r="E905" t="s">
        <v>1944</v>
      </c>
      <c r="F905" t="str">
        <f>HYPERLINK("https://talan.bank.gov.ua/get-user-certificate/45CElwQfwoxQ52GX7zIh","Завантажити сертифікат")</f>
        <v>Завантажити сертифікат</v>
      </c>
    </row>
    <row r="906" spans="1:6" x14ac:dyDescent="0.3">
      <c r="A906" t="s">
        <v>1957</v>
      </c>
      <c r="B906" t="s">
        <v>6</v>
      </c>
      <c r="C906" t="s">
        <v>1958</v>
      </c>
      <c r="D906" t="s">
        <v>1959</v>
      </c>
      <c r="E906" t="s">
        <v>1960</v>
      </c>
      <c r="F906" t="str">
        <f>HYPERLINK("https://talan.bank.gov.ua/get-user-certificate/45CElPaAgV2IINmkmmer","Завантажити сертифікат")</f>
        <v>Завантажити сертифікат</v>
      </c>
    </row>
    <row r="907" spans="1:6" x14ac:dyDescent="0.3">
      <c r="A907" t="s">
        <v>1961</v>
      </c>
      <c r="B907" t="s">
        <v>6</v>
      </c>
      <c r="C907" t="s">
        <v>1962</v>
      </c>
      <c r="D907" t="s">
        <v>1959</v>
      </c>
      <c r="E907" t="s">
        <v>1960</v>
      </c>
      <c r="F907" t="str">
        <f>HYPERLINK("https://talan.bank.gov.ua/get-user-certificate/45CEleDTGzwhAFvrnG-8","Завантажити сертифікат")</f>
        <v>Завантажити сертифікат</v>
      </c>
    </row>
    <row r="908" spans="1:6" x14ac:dyDescent="0.3">
      <c r="A908" t="s">
        <v>1963</v>
      </c>
      <c r="B908" t="s">
        <v>6</v>
      </c>
      <c r="C908" t="s">
        <v>1964</v>
      </c>
      <c r="D908" t="s">
        <v>1959</v>
      </c>
      <c r="E908" t="s">
        <v>1960</v>
      </c>
      <c r="F908" t="str">
        <f>HYPERLINK("https://talan.bank.gov.ua/get-user-certificate/45CElHB_uvf8iAvMPvGQ","Завантажити сертифікат")</f>
        <v>Завантажити сертифікат</v>
      </c>
    </row>
    <row r="909" spans="1:6" x14ac:dyDescent="0.3">
      <c r="A909" t="s">
        <v>1965</v>
      </c>
      <c r="B909" t="s">
        <v>6</v>
      </c>
      <c r="C909" t="s">
        <v>1966</v>
      </c>
      <c r="D909" t="s">
        <v>1959</v>
      </c>
      <c r="E909" t="s">
        <v>1960</v>
      </c>
      <c r="F909" t="str">
        <f>HYPERLINK("https://talan.bank.gov.ua/get-user-certificate/45CElh8EFrYNwsm40QZF","Завантажити сертифікат")</f>
        <v>Завантажити сертифікат</v>
      </c>
    </row>
    <row r="910" spans="1:6" x14ac:dyDescent="0.3">
      <c r="A910" t="s">
        <v>1967</v>
      </c>
      <c r="B910" t="s">
        <v>6</v>
      </c>
      <c r="C910" t="s">
        <v>1968</v>
      </c>
      <c r="D910" t="s">
        <v>1959</v>
      </c>
      <c r="E910" t="s">
        <v>1960</v>
      </c>
      <c r="F910" t="str">
        <f>HYPERLINK("https://talan.bank.gov.ua/get-user-certificate/45CElyIxCF6ncFm6fvnR","Завантажити сертифікат")</f>
        <v>Завантажити сертифікат</v>
      </c>
    </row>
    <row r="911" spans="1:6" x14ac:dyDescent="0.3">
      <c r="A911" t="s">
        <v>1969</v>
      </c>
      <c r="B911" t="s">
        <v>6</v>
      </c>
      <c r="C911" t="s">
        <v>1970</v>
      </c>
      <c r="D911" t="s">
        <v>1959</v>
      </c>
      <c r="E911" t="s">
        <v>1960</v>
      </c>
      <c r="F911" t="str">
        <f>HYPERLINK("https://talan.bank.gov.ua/get-user-certificate/45CElAmIQNA9Q3ybeayl","Завантажити сертифікат")</f>
        <v>Завантажити сертифікат</v>
      </c>
    </row>
    <row r="912" spans="1:6" x14ac:dyDescent="0.3">
      <c r="A912" t="s">
        <v>1971</v>
      </c>
      <c r="B912" t="s">
        <v>6</v>
      </c>
      <c r="C912" t="s">
        <v>1972</v>
      </c>
      <c r="D912" t="s">
        <v>1959</v>
      </c>
      <c r="E912" t="s">
        <v>1960</v>
      </c>
      <c r="F912" t="str">
        <f>HYPERLINK("https://talan.bank.gov.ua/get-user-certificate/45CElWcoN_VAOyuuPMiT","Завантажити сертифікат")</f>
        <v>Завантажити сертифікат</v>
      </c>
    </row>
    <row r="913" spans="1:6" x14ac:dyDescent="0.3">
      <c r="A913" t="s">
        <v>1973</v>
      </c>
      <c r="B913" t="s">
        <v>6</v>
      </c>
      <c r="C913" t="s">
        <v>1974</v>
      </c>
      <c r="D913" t="s">
        <v>1959</v>
      </c>
      <c r="E913" t="s">
        <v>1960</v>
      </c>
      <c r="F913" t="str">
        <f>HYPERLINK("https://talan.bank.gov.ua/get-user-certificate/45CEl_m0WU_KLXzpOmKD","Завантажити сертифікат")</f>
        <v>Завантажити сертифікат</v>
      </c>
    </row>
    <row r="914" spans="1:6" x14ac:dyDescent="0.3">
      <c r="A914" t="s">
        <v>1975</v>
      </c>
      <c r="B914" t="s">
        <v>6</v>
      </c>
      <c r="C914" t="s">
        <v>1976</v>
      </c>
      <c r="D914" t="s">
        <v>1959</v>
      </c>
      <c r="E914" t="s">
        <v>1960</v>
      </c>
      <c r="F914" t="str">
        <f>HYPERLINK("https://talan.bank.gov.ua/get-user-certificate/45CEl6f3xpj4yUWFS7L5","Завантажити сертифікат")</f>
        <v>Завантажити сертифікат</v>
      </c>
    </row>
    <row r="915" spans="1:6" x14ac:dyDescent="0.3">
      <c r="A915" t="s">
        <v>1977</v>
      </c>
      <c r="B915" t="s">
        <v>6</v>
      </c>
      <c r="C915" t="s">
        <v>1978</v>
      </c>
      <c r="D915" t="s">
        <v>1959</v>
      </c>
      <c r="E915" t="s">
        <v>1960</v>
      </c>
      <c r="F915" t="str">
        <f>HYPERLINK("https://talan.bank.gov.ua/get-user-certificate/45CElOK5mynpJXO5ADs2","Завантажити сертифікат")</f>
        <v>Завантажити сертифікат</v>
      </c>
    </row>
    <row r="916" spans="1:6" x14ac:dyDescent="0.3">
      <c r="A916" t="s">
        <v>1979</v>
      </c>
      <c r="B916" t="s">
        <v>6</v>
      </c>
      <c r="C916" t="s">
        <v>1980</v>
      </c>
      <c r="D916" t="s">
        <v>1959</v>
      </c>
      <c r="E916" t="s">
        <v>1960</v>
      </c>
      <c r="F916" t="str">
        <f>HYPERLINK("https://talan.bank.gov.ua/get-user-certificate/45CElXTSgnjuuyNjNZxE","Завантажити сертифікат")</f>
        <v>Завантажити сертифікат</v>
      </c>
    </row>
    <row r="917" spans="1:6" x14ac:dyDescent="0.3">
      <c r="A917" t="s">
        <v>1981</v>
      </c>
      <c r="B917" t="s">
        <v>6</v>
      </c>
      <c r="C917" t="s">
        <v>1982</v>
      </c>
      <c r="D917" t="s">
        <v>1959</v>
      </c>
      <c r="E917" t="s">
        <v>1960</v>
      </c>
      <c r="F917" t="str">
        <f>HYPERLINK("https://talan.bank.gov.ua/get-user-certificate/45CElIevUr3PZ2-B2st6","Завантажити сертифікат")</f>
        <v>Завантажити сертифікат</v>
      </c>
    </row>
    <row r="918" spans="1:6" x14ac:dyDescent="0.3">
      <c r="A918" t="s">
        <v>1983</v>
      </c>
      <c r="B918" t="s">
        <v>6</v>
      </c>
      <c r="C918" t="s">
        <v>1984</v>
      </c>
      <c r="D918" t="s">
        <v>1959</v>
      </c>
      <c r="E918" t="s">
        <v>1960</v>
      </c>
      <c r="F918" t="str">
        <f>HYPERLINK("https://talan.bank.gov.ua/get-user-certificate/45CElg5kd0KUDAfthnVz","Завантажити сертифікат")</f>
        <v>Завантажити сертифікат</v>
      </c>
    </row>
    <row r="919" spans="1:6" x14ac:dyDescent="0.3">
      <c r="A919" t="s">
        <v>1985</v>
      </c>
      <c r="B919" t="s">
        <v>6</v>
      </c>
      <c r="C919" t="s">
        <v>1986</v>
      </c>
      <c r="D919" t="s">
        <v>1987</v>
      </c>
      <c r="E919" t="s">
        <v>1988</v>
      </c>
      <c r="F919" t="str">
        <f>HYPERLINK("https://talan.bank.gov.ua/get-user-certificate/45CEl3lMwIwwTANUbhfh","Завантажити сертифікат")</f>
        <v>Завантажити сертифікат</v>
      </c>
    </row>
    <row r="920" spans="1:6" x14ac:dyDescent="0.3">
      <c r="A920" t="s">
        <v>1989</v>
      </c>
      <c r="B920" t="s">
        <v>6</v>
      </c>
      <c r="C920" t="s">
        <v>1990</v>
      </c>
      <c r="D920" t="s">
        <v>1987</v>
      </c>
      <c r="E920" t="s">
        <v>1988</v>
      </c>
      <c r="F920" t="str">
        <f>HYPERLINK("https://talan.bank.gov.ua/get-user-certificate/45CEloGEDYV3AtvpapEV","Завантажити сертифікат")</f>
        <v>Завантажити сертифікат</v>
      </c>
    </row>
    <row r="921" spans="1:6" x14ac:dyDescent="0.3">
      <c r="A921" t="s">
        <v>1991</v>
      </c>
      <c r="B921" t="s">
        <v>6</v>
      </c>
      <c r="C921" t="s">
        <v>1992</v>
      </c>
      <c r="D921" t="s">
        <v>1987</v>
      </c>
      <c r="E921" t="s">
        <v>1988</v>
      </c>
      <c r="F921" t="str">
        <f>HYPERLINK("https://talan.bank.gov.ua/get-user-certificate/45CElwFXuS0f8qY6kfq3","Завантажити сертифікат")</f>
        <v>Завантажити сертифікат</v>
      </c>
    </row>
    <row r="922" spans="1:6" x14ac:dyDescent="0.3">
      <c r="A922" t="s">
        <v>1993</v>
      </c>
      <c r="B922" t="s">
        <v>6</v>
      </c>
      <c r="C922" t="s">
        <v>1994</v>
      </c>
      <c r="D922" t="s">
        <v>1995</v>
      </c>
      <c r="E922" t="s">
        <v>1996</v>
      </c>
      <c r="F922" t="str">
        <f>HYPERLINK("https://talan.bank.gov.ua/get-user-certificate/45CElknWHqgQ7YbNBljA","Завантажити сертифікат")</f>
        <v>Завантажити сертифікат</v>
      </c>
    </row>
    <row r="923" spans="1:6" x14ac:dyDescent="0.3">
      <c r="A923" t="s">
        <v>1997</v>
      </c>
      <c r="B923" t="s">
        <v>6</v>
      </c>
      <c r="C923" t="s">
        <v>1998</v>
      </c>
      <c r="D923" t="s">
        <v>1995</v>
      </c>
      <c r="E923" t="s">
        <v>1996</v>
      </c>
      <c r="F923" t="str">
        <f>HYPERLINK("https://talan.bank.gov.ua/get-user-certificate/45CEl1M2ylXwQJSU8S2p","Завантажити сертифікат")</f>
        <v>Завантажити сертифікат</v>
      </c>
    </row>
    <row r="924" spans="1:6" x14ac:dyDescent="0.3">
      <c r="A924" t="s">
        <v>1999</v>
      </c>
      <c r="B924" t="s">
        <v>6</v>
      </c>
      <c r="C924" t="s">
        <v>2000</v>
      </c>
      <c r="D924" t="s">
        <v>1995</v>
      </c>
      <c r="E924" t="s">
        <v>1996</v>
      </c>
      <c r="F924" t="str">
        <f>HYPERLINK("https://talan.bank.gov.ua/get-user-certificate/45CEl1vFjVXbZTwAdNBo","Завантажити сертифікат")</f>
        <v>Завантажити сертифікат</v>
      </c>
    </row>
    <row r="925" spans="1:6" x14ac:dyDescent="0.3">
      <c r="A925" t="s">
        <v>2001</v>
      </c>
      <c r="B925" t="s">
        <v>6</v>
      </c>
      <c r="C925" t="s">
        <v>2002</v>
      </c>
      <c r="D925" t="s">
        <v>1995</v>
      </c>
      <c r="E925" t="s">
        <v>1996</v>
      </c>
      <c r="F925" t="str">
        <f>HYPERLINK("https://talan.bank.gov.ua/get-user-certificate/45CElTOsn9LZK_Yl9s-h","Завантажити сертифікат")</f>
        <v>Завантажити сертифікат</v>
      </c>
    </row>
    <row r="926" spans="1:6" x14ac:dyDescent="0.3">
      <c r="A926" t="s">
        <v>2003</v>
      </c>
      <c r="B926" t="s">
        <v>6</v>
      </c>
      <c r="C926" t="s">
        <v>2004</v>
      </c>
      <c r="D926" t="s">
        <v>1995</v>
      </c>
      <c r="E926" t="s">
        <v>1996</v>
      </c>
      <c r="F926" t="str">
        <f>HYPERLINK("https://talan.bank.gov.ua/get-user-certificate/45CElg91uxt1I2s5u_Vm","Завантажити сертифікат")</f>
        <v>Завантажити сертифікат</v>
      </c>
    </row>
    <row r="927" spans="1:6" x14ac:dyDescent="0.3">
      <c r="A927" t="s">
        <v>2005</v>
      </c>
      <c r="B927" t="s">
        <v>6</v>
      </c>
      <c r="C927" t="s">
        <v>2006</v>
      </c>
      <c r="D927" t="s">
        <v>2007</v>
      </c>
      <c r="E927" t="s">
        <v>2008</v>
      </c>
      <c r="F927" t="str">
        <f>HYPERLINK("https://talan.bank.gov.ua/get-user-certificate/45CElKSaM01A0n1aaTqg","Завантажити сертифікат")</f>
        <v>Завантажити сертифікат</v>
      </c>
    </row>
    <row r="928" spans="1:6" x14ac:dyDescent="0.3">
      <c r="A928" t="s">
        <v>2009</v>
      </c>
      <c r="B928" t="s">
        <v>6</v>
      </c>
      <c r="C928" t="s">
        <v>2010</v>
      </c>
      <c r="D928" t="s">
        <v>2007</v>
      </c>
      <c r="E928" t="s">
        <v>2008</v>
      </c>
      <c r="F928" t="str">
        <f>HYPERLINK("https://talan.bank.gov.ua/get-user-certificate/45CElpl7WmirKpp-nx0r","Завантажити сертифікат")</f>
        <v>Завантажити сертифікат</v>
      </c>
    </row>
    <row r="929" spans="1:6" x14ac:dyDescent="0.3">
      <c r="A929" t="s">
        <v>2011</v>
      </c>
      <c r="B929" t="s">
        <v>6</v>
      </c>
      <c r="C929" t="s">
        <v>2012</v>
      </c>
      <c r="D929" t="s">
        <v>2007</v>
      </c>
      <c r="E929" t="s">
        <v>2008</v>
      </c>
      <c r="F929" t="str">
        <f>HYPERLINK("https://talan.bank.gov.ua/get-user-certificate/45CElKkMwNdGrjtv3xla","Завантажити сертифікат")</f>
        <v>Завантажити сертифікат</v>
      </c>
    </row>
    <row r="930" spans="1:6" x14ac:dyDescent="0.3">
      <c r="A930" t="s">
        <v>2013</v>
      </c>
      <c r="B930" t="s">
        <v>6</v>
      </c>
      <c r="C930" t="s">
        <v>2014</v>
      </c>
      <c r="D930" t="s">
        <v>2007</v>
      </c>
      <c r="E930" t="s">
        <v>2008</v>
      </c>
      <c r="F930" t="str">
        <f>HYPERLINK("https://talan.bank.gov.ua/get-user-certificate/45CElvnbku93C3uqxTGi","Завантажити сертифікат")</f>
        <v>Завантажити сертифікат</v>
      </c>
    </row>
    <row r="931" spans="1:6" x14ac:dyDescent="0.3">
      <c r="A931" t="s">
        <v>2015</v>
      </c>
      <c r="B931" t="s">
        <v>6</v>
      </c>
      <c r="C931" t="s">
        <v>2016</v>
      </c>
      <c r="D931" t="s">
        <v>2007</v>
      </c>
      <c r="E931" t="s">
        <v>2008</v>
      </c>
      <c r="F931" t="str">
        <f>HYPERLINK("https://talan.bank.gov.ua/get-user-certificate/45CElSv3353zM1XOOaSw","Завантажити сертифікат")</f>
        <v>Завантажити сертифікат</v>
      </c>
    </row>
    <row r="932" spans="1:6" x14ac:dyDescent="0.3">
      <c r="A932" t="s">
        <v>2017</v>
      </c>
      <c r="B932" t="s">
        <v>6</v>
      </c>
      <c r="C932" t="s">
        <v>2018</v>
      </c>
      <c r="D932" t="s">
        <v>2007</v>
      </c>
      <c r="E932" t="s">
        <v>2008</v>
      </c>
      <c r="F932" t="str">
        <f>HYPERLINK("https://talan.bank.gov.ua/get-user-certificate/45CElyVpmuKcgi2GNHPa","Завантажити сертифікат")</f>
        <v>Завантажити сертифікат</v>
      </c>
    </row>
    <row r="933" spans="1:6" x14ac:dyDescent="0.3">
      <c r="A933" t="s">
        <v>2019</v>
      </c>
      <c r="B933" t="s">
        <v>6</v>
      </c>
      <c r="C933" t="s">
        <v>2020</v>
      </c>
      <c r="D933" t="s">
        <v>2007</v>
      </c>
      <c r="E933" t="s">
        <v>2008</v>
      </c>
      <c r="F933" t="str">
        <f>HYPERLINK("https://talan.bank.gov.ua/get-user-certificate/45CEl1PGJo83-oxnqNBf","Завантажити сертифікат")</f>
        <v>Завантажити сертифікат</v>
      </c>
    </row>
    <row r="934" spans="1:6" x14ac:dyDescent="0.3">
      <c r="A934" t="s">
        <v>2021</v>
      </c>
      <c r="B934" t="s">
        <v>6</v>
      </c>
      <c r="C934" t="s">
        <v>2022</v>
      </c>
      <c r="D934" t="s">
        <v>2007</v>
      </c>
      <c r="E934" t="s">
        <v>2008</v>
      </c>
      <c r="F934" t="str">
        <f>HYPERLINK("https://talan.bank.gov.ua/get-user-certificate/45CElbmM8Y35KrK3I4Ey","Завантажити сертифікат")</f>
        <v>Завантажити сертифікат</v>
      </c>
    </row>
    <row r="935" spans="1:6" x14ac:dyDescent="0.3">
      <c r="A935" t="s">
        <v>2023</v>
      </c>
      <c r="B935" t="s">
        <v>6</v>
      </c>
      <c r="C935" t="s">
        <v>2024</v>
      </c>
      <c r="D935" t="s">
        <v>2007</v>
      </c>
      <c r="E935" t="s">
        <v>2008</v>
      </c>
      <c r="F935" t="str">
        <f>HYPERLINK("https://talan.bank.gov.ua/get-user-certificate/45CEloNyA7cYfzzgQHKb","Завантажити сертифікат")</f>
        <v>Завантажити сертифікат</v>
      </c>
    </row>
    <row r="936" spans="1:6" x14ac:dyDescent="0.3">
      <c r="A936" t="s">
        <v>2025</v>
      </c>
      <c r="B936" t="s">
        <v>6</v>
      </c>
      <c r="C936" t="s">
        <v>2026</v>
      </c>
      <c r="D936" t="s">
        <v>2007</v>
      </c>
      <c r="E936" t="s">
        <v>2008</v>
      </c>
      <c r="F936" t="str">
        <f>HYPERLINK("https://talan.bank.gov.ua/get-user-certificate/45CElHW6wl207c0ffKjr","Завантажити сертифікат")</f>
        <v>Завантажити сертифікат</v>
      </c>
    </row>
    <row r="937" spans="1:6" x14ac:dyDescent="0.3">
      <c r="A937" t="s">
        <v>2027</v>
      </c>
      <c r="B937" t="s">
        <v>6</v>
      </c>
      <c r="C937" t="s">
        <v>2028</v>
      </c>
      <c r="D937" t="s">
        <v>2029</v>
      </c>
      <c r="E937" t="s">
        <v>2030</v>
      </c>
      <c r="F937" t="str">
        <f>HYPERLINK("https://talan.bank.gov.ua/get-user-certificate/45CElrTmz06CWc0l-S5Z","Завантажити сертифікат")</f>
        <v>Завантажити сертифікат</v>
      </c>
    </row>
    <row r="938" spans="1:6" x14ac:dyDescent="0.3">
      <c r="A938" t="s">
        <v>2031</v>
      </c>
      <c r="B938" t="s">
        <v>6</v>
      </c>
      <c r="C938" t="s">
        <v>2032</v>
      </c>
      <c r="D938" t="s">
        <v>2029</v>
      </c>
      <c r="E938" t="s">
        <v>2030</v>
      </c>
      <c r="F938" t="str">
        <f>HYPERLINK("https://talan.bank.gov.ua/get-user-certificate/45CElZe8BunDofkajTkv","Завантажити сертифікат")</f>
        <v>Завантажити сертифікат</v>
      </c>
    </row>
    <row r="939" spans="1:6" x14ac:dyDescent="0.3">
      <c r="A939" t="s">
        <v>2033</v>
      </c>
      <c r="B939" t="s">
        <v>6</v>
      </c>
      <c r="C939" t="s">
        <v>2034</v>
      </c>
      <c r="D939" t="s">
        <v>2029</v>
      </c>
      <c r="E939" t="s">
        <v>2030</v>
      </c>
      <c r="F939" t="str">
        <f>HYPERLINK("https://talan.bank.gov.ua/get-user-certificate/45CElOE2nkzl2I5BWbKt","Завантажити сертифікат")</f>
        <v>Завантажити сертифікат</v>
      </c>
    </row>
    <row r="940" spans="1:6" x14ac:dyDescent="0.3">
      <c r="A940" t="s">
        <v>2035</v>
      </c>
      <c r="B940" t="s">
        <v>6</v>
      </c>
      <c r="C940" t="s">
        <v>2036</v>
      </c>
      <c r="D940" t="s">
        <v>2029</v>
      </c>
      <c r="E940" t="s">
        <v>2030</v>
      </c>
      <c r="F940" t="str">
        <f>HYPERLINK("https://talan.bank.gov.ua/get-user-certificate/45CElG-JoBLKLuDv4Wva","Завантажити сертифікат")</f>
        <v>Завантажити сертифікат</v>
      </c>
    </row>
    <row r="941" spans="1:6" x14ac:dyDescent="0.3">
      <c r="A941" t="s">
        <v>2037</v>
      </c>
      <c r="B941" t="s">
        <v>6</v>
      </c>
      <c r="C941" t="s">
        <v>2038</v>
      </c>
      <c r="D941" t="s">
        <v>2029</v>
      </c>
      <c r="E941" t="s">
        <v>2030</v>
      </c>
      <c r="F941" t="str">
        <f>HYPERLINK("https://talan.bank.gov.ua/get-user-certificate/45CElFfguN3DTgJyTvVb","Завантажити сертифікат")</f>
        <v>Завантажити сертифікат</v>
      </c>
    </row>
    <row r="942" spans="1:6" x14ac:dyDescent="0.3">
      <c r="A942" t="s">
        <v>2039</v>
      </c>
      <c r="B942" t="s">
        <v>6</v>
      </c>
      <c r="C942" t="s">
        <v>2040</v>
      </c>
      <c r="D942" t="s">
        <v>2029</v>
      </c>
      <c r="E942" t="s">
        <v>2030</v>
      </c>
      <c r="F942" t="str">
        <f>HYPERLINK("https://talan.bank.gov.ua/get-user-certificate/45CElxBXXp4hLkDEc74e","Завантажити сертифікат")</f>
        <v>Завантажити сертифікат</v>
      </c>
    </row>
    <row r="943" spans="1:6" x14ac:dyDescent="0.3">
      <c r="A943" t="s">
        <v>2041</v>
      </c>
      <c r="B943" t="s">
        <v>6</v>
      </c>
      <c r="C943" t="s">
        <v>2042</v>
      </c>
      <c r="D943" t="s">
        <v>2043</v>
      </c>
      <c r="E943" t="s">
        <v>2044</v>
      </c>
      <c r="F943" t="str">
        <f>HYPERLINK("https://talan.bank.gov.ua/get-user-certificate/45CElrmPfPX97G7bkohD","Завантажити сертифікат")</f>
        <v>Завантажити сертифікат</v>
      </c>
    </row>
    <row r="944" spans="1:6" x14ac:dyDescent="0.3">
      <c r="A944" t="s">
        <v>2045</v>
      </c>
      <c r="B944" t="s">
        <v>6</v>
      </c>
      <c r="C944" t="s">
        <v>2046</v>
      </c>
      <c r="D944" t="s">
        <v>2043</v>
      </c>
      <c r="E944" t="s">
        <v>2044</v>
      </c>
      <c r="F944" t="str">
        <f>HYPERLINK("https://talan.bank.gov.ua/get-user-certificate/45CElNMI_d_ZFpwpltOW","Завантажити сертифікат")</f>
        <v>Завантажити сертифікат</v>
      </c>
    </row>
    <row r="945" spans="1:6" x14ac:dyDescent="0.3">
      <c r="A945" t="s">
        <v>2047</v>
      </c>
      <c r="B945" t="s">
        <v>6</v>
      </c>
      <c r="C945" t="s">
        <v>2048</v>
      </c>
      <c r="D945" t="s">
        <v>2043</v>
      </c>
      <c r="E945" t="s">
        <v>2044</v>
      </c>
      <c r="F945" t="str">
        <f>HYPERLINK("https://talan.bank.gov.ua/get-user-certificate/45CElT8SD5j_zx0Ei5NJ","Завантажити сертифікат")</f>
        <v>Завантажити сертифікат</v>
      </c>
    </row>
    <row r="946" spans="1:6" x14ac:dyDescent="0.3">
      <c r="A946" t="s">
        <v>2049</v>
      </c>
      <c r="B946" t="s">
        <v>6</v>
      </c>
      <c r="C946" t="s">
        <v>2050</v>
      </c>
      <c r="D946" t="s">
        <v>2043</v>
      </c>
      <c r="E946" t="s">
        <v>2044</v>
      </c>
      <c r="F946" t="str">
        <f>HYPERLINK("https://talan.bank.gov.ua/get-user-certificate/45CEldTKtaYsbPBM9Q3p","Завантажити сертифікат")</f>
        <v>Завантажити сертифікат</v>
      </c>
    </row>
    <row r="947" spans="1:6" x14ac:dyDescent="0.3">
      <c r="A947" t="s">
        <v>2051</v>
      </c>
      <c r="B947" t="s">
        <v>6</v>
      </c>
      <c r="C947" t="s">
        <v>2052</v>
      </c>
      <c r="D947" t="s">
        <v>2053</v>
      </c>
      <c r="E947" t="s">
        <v>2054</v>
      </c>
      <c r="F947" t="str">
        <f>HYPERLINK("https://talan.bank.gov.ua/get-user-certificate/45CElfm6vIiHkXG2y8cw","Завантажити сертифікат")</f>
        <v>Завантажити сертифікат</v>
      </c>
    </row>
    <row r="948" spans="1:6" x14ac:dyDescent="0.3">
      <c r="A948" t="s">
        <v>2055</v>
      </c>
      <c r="B948" t="s">
        <v>6</v>
      </c>
      <c r="C948" t="s">
        <v>2056</v>
      </c>
      <c r="D948" t="s">
        <v>2053</v>
      </c>
      <c r="E948" t="s">
        <v>2054</v>
      </c>
      <c r="F948" t="str">
        <f>HYPERLINK("https://talan.bank.gov.ua/get-user-certificate/45CElzxFJ9OC99vLtDEA","Завантажити сертифікат")</f>
        <v>Завантажити сертифікат</v>
      </c>
    </row>
    <row r="949" spans="1:6" x14ac:dyDescent="0.3">
      <c r="A949" t="s">
        <v>2057</v>
      </c>
      <c r="B949" t="s">
        <v>6</v>
      </c>
      <c r="C949" t="s">
        <v>2058</v>
      </c>
      <c r="D949" t="s">
        <v>2053</v>
      </c>
      <c r="E949" t="s">
        <v>2054</v>
      </c>
      <c r="F949" t="str">
        <f>HYPERLINK("https://talan.bank.gov.ua/get-user-certificate/45CEl532wqqnYrmFkUH1","Завантажити сертифікат")</f>
        <v>Завантажити сертифікат</v>
      </c>
    </row>
    <row r="950" spans="1:6" x14ac:dyDescent="0.3">
      <c r="A950" t="s">
        <v>2059</v>
      </c>
      <c r="B950" t="s">
        <v>6</v>
      </c>
      <c r="C950" t="s">
        <v>2060</v>
      </c>
      <c r="D950" t="s">
        <v>2053</v>
      </c>
      <c r="E950" t="s">
        <v>2054</v>
      </c>
      <c r="F950" t="str">
        <f>HYPERLINK("https://talan.bank.gov.ua/get-user-certificate/45CElSWYZOZ_S1sLyt2e","Завантажити сертифікат")</f>
        <v>Завантажити сертифікат</v>
      </c>
    </row>
    <row r="951" spans="1:6" x14ac:dyDescent="0.3">
      <c r="A951" t="s">
        <v>2061</v>
      </c>
      <c r="B951" t="s">
        <v>6</v>
      </c>
      <c r="C951" t="s">
        <v>2062</v>
      </c>
      <c r="D951" t="s">
        <v>2053</v>
      </c>
      <c r="E951" t="s">
        <v>2054</v>
      </c>
      <c r="F951" t="str">
        <f>HYPERLINK("https://talan.bank.gov.ua/get-user-certificate/45CElaguLxFb8Vgv7VAa","Завантажити сертифікат")</f>
        <v>Завантажити сертифікат</v>
      </c>
    </row>
    <row r="952" spans="1:6" x14ac:dyDescent="0.3">
      <c r="A952" t="s">
        <v>2063</v>
      </c>
      <c r="B952" t="s">
        <v>6</v>
      </c>
      <c r="C952" t="s">
        <v>2064</v>
      </c>
      <c r="D952" t="s">
        <v>2053</v>
      </c>
      <c r="E952" t="s">
        <v>2054</v>
      </c>
      <c r="F952" t="str">
        <f>HYPERLINK("https://talan.bank.gov.ua/get-user-certificate/45CElnYE_zCClONEg_Az","Завантажити сертифікат")</f>
        <v>Завантажити сертифікат</v>
      </c>
    </row>
    <row r="953" spans="1:6" x14ac:dyDescent="0.3">
      <c r="A953" t="s">
        <v>2065</v>
      </c>
      <c r="B953" t="s">
        <v>6</v>
      </c>
      <c r="C953" t="s">
        <v>2066</v>
      </c>
      <c r="D953" t="s">
        <v>2053</v>
      </c>
      <c r="E953" t="s">
        <v>2054</v>
      </c>
      <c r="F953" t="str">
        <f>HYPERLINK("https://talan.bank.gov.ua/get-user-certificate/45CEl3jkFl97ulSJyVo8","Завантажити сертифікат")</f>
        <v>Завантажити сертифікат</v>
      </c>
    </row>
    <row r="954" spans="1:6" x14ac:dyDescent="0.3">
      <c r="A954" t="s">
        <v>2067</v>
      </c>
      <c r="B954" t="s">
        <v>6</v>
      </c>
      <c r="C954" t="s">
        <v>2068</v>
      </c>
      <c r="D954" t="s">
        <v>2053</v>
      </c>
      <c r="E954" t="s">
        <v>2054</v>
      </c>
      <c r="F954" t="str">
        <f>HYPERLINK("https://talan.bank.gov.ua/get-user-certificate/45CElRw2k1a2agWT7GD4","Завантажити сертифікат")</f>
        <v>Завантажити сертифікат</v>
      </c>
    </row>
    <row r="955" spans="1:6" x14ac:dyDescent="0.3">
      <c r="A955" t="s">
        <v>2069</v>
      </c>
      <c r="B955" t="s">
        <v>6</v>
      </c>
      <c r="C955" t="s">
        <v>2070</v>
      </c>
      <c r="D955" t="s">
        <v>2053</v>
      </c>
      <c r="E955" t="s">
        <v>2054</v>
      </c>
      <c r="F955" t="str">
        <f>HYPERLINK("https://talan.bank.gov.ua/get-user-certificate/45CElRSUa0m3KBc27iur","Завантажити сертифікат")</f>
        <v>Завантажити сертифікат</v>
      </c>
    </row>
    <row r="956" spans="1:6" x14ac:dyDescent="0.3">
      <c r="A956" t="s">
        <v>2071</v>
      </c>
      <c r="B956" t="s">
        <v>6</v>
      </c>
      <c r="C956" t="s">
        <v>2072</v>
      </c>
      <c r="D956" t="s">
        <v>2053</v>
      </c>
      <c r="E956" t="s">
        <v>2054</v>
      </c>
      <c r="F956" t="str">
        <f>HYPERLINK("https://talan.bank.gov.ua/get-user-certificate/45CElomxGBuY0TVDHUqY","Завантажити сертифікат")</f>
        <v>Завантажити сертифікат</v>
      </c>
    </row>
    <row r="957" spans="1:6" x14ac:dyDescent="0.3">
      <c r="A957" t="s">
        <v>2073</v>
      </c>
      <c r="B957" t="s">
        <v>6</v>
      </c>
      <c r="C957" t="s">
        <v>2074</v>
      </c>
      <c r="D957" t="s">
        <v>2053</v>
      </c>
      <c r="E957" t="s">
        <v>2054</v>
      </c>
      <c r="F957" t="str">
        <f>HYPERLINK("https://talan.bank.gov.ua/get-user-certificate/45CElTDd86JRd4P-QQcL","Завантажити сертифікат")</f>
        <v>Завантажити сертифікат</v>
      </c>
    </row>
    <row r="958" spans="1:6" x14ac:dyDescent="0.3">
      <c r="A958" t="s">
        <v>2075</v>
      </c>
      <c r="B958" t="s">
        <v>6</v>
      </c>
      <c r="C958" t="s">
        <v>2076</v>
      </c>
      <c r="D958" t="s">
        <v>2077</v>
      </c>
      <c r="E958" t="s">
        <v>2078</v>
      </c>
      <c r="F958" t="str">
        <f>HYPERLINK("https://talan.bank.gov.ua/get-user-certificate/45CEliy-oj3uHnL0ExNP","Завантажити сертифікат")</f>
        <v>Завантажити сертифікат</v>
      </c>
    </row>
    <row r="959" spans="1:6" x14ac:dyDescent="0.3">
      <c r="A959" t="s">
        <v>2079</v>
      </c>
      <c r="B959" t="s">
        <v>6</v>
      </c>
      <c r="C959" t="s">
        <v>2080</v>
      </c>
      <c r="D959" t="s">
        <v>2077</v>
      </c>
      <c r="E959" t="s">
        <v>2078</v>
      </c>
      <c r="F959" t="str">
        <f>HYPERLINK("https://talan.bank.gov.ua/get-user-certificate/45CElwNjPlad399RNh_N","Завантажити сертифікат")</f>
        <v>Завантажити сертифікат</v>
      </c>
    </row>
    <row r="960" spans="1:6" x14ac:dyDescent="0.3">
      <c r="A960" t="s">
        <v>2081</v>
      </c>
      <c r="B960" t="s">
        <v>6</v>
      </c>
      <c r="C960" t="s">
        <v>2082</v>
      </c>
      <c r="D960" t="s">
        <v>2077</v>
      </c>
      <c r="E960" t="s">
        <v>2078</v>
      </c>
      <c r="F960" t="str">
        <f>HYPERLINK("https://talan.bank.gov.ua/get-user-certificate/45CElU9PSGbP2LdbczKo","Завантажити сертифікат")</f>
        <v>Завантажити сертифікат</v>
      </c>
    </row>
    <row r="961" spans="1:6" x14ac:dyDescent="0.3">
      <c r="A961" t="s">
        <v>2083</v>
      </c>
      <c r="B961" t="s">
        <v>6</v>
      </c>
      <c r="C961" t="s">
        <v>2084</v>
      </c>
      <c r="D961" t="s">
        <v>2085</v>
      </c>
      <c r="E961" t="s">
        <v>2086</v>
      </c>
      <c r="F961" t="str">
        <f>HYPERLINK("https://talan.bank.gov.ua/get-user-certificate/45CElixigQDmdu1E4s23","Завантажити сертифікат")</f>
        <v>Завантажити сертифікат</v>
      </c>
    </row>
    <row r="962" spans="1:6" x14ac:dyDescent="0.3">
      <c r="A962" t="s">
        <v>2087</v>
      </c>
      <c r="B962" t="s">
        <v>6</v>
      </c>
      <c r="C962" t="s">
        <v>2088</v>
      </c>
      <c r="D962" t="s">
        <v>2085</v>
      </c>
      <c r="E962" t="s">
        <v>2086</v>
      </c>
      <c r="F962" t="str">
        <f>HYPERLINK("https://talan.bank.gov.ua/get-user-certificate/45CElcZTJ1z0eRksnpB8","Завантажити сертифікат")</f>
        <v>Завантажити сертифікат</v>
      </c>
    </row>
    <row r="963" spans="1:6" x14ac:dyDescent="0.3">
      <c r="A963" t="s">
        <v>2089</v>
      </c>
      <c r="B963" t="s">
        <v>6</v>
      </c>
      <c r="C963" t="s">
        <v>2090</v>
      </c>
      <c r="D963" t="s">
        <v>2085</v>
      </c>
      <c r="E963" t="s">
        <v>2086</v>
      </c>
      <c r="F963" t="str">
        <f>HYPERLINK("https://talan.bank.gov.ua/get-user-certificate/45CEl1tM3pjBr0i7VkbK","Завантажити сертифікат")</f>
        <v>Завантажити сертифікат</v>
      </c>
    </row>
    <row r="964" spans="1:6" x14ac:dyDescent="0.3">
      <c r="A964" t="s">
        <v>2091</v>
      </c>
      <c r="B964" t="s">
        <v>6</v>
      </c>
      <c r="C964" t="s">
        <v>2092</v>
      </c>
      <c r="D964" t="s">
        <v>2085</v>
      </c>
      <c r="E964" t="s">
        <v>2086</v>
      </c>
      <c r="F964" t="str">
        <f>HYPERLINK("https://talan.bank.gov.ua/get-user-certificate/45CElEDY1IKJVLw8e9Tk","Завантажити сертифікат")</f>
        <v>Завантажити сертифікат</v>
      </c>
    </row>
    <row r="965" spans="1:6" x14ac:dyDescent="0.3">
      <c r="A965" t="s">
        <v>2093</v>
      </c>
      <c r="B965" t="s">
        <v>6</v>
      </c>
      <c r="C965" t="s">
        <v>2094</v>
      </c>
      <c r="D965" t="s">
        <v>2095</v>
      </c>
      <c r="E965" t="s">
        <v>2096</v>
      </c>
      <c r="F965" t="str">
        <f>HYPERLINK("https://talan.bank.gov.ua/get-user-certificate/45CElp5QPEtOMHIUCcbN","Завантажити сертифікат")</f>
        <v>Завантажити сертифікат</v>
      </c>
    </row>
    <row r="966" spans="1:6" x14ac:dyDescent="0.3">
      <c r="A966" t="s">
        <v>2097</v>
      </c>
      <c r="B966" t="s">
        <v>6</v>
      </c>
      <c r="C966" t="s">
        <v>2098</v>
      </c>
      <c r="D966" t="s">
        <v>2095</v>
      </c>
      <c r="E966" t="s">
        <v>2096</v>
      </c>
      <c r="F966" t="str">
        <f>HYPERLINK("https://talan.bank.gov.ua/get-user-certificate/45CElPugQgM_3HKZo7jz","Завантажити сертифікат")</f>
        <v>Завантажити сертифікат</v>
      </c>
    </row>
    <row r="967" spans="1:6" x14ac:dyDescent="0.3">
      <c r="A967" t="s">
        <v>2099</v>
      </c>
      <c r="B967" t="s">
        <v>6</v>
      </c>
      <c r="C967" t="s">
        <v>2100</v>
      </c>
      <c r="D967" t="s">
        <v>2095</v>
      </c>
      <c r="E967" t="s">
        <v>2096</v>
      </c>
      <c r="F967" t="str">
        <f>HYPERLINK("https://talan.bank.gov.ua/get-user-certificate/45CEljRuD2-X__VZrfxA","Завантажити сертифікат")</f>
        <v>Завантажити сертифікат</v>
      </c>
    </row>
    <row r="968" spans="1:6" x14ac:dyDescent="0.3">
      <c r="A968" t="s">
        <v>2101</v>
      </c>
      <c r="B968" t="s">
        <v>6</v>
      </c>
      <c r="C968" t="s">
        <v>2102</v>
      </c>
      <c r="D968" t="s">
        <v>2095</v>
      </c>
      <c r="E968" t="s">
        <v>2096</v>
      </c>
      <c r="F968" t="str">
        <f>HYPERLINK("https://talan.bank.gov.ua/get-user-certificate/45CElk3de-So80ilvnD-","Завантажити сертифікат")</f>
        <v>Завантажити сертифікат</v>
      </c>
    </row>
    <row r="969" spans="1:6" x14ac:dyDescent="0.3">
      <c r="A969" t="s">
        <v>2103</v>
      </c>
      <c r="B969" t="s">
        <v>6</v>
      </c>
      <c r="C969" t="s">
        <v>2104</v>
      </c>
      <c r="D969" t="s">
        <v>2095</v>
      </c>
      <c r="E969" t="s">
        <v>2096</v>
      </c>
      <c r="F969" t="str">
        <f>HYPERLINK("https://talan.bank.gov.ua/get-user-certificate/45CElcbRFRvwo-UZ3y_U","Завантажити сертифікат")</f>
        <v>Завантажити сертифікат</v>
      </c>
    </row>
    <row r="970" spans="1:6" x14ac:dyDescent="0.3">
      <c r="A970" t="s">
        <v>2105</v>
      </c>
      <c r="B970" t="s">
        <v>6</v>
      </c>
      <c r="C970" t="s">
        <v>2106</v>
      </c>
      <c r="D970" t="s">
        <v>2095</v>
      </c>
      <c r="E970" t="s">
        <v>2096</v>
      </c>
      <c r="F970" t="str">
        <f>HYPERLINK("https://talan.bank.gov.ua/get-user-certificate/45CElK6WULKIHyFSHWWL","Завантажити сертифікат")</f>
        <v>Завантажити сертифікат</v>
      </c>
    </row>
    <row r="971" spans="1:6" x14ac:dyDescent="0.3">
      <c r="A971" t="s">
        <v>2107</v>
      </c>
      <c r="B971" t="s">
        <v>6</v>
      </c>
      <c r="C971" t="s">
        <v>2108</v>
      </c>
      <c r="D971" t="s">
        <v>2095</v>
      </c>
      <c r="E971" t="s">
        <v>2096</v>
      </c>
      <c r="F971" t="str">
        <f>HYPERLINK("https://talan.bank.gov.ua/get-user-certificate/45CElS9MNkYRNp9FnfCo","Завантажити сертифікат")</f>
        <v>Завантажити сертифікат</v>
      </c>
    </row>
    <row r="972" spans="1:6" x14ac:dyDescent="0.3">
      <c r="A972" t="s">
        <v>2109</v>
      </c>
      <c r="B972" t="s">
        <v>6</v>
      </c>
      <c r="C972" t="s">
        <v>2110</v>
      </c>
      <c r="D972" t="s">
        <v>2095</v>
      </c>
      <c r="E972" t="s">
        <v>2096</v>
      </c>
      <c r="F972" t="str">
        <f>HYPERLINK("https://talan.bank.gov.ua/get-user-certificate/45CElF1TDTvocMPIM608","Завантажити сертифікат")</f>
        <v>Завантажити сертифікат</v>
      </c>
    </row>
    <row r="973" spans="1:6" x14ac:dyDescent="0.3">
      <c r="A973" t="s">
        <v>2111</v>
      </c>
      <c r="B973" t="s">
        <v>6</v>
      </c>
      <c r="C973" t="s">
        <v>2112</v>
      </c>
      <c r="D973" t="s">
        <v>2095</v>
      </c>
      <c r="E973" t="s">
        <v>2096</v>
      </c>
      <c r="F973" t="str">
        <f>HYPERLINK("https://talan.bank.gov.ua/get-user-certificate/45CEl1oSJ4wvj7S1X6Z7","Завантажити сертифікат")</f>
        <v>Завантажити сертифікат</v>
      </c>
    </row>
    <row r="974" spans="1:6" x14ac:dyDescent="0.3">
      <c r="A974" t="s">
        <v>2113</v>
      </c>
      <c r="B974" t="s">
        <v>6</v>
      </c>
      <c r="C974" t="s">
        <v>2114</v>
      </c>
      <c r="D974" t="s">
        <v>2095</v>
      </c>
      <c r="E974" t="s">
        <v>2096</v>
      </c>
      <c r="F974" t="str">
        <f>HYPERLINK("https://talan.bank.gov.ua/get-user-certificate/45CElHhI7PJSdEHl7Kh_","Завантажити сертифікат")</f>
        <v>Завантажити сертифікат</v>
      </c>
    </row>
    <row r="975" spans="1:6" x14ac:dyDescent="0.3">
      <c r="A975" t="s">
        <v>2115</v>
      </c>
      <c r="B975" t="s">
        <v>6</v>
      </c>
      <c r="C975" t="s">
        <v>2116</v>
      </c>
      <c r="D975" t="s">
        <v>2095</v>
      </c>
      <c r="E975" t="s">
        <v>2096</v>
      </c>
      <c r="F975" t="str">
        <f>HYPERLINK("https://talan.bank.gov.ua/get-user-certificate/45CElQbkTx2IXebozNto","Завантажити сертифікат")</f>
        <v>Завантажити сертифікат</v>
      </c>
    </row>
    <row r="976" spans="1:6" x14ac:dyDescent="0.3">
      <c r="A976" t="s">
        <v>2117</v>
      </c>
      <c r="B976" t="s">
        <v>6</v>
      </c>
      <c r="C976" t="s">
        <v>2118</v>
      </c>
      <c r="D976" t="s">
        <v>2119</v>
      </c>
      <c r="E976" t="s">
        <v>2120</v>
      </c>
      <c r="F976" t="str">
        <f>HYPERLINK("https://talan.bank.gov.ua/get-user-certificate/45CElqy-uvbPN151ZRf_","Завантажити сертифікат")</f>
        <v>Завантажити сертифікат</v>
      </c>
    </row>
    <row r="977" spans="1:6" x14ac:dyDescent="0.3">
      <c r="A977" t="s">
        <v>2121</v>
      </c>
      <c r="B977" t="s">
        <v>6</v>
      </c>
      <c r="C977" t="s">
        <v>2122</v>
      </c>
      <c r="D977" t="s">
        <v>2119</v>
      </c>
      <c r="E977" t="s">
        <v>2120</v>
      </c>
      <c r="F977" t="str">
        <f>HYPERLINK("https://talan.bank.gov.ua/get-user-certificate/45CElL2S-janH85PyLy3","Завантажити сертифікат")</f>
        <v>Завантажити сертифікат</v>
      </c>
    </row>
    <row r="978" spans="1:6" x14ac:dyDescent="0.3">
      <c r="A978" t="s">
        <v>2123</v>
      </c>
      <c r="B978" t="s">
        <v>6</v>
      </c>
      <c r="C978" t="s">
        <v>2124</v>
      </c>
      <c r="D978" t="s">
        <v>2119</v>
      </c>
      <c r="E978" t="s">
        <v>2120</v>
      </c>
      <c r="F978" t="str">
        <f>HYPERLINK("https://talan.bank.gov.ua/get-user-certificate/45CElFNGh7CB47uLfA75","Завантажити сертифікат")</f>
        <v>Завантажити сертифікат</v>
      </c>
    </row>
    <row r="979" spans="1:6" x14ac:dyDescent="0.3">
      <c r="A979" t="s">
        <v>2125</v>
      </c>
      <c r="B979" t="s">
        <v>6</v>
      </c>
      <c r="C979" t="s">
        <v>2126</v>
      </c>
      <c r="D979" t="s">
        <v>2119</v>
      </c>
      <c r="E979" t="s">
        <v>2120</v>
      </c>
      <c r="F979" t="str">
        <f>HYPERLINK("https://talan.bank.gov.ua/get-user-certificate/45CElSHBqI1NVJ9yrNai","Завантажити сертифікат")</f>
        <v>Завантажити сертифікат</v>
      </c>
    </row>
    <row r="980" spans="1:6" x14ac:dyDescent="0.3">
      <c r="A980" t="s">
        <v>2127</v>
      </c>
      <c r="B980" t="s">
        <v>6</v>
      </c>
      <c r="C980" t="s">
        <v>2128</v>
      </c>
      <c r="D980" t="s">
        <v>2119</v>
      </c>
      <c r="E980" t="s">
        <v>2120</v>
      </c>
      <c r="F980" t="str">
        <f>HYPERLINK("https://talan.bank.gov.ua/get-user-certificate/45CElNdRfGPYxHFkQxq5","Завантажити сертифікат")</f>
        <v>Завантажити сертифікат</v>
      </c>
    </row>
    <row r="981" spans="1:6" x14ac:dyDescent="0.3">
      <c r="A981" t="s">
        <v>2129</v>
      </c>
      <c r="B981" t="s">
        <v>6</v>
      </c>
      <c r="C981" t="s">
        <v>2130</v>
      </c>
      <c r="D981" t="s">
        <v>2119</v>
      </c>
      <c r="E981" t="s">
        <v>2120</v>
      </c>
      <c r="F981" t="str">
        <f>HYPERLINK("https://talan.bank.gov.ua/get-user-certificate/45CElp5Yro7t0hl5ffsd","Завантажити сертифікат")</f>
        <v>Завантажити сертифікат</v>
      </c>
    </row>
    <row r="982" spans="1:6" x14ac:dyDescent="0.3">
      <c r="A982" t="s">
        <v>2131</v>
      </c>
      <c r="B982" t="s">
        <v>6</v>
      </c>
      <c r="C982" t="s">
        <v>2132</v>
      </c>
      <c r="D982" t="s">
        <v>2119</v>
      </c>
      <c r="E982" t="s">
        <v>2120</v>
      </c>
      <c r="F982" t="str">
        <f>HYPERLINK("https://talan.bank.gov.ua/get-user-certificate/45CElPSb73wwnVRWGbKg","Завантажити сертифікат")</f>
        <v>Завантажити сертифікат</v>
      </c>
    </row>
    <row r="983" spans="1:6" x14ac:dyDescent="0.3">
      <c r="A983" t="s">
        <v>2133</v>
      </c>
      <c r="B983" t="s">
        <v>6</v>
      </c>
      <c r="C983" t="s">
        <v>2134</v>
      </c>
      <c r="D983" t="s">
        <v>2119</v>
      </c>
      <c r="E983" t="s">
        <v>2120</v>
      </c>
      <c r="F983" t="str">
        <f>HYPERLINK("https://talan.bank.gov.ua/get-user-certificate/45CEl2O8V7_944y4Y1gv","Завантажити сертифікат")</f>
        <v>Завантажити сертифікат</v>
      </c>
    </row>
    <row r="984" spans="1:6" x14ac:dyDescent="0.3">
      <c r="A984" t="s">
        <v>2135</v>
      </c>
      <c r="B984" t="s">
        <v>6</v>
      </c>
      <c r="C984" t="s">
        <v>2136</v>
      </c>
      <c r="D984" t="s">
        <v>2119</v>
      </c>
      <c r="E984" t="s">
        <v>2120</v>
      </c>
      <c r="F984" t="str">
        <f>HYPERLINK("https://talan.bank.gov.ua/get-user-certificate/45CElCZwDiVjt0CsrqHK","Завантажити сертифікат")</f>
        <v>Завантажити сертифікат</v>
      </c>
    </row>
    <row r="985" spans="1:6" x14ac:dyDescent="0.3">
      <c r="A985" t="s">
        <v>2137</v>
      </c>
      <c r="B985" t="s">
        <v>6</v>
      </c>
      <c r="C985" t="s">
        <v>2138</v>
      </c>
      <c r="D985" t="s">
        <v>2139</v>
      </c>
      <c r="E985" t="s">
        <v>2140</v>
      </c>
      <c r="F985" t="str">
        <f>HYPERLINK("https://talan.bank.gov.ua/get-user-certificate/45CEl30i9tPX0FeNlMdV","Завантажити сертифікат")</f>
        <v>Завантажити сертифікат</v>
      </c>
    </row>
    <row r="986" spans="1:6" x14ac:dyDescent="0.3">
      <c r="A986" t="s">
        <v>2141</v>
      </c>
      <c r="B986" t="s">
        <v>6</v>
      </c>
      <c r="C986" t="s">
        <v>2142</v>
      </c>
      <c r="D986" t="s">
        <v>2139</v>
      </c>
      <c r="E986" t="s">
        <v>2140</v>
      </c>
      <c r="F986" t="str">
        <f>HYPERLINK("https://talan.bank.gov.ua/get-user-certificate/45CElEE5ZGy3beC5bkU_","Завантажити сертифікат")</f>
        <v>Завантажити сертифікат</v>
      </c>
    </row>
    <row r="987" spans="1:6" x14ac:dyDescent="0.3">
      <c r="A987" t="s">
        <v>2143</v>
      </c>
      <c r="B987" t="s">
        <v>6</v>
      </c>
      <c r="C987" t="s">
        <v>2144</v>
      </c>
      <c r="D987" t="s">
        <v>2139</v>
      </c>
      <c r="E987" t="s">
        <v>2140</v>
      </c>
      <c r="F987" t="str">
        <f>HYPERLINK("https://talan.bank.gov.ua/get-user-certificate/45CEl0_9xbv31WE2vt6O","Завантажити сертифікат")</f>
        <v>Завантажити сертифікат</v>
      </c>
    </row>
    <row r="988" spans="1:6" x14ac:dyDescent="0.3">
      <c r="A988" t="s">
        <v>2145</v>
      </c>
      <c r="B988" t="s">
        <v>6</v>
      </c>
      <c r="C988" t="s">
        <v>2146</v>
      </c>
      <c r="D988" t="s">
        <v>2139</v>
      </c>
      <c r="E988" t="s">
        <v>2140</v>
      </c>
      <c r="F988" t="str">
        <f>HYPERLINK("https://talan.bank.gov.ua/get-user-certificate/45CElXwFdo8Clr8MTklD","Завантажити сертифікат")</f>
        <v>Завантажити сертифікат</v>
      </c>
    </row>
    <row r="989" spans="1:6" x14ac:dyDescent="0.3">
      <c r="A989" t="s">
        <v>2147</v>
      </c>
      <c r="B989" t="s">
        <v>6</v>
      </c>
      <c r="C989" t="s">
        <v>2148</v>
      </c>
      <c r="D989" t="s">
        <v>2139</v>
      </c>
      <c r="E989" t="s">
        <v>2140</v>
      </c>
      <c r="F989" t="str">
        <f>HYPERLINK("https://talan.bank.gov.ua/get-user-certificate/45CElbVnbmcPgipJfWXb","Завантажити сертифікат")</f>
        <v>Завантажити сертифікат</v>
      </c>
    </row>
    <row r="990" spans="1:6" x14ac:dyDescent="0.3">
      <c r="A990" t="s">
        <v>2149</v>
      </c>
      <c r="B990" t="s">
        <v>6</v>
      </c>
      <c r="C990" t="s">
        <v>2150</v>
      </c>
      <c r="D990" t="s">
        <v>2139</v>
      </c>
      <c r="E990" t="s">
        <v>2140</v>
      </c>
      <c r="F990" t="str">
        <f>HYPERLINK("https://talan.bank.gov.ua/get-user-certificate/45CElfEEEWcqzvw_M2vd","Завантажити сертифікат")</f>
        <v>Завантажити сертифікат</v>
      </c>
    </row>
    <row r="991" spans="1:6" x14ac:dyDescent="0.3">
      <c r="A991" t="s">
        <v>2151</v>
      </c>
      <c r="B991" t="s">
        <v>6</v>
      </c>
      <c r="C991" t="s">
        <v>2152</v>
      </c>
      <c r="D991" t="s">
        <v>2139</v>
      </c>
      <c r="E991" t="s">
        <v>2140</v>
      </c>
      <c r="F991" t="str">
        <f>HYPERLINK("https://talan.bank.gov.ua/get-user-certificate/45CElz3dFeyk_kMA0evX","Завантажити сертифікат")</f>
        <v>Завантажити сертифікат</v>
      </c>
    </row>
    <row r="992" spans="1:6" x14ac:dyDescent="0.3">
      <c r="A992" t="s">
        <v>2153</v>
      </c>
      <c r="B992" t="s">
        <v>6</v>
      </c>
      <c r="C992" t="s">
        <v>2154</v>
      </c>
      <c r="D992" t="s">
        <v>2139</v>
      </c>
      <c r="E992" t="s">
        <v>2140</v>
      </c>
      <c r="F992" t="str">
        <f>HYPERLINK("https://talan.bank.gov.ua/get-user-certificate/45CElOSB6MULR7-b-aV6","Завантажити сертифікат")</f>
        <v>Завантажити сертифікат</v>
      </c>
    </row>
    <row r="993" spans="1:6" x14ac:dyDescent="0.3">
      <c r="A993" t="s">
        <v>2155</v>
      </c>
      <c r="B993" t="s">
        <v>6</v>
      </c>
      <c r="C993" t="s">
        <v>2156</v>
      </c>
      <c r="D993" t="s">
        <v>2139</v>
      </c>
      <c r="E993" t="s">
        <v>2140</v>
      </c>
      <c r="F993" t="str">
        <f>HYPERLINK("https://talan.bank.gov.ua/get-user-certificate/45CElwCj2PYesvZ1ehgM","Завантажити сертифікат")</f>
        <v>Завантажити сертифікат</v>
      </c>
    </row>
    <row r="994" spans="1:6" x14ac:dyDescent="0.3">
      <c r="A994" t="s">
        <v>2157</v>
      </c>
      <c r="B994" t="s">
        <v>6</v>
      </c>
      <c r="C994" t="s">
        <v>2158</v>
      </c>
      <c r="D994" t="s">
        <v>2139</v>
      </c>
      <c r="E994" t="s">
        <v>2140</v>
      </c>
      <c r="F994" t="str">
        <f>HYPERLINK("https://talan.bank.gov.ua/get-user-certificate/45CElSgh8DjzVU5SKI1Q","Завантажити сертифікат")</f>
        <v>Завантажити сертифікат</v>
      </c>
    </row>
    <row r="995" spans="1:6" x14ac:dyDescent="0.3">
      <c r="A995" t="s">
        <v>2159</v>
      </c>
      <c r="B995" t="s">
        <v>6</v>
      </c>
      <c r="C995" t="s">
        <v>2160</v>
      </c>
      <c r="D995" t="s">
        <v>2161</v>
      </c>
      <c r="E995" t="s">
        <v>2162</v>
      </c>
      <c r="F995" t="str">
        <f>HYPERLINK("https://talan.bank.gov.ua/get-user-certificate/45CElct9G_gAgEV8LqH4","Завантажити сертифікат")</f>
        <v>Завантажити сертифікат</v>
      </c>
    </row>
    <row r="996" spans="1:6" x14ac:dyDescent="0.3">
      <c r="A996" t="s">
        <v>2163</v>
      </c>
      <c r="B996" t="s">
        <v>6</v>
      </c>
      <c r="C996" t="s">
        <v>2164</v>
      </c>
      <c r="D996" t="s">
        <v>2161</v>
      </c>
      <c r="E996" t="s">
        <v>2162</v>
      </c>
      <c r="F996" t="str">
        <f>HYPERLINK("https://talan.bank.gov.ua/get-user-certificate/45CElSbPcd4JSEM3wZNv","Завантажити сертифікат")</f>
        <v>Завантажити сертифікат</v>
      </c>
    </row>
    <row r="997" spans="1:6" x14ac:dyDescent="0.3">
      <c r="A997" t="s">
        <v>2165</v>
      </c>
      <c r="B997" t="s">
        <v>6</v>
      </c>
      <c r="C997" t="s">
        <v>2166</v>
      </c>
      <c r="D997" t="s">
        <v>2161</v>
      </c>
      <c r="E997" t="s">
        <v>2162</v>
      </c>
      <c r="F997" t="str">
        <f>HYPERLINK("https://talan.bank.gov.ua/get-user-certificate/45CElhAl_GV8StZhjK4a","Завантажити сертифікат")</f>
        <v>Завантажити сертифікат</v>
      </c>
    </row>
    <row r="998" spans="1:6" x14ac:dyDescent="0.3">
      <c r="A998" t="s">
        <v>2167</v>
      </c>
      <c r="B998" t="s">
        <v>6</v>
      </c>
      <c r="C998" t="s">
        <v>2168</v>
      </c>
      <c r="D998" t="s">
        <v>2169</v>
      </c>
      <c r="E998" t="s">
        <v>2170</v>
      </c>
      <c r="F998" t="str">
        <f>HYPERLINK("https://talan.bank.gov.ua/get-user-certificate/45CElbQnzCMOKj09wSwt","Завантажити сертифікат")</f>
        <v>Завантажити сертифікат</v>
      </c>
    </row>
    <row r="999" spans="1:6" x14ac:dyDescent="0.3">
      <c r="A999" t="s">
        <v>2171</v>
      </c>
      <c r="B999" t="s">
        <v>6</v>
      </c>
      <c r="C999" t="s">
        <v>2172</v>
      </c>
      <c r="D999" t="s">
        <v>2169</v>
      </c>
      <c r="E999" t="s">
        <v>2170</v>
      </c>
      <c r="F999" t="str">
        <f>HYPERLINK("https://talan.bank.gov.ua/get-user-certificate/45CElD9onsgrWz_XzfaB","Завантажити сертифікат")</f>
        <v>Завантажити сертифікат</v>
      </c>
    </row>
    <row r="1000" spans="1:6" x14ac:dyDescent="0.3">
      <c r="A1000" t="s">
        <v>2173</v>
      </c>
      <c r="B1000" t="s">
        <v>6</v>
      </c>
      <c r="C1000" t="s">
        <v>2174</v>
      </c>
      <c r="D1000" t="s">
        <v>2169</v>
      </c>
      <c r="E1000" t="s">
        <v>2170</v>
      </c>
      <c r="F1000" t="str">
        <f>HYPERLINK("https://talan.bank.gov.ua/get-user-certificate/45CEl1XUTdqcvYGUxMtE","Завантажити сертифікат")</f>
        <v>Завантажити сертифікат</v>
      </c>
    </row>
    <row r="1001" spans="1:6" x14ac:dyDescent="0.3">
      <c r="A1001" t="s">
        <v>2175</v>
      </c>
      <c r="B1001" t="s">
        <v>6</v>
      </c>
      <c r="C1001" t="s">
        <v>2176</v>
      </c>
      <c r="D1001" t="s">
        <v>2169</v>
      </c>
      <c r="E1001" t="s">
        <v>2170</v>
      </c>
      <c r="F1001" t="str">
        <f>HYPERLINK("https://talan.bank.gov.ua/get-user-certificate/45CElw3awmrmpXXAO7qu","Завантажити сертифікат")</f>
        <v>Завантажити сертифікат</v>
      </c>
    </row>
    <row r="1002" spans="1:6" x14ac:dyDescent="0.3">
      <c r="A1002" t="s">
        <v>2177</v>
      </c>
      <c r="B1002" t="s">
        <v>6</v>
      </c>
      <c r="C1002" t="s">
        <v>2178</v>
      </c>
      <c r="D1002" t="s">
        <v>2179</v>
      </c>
      <c r="E1002" t="s">
        <v>2180</v>
      </c>
      <c r="F1002" t="str">
        <f>HYPERLINK("https://talan.bank.gov.ua/get-user-certificate/45CElG7avmc_QGXZsNo0","Завантажити сертифікат")</f>
        <v>Завантажити сертифікат</v>
      </c>
    </row>
    <row r="1003" spans="1:6" x14ac:dyDescent="0.3">
      <c r="A1003" t="s">
        <v>2181</v>
      </c>
      <c r="B1003" t="s">
        <v>6</v>
      </c>
      <c r="C1003" t="s">
        <v>2182</v>
      </c>
      <c r="D1003" t="s">
        <v>2179</v>
      </c>
      <c r="E1003" t="s">
        <v>2180</v>
      </c>
      <c r="F1003" t="str">
        <f>HYPERLINK("https://talan.bank.gov.ua/get-user-certificate/45CEl8pRkzuqO3Gxuvg3","Завантажити сертифікат")</f>
        <v>Завантажити сертифікат</v>
      </c>
    </row>
    <row r="1004" spans="1:6" x14ac:dyDescent="0.3">
      <c r="A1004" t="s">
        <v>2183</v>
      </c>
      <c r="B1004" t="s">
        <v>6</v>
      </c>
      <c r="C1004" t="s">
        <v>2184</v>
      </c>
      <c r="D1004" t="s">
        <v>2179</v>
      </c>
      <c r="E1004" t="s">
        <v>2180</v>
      </c>
      <c r="F1004" t="str">
        <f>HYPERLINK("https://talan.bank.gov.ua/get-user-certificate/45CElYDSn-ZuEqQaZb0c","Завантажити сертифікат")</f>
        <v>Завантажити сертифікат</v>
      </c>
    </row>
    <row r="1005" spans="1:6" x14ac:dyDescent="0.3">
      <c r="A1005" t="s">
        <v>2185</v>
      </c>
      <c r="B1005" t="s">
        <v>6</v>
      </c>
      <c r="C1005" t="s">
        <v>2186</v>
      </c>
      <c r="D1005" t="s">
        <v>2179</v>
      </c>
      <c r="E1005" t="s">
        <v>2180</v>
      </c>
      <c r="F1005" t="str">
        <f>HYPERLINK("https://talan.bank.gov.ua/get-user-certificate/45CEls0g_XHVcvVYcXS6","Завантажити сертифікат")</f>
        <v>Завантажити сертифікат</v>
      </c>
    </row>
    <row r="1006" spans="1:6" x14ac:dyDescent="0.3">
      <c r="A1006" t="s">
        <v>2187</v>
      </c>
      <c r="B1006" t="s">
        <v>6</v>
      </c>
      <c r="C1006" t="s">
        <v>2188</v>
      </c>
      <c r="D1006" t="s">
        <v>2179</v>
      </c>
      <c r="E1006" t="s">
        <v>2180</v>
      </c>
      <c r="F1006" t="str">
        <f>HYPERLINK("https://talan.bank.gov.ua/get-user-certificate/45CElrNnw4Mc9gv0XNSo","Завантажити сертифікат")</f>
        <v>Завантажити сертифікат</v>
      </c>
    </row>
    <row r="1007" spans="1:6" x14ac:dyDescent="0.3">
      <c r="A1007" t="s">
        <v>2189</v>
      </c>
      <c r="B1007" t="s">
        <v>6</v>
      </c>
      <c r="C1007" t="s">
        <v>2190</v>
      </c>
      <c r="D1007" t="s">
        <v>2179</v>
      </c>
      <c r="E1007" t="s">
        <v>2180</v>
      </c>
      <c r="F1007" t="str">
        <f>HYPERLINK("https://talan.bank.gov.ua/get-user-certificate/45CEllZphRHOQboX5ddR","Завантажити сертифікат")</f>
        <v>Завантажити сертифікат</v>
      </c>
    </row>
    <row r="1008" spans="1:6" x14ac:dyDescent="0.3">
      <c r="A1008" t="s">
        <v>2191</v>
      </c>
      <c r="B1008" t="s">
        <v>6</v>
      </c>
      <c r="C1008" t="s">
        <v>2192</v>
      </c>
      <c r="D1008" t="s">
        <v>2179</v>
      </c>
      <c r="E1008" t="s">
        <v>2180</v>
      </c>
      <c r="F1008" t="str">
        <f>HYPERLINK("https://talan.bank.gov.ua/get-user-certificate/45CElbcZ5pqt-msC-DTU","Завантажити сертифікат")</f>
        <v>Завантажити сертифікат</v>
      </c>
    </row>
    <row r="1009" spans="1:6" x14ac:dyDescent="0.3">
      <c r="A1009" t="s">
        <v>2193</v>
      </c>
      <c r="B1009" t="s">
        <v>6</v>
      </c>
      <c r="C1009" t="s">
        <v>2194</v>
      </c>
      <c r="D1009" t="s">
        <v>2179</v>
      </c>
      <c r="E1009" t="s">
        <v>2180</v>
      </c>
      <c r="F1009" t="str">
        <f>HYPERLINK("https://talan.bank.gov.ua/get-user-certificate/45CElJiwaNuVxR56NHye","Завантажити сертифікат")</f>
        <v>Завантажити сертифікат</v>
      </c>
    </row>
    <row r="1010" spans="1:6" x14ac:dyDescent="0.3">
      <c r="A1010" t="s">
        <v>2195</v>
      </c>
      <c r="B1010" t="s">
        <v>6</v>
      </c>
      <c r="C1010" t="s">
        <v>2196</v>
      </c>
      <c r="D1010" t="s">
        <v>2179</v>
      </c>
      <c r="E1010" t="s">
        <v>2180</v>
      </c>
      <c r="F1010" t="str">
        <f>HYPERLINK("https://talan.bank.gov.ua/get-user-certificate/45CElQCNoVwuVcx2K6dr","Завантажити сертифікат")</f>
        <v>Завантажити сертифікат</v>
      </c>
    </row>
    <row r="1011" spans="1:6" x14ac:dyDescent="0.3">
      <c r="A1011" t="s">
        <v>2197</v>
      </c>
      <c r="B1011" t="s">
        <v>6</v>
      </c>
      <c r="C1011" t="s">
        <v>2198</v>
      </c>
      <c r="D1011" t="s">
        <v>2179</v>
      </c>
      <c r="E1011" t="s">
        <v>2180</v>
      </c>
      <c r="F1011" t="str">
        <f>HYPERLINK("https://talan.bank.gov.ua/get-user-certificate/45CElXobSM4ztamSyw2k","Завантажити сертифікат")</f>
        <v>Завантажити сертифікат</v>
      </c>
    </row>
    <row r="1012" spans="1:6" x14ac:dyDescent="0.3">
      <c r="A1012" t="s">
        <v>2199</v>
      </c>
      <c r="B1012" t="s">
        <v>6</v>
      </c>
      <c r="C1012" t="s">
        <v>2200</v>
      </c>
      <c r="D1012" t="s">
        <v>2201</v>
      </c>
      <c r="E1012" t="s">
        <v>2202</v>
      </c>
      <c r="F1012" t="str">
        <f>HYPERLINK("https://talan.bank.gov.ua/get-user-certificate/45CElUNK2uaFwlYyRLre","Завантажити сертифікат")</f>
        <v>Завантажити сертифікат</v>
      </c>
    </row>
    <row r="1013" spans="1:6" x14ac:dyDescent="0.3">
      <c r="A1013" t="s">
        <v>2203</v>
      </c>
      <c r="B1013" t="s">
        <v>6</v>
      </c>
      <c r="C1013" t="s">
        <v>2204</v>
      </c>
      <c r="D1013" t="s">
        <v>2201</v>
      </c>
      <c r="E1013" t="s">
        <v>2202</v>
      </c>
      <c r="F1013" t="str">
        <f>HYPERLINK("https://talan.bank.gov.ua/get-user-certificate/45CElwTiCiOOr2URtcvq","Завантажити сертифікат")</f>
        <v>Завантажити сертифікат</v>
      </c>
    </row>
    <row r="1014" spans="1:6" x14ac:dyDescent="0.3">
      <c r="A1014" t="s">
        <v>2205</v>
      </c>
      <c r="B1014" t="s">
        <v>6</v>
      </c>
      <c r="C1014" t="s">
        <v>2206</v>
      </c>
      <c r="D1014" t="s">
        <v>2201</v>
      </c>
      <c r="E1014" t="s">
        <v>2202</v>
      </c>
      <c r="F1014" t="str">
        <f>HYPERLINK("https://talan.bank.gov.ua/get-user-certificate/45CElvBKMxgFnolqGcUO","Завантажити сертифікат")</f>
        <v>Завантажити сертифікат</v>
      </c>
    </row>
    <row r="1015" spans="1:6" x14ac:dyDescent="0.3">
      <c r="A1015" t="s">
        <v>2207</v>
      </c>
      <c r="B1015" t="s">
        <v>6</v>
      </c>
      <c r="C1015" t="s">
        <v>2208</v>
      </c>
      <c r="D1015" t="s">
        <v>2201</v>
      </c>
      <c r="E1015" t="s">
        <v>2202</v>
      </c>
      <c r="F1015" t="str">
        <f>HYPERLINK("https://talan.bank.gov.ua/get-user-certificate/45CElPOfOa5D9poYXGj8","Завантажити сертифікат")</f>
        <v>Завантажити сертифікат</v>
      </c>
    </row>
    <row r="1016" spans="1:6" x14ac:dyDescent="0.3">
      <c r="A1016" t="s">
        <v>2209</v>
      </c>
      <c r="B1016" t="s">
        <v>6</v>
      </c>
      <c r="C1016" t="s">
        <v>2210</v>
      </c>
      <c r="D1016" t="s">
        <v>2201</v>
      </c>
      <c r="E1016" t="s">
        <v>2202</v>
      </c>
      <c r="F1016" t="str">
        <f>HYPERLINK("https://talan.bank.gov.ua/get-user-certificate/45CElax88KlJPi6C93h1","Завантажити сертифікат")</f>
        <v>Завантажити сертифікат</v>
      </c>
    </row>
    <row r="1017" spans="1:6" x14ac:dyDescent="0.3">
      <c r="A1017" t="s">
        <v>2211</v>
      </c>
      <c r="B1017" t="s">
        <v>6</v>
      </c>
      <c r="C1017" t="s">
        <v>2212</v>
      </c>
      <c r="D1017" t="s">
        <v>2201</v>
      </c>
      <c r="E1017" t="s">
        <v>2202</v>
      </c>
      <c r="F1017" t="str">
        <f>HYPERLINK("https://talan.bank.gov.ua/get-user-certificate/45CElSgqSdNKUl-JIZg4","Завантажити сертифікат")</f>
        <v>Завантажити сертифікат</v>
      </c>
    </row>
    <row r="1018" spans="1:6" x14ac:dyDescent="0.3">
      <c r="A1018" t="s">
        <v>2213</v>
      </c>
      <c r="B1018" t="s">
        <v>6</v>
      </c>
      <c r="C1018" t="s">
        <v>2214</v>
      </c>
      <c r="D1018" t="s">
        <v>2201</v>
      </c>
      <c r="E1018" t="s">
        <v>2202</v>
      </c>
      <c r="F1018" t="str">
        <f>HYPERLINK("https://talan.bank.gov.ua/get-user-certificate/45CEl88GqmmpaWb-Krpd","Завантажити сертифікат")</f>
        <v>Завантажити сертифікат</v>
      </c>
    </row>
    <row r="1019" spans="1:6" x14ac:dyDescent="0.3">
      <c r="A1019" t="s">
        <v>2215</v>
      </c>
      <c r="B1019" t="s">
        <v>6</v>
      </c>
      <c r="C1019" t="s">
        <v>2216</v>
      </c>
      <c r="D1019" t="s">
        <v>2201</v>
      </c>
      <c r="E1019" t="s">
        <v>2202</v>
      </c>
      <c r="F1019" t="str">
        <f>HYPERLINK("https://talan.bank.gov.ua/get-user-certificate/45CElPCZS6LSaSPuAb5P","Завантажити сертифікат")</f>
        <v>Завантажити сертифікат</v>
      </c>
    </row>
    <row r="1020" spans="1:6" x14ac:dyDescent="0.3">
      <c r="A1020" t="s">
        <v>2217</v>
      </c>
      <c r="B1020" t="s">
        <v>6</v>
      </c>
      <c r="C1020" t="s">
        <v>2218</v>
      </c>
      <c r="D1020" t="s">
        <v>2201</v>
      </c>
      <c r="E1020" t="s">
        <v>2202</v>
      </c>
      <c r="F1020" t="str">
        <f>HYPERLINK("https://talan.bank.gov.ua/get-user-certificate/45CEl8OnFHT65KJsr-TT","Завантажити сертифікат")</f>
        <v>Завантажити сертифікат</v>
      </c>
    </row>
    <row r="1021" spans="1:6" x14ac:dyDescent="0.3">
      <c r="A1021" t="s">
        <v>2219</v>
      </c>
      <c r="B1021" t="s">
        <v>6</v>
      </c>
      <c r="C1021" t="s">
        <v>2220</v>
      </c>
      <c r="D1021" t="s">
        <v>2221</v>
      </c>
      <c r="E1021" t="s">
        <v>2222</v>
      </c>
      <c r="F1021" t="str">
        <f>HYPERLINK("https://talan.bank.gov.ua/get-user-certificate/45CElCfRbay_YyrWxd0M","Завантажити сертифікат")</f>
        <v>Завантажити сертифікат</v>
      </c>
    </row>
    <row r="1022" spans="1:6" x14ac:dyDescent="0.3">
      <c r="A1022" t="s">
        <v>2223</v>
      </c>
      <c r="B1022" t="s">
        <v>6</v>
      </c>
      <c r="C1022" t="s">
        <v>2224</v>
      </c>
      <c r="D1022" t="s">
        <v>2221</v>
      </c>
      <c r="E1022" t="s">
        <v>2222</v>
      </c>
      <c r="F1022" t="str">
        <f>HYPERLINK("https://talan.bank.gov.ua/get-user-certificate/45CElL-RukBqu5cl0Lb-","Завантажити сертифікат")</f>
        <v>Завантажити сертифікат</v>
      </c>
    </row>
    <row r="1023" spans="1:6" x14ac:dyDescent="0.3">
      <c r="A1023" t="s">
        <v>2225</v>
      </c>
      <c r="B1023" t="s">
        <v>6</v>
      </c>
      <c r="C1023" t="s">
        <v>2226</v>
      </c>
      <c r="D1023" t="s">
        <v>2221</v>
      </c>
      <c r="E1023" t="s">
        <v>2222</v>
      </c>
      <c r="F1023" t="str">
        <f>HYPERLINK("https://talan.bank.gov.ua/get-user-certificate/45CElHNt-YH1pB8LoL1K","Завантажити сертифікат")</f>
        <v>Завантажити сертифікат</v>
      </c>
    </row>
    <row r="1024" spans="1:6" x14ac:dyDescent="0.3">
      <c r="A1024" t="s">
        <v>2227</v>
      </c>
      <c r="B1024" t="s">
        <v>6</v>
      </c>
      <c r="C1024" t="s">
        <v>2228</v>
      </c>
      <c r="D1024" t="s">
        <v>2221</v>
      </c>
      <c r="E1024" t="s">
        <v>2222</v>
      </c>
      <c r="F1024" t="str">
        <f>HYPERLINK("https://talan.bank.gov.ua/get-user-certificate/45CElbJN7kJUp0xlxFS-","Завантажити сертифікат")</f>
        <v>Завантажити сертифікат</v>
      </c>
    </row>
    <row r="1025" spans="1:6" x14ac:dyDescent="0.3">
      <c r="A1025" t="s">
        <v>2229</v>
      </c>
      <c r="B1025" t="s">
        <v>6</v>
      </c>
      <c r="C1025" t="s">
        <v>2230</v>
      </c>
      <c r="D1025" t="s">
        <v>2221</v>
      </c>
      <c r="E1025" t="s">
        <v>2222</v>
      </c>
      <c r="F1025" t="str">
        <f>HYPERLINK("https://talan.bank.gov.ua/get-user-certificate/45CElmTOuj4cl3Hqc34s","Завантажити сертифікат")</f>
        <v>Завантажити сертифікат</v>
      </c>
    </row>
    <row r="1026" spans="1:6" x14ac:dyDescent="0.3">
      <c r="A1026" t="s">
        <v>2231</v>
      </c>
      <c r="B1026" t="s">
        <v>6</v>
      </c>
      <c r="C1026" t="s">
        <v>2232</v>
      </c>
      <c r="D1026" t="s">
        <v>2221</v>
      </c>
      <c r="E1026" t="s">
        <v>2222</v>
      </c>
      <c r="F1026" t="str">
        <f>HYPERLINK("https://talan.bank.gov.ua/get-user-certificate/45CElaPuKwgg-0x9o3P0","Завантажити сертифікат")</f>
        <v>Завантажити сертифікат</v>
      </c>
    </row>
    <row r="1027" spans="1:6" x14ac:dyDescent="0.3">
      <c r="A1027" t="s">
        <v>2233</v>
      </c>
      <c r="B1027" t="s">
        <v>6</v>
      </c>
      <c r="C1027" t="s">
        <v>2234</v>
      </c>
      <c r="D1027" t="s">
        <v>2221</v>
      </c>
      <c r="E1027" t="s">
        <v>2222</v>
      </c>
      <c r="F1027" t="str">
        <f>HYPERLINK("https://talan.bank.gov.ua/get-user-certificate/45CEl_yN9QZ_tyZEuBQx","Завантажити сертифікат")</f>
        <v>Завантажити сертифікат</v>
      </c>
    </row>
    <row r="1028" spans="1:6" x14ac:dyDescent="0.3">
      <c r="A1028" t="s">
        <v>2235</v>
      </c>
      <c r="B1028" t="s">
        <v>6</v>
      </c>
      <c r="C1028" t="s">
        <v>2236</v>
      </c>
      <c r="D1028" t="s">
        <v>2221</v>
      </c>
      <c r="E1028" t="s">
        <v>2222</v>
      </c>
      <c r="F1028" t="str">
        <f>HYPERLINK("https://talan.bank.gov.ua/get-user-certificate/45CEl46lzH-KluUi2XrR","Завантажити сертифікат")</f>
        <v>Завантажити сертифікат</v>
      </c>
    </row>
    <row r="1029" spans="1:6" x14ac:dyDescent="0.3">
      <c r="A1029" t="s">
        <v>2237</v>
      </c>
      <c r="B1029" t="s">
        <v>6</v>
      </c>
      <c r="C1029" t="s">
        <v>2238</v>
      </c>
      <c r="D1029" t="s">
        <v>2239</v>
      </c>
      <c r="E1029" t="s">
        <v>2240</v>
      </c>
      <c r="F1029" t="str">
        <f>HYPERLINK("https://talan.bank.gov.ua/get-user-certificate/45CEllfjiErzz6E9IlPk","Завантажити сертифікат")</f>
        <v>Завантажити сертифікат</v>
      </c>
    </row>
    <row r="1030" spans="1:6" x14ac:dyDescent="0.3">
      <c r="A1030" t="s">
        <v>2241</v>
      </c>
      <c r="B1030" t="s">
        <v>6</v>
      </c>
      <c r="C1030" t="s">
        <v>2242</v>
      </c>
      <c r="D1030" t="s">
        <v>2239</v>
      </c>
      <c r="E1030" t="s">
        <v>2240</v>
      </c>
      <c r="F1030" t="str">
        <f>HYPERLINK("https://talan.bank.gov.ua/get-user-certificate/45CEl8YzgHEmKwK_mCcu","Завантажити сертифікат")</f>
        <v>Завантажити сертифікат</v>
      </c>
    </row>
    <row r="1031" spans="1:6" x14ac:dyDescent="0.3">
      <c r="A1031" t="s">
        <v>2243</v>
      </c>
      <c r="B1031" t="s">
        <v>6</v>
      </c>
      <c r="C1031" t="s">
        <v>2244</v>
      </c>
      <c r="D1031" t="s">
        <v>2239</v>
      </c>
      <c r="E1031" t="s">
        <v>2240</v>
      </c>
      <c r="F1031" t="str">
        <f>HYPERLINK("https://talan.bank.gov.ua/get-user-certificate/45CElyAok8ftrCV_9CRc","Завантажити сертифікат")</f>
        <v>Завантажити сертифікат</v>
      </c>
    </row>
    <row r="1032" spans="1:6" x14ac:dyDescent="0.3">
      <c r="A1032" t="s">
        <v>2245</v>
      </c>
      <c r="B1032" t="s">
        <v>6</v>
      </c>
      <c r="C1032" t="s">
        <v>2246</v>
      </c>
      <c r="D1032" t="s">
        <v>2239</v>
      </c>
      <c r="E1032" t="s">
        <v>2240</v>
      </c>
      <c r="F1032" t="str">
        <f>HYPERLINK("https://talan.bank.gov.ua/get-user-certificate/45CEl_ubRSRuaaA-NKpj","Завантажити сертифікат")</f>
        <v>Завантажити сертифікат</v>
      </c>
    </row>
    <row r="1033" spans="1:6" x14ac:dyDescent="0.3">
      <c r="A1033" t="s">
        <v>2247</v>
      </c>
      <c r="B1033" t="s">
        <v>6</v>
      </c>
      <c r="C1033" t="s">
        <v>2248</v>
      </c>
      <c r="D1033" t="s">
        <v>2239</v>
      </c>
      <c r="E1033" t="s">
        <v>2240</v>
      </c>
      <c r="F1033" t="str">
        <f>HYPERLINK("https://talan.bank.gov.ua/get-user-certificate/45CEl2TOPZrNJAJk4Zae","Завантажити сертифікат")</f>
        <v>Завантажити сертифікат</v>
      </c>
    </row>
    <row r="1034" spans="1:6" x14ac:dyDescent="0.3">
      <c r="A1034" t="s">
        <v>2249</v>
      </c>
      <c r="B1034" t="s">
        <v>6</v>
      </c>
      <c r="C1034" t="s">
        <v>2250</v>
      </c>
      <c r="D1034" t="s">
        <v>2239</v>
      </c>
      <c r="E1034" t="s">
        <v>2240</v>
      </c>
      <c r="F1034" t="str">
        <f>HYPERLINK("https://talan.bank.gov.ua/get-user-certificate/45CElrgzsd9awSzU35Rx","Завантажити сертифікат")</f>
        <v>Завантажити сертифікат</v>
      </c>
    </row>
    <row r="1035" spans="1:6" x14ac:dyDescent="0.3">
      <c r="A1035" t="s">
        <v>2251</v>
      </c>
      <c r="B1035" t="s">
        <v>6</v>
      </c>
      <c r="C1035" t="s">
        <v>2252</v>
      </c>
      <c r="D1035" t="s">
        <v>2239</v>
      </c>
      <c r="E1035" t="s">
        <v>2240</v>
      </c>
      <c r="F1035" t="str">
        <f>HYPERLINK("https://talan.bank.gov.ua/get-user-certificate/45CElnR8LQ6q3c6AOLyX","Завантажити сертифікат")</f>
        <v>Завантажити сертифікат</v>
      </c>
    </row>
    <row r="1036" spans="1:6" x14ac:dyDescent="0.3">
      <c r="A1036" t="s">
        <v>2253</v>
      </c>
      <c r="B1036" t="s">
        <v>6</v>
      </c>
      <c r="C1036" t="s">
        <v>2254</v>
      </c>
      <c r="D1036" t="s">
        <v>2255</v>
      </c>
      <c r="E1036" t="s">
        <v>2256</v>
      </c>
      <c r="F1036" t="str">
        <f>HYPERLINK("https://talan.bank.gov.ua/get-user-certificate/45CEl3k7qHkVKXyFq2pm","Завантажити сертифікат")</f>
        <v>Завантажити сертифікат</v>
      </c>
    </row>
    <row r="1037" spans="1:6" x14ac:dyDescent="0.3">
      <c r="A1037" t="s">
        <v>2257</v>
      </c>
      <c r="B1037" t="s">
        <v>6</v>
      </c>
      <c r="C1037" t="s">
        <v>2258</v>
      </c>
      <c r="D1037" t="s">
        <v>2255</v>
      </c>
      <c r="E1037" t="s">
        <v>2256</v>
      </c>
      <c r="F1037" t="str">
        <f>HYPERLINK("https://talan.bank.gov.ua/get-user-certificate/45CElDb5nVbKSg11SkOW","Завантажити сертифікат")</f>
        <v>Завантажити сертифікат</v>
      </c>
    </row>
    <row r="1038" spans="1:6" x14ac:dyDescent="0.3">
      <c r="A1038" t="s">
        <v>2259</v>
      </c>
      <c r="B1038" t="s">
        <v>6</v>
      </c>
      <c r="C1038" t="s">
        <v>2260</v>
      </c>
      <c r="D1038" t="s">
        <v>2255</v>
      </c>
      <c r="E1038" t="s">
        <v>2256</v>
      </c>
      <c r="F1038" t="str">
        <f>HYPERLINK("https://talan.bank.gov.ua/get-user-certificate/45CElUGTfxXSQvAjeOq1","Завантажити сертифікат")</f>
        <v>Завантажити сертифікат</v>
      </c>
    </row>
    <row r="1039" spans="1:6" x14ac:dyDescent="0.3">
      <c r="A1039" t="s">
        <v>2261</v>
      </c>
      <c r="B1039" t="s">
        <v>6</v>
      </c>
      <c r="C1039" t="s">
        <v>2262</v>
      </c>
      <c r="D1039" t="s">
        <v>2255</v>
      </c>
      <c r="E1039" t="s">
        <v>2256</v>
      </c>
      <c r="F1039" t="str">
        <f>HYPERLINK("https://talan.bank.gov.ua/get-user-certificate/45CElTROlByYW6oLdu0s","Завантажити сертифікат")</f>
        <v>Завантажити сертифікат</v>
      </c>
    </row>
    <row r="1040" spans="1:6" x14ac:dyDescent="0.3">
      <c r="A1040" t="s">
        <v>2263</v>
      </c>
      <c r="B1040" t="s">
        <v>6</v>
      </c>
      <c r="C1040" t="s">
        <v>2264</v>
      </c>
      <c r="D1040" t="s">
        <v>2255</v>
      </c>
      <c r="E1040" t="s">
        <v>2256</v>
      </c>
      <c r="F1040" t="str">
        <f>HYPERLINK("https://talan.bank.gov.ua/get-user-certificate/45CElGwA9duwIHfrAuhA","Завантажити сертифікат")</f>
        <v>Завантажити сертифікат</v>
      </c>
    </row>
    <row r="1041" spans="1:6" x14ac:dyDescent="0.3">
      <c r="A1041" t="s">
        <v>2265</v>
      </c>
      <c r="B1041" t="s">
        <v>6</v>
      </c>
      <c r="C1041" t="s">
        <v>2266</v>
      </c>
      <c r="D1041" t="s">
        <v>2255</v>
      </c>
      <c r="E1041" t="s">
        <v>2256</v>
      </c>
      <c r="F1041" t="str">
        <f>HYPERLINK("https://talan.bank.gov.ua/get-user-certificate/45CElST1Mm_eQPME7wOv","Завантажити сертифікат")</f>
        <v>Завантажити сертифікат</v>
      </c>
    </row>
    <row r="1042" spans="1:6" x14ac:dyDescent="0.3">
      <c r="A1042" t="s">
        <v>2267</v>
      </c>
      <c r="B1042" t="s">
        <v>6</v>
      </c>
      <c r="C1042" t="s">
        <v>2268</v>
      </c>
      <c r="D1042" t="s">
        <v>2255</v>
      </c>
      <c r="E1042" t="s">
        <v>2256</v>
      </c>
      <c r="F1042" t="str">
        <f>HYPERLINK("https://talan.bank.gov.ua/get-user-certificate/45CElU6QWRwRtMcm_B0g","Завантажити сертифікат")</f>
        <v>Завантажити сертифікат</v>
      </c>
    </row>
    <row r="1043" spans="1:6" x14ac:dyDescent="0.3">
      <c r="A1043" t="s">
        <v>2269</v>
      </c>
      <c r="B1043" t="s">
        <v>6</v>
      </c>
      <c r="C1043" t="s">
        <v>2270</v>
      </c>
      <c r="D1043" t="s">
        <v>2255</v>
      </c>
      <c r="E1043" t="s">
        <v>2256</v>
      </c>
      <c r="F1043" t="str">
        <f>HYPERLINK("https://talan.bank.gov.ua/get-user-certificate/45CElAISrbGxJJiSGLSJ","Завантажити сертифікат")</f>
        <v>Завантажити сертифікат</v>
      </c>
    </row>
    <row r="1044" spans="1:6" x14ac:dyDescent="0.3">
      <c r="A1044" t="s">
        <v>2271</v>
      </c>
      <c r="B1044" t="s">
        <v>6</v>
      </c>
      <c r="C1044" t="s">
        <v>2272</v>
      </c>
      <c r="D1044" t="s">
        <v>2255</v>
      </c>
      <c r="E1044" t="s">
        <v>2256</v>
      </c>
      <c r="F1044" t="str">
        <f>HYPERLINK("https://talan.bank.gov.ua/get-user-certificate/45CElKVuyPmdFWlDmHrS","Завантажити сертифікат")</f>
        <v>Завантажити сертифікат</v>
      </c>
    </row>
    <row r="1045" spans="1:6" x14ac:dyDescent="0.3">
      <c r="A1045" t="s">
        <v>2273</v>
      </c>
      <c r="B1045" t="s">
        <v>6</v>
      </c>
      <c r="C1045" t="s">
        <v>2274</v>
      </c>
      <c r="D1045" t="s">
        <v>2275</v>
      </c>
      <c r="E1045" t="s">
        <v>2276</v>
      </c>
      <c r="F1045" t="str">
        <f>HYPERLINK("https://talan.bank.gov.ua/get-user-certificate/45CEliIz0LPW8dayijti","Завантажити сертифікат")</f>
        <v>Завантажити сертифікат</v>
      </c>
    </row>
    <row r="1046" spans="1:6" x14ac:dyDescent="0.3">
      <c r="A1046" t="s">
        <v>2277</v>
      </c>
      <c r="B1046" t="s">
        <v>6</v>
      </c>
      <c r="C1046" t="s">
        <v>2278</v>
      </c>
      <c r="D1046" t="s">
        <v>2275</v>
      </c>
      <c r="E1046" t="s">
        <v>2276</v>
      </c>
      <c r="F1046" t="str">
        <f>HYPERLINK("https://talan.bank.gov.ua/get-user-certificate/45CElPO7PDtOJ39fU8Vt","Завантажити сертифікат")</f>
        <v>Завантажити сертифікат</v>
      </c>
    </row>
    <row r="1047" spans="1:6" x14ac:dyDescent="0.3">
      <c r="A1047" t="s">
        <v>2279</v>
      </c>
      <c r="B1047" t="s">
        <v>6</v>
      </c>
      <c r="C1047" t="s">
        <v>2280</v>
      </c>
      <c r="D1047" t="s">
        <v>2275</v>
      </c>
      <c r="E1047" t="s">
        <v>2276</v>
      </c>
      <c r="F1047" t="str">
        <f>HYPERLINK("https://talan.bank.gov.ua/get-user-certificate/45CElSQoiVydPyCCoA6k","Завантажити сертифікат")</f>
        <v>Завантажити сертифікат</v>
      </c>
    </row>
    <row r="1048" spans="1:6" x14ac:dyDescent="0.3">
      <c r="A1048" t="s">
        <v>2281</v>
      </c>
      <c r="B1048" t="s">
        <v>6</v>
      </c>
      <c r="C1048" t="s">
        <v>2282</v>
      </c>
      <c r="D1048" t="s">
        <v>2275</v>
      </c>
      <c r="E1048" t="s">
        <v>2276</v>
      </c>
      <c r="F1048" t="str">
        <f>HYPERLINK("https://talan.bank.gov.ua/get-user-certificate/45CEl0tHWht8v6N9xHUr","Завантажити сертифікат")</f>
        <v>Завантажити сертифікат</v>
      </c>
    </row>
    <row r="1049" spans="1:6" x14ac:dyDescent="0.3">
      <c r="A1049" t="s">
        <v>2283</v>
      </c>
      <c r="B1049" t="s">
        <v>6</v>
      </c>
      <c r="C1049" t="s">
        <v>2284</v>
      </c>
      <c r="D1049" t="s">
        <v>2275</v>
      </c>
      <c r="E1049" t="s">
        <v>2276</v>
      </c>
      <c r="F1049" t="str">
        <f>HYPERLINK("https://talan.bank.gov.ua/get-user-certificate/45CElbiczH2uODbvmX_Y","Завантажити сертифікат")</f>
        <v>Завантажити сертифікат</v>
      </c>
    </row>
    <row r="1050" spans="1:6" x14ac:dyDescent="0.3">
      <c r="A1050" t="s">
        <v>2285</v>
      </c>
      <c r="B1050" t="s">
        <v>6</v>
      </c>
      <c r="C1050" t="s">
        <v>2286</v>
      </c>
      <c r="D1050" t="s">
        <v>2275</v>
      </c>
      <c r="E1050" t="s">
        <v>2276</v>
      </c>
      <c r="F1050" t="str">
        <f>HYPERLINK("https://talan.bank.gov.ua/get-user-certificate/45CElW52rlUVw4LoLIEU","Завантажити сертифікат")</f>
        <v>Завантажити сертифікат</v>
      </c>
    </row>
    <row r="1051" spans="1:6" x14ac:dyDescent="0.3">
      <c r="A1051" t="s">
        <v>2287</v>
      </c>
      <c r="B1051" t="s">
        <v>6</v>
      </c>
      <c r="C1051" t="s">
        <v>2288</v>
      </c>
      <c r="D1051" t="s">
        <v>2289</v>
      </c>
      <c r="E1051" t="s">
        <v>2290</v>
      </c>
      <c r="F1051" t="str">
        <f>HYPERLINK("https://talan.bank.gov.ua/get-user-certificate/45CElrViItRjrY-Kduxe","Завантажити сертифікат")</f>
        <v>Завантажити сертифікат</v>
      </c>
    </row>
    <row r="1052" spans="1:6" x14ac:dyDescent="0.3">
      <c r="A1052" t="s">
        <v>2291</v>
      </c>
      <c r="B1052" t="s">
        <v>6</v>
      </c>
      <c r="C1052" t="s">
        <v>2292</v>
      </c>
      <c r="D1052" t="s">
        <v>2293</v>
      </c>
      <c r="E1052" t="s">
        <v>2290</v>
      </c>
      <c r="F1052" t="str">
        <f>HYPERLINK("https://talan.bank.gov.ua/get-user-certificate/45CElBZhgesfJf8JMtdP","Завантажити сертифікат")</f>
        <v>Завантажити сертифікат</v>
      </c>
    </row>
    <row r="1053" spans="1:6" x14ac:dyDescent="0.3">
      <c r="A1053" t="s">
        <v>2294</v>
      </c>
      <c r="B1053" t="s">
        <v>6</v>
      </c>
      <c r="C1053" t="s">
        <v>2295</v>
      </c>
      <c r="D1053" t="s">
        <v>2296</v>
      </c>
      <c r="E1053" t="s">
        <v>2290</v>
      </c>
      <c r="F1053" t="str">
        <f>HYPERLINK("https://talan.bank.gov.ua/get-user-certificate/45CElNbVXCVRUZuvE05q","Завантажити сертифікат")</f>
        <v>Завантажити сертифікат</v>
      </c>
    </row>
    <row r="1054" spans="1:6" x14ac:dyDescent="0.3">
      <c r="A1054" t="s">
        <v>2297</v>
      </c>
      <c r="B1054" t="s">
        <v>6</v>
      </c>
      <c r="C1054" t="s">
        <v>2298</v>
      </c>
      <c r="D1054" t="s">
        <v>2299</v>
      </c>
      <c r="E1054" t="s">
        <v>2290</v>
      </c>
      <c r="F1054" t="str">
        <f>HYPERLINK("https://talan.bank.gov.ua/get-user-certificate/45CElxSrlkvn5EV1rNX_","Завантажити сертифікат")</f>
        <v>Завантажити сертифікат</v>
      </c>
    </row>
    <row r="1055" spans="1:6" x14ac:dyDescent="0.3">
      <c r="A1055" t="s">
        <v>2300</v>
      </c>
      <c r="B1055" t="s">
        <v>6</v>
      </c>
      <c r="C1055" t="s">
        <v>2301</v>
      </c>
      <c r="D1055" t="s">
        <v>2302</v>
      </c>
      <c r="E1055" t="s">
        <v>2303</v>
      </c>
      <c r="F1055" t="str">
        <f>HYPERLINK("https://talan.bank.gov.ua/get-user-certificate/45CElzASPTP105W6uaqC","Завантажити сертифікат")</f>
        <v>Завантажити сертифікат</v>
      </c>
    </row>
    <row r="1056" spans="1:6" x14ac:dyDescent="0.3">
      <c r="A1056" t="s">
        <v>2304</v>
      </c>
      <c r="B1056" t="s">
        <v>6</v>
      </c>
      <c r="C1056" t="s">
        <v>2305</v>
      </c>
      <c r="D1056" t="s">
        <v>2302</v>
      </c>
      <c r="E1056" t="s">
        <v>2303</v>
      </c>
      <c r="F1056" t="str">
        <f>HYPERLINK("https://talan.bank.gov.ua/get-user-certificate/45CElHUBKRA5B3vcsjmd","Завантажити сертифікат")</f>
        <v>Завантажити сертифікат</v>
      </c>
    </row>
    <row r="1057" spans="1:6" x14ac:dyDescent="0.3">
      <c r="A1057" t="s">
        <v>2306</v>
      </c>
      <c r="B1057" t="s">
        <v>6</v>
      </c>
      <c r="C1057" t="s">
        <v>2307</v>
      </c>
      <c r="D1057" t="s">
        <v>2302</v>
      </c>
      <c r="E1057" t="s">
        <v>2303</v>
      </c>
      <c r="F1057" t="str">
        <f>HYPERLINK("https://talan.bank.gov.ua/get-user-certificate/45CElMqc-KxqbfTMjFGu","Завантажити сертифікат")</f>
        <v>Завантажити сертифікат</v>
      </c>
    </row>
    <row r="1058" spans="1:6" x14ac:dyDescent="0.3">
      <c r="A1058" t="s">
        <v>2308</v>
      </c>
      <c r="B1058" t="s">
        <v>6</v>
      </c>
      <c r="C1058" t="s">
        <v>2309</v>
      </c>
      <c r="D1058" t="s">
        <v>2302</v>
      </c>
      <c r="E1058" t="s">
        <v>2303</v>
      </c>
      <c r="F1058" t="str">
        <f>HYPERLINK("https://talan.bank.gov.ua/get-user-certificate/45CElejpbxlxgWIf53wi","Завантажити сертифікат")</f>
        <v>Завантажити сертифікат</v>
      </c>
    </row>
    <row r="1059" spans="1:6" x14ac:dyDescent="0.3">
      <c r="A1059" t="s">
        <v>2310</v>
      </c>
      <c r="B1059" t="s">
        <v>6</v>
      </c>
      <c r="C1059" t="s">
        <v>2311</v>
      </c>
      <c r="D1059" t="s">
        <v>2302</v>
      </c>
      <c r="E1059" t="s">
        <v>2303</v>
      </c>
      <c r="F1059" t="str">
        <f>HYPERLINK("https://talan.bank.gov.ua/get-user-certificate/45CElm5HPxOJGBphpQva","Завантажити сертифікат")</f>
        <v>Завантажити сертифікат</v>
      </c>
    </row>
    <row r="1060" spans="1:6" x14ac:dyDescent="0.3">
      <c r="A1060" t="s">
        <v>2312</v>
      </c>
      <c r="B1060" t="s">
        <v>6</v>
      </c>
      <c r="C1060" t="s">
        <v>2313</v>
      </c>
      <c r="D1060" t="s">
        <v>2302</v>
      </c>
      <c r="E1060" t="s">
        <v>2303</v>
      </c>
      <c r="F1060" t="str">
        <f>HYPERLINK("https://talan.bank.gov.ua/get-user-certificate/45CElxL5Hp8EQgrkwHoe","Завантажити сертифікат")</f>
        <v>Завантажити сертифікат</v>
      </c>
    </row>
    <row r="1061" spans="1:6" x14ac:dyDescent="0.3">
      <c r="A1061" t="s">
        <v>2314</v>
      </c>
      <c r="B1061" t="s">
        <v>6</v>
      </c>
      <c r="C1061" t="s">
        <v>2315</v>
      </c>
      <c r="D1061" t="s">
        <v>2302</v>
      </c>
      <c r="E1061" t="s">
        <v>2303</v>
      </c>
      <c r="F1061" t="str">
        <f>HYPERLINK("https://talan.bank.gov.ua/get-user-certificate/45CElX18YQoNPU5sTkqQ","Завантажити сертифікат")</f>
        <v>Завантажити сертифікат</v>
      </c>
    </row>
    <row r="1062" spans="1:6" x14ac:dyDescent="0.3">
      <c r="A1062" t="s">
        <v>2316</v>
      </c>
      <c r="B1062" t="s">
        <v>6</v>
      </c>
      <c r="C1062" t="s">
        <v>2317</v>
      </c>
      <c r="D1062" t="s">
        <v>2302</v>
      </c>
      <c r="E1062" t="s">
        <v>2303</v>
      </c>
      <c r="F1062" t="str">
        <f>HYPERLINK("https://talan.bank.gov.ua/get-user-certificate/45CElFHiHFhO1dafT2SS","Завантажити сертифікат")</f>
        <v>Завантажити сертифікат</v>
      </c>
    </row>
    <row r="1063" spans="1:6" x14ac:dyDescent="0.3">
      <c r="A1063" t="s">
        <v>2318</v>
      </c>
      <c r="B1063" t="s">
        <v>6</v>
      </c>
      <c r="C1063" t="s">
        <v>2319</v>
      </c>
      <c r="D1063" t="s">
        <v>2302</v>
      </c>
      <c r="E1063" t="s">
        <v>2303</v>
      </c>
      <c r="F1063" t="str">
        <f>HYPERLINK("https://talan.bank.gov.ua/get-user-certificate/45CElcZXi110zRzVVEDy","Завантажити сертифікат")</f>
        <v>Завантажити сертифікат</v>
      </c>
    </row>
    <row r="1064" spans="1:6" x14ac:dyDescent="0.3">
      <c r="A1064" t="s">
        <v>2320</v>
      </c>
      <c r="B1064" t="s">
        <v>6</v>
      </c>
      <c r="C1064" t="s">
        <v>2321</v>
      </c>
      <c r="D1064" t="s">
        <v>2302</v>
      </c>
      <c r="E1064" t="s">
        <v>2303</v>
      </c>
      <c r="F1064" t="str">
        <f>HYPERLINK("https://talan.bank.gov.ua/get-user-certificate/45CEl6zOj1gSRuNHsNYk","Завантажити сертифікат")</f>
        <v>Завантажити сертифікат</v>
      </c>
    </row>
    <row r="1065" spans="1:6" x14ac:dyDescent="0.3">
      <c r="A1065" t="s">
        <v>2322</v>
      </c>
      <c r="B1065" t="s">
        <v>6</v>
      </c>
      <c r="C1065" t="s">
        <v>2323</v>
      </c>
      <c r="D1065" t="s">
        <v>2302</v>
      </c>
      <c r="E1065" t="s">
        <v>2303</v>
      </c>
      <c r="F1065" t="str">
        <f>HYPERLINK("https://talan.bank.gov.ua/get-user-certificate/45CEliEeIi3cnN6S9QUP","Завантажити сертифікат")</f>
        <v>Завантажити сертифікат</v>
      </c>
    </row>
    <row r="1066" spans="1:6" x14ac:dyDescent="0.3">
      <c r="A1066" t="s">
        <v>2324</v>
      </c>
      <c r="B1066" t="s">
        <v>6</v>
      </c>
      <c r="C1066" t="s">
        <v>2325</v>
      </c>
      <c r="D1066" t="s">
        <v>2302</v>
      </c>
      <c r="E1066" t="s">
        <v>2303</v>
      </c>
      <c r="F1066" t="str">
        <f>HYPERLINK("https://talan.bank.gov.ua/get-user-certificate/45CElpF8j1Trns0-Zlpn","Завантажити сертифікат")</f>
        <v>Завантажити сертифікат</v>
      </c>
    </row>
    <row r="1067" spans="1:6" x14ac:dyDescent="0.3">
      <c r="A1067" t="s">
        <v>2326</v>
      </c>
      <c r="B1067" t="s">
        <v>6</v>
      </c>
      <c r="C1067" t="s">
        <v>2327</v>
      </c>
      <c r="D1067" t="s">
        <v>2302</v>
      </c>
      <c r="E1067" t="s">
        <v>2303</v>
      </c>
      <c r="F1067" t="str">
        <f>HYPERLINK("https://talan.bank.gov.ua/get-user-certificate/45CEl56nYppu2ZkXxF9D","Завантажити сертифікат")</f>
        <v>Завантажити сертифікат</v>
      </c>
    </row>
    <row r="1068" spans="1:6" x14ac:dyDescent="0.3">
      <c r="A1068" t="s">
        <v>2328</v>
      </c>
      <c r="B1068" t="s">
        <v>6</v>
      </c>
      <c r="C1068" t="s">
        <v>2329</v>
      </c>
      <c r="D1068" t="s">
        <v>2302</v>
      </c>
      <c r="E1068" t="s">
        <v>2303</v>
      </c>
      <c r="F1068" t="str">
        <f>HYPERLINK("https://talan.bank.gov.ua/get-user-certificate/45CElsTFu5DJwyDxGBan","Завантажити сертифікат")</f>
        <v>Завантажити сертифікат</v>
      </c>
    </row>
    <row r="1069" spans="1:6" x14ac:dyDescent="0.3">
      <c r="A1069" t="s">
        <v>2330</v>
      </c>
      <c r="B1069" t="s">
        <v>6</v>
      </c>
      <c r="C1069" t="s">
        <v>2331</v>
      </c>
      <c r="D1069" t="s">
        <v>2302</v>
      </c>
      <c r="E1069" t="s">
        <v>2303</v>
      </c>
      <c r="F1069" t="str">
        <f>HYPERLINK("https://talan.bank.gov.ua/get-user-certificate/45CEl2H8UgUznFHFYfeK","Завантажити сертифікат")</f>
        <v>Завантажити сертифікат</v>
      </c>
    </row>
    <row r="1070" spans="1:6" x14ac:dyDescent="0.3">
      <c r="A1070" t="s">
        <v>2332</v>
      </c>
      <c r="B1070" t="s">
        <v>6</v>
      </c>
      <c r="C1070" t="s">
        <v>2333</v>
      </c>
      <c r="D1070" t="s">
        <v>2302</v>
      </c>
      <c r="E1070" t="s">
        <v>2303</v>
      </c>
      <c r="F1070" t="str">
        <f>HYPERLINK("https://talan.bank.gov.ua/get-user-certificate/45CElUBaGhCVde_BSaSk","Завантажити сертифікат")</f>
        <v>Завантажити сертифікат</v>
      </c>
    </row>
    <row r="1071" spans="1:6" x14ac:dyDescent="0.3">
      <c r="A1071" t="s">
        <v>2334</v>
      </c>
      <c r="B1071" t="s">
        <v>6</v>
      </c>
      <c r="C1071" t="s">
        <v>2335</v>
      </c>
      <c r="D1071" t="s">
        <v>2302</v>
      </c>
      <c r="E1071" t="s">
        <v>2303</v>
      </c>
      <c r="F1071" t="str">
        <f>HYPERLINK("https://talan.bank.gov.ua/get-user-certificate/45CElQxdUoV1zGqr-_wv","Завантажити сертифікат")</f>
        <v>Завантажити сертифікат</v>
      </c>
    </row>
    <row r="1072" spans="1:6" x14ac:dyDescent="0.3">
      <c r="A1072" t="s">
        <v>2336</v>
      </c>
      <c r="B1072" t="s">
        <v>6</v>
      </c>
      <c r="C1072" t="s">
        <v>2337</v>
      </c>
      <c r="D1072" t="s">
        <v>2302</v>
      </c>
      <c r="E1072" t="s">
        <v>2303</v>
      </c>
      <c r="F1072" t="str">
        <f>HYPERLINK("https://talan.bank.gov.ua/get-user-certificate/45CElYI2Ty3vfZyuw6b9","Завантажити сертифікат")</f>
        <v>Завантажити сертифікат</v>
      </c>
    </row>
    <row r="1073" spans="1:6" x14ac:dyDescent="0.3">
      <c r="A1073" t="s">
        <v>2338</v>
      </c>
      <c r="B1073" t="s">
        <v>6</v>
      </c>
      <c r="C1073" t="s">
        <v>2339</v>
      </c>
      <c r="D1073" t="s">
        <v>2302</v>
      </c>
      <c r="E1073" t="s">
        <v>2303</v>
      </c>
      <c r="F1073" t="str">
        <f>HYPERLINK("https://talan.bank.gov.ua/get-user-certificate/45CElAOdnCvg1G14cNC8","Завантажити сертифікат")</f>
        <v>Завантажити сертифікат</v>
      </c>
    </row>
    <row r="1074" spans="1:6" x14ac:dyDescent="0.3">
      <c r="A1074" t="s">
        <v>2340</v>
      </c>
      <c r="B1074" t="s">
        <v>6</v>
      </c>
      <c r="C1074" t="s">
        <v>2341</v>
      </c>
      <c r="D1074" t="s">
        <v>2302</v>
      </c>
      <c r="E1074" t="s">
        <v>2303</v>
      </c>
      <c r="F1074" t="str">
        <f>HYPERLINK("https://talan.bank.gov.ua/get-user-certificate/45CEliJPaESuIJIjEYVy","Завантажити сертифікат")</f>
        <v>Завантажити сертифікат</v>
      </c>
    </row>
    <row r="1075" spans="1:6" x14ac:dyDescent="0.3">
      <c r="A1075" t="s">
        <v>2342</v>
      </c>
      <c r="B1075" t="s">
        <v>6</v>
      </c>
      <c r="C1075" t="s">
        <v>2343</v>
      </c>
      <c r="D1075" t="s">
        <v>2302</v>
      </c>
      <c r="E1075" t="s">
        <v>2303</v>
      </c>
      <c r="F1075" t="str">
        <f>HYPERLINK("https://talan.bank.gov.ua/get-user-certificate/45CElb0bvfCk_noREVLP","Завантажити сертифікат")</f>
        <v>Завантажити сертифікат</v>
      </c>
    </row>
    <row r="1076" spans="1:6" x14ac:dyDescent="0.3">
      <c r="A1076" t="s">
        <v>2344</v>
      </c>
      <c r="B1076" t="s">
        <v>6</v>
      </c>
      <c r="C1076" t="s">
        <v>2345</v>
      </c>
      <c r="D1076" t="s">
        <v>2302</v>
      </c>
      <c r="E1076" t="s">
        <v>2303</v>
      </c>
      <c r="F1076" t="str">
        <f>HYPERLINK("https://talan.bank.gov.ua/get-user-certificate/45CElryGEdk3l7icXu5E","Завантажити сертифікат")</f>
        <v>Завантажити сертифікат</v>
      </c>
    </row>
    <row r="1077" spans="1:6" x14ac:dyDescent="0.3">
      <c r="A1077" t="s">
        <v>2346</v>
      </c>
      <c r="B1077" t="s">
        <v>6</v>
      </c>
      <c r="C1077" t="s">
        <v>2347</v>
      </c>
      <c r="D1077" t="s">
        <v>2302</v>
      </c>
      <c r="E1077" t="s">
        <v>2303</v>
      </c>
      <c r="F1077" t="str">
        <f>HYPERLINK("https://talan.bank.gov.ua/get-user-certificate/45CElXP7EgRwGYJkxuYX","Завантажити сертифікат")</f>
        <v>Завантажити сертифікат</v>
      </c>
    </row>
    <row r="1078" spans="1:6" x14ac:dyDescent="0.3">
      <c r="A1078" t="s">
        <v>2348</v>
      </c>
      <c r="B1078" t="s">
        <v>6</v>
      </c>
      <c r="C1078" t="s">
        <v>2349</v>
      </c>
      <c r="D1078" t="s">
        <v>2302</v>
      </c>
      <c r="E1078" t="s">
        <v>2303</v>
      </c>
      <c r="F1078" t="str">
        <f>HYPERLINK("https://talan.bank.gov.ua/get-user-certificate/45CElgdxC9Ff15u5ARru","Завантажити сертифікат")</f>
        <v>Завантажити сертифікат</v>
      </c>
    </row>
    <row r="1079" spans="1:6" x14ac:dyDescent="0.3">
      <c r="A1079" t="s">
        <v>2350</v>
      </c>
      <c r="B1079" t="s">
        <v>6</v>
      </c>
      <c r="C1079" t="s">
        <v>2351</v>
      </c>
      <c r="D1079" t="s">
        <v>2302</v>
      </c>
      <c r="E1079" t="s">
        <v>2303</v>
      </c>
      <c r="F1079" t="str">
        <f>HYPERLINK("https://talan.bank.gov.ua/get-user-certificate/45CElpnl7jWkEZxbt8Eg","Завантажити сертифікат")</f>
        <v>Завантажити сертифікат</v>
      </c>
    </row>
    <row r="1080" spans="1:6" x14ac:dyDescent="0.3">
      <c r="A1080" t="s">
        <v>2352</v>
      </c>
      <c r="B1080" t="s">
        <v>6</v>
      </c>
      <c r="C1080" t="s">
        <v>2353</v>
      </c>
      <c r="D1080" t="s">
        <v>2302</v>
      </c>
      <c r="E1080" t="s">
        <v>2303</v>
      </c>
      <c r="F1080" t="str">
        <f>HYPERLINK("https://talan.bank.gov.ua/get-user-certificate/45CEl9Ka4pWFwlBAtHp1","Завантажити сертифікат")</f>
        <v>Завантажити сертифікат</v>
      </c>
    </row>
    <row r="1081" spans="1:6" x14ac:dyDescent="0.3">
      <c r="A1081" t="s">
        <v>2354</v>
      </c>
      <c r="B1081" t="s">
        <v>6</v>
      </c>
      <c r="C1081" t="s">
        <v>2355</v>
      </c>
      <c r="D1081" t="s">
        <v>2302</v>
      </c>
      <c r="E1081" t="s">
        <v>2303</v>
      </c>
      <c r="F1081" t="str">
        <f>HYPERLINK("https://talan.bank.gov.ua/get-user-certificate/45CElZSkPSfUmTMmZdTq","Завантажити сертифікат")</f>
        <v>Завантажити сертифікат</v>
      </c>
    </row>
    <row r="1082" spans="1:6" x14ac:dyDescent="0.3">
      <c r="A1082" t="s">
        <v>2356</v>
      </c>
      <c r="B1082" t="s">
        <v>6</v>
      </c>
      <c r="C1082" t="s">
        <v>2357</v>
      </c>
      <c r="D1082" t="s">
        <v>2302</v>
      </c>
      <c r="E1082" t="s">
        <v>2303</v>
      </c>
      <c r="F1082" t="str">
        <f>HYPERLINK("https://talan.bank.gov.ua/get-user-certificate/45CEllzuCQhDkHKnUYD1","Завантажити сертифікат")</f>
        <v>Завантажити сертифікат</v>
      </c>
    </row>
    <row r="1083" spans="1:6" x14ac:dyDescent="0.3">
      <c r="A1083" t="s">
        <v>2358</v>
      </c>
      <c r="B1083" t="s">
        <v>6</v>
      </c>
      <c r="C1083" t="s">
        <v>2359</v>
      </c>
      <c r="D1083" t="s">
        <v>2302</v>
      </c>
      <c r="E1083" t="s">
        <v>2303</v>
      </c>
      <c r="F1083" t="str">
        <f>HYPERLINK("https://talan.bank.gov.ua/get-user-certificate/45CEld6E-dbEYxvUSj8c","Завантажити сертифікат")</f>
        <v>Завантажити сертифікат</v>
      </c>
    </row>
    <row r="1084" spans="1:6" x14ac:dyDescent="0.3">
      <c r="A1084" t="s">
        <v>2360</v>
      </c>
      <c r="B1084" t="s">
        <v>6</v>
      </c>
      <c r="C1084" t="s">
        <v>2361</v>
      </c>
      <c r="D1084" t="s">
        <v>2362</v>
      </c>
      <c r="E1084" t="s">
        <v>2363</v>
      </c>
      <c r="F1084" t="str">
        <f>HYPERLINK("https://talan.bank.gov.ua/get-user-certificate/45CEl8z_Zhn60myXP95q","Завантажити сертифікат")</f>
        <v>Завантажити сертифікат</v>
      </c>
    </row>
    <row r="1085" spans="1:6" x14ac:dyDescent="0.3">
      <c r="A1085" t="s">
        <v>2364</v>
      </c>
      <c r="B1085" t="s">
        <v>6</v>
      </c>
      <c r="C1085" t="s">
        <v>2365</v>
      </c>
      <c r="D1085" t="s">
        <v>2362</v>
      </c>
      <c r="E1085" t="s">
        <v>2363</v>
      </c>
      <c r="F1085" t="str">
        <f>HYPERLINK("https://talan.bank.gov.ua/get-user-certificate/45CEljvmUGqekFlGazUB","Завантажити сертифікат")</f>
        <v>Завантажити сертифікат</v>
      </c>
    </row>
    <row r="1086" spans="1:6" x14ac:dyDescent="0.3">
      <c r="A1086" t="s">
        <v>2366</v>
      </c>
      <c r="B1086" t="s">
        <v>6</v>
      </c>
      <c r="C1086" t="s">
        <v>2367</v>
      </c>
      <c r="D1086" t="s">
        <v>2362</v>
      </c>
      <c r="E1086" t="s">
        <v>2363</v>
      </c>
      <c r="F1086" t="str">
        <f>HYPERLINK("https://talan.bank.gov.ua/get-user-certificate/45CElRaQg0td1h9mD-Q1","Завантажити сертифікат")</f>
        <v>Завантажити сертифікат</v>
      </c>
    </row>
    <row r="1087" spans="1:6" x14ac:dyDescent="0.3">
      <c r="A1087" t="s">
        <v>2368</v>
      </c>
      <c r="B1087" t="s">
        <v>6</v>
      </c>
      <c r="C1087" t="s">
        <v>2369</v>
      </c>
      <c r="D1087" t="s">
        <v>2362</v>
      </c>
      <c r="E1087" t="s">
        <v>2363</v>
      </c>
      <c r="F1087" t="str">
        <f>HYPERLINK("https://talan.bank.gov.ua/get-user-certificate/45CEloAGdt99Q8Afyu4n","Завантажити сертифікат")</f>
        <v>Завантажити сертифікат</v>
      </c>
    </row>
    <row r="1088" spans="1:6" x14ac:dyDescent="0.3">
      <c r="A1088" t="s">
        <v>2370</v>
      </c>
      <c r="B1088" t="s">
        <v>6</v>
      </c>
      <c r="C1088" t="s">
        <v>2371</v>
      </c>
      <c r="D1088" t="s">
        <v>2362</v>
      </c>
      <c r="E1088" t="s">
        <v>2363</v>
      </c>
      <c r="F1088" t="str">
        <f>HYPERLINK("https://talan.bank.gov.ua/get-user-certificate/45CElPFfe-AGgzfVz3Jm","Завантажити сертифікат")</f>
        <v>Завантажити сертифікат</v>
      </c>
    </row>
    <row r="1089" spans="1:6" x14ac:dyDescent="0.3">
      <c r="A1089" t="s">
        <v>2372</v>
      </c>
      <c r="B1089" t="s">
        <v>6</v>
      </c>
      <c r="C1089" t="s">
        <v>2373</v>
      </c>
      <c r="D1089" t="s">
        <v>2362</v>
      </c>
      <c r="E1089" t="s">
        <v>2363</v>
      </c>
      <c r="F1089" t="str">
        <f>HYPERLINK("https://talan.bank.gov.ua/get-user-certificate/45CElvhBqiBRhCeH_4Gu","Завантажити сертифікат")</f>
        <v>Завантажити сертифікат</v>
      </c>
    </row>
    <row r="1090" spans="1:6" x14ac:dyDescent="0.3">
      <c r="A1090" t="s">
        <v>2374</v>
      </c>
      <c r="B1090" t="s">
        <v>6</v>
      </c>
      <c r="C1090" t="s">
        <v>2375</v>
      </c>
      <c r="D1090" t="s">
        <v>2362</v>
      </c>
      <c r="E1090" t="s">
        <v>2363</v>
      </c>
      <c r="F1090" t="str">
        <f>HYPERLINK("https://talan.bank.gov.ua/get-user-certificate/45CEl84zP9SYv0uFf9Sb","Завантажити сертифікат")</f>
        <v>Завантажити сертифікат</v>
      </c>
    </row>
    <row r="1091" spans="1:6" x14ac:dyDescent="0.3">
      <c r="A1091" t="s">
        <v>2376</v>
      </c>
      <c r="B1091" t="s">
        <v>6</v>
      </c>
      <c r="C1091" t="s">
        <v>2377</v>
      </c>
      <c r="D1091" t="s">
        <v>2362</v>
      </c>
      <c r="E1091" t="s">
        <v>2363</v>
      </c>
      <c r="F1091" t="str">
        <f>HYPERLINK("https://talan.bank.gov.ua/get-user-certificate/45CElueJk86Mx7FOvaru","Завантажити сертифікат")</f>
        <v>Завантажити сертифікат</v>
      </c>
    </row>
    <row r="1092" spans="1:6" x14ac:dyDescent="0.3">
      <c r="A1092" t="s">
        <v>2378</v>
      </c>
      <c r="B1092" t="s">
        <v>6</v>
      </c>
      <c r="C1092" t="s">
        <v>2379</v>
      </c>
      <c r="D1092" t="s">
        <v>2362</v>
      </c>
      <c r="E1092" t="s">
        <v>2363</v>
      </c>
      <c r="F1092" t="str">
        <f>HYPERLINK("https://talan.bank.gov.ua/get-user-certificate/45CElXIkQrK9oqtXd0gA","Завантажити сертифікат")</f>
        <v>Завантажити сертифікат</v>
      </c>
    </row>
    <row r="1093" spans="1:6" x14ac:dyDescent="0.3">
      <c r="A1093" t="s">
        <v>2380</v>
      </c>
      <c r="B1093" t="s">
        <v>6</v>
      </c>
      <c r="C1093" t="s">
        <v>2381</v>
      </c>
      <c r="D1093" t="s">
        <v>2382</v>
      </c>
      <c r="E1093" t="s">
        <v>2383</v>
      </c>
      <c r="F1093" t="str">
        <f>HYPERLINK("https://talan.bank.gov.ua/get-user-certificate/45CElwiAEMDVSgzTKuHO","Завантажити сертифікат")</f>
        <v>Завантажити сертифікат</v>
      </c>
    </row>
    <row r="1094" spans="1:6" x14ac:dyDescent="0.3">
      <c r="A1094" t="s">
        <v>2384</v>
      </c>
      <c r="B1094" t="s">
        <v>6</v>
      </c>
      <c r="C1094" t="s">
        <v>2385</v>
      </c>
      <c r="D1094" t="s">
        <v>2382</v>
      </c>
      <c r="E1094" t="s">
        <v>2383</v>
      </c>
      <c r="F1094" t="str">
        <f>HYPERLINK("https://talan.bank.gov.ua/get-user-certificate/45CElMU2lDs__G5ijnfN","Завантажити сертифікат")</f>
        <v>Завантажити сертифікат</v>
      </c>
    </row>
    <row r="1095" spans="1:6" x14ac:dyDescent="0.3">
      <c r="A1095" t="s">
        <v>2386</v>
      </c>
      <c r="B1095" t="s">
        <v>6</v>
      </c>
      <c r="C1095" t="s">
        <v>2387</v>
      </c>
      <c r="D1095" t="s">
        <v>2382</v>
      </c>
      <c r="E1095" t="s">
        <v>2383</v>
      </c>
      <c r="F1095" t="str">
        <f>HYPERLINK("https://talan.bank.gov.ua/get-user-certificate/45CElHGtZh5Dnt_vj_0b","Завантажити сертифікат")</f>
        <v>Завантажити сертифікат</v>
      </c>
    </row>
    <row r="1096" spans="1:6" x14ac:dyDescent="0.3">
      <c r="A1096" t="s">
        <v>2388</v>
      </c>
      <c r="B1096" t="s">
        <v>6</v>
      </c>
      <c r="C1096" t="s">
        <v>2389</v>
      </c>
      <c r="D1096" t="s">
        <v>2390</v>
      </c>
      <c r="E1096" t="s">
        <v>2391</v>
      </c>
      <c r="F1096" t="str">
        <f>HYPERLINK("https://talan.bank.gov.ua/get-user-certificate/45CEltvl1-_Tc0tYUooR","Завантажити сертифікат")</f>
        <v>Завантажити сертифікат</v>
      </c>
    </row>
    <row r="1097" spans="1:6" x14ac:dyDescent="0.3">
      <c r="A1097" t="s">
        <v>2392</v>
      </c>
      <c r="B1097" t="s">
        <v>6</v>
      </c>
      <c r="C1097" t="s">
        <v>2393</v>
      </c>
      <c r="D1097" t="s">
        <v>2394</v>
      </c>
      <c r="E1097" t="s">
        <v>2395</v>
      </c>
      <c r="F1097" t="str">
        <f>HYPERLINK("https://talan.bank.gov.ua/get-user-certificate/45CElL7iyMVq1BzuYcVy","Завантажити сертифікат")</f>
        <v>Завантажити сертифікат</v>
      </c>
    </row>
    <row r="1098" spans="1:6" x14ac:dyDescent="0.3">
      <c r="A1098" t="s">
        <v>2396</v>
      </c>
      <c r="B1098" t="s">
        <v>6</v>
      </c>
      <c r="C1098" t="s">
        <v>2397</v>
      </c>
      <c r="D1098" t="s">
        <v>2394</v>
      </c>
      <c r="E1098" t="s">
        <v>2395</v>
      </c>
      <c r="F1098" t="str">
        <f>HYPERLINK("https://talan.bank.gov.ua/get-user-certificate/45CElPSvuJsGbLJlgz4d","Завантажити сертифікат")</f>
        <v>Завантажити сертифікат</v>
      </c>
    </row>
    <row r="1099" spans="1:6" x14ac:dyDescent="0.3">
      <c r="A1099" t="s">
        <v>2398</v>
      </c>
      <c r="B1099" t="s">
        <v>6</v>
      </c>
      <c r="C1099" t="s">
        <v>2399</v>
      </c>
      <c r="D1099" t="s">
        <v>2394</v>
      </c>
      <c r="E1099" t="s">
        <v>2395</v>
      </c>
      <c r="F1099" t="str">
        <f>HYPERLINK("https://talan.bank.gov.ua/get-user-certificate/45CEleh3V0cCL_Rvmeuq","Завантажити сертифікат")</f>
        <v>Завантажити сертифікат</v>
      </c>
    </row>
    <row r="1100" spans="1:6" x14ac:dyDescent="0.3">
      <c r="A1100" t="s">
        <v>2400</v>
      </c>
      <c r="B1100" t="s">
        <v>6</v>
      </c>
      <c r="C1100" t="s">
        <v>2401</v>
      </c>
      <c r="D1100" t="s">
        <v>2394</v>
      </c>
      <c r="E1100" t="s">
        <v>2395</v>
      </c>
      <c r="F1100" t="str">
        <f>HYPERLINK("https://talan.bank.gov.ua/get-user-certificate/45CElOZmvSPYGaO_IH8W","Завантажити сертифікат")</f>
        <v>Завантажити сертифікат</v>
      </c>
    </row>
    <row r="1101" spans="1:6" x14ac:dyDescent="0.3">
      <c r="A1101" t="s">
        <v>2402</v>
      </c>
      <c r="B1101" t="s">
        <v>6</v>
      </c>
      <c r="C1101" t="s">
        <v>2403</v>
      </c>
      <c r="D1101" t="s">
        <v>2394</v>
      </c>
      <c r="E1101" t="s">
        <v>2395</v>
      </c>
      <c r="F1101" t="str">
        <f>HYPERLINK("https://talan.bank.gov.ua/get-user-certificate/45CElNSxJDTGWp3iXiU_","Завантажити сертифікат")</f>
        <v>Завантажити сертифікат</v>
      </c>
    </row>
    <row r="1102" spans="1:6" x14ac:dyDescent="0.3">
      <c r="A1102" t="s">
        <v>2404</v>
      </c>
      <c r="B1102" t="s">
        <v>6</v>
      </c>
      <c r="C1102" t="s">
        <v>2405</v>
      </c>
      <c r="D1102" t="s">
        <v>2394</v>
      </c>
      <c r="E1102" t="s">
        <v>2395</v>
      </c>
      <c r="F1102" t="str">
        <f>HYPERLINK("https://talan.bank.gov.ua/get-user-certificate/45CElkixLBKnMkbmh5T4","Завантажити сертифікат")</f>
        <v>Завантажити сертифікат</v>
      </c>
    </row>
    <row r="1103" spans="1:6" x14ac:dyDescent="0.3">
      <c r="A1103" t="s">
        <v>2406</v>
      </c>
      <c r="B1103" t="s">
        <v>6</v>
      </c>
      <c r="C1103" t="s">
        <v>2407</v>
      </c>
      <c r="D1103" t="s">
        <v>2394</v>
      </c>
      <c r="E1103" t="s">
        <v>2395</v>
      </c>
      <c r="F1103" t="str">
        <f>HYPERLINK("https://talan.bank.gov.ua/get-user-certificate/45CEl0Yo61kzLao02vrb","Завантажити сертифікат")</f>
        <v>Завантажити сертифікат</v>
      </c>
    </row>
    <row r="1104" spans="1:6" x14ac:dyDescent="0.3">
      <c r="A1104" t="s">
        <v>2408</v>
      </c>
      <c r="B1104" t="s">
        <v>6</v>
      </c>
      <c r="C1104" t="s">
        <v>2409</v>
      </c>
      <c r="D1104" t="s">
        <v>2394</v>
      </c>
      <c r="E1104" t="s">
        <v>2395</v>
      </c>
      <c r="F1104" t="str">
        <f>HYPERLINK("https://talan.bank.gov.ua/get-user-certificate/45CEloBrWL4w2sl7Rbor","Завантажити сертифікат")</f>
        <v>Завантажити сертифікат</v>
      </c>
    </row>
    <row r="1105" spans="1:6" x14ac:dyDescent="0.3">
      <c r="A1105" t="s">
        <v>2410</v>
      </c>
      <c r="B1105" t="s">
        <v>6</v>
      </c>
      <c r="C1105" t="s">
        <v>2411</v>
      </c>
      <c r="D1105" t="s">
        <v>2394</v>
      </c>
      <c r="E1105" t="s">
        <v>2395</v>
      </c>
      <c r="F1105" t="str">
        <f>HYPERLINK("https://talan.bank.gov.ua/get-user-certificate/45CElwt3Vuow4ulNbKjh","Завантажити сертифікат")</f>
        <v>Завантажити сертифікат</v>
      </c>
    </row>
    <row r="1106" spans="1:6" x14ac:dyDescent="0.3">
      <c r="A1106" t="s">
        <v>2412</v>
      </c>
      <c r="B1106" t="s">
        <v>6</v>
      </c>
      <c r="C1106" t="s">
        <v>2413</v>
      </c>
      <c r="D1106" t="s">
        <v>2394</v>
      </c>
      <c r="E1106" t="s">
        <v>2395</v>
      </c>
      <c r="F1106" t="str">
        <f>HYPERLINK("https://talan.bank.gov.ua/get-user-certificate/45CEl8HWqVssWRU3NliT","Завантажити сертифікат")</f>
        <v>Завантажити сертифікат</v>
      </c>
    </row>
    <row r="1107" spans="1:6" x14ac:dyDescent="0.3">
      <c r="A1107" t="s">
        <v>2414</v>
      </c>
      <c r="B1107" t="s">
        <v>6</v>
      </c>
      <c r="C1107" t="s">
        <v>2415</v>
      </c>
      <c r="D1107" t="s">
        <v>2394</v>
      </c>
      <c r="E1107" t="s">
        <v>2395</v>
      </c>
      <c r="F1107" t="str">
        <f>HYPERLINK("https://talan.bank.gov.ua/get-user-certificate/45CElUyeEv_jVabBoYTS","Завантажити сертифікат")</f>
        <v>Завантажити сертифікат</v>
      </c>
    </row>
    <row r="1108" spans="1:6" x14ac:dyDescent="0.3">
      <c r="A1108" t="s">
        <v>2416</v>
      </c>
      <c r="B1108" t="s">
        <v>6</v>
      </c>
      <c r="C1108" t="s">
        <v>2417</v>
      </c>
      <c r="D1108" t="s">
        <v>2394</v>
      </c>
      <c r="E1108" t="s">
        <v>2395</v>
      </c>
      <c r="F1108" t="str">
        <f>HYPERLINK("https://talan.bank.gov.ua/get-user-certificate/45CEl9cot-5lC0OOyS1o","Завантажити сертифікат")</f>
        <v>Завантажити сертифікат</v>
      </c>
    </row>
    <row r="1109" spans="1:6" x14ac:dyDescent="0.3">
      <c r="A1109" t="s">
        <v>2418</v>
      </c>
      <c r="B1109" t="s">
        <v>6</v>
      </c>
      <c r="C1109" t="s">
        <v>2419</v>
      </c>
      <c r="D1109" t="s">
        <v>2394</v>
      </c>
      <c r="E1109" t="s">
        <v>2395</v>
      </c>
      <c r="F1109" t="str">
        <f>HYPERLINK("https://talan.bank.gov.ua/get-user-certificate/45CElrELqr7o5KliPtAp","Завантажити сертифікат")</f>
        <v>Завантажити сертифікат</v>
      </c>
    </row>
    <row r="1110" spans="1:6" x14ac:dyDescent="0.3">
      <c r="A1110" t="s">
        <v>2420</v>
      </c>
      <c r="B1110" t="s">
        <v>6</v>
      </c>
      <c r="C1110" t="s">
        <v>2421</v>
      </c>
      <c r="D1110" t="s">
        <v>2394</v>
      </c>
      <c r="E1110" t="s">
        <v>2395</v>
      </c>
      <c r="F1110" t="str">
        <f>HYPERLINK("https://talan.bank.gov.ua/get-user-certificate/45CElLx7ABW1TZKT6b55","Завантажити сертифікат")</f>
        <v>Завантажити сертифікат</v>
      </c>
    </row>
    <row r="1111" spans="1:6" x14ac:dyDescent="0.3">
      <c r="A1111" t="s">
        <v>2422</v>
      </c>
      <c r="B1111" t="s">
        <v>6</v>
      </c>
      <c r="C1111" t="s">
        <v>2423</v>
      </c>
      <c r="D1111" t="s">
        <v>2394</v>
      </c>
      <c r="E1111" t="s">
        <v>2395</v>
      </c>
      <c r="F1111" t="str">
        <f>HYPERLINK("https://talan.bank.gov.ua/get-user-certificate/45CElldq470-JHlYsqrB","Завантажити сертифікат")</f>
        <v>Завантажити сертифікат</v>
      </c>
    </row>
    <row r="1112" spans="1:6" x14ac:dyDescent="0.3">
      <c r="A1112" t="s">
        <v>2424</v>
      </c>
      <c r="B1112" t="s">
        <v>6</v>
      </c>
      <c r="C1112" t="s">
        <v>2425</v>
      </c>
      <c r="D1112" t="s">
        <v>2394</v>
      </c>
      <c r="E1112" t="s">
        <v>2395</v>
      </c>
      <c r="F1112" t="str">
        <f>HYPERLINK("https://talan.bank.gov.ua/get-user-certificate/45CElZ3Y3JrTOUB8rv1L","Завантажити сертифікат")</f>
        <v>Завантажити сертифікат</v>
      </c>
    </row>
    <row r="1113" spans="1:6" x14ac:dyDescent="0.3">
      <c r="A1113" t="s">
        <v>2426</v>
      </c>
      <c r="B1113" t="s">
        <v>6</v>
      </c>
      <c r="C1113" t="s">
        <v>2427</v>
      </c>
      <c r="D1113" t="s">
        <v>2394</v>
      </c>
      <c r="E1113" t="s">
        <v>2395</v>
      </c>
      <c r="F1113" t="str">
        <f>HYPERLINK("https://talan.bank.gov.ua/get-user-certificate/45CElAOMyIWRI5s4Pv0Z","Завантажити сертифікат")</f>
        <v>Завантажити сертифікат</v>
      </c>
    </row>
    <row r="1114" spans="1:6" x14ac:dyDescent="0.3">
      <c r="A1114" t="s">
        <v>2428</v>
      </c>
      <c r="B1114" t="s">
        <v>6</v>
      </c>
      <c r="C1114" t="s">
        <v>2429</v>
      </c>
      <c r="D1114" t="s">
        <v>2394</v>
      </c>
      <c r="E1114" t="s">
        <v>2395</v>
      </c>
      <c r="F1114" t="str">
        <f>HYPERLINK("https://talan.bank.gov.ua/get-user-certificate/45CElyJjjR-DWk8hXWVZ","Завантажити сертифікат")</f>
        <v>Завантажити сертифікат</v>
      </c>
    </row>
    <row r="1115" spans="1:6" x14ac:dyDescent="0.3">
      <c r="A1115" t="s">
        <v>2430</v>
      </c>
      <c r="B1115" t="s">
        <v>6</v>
      </c>
      <c r="C1115" t="s">
        <v>2431</v>
      </c>
      <c r="D1115" t="s">
        <v>2394</v>
      </c>
      <c r="E1115" t="s">
        <v>2395</v>
      </c>
      <c r="F1115" t="str">
        <f>HYPERLINK("https://talan.bank.gov.ua/get-user-certificate/45CElhDFwSr0vNOTxZh5","Завантажити сертифікат")</f>
        <v>Завантажити сертифікат</v>
      </c>
    </row>
    <row r="1116" spans="1:6" x14ac:dyDescent="0.3">
      <c r="A1116" t="s">
        <v>2432</v>
      </c>
      <c r="B1116" t="s">
        <v>6</v>
      </c>
      <c r="C1116" t="s">
        <v>2433</v>
      </c>
      <c r="D1116" t="s">
        <v>2394</v>
      </c>
      <c r="E1116" t="s">
        <v>2395</v>
      </c>
      <c r="F1116" t="str">
        <f>HYPERLINK("https://talan.bank.gov.ua/get-user-certificate/45CElxScaQbWfSxeQ49f","Завантажити сертифікат")</f>
        <v>Завантажити сертифікат</v>
      </c>
    </row>
    <row r="1117" spans="1:6" x14ac:dyDescent="0.3">
      <c r="A1117" t="s">
        <v>2434</v>
      </c>
      <c r="B1117" t="s">
        <v>6</v>
      </c>
      <c r="C1117" t="s">
        <v>2435</v>
      </c>
      <c r="D1117" t="s">
        <v>2394</v>
      </c>
      <c r="E1117" t="s">
        <v>2395</v>
      </c>
      <c r="F1117" t="str">
        <f>HYPERLINK("https://talan.bank.gov.ua/get-user-certificate/45CElcWiNrPK10pjgWh_","Завантажити сертифікат")</f>
        <v>Завантажити сертифікат</v>
      </c>
    </row>
    <row r="1118" spans="1:6" x14ac:dyDescent="0.3">
      <c r="A1118" t="s">
        <v>2436</v>
      </c>
      <c r="B1118" t="s">
        <v>6</v>
      </c>
      <c r="C1118" t="s">
        <v>2437</v>
      </c>
      <c r="D1118" t="s">
        <v>2438</v>
      </c>
      <c r="E1118" t="s">
        <v>2439</v>
      </c>
      <c r="F1118" t="str">
        <f>HYPERLINK("https://talan.bank.gov.ua/get-user-certificate/45CEl_slp1UzlU7BYkif","Завантажити сертифікат")</f>
        <v>Завантажити сертифікат</v>
      </c>
    </row>
    <row r="1119" spans="1:6" x14ac:dyDescent="0.3">
      <c r="A1119" t="s">
        <v>2440</v>
      </c>
      <c r="B1119" t="s">
        <v>6</v>
      </c>
      <c r="C1119" t="s">
        <v>2441</v>
      </c>
      <c r="D1119" t="s">
        <v>2438</v>
      </c>
      <c r="E1119" t="s">
        <v>2439</v>
      </c>
      <c r="F1119" t="str">
        <f>HYPERLINK("https://talan.bank.gov.ua/get-user-certificate/45CEleP6vPSpmR02MJdS","Завантажити сертифікат")</f>
        <v>Завантажити сертифікат</v>
      </c>
    </row>
    <row r="1120" spans="1:6" x14ac:dyDescent="0.3">
      <c r="A1120" t="s">
        <v>2442</v>
      </c>
      <c r="B1120" t="s">
        <v>6</v>
      </c>
      <c r="C1120" t="s">
        <v>2443</v>
      </c>
      <c r="D1120" t="s">
        <v>2438</v>
      </c>
      <c r="E1120" t="s">
        <v>2439</v>
      </c>
      <c r="F1120" t="str">
        <f>HYPERLINK("https://talan.bank.gov.ua/get-user-certificate/45CElCQ2xGrqsFk5ofNA","Завантажити сертифікат")</f>
        <v>Завантажити сертифікат</v>
      </c>
    </row>
    <row r="1121" spans="1:6" x14ac:dyDescent="0.3">
      <c r="A1121" t="s">
        <v>2444</v>
      </c>
      <c r="B1121" t="s">
        <v>6</v>
      </c>
      <c r="C1121" t="s">
        <v>2445</v>
      </c>
      <c r="D1121" t="s">
        <v>2438</v>
      </c>
      <c r="E1121" t="s">
        <v>2439</v>
      </c>
      <c r="F1121" t="str">
        <f>HYPERLINK("https://talan.bank.gov.ua/get-user-certificate/45CEl0X7BhfpBnvYjFxf","Завантажити сертифікат")</f>
        <v>Завантажити сертифікат</v>
      </c>
    </row>
    <row r="1122" spans="1:6" x14ac:dyDescent="0.3">
      <c r="A1122" t="s">
        <v>2446</v>
      </c>
      <c r="B1122" t="s">
        <v>6</v>
      </c>
      <c r="C1122" t="s">
        <v>2447</v>
      </c>
      <c r="D1122" t="s">
        <v>2438</v>
      </c>
      <c r="E1122" t="s">
        <v>2439</v>
      </c>
      <c r="F1122" t="str">
        <f>HYPERLINK("https://talan.bank.gov.ua/get-user-certificate/45CElAx9WM5PGhcbqYiS","Завантажити сертифікат")</f>
        <v>Завантажити сертифікат</v>
      </c>
    </row>
    <row r="1123" spans="1:6" x14ac:dyDescent="0.3">
      <c r="A1123" t="s">
        <v>2448</v>
      </c>
      <c r="B1123" t="s">
        <v>6</v>
      </c>
      <c r="C1123" t="s">
        <v>2449</v>
      </c>
      <c r="D1123" t="s">
        <v>2450</v>
      </c>
      <c r="E1123" t="s">
        <v>2451</v>
      </c>
      <c r="F1123" t="str">
        <f>HYPERLINK("https://talan.bank.gov.ua/get-user-certificate/45CElhlLxeVaw943WApm","Завантажити сертифікат")</f>
        <v>Завантажити сертифікат</v>
      </c>
    </row>
    <row r="1124" spans="1:6" x14ac:dyDescent="0.3">
      <c r="A1124" t="s">
        <v>2452</v>
      </c>
      <c r="B1124" t="s">
        <v>6</v>
      </c>
      <c r="C1124" t="s">
        <v>2453</v>
      </c>
      <c r="D1124" t="s">
        <v>2450</v>
      </c>
      <c r="E1124" t="s">
        <v>2451</v>
      </c>
      <c r="F1124" t="str">
        <f>HYPERLINK("https://talan.bank.gov.ua/get-user-certificate/45CElhVnQpaZBeRjYir2","Завантажити сертифікат")</f>
        <v>Завантажити сертифікат</v>
      </c>
    </row>
    <row r="1125" spans="1:6" x14ac:dyDescent="0.3">
      <c r="A1125" t="s">
        <v>2454</v>
      </c>
      <c r="B1125" t="s">
        <v>6</v>
      </c>
      <c r="C1125" t="s">
        <v>2455</v>
      </c>
      <c r="D1125" t="s">
        <v>2450</v>
      </c>
      <c r="E1125" t="s">
        <v>2451</v>
      </c>
      <c r="F1125" t="str">
        <f>HYPERLINK("https://talan.bank.gov.ua/get-user-certificate/45CElUab0CFhYdj_nCVR","Завантажити сертифікат")</f>
        <v>Завантажити сертифікат</v>
      </c>
    </row>
    <row r="1126" spans="1:6" x14ac:dyDescent="0.3">
      <c r="A1126" t="s">
        <v>2456</v>
      </c>
      <c r="B1126" t="s">
        <v>6</v>
      </c>
      <c r="C1126" t="s">
        <v>2457</v>
      </c>
      <c r="D1126" t="s">
        <v>2450</v>
      </c>
      <c r="E1126" t="s">
        <v>2451</v>
      </c>
      <c r="F1126" t="str">
        <f>HYPERLINK("https://talan.bank.gov.ua/get-user-certificate/45CElSMh1jQfppVYPYPb","Завантажити сертифікат")</f>
        <v>Завантажити сертифікат</v>
      </c>
    </row>
    <row r="1127" spans="1:6" x14ac:dyDescent="0.3">
      <c r="A1127" t="s">
        <v>2458</v>
      </c>
      <c r="B1127" t="s">
        <v>6</v>
      </c>
      <c r="C1127" t="s">
        <v>2459</v>
      </c>
      <c r="D1127" t="s">
        <v>2450</v>
      </c>
      <c r="E1127" t="s">
        <v>2451</v>
      </c>
      <c r="F1127" t="str">
        <f>HYPERLINK("https://talan.bank.gov.ua/get-user-certificate/45CEl9FgZrr9_5Y_rjxs","Завантажити сертифікат")</f>
        <v>Завантажити сертифікат</v>
      </c>
    </row>
    <row r="1128" spans="1:6" x14ac:dyDescent="0.3">
      <c r="A1128" t="s">
        <v>2460</v>
      </c>
      <c r="B1128" t="s">
        <v>6</v>
      </c>
      <c r="C1128" t="s">
        <v>2461</v>
      </c>
      <c r="D1128" t="s">
        <v>2450</v>
      </c>
      <c r="E1128" t="s">
        <v>2451</v>
      </c>
      <c r="F1128" t="str">
        <f>HYPERLINK("https://talan.bank.gov.ua/get-user-certificate/45CEl65HFVvEPZECRNt9","Завантажити сертифікат")</f>
        <v>Завантажити сертифікат</v>
      </c>
    </row>
    <row r="1129" spans="1:6" x14ac:dyDescent="0.3">
      <c r="A1129" t="s">
        <v>2462</v>
      </c>
      <c r="B1129" t="s">
        <v>6</v>
      </c>
      <c r="C1129" t="s">
        <v>2463</v>
      </c>
      <c r="D1129" t="s">
        <v>2450</v>
      </c>
      <c r="E1129" t="s">
        <v>2451</v>
      </c>
      <c r="F1129" t="str">
        <f>HYPERLINK("https://talan.bank.gov.ua/get-user-certificate/45CElXXMltwR7Ne607MI","Завантажити сертифікат")</f>
        <v>Завантажити сертифікат</v>
      </c>
    </row>
    <row r="1130" spans="1:6" x14ac:dyDescent="0.3">
      <c r="A1130" t="s">
        <v>2464</v>
      </c>
      <c r="B1130" t="s">
        <v>6</v>
      </c>
      <c r="C1130" t="s">
        <v>2465</v>
      </c>
      <c r="D1130" t="s">
        <v>2450</v>
      </c>
      <c r="E1130" t="s">
        <v>2451</v>
      </c>
      <c r="F1130" t="str">
        <f>HYPERLINK("https://talan.bank.gov.ua/get-user-certificate/45CEl2ya6VpWImQwf_TJ","Завантажити сертифікат")</f>
        <v>Завантажити сертифікат</v>
      </c>
    </row>
    <row r="1131" spans="1:6" x14ac:dyDescent="0.3">
      <c r="A1131" t="s">
        <v>2466</v>
      </c>
      <c r="B1131" t="s">
        <v>6</v>
      </c>
      <c r="C1131" t="s">
        <v>2467</v>
      </c>
      <c r="D1131" t="s">
        <v>2450</v>
      </c>
      <c r="E1131" t="s">
        <v>2451</v>
      </c>
      <c r="F1131" t="str">
        <f>HYPERLINK("https://talan.bank.gov.ua/get-user-certificate/45CElw9FOGX-_MM8nyj5","Завантажити сертифікат")</f>
        <v>Завантажити сертифікат</v>
      </c>
    </row>
    <row r="1132" spans="1:6" x14ac:dyDescent="0.3">
      <c r="A1132" t="s">
        <v>2468</v>
      </c>
      <c r="B1132" t="s">
        <v>6</v>
      </c>
      <c r="C1132" t="s">
        <v>2469</v>
      </c>
      <c r="D1132" t="s">
        <v>2470</v>
      </c>
      <c r="E1132" t="s">
        <v>2471</v>
      </c>
      <c r="F1132" t="str">
        <f>HYPERLINK("https://talan.bank.gov.ua/get-user-certificate/45CElyXcJWH62EFRu_au","Завантажити сертифікат")</f>
        <v>Завантажити сертифікат</v>
      </c>
    </row>
    <row r="1133" spans="1:6" x14ac:dyDescent="0.3">
      <c r="A1133" t="s">
        <v>2472</v>
      </c>
      <c r="B1133" t="s">
        <v>6</v>
      </c>
      <c r="C1133" t="s">
        <v>2473</v>
      </c>
      <c r="D1133" t="s">
        <v>2470</v>
      </c>
      <c r="E1133" t="s">
        <v>2471</v>
      </c>
      <c r="F1133" t="str">
        <f>HYPERLINK("https://talan.bank.gov.ua/get-user-certificate/45CEl3o8FIL7w-fMRsEm","Завантажити сертифікат")</f>
        <v>Завантажити сертифікат</v>
      </c>
    </row>
    <row r="1134" spans="1:6" x14ac:dyDescent="0.3">
      <c r="A1134" t="s">
        <v>2474</v>
      </c>
      <c r="B1134" t="s">
        <v>6</v>
      </c>
      <c r="C1134" t="s">
        <v>2475</v>
      </c>
      <c r="D1134" t="s">
        <v>2470</v>
      </c>
      <c r="E1134" t="s">
        <v>2471</v>
      </c>
      <c r="F1134" t="str">
        <f>HYPERLINK("https://talan.bank.gov.ua/get-user-certificate/45CEla7p0vbq9epxA2q7","Завантажити сертифікат")</f>
        <v>Завантажити сертифікат</v>
      </c>
    </row>
    <row r="1135" spans="1:6" x14ac:dyDescent="0.3">
      <c r="A1135" t="s">
        <v>2476</v>
      </c>
      <c r="B1135" t="s">
        <v>6</v>
      </c>
      <c r="C1135" t="s">
        <v>2477</v>
      </c>
      <c r="D1135" t="s">
        <v>2470</v>
      </c>
      <c r="E1135" t="s">
        <v>2471</v>
      </c>
      <c r="F1135" t="str">
        <f>HYPERLINK("https://talan.bank.gov.ua/get-user-certificate/45CElt4Lv17XyoGOeMbQ","Завантажити сертифікат")</f>
        <v>Завантажити сертифікат</v>
      </c>
    </row>
    <row r="1136" spans="1:6" x14ac:dyDescent="0.3">
      <c r="A1136" t="s">
        <v>2478</v>
      </c>
      <c r="B1136" t="s">
        <v>6</v>
      </c>
      <c r="C1136" t="s">
        <v>2479</v>
      </c>
      <c r="D1136" t="s">
        <v>2480</v>
      </c>
      <c r="E1136" t="s">
        <v>2481</v>
      </c>
      <c r="F1136" t="str">
        <f>HYPERLINK("https://talan.bank.gov.ua/get-user-certificate/45CElA71CXqCBgf5nTeU","Завантажити сертифікат")</f>
        <v>Завантажити сертифікат</v>
      </c>
    </row>
    <row r="1137" spans="1:6" x14ac:dyDescent="0.3">
      <c r="A1137" t="s">
        <v>2482</v>
      </c>
      <c r="B1137" t="s">
        <v>6</v>
      </c>
      <c r="C1137" t="s">
        <v>2483</v>
      </c>
      <c r="D1137" t="s">
        <v>2480</v>
      </c>
      <c r="E1137" t="s">
        <v>2481</v>
      </c>
      <c r="F1137" t="str">
        <f>HYPERLINK("https://talan.bank.gov.ua/get-user-certificate/45CElTDyviE7bPMx5Adi","Завантажити сертифікат")</f>
        <v>Завантажити сертифікат</v>
      </c>
    </row>
    <row r="1138" spans="1:6" x14ac:dyDescent="0.3">
      <c r="A1138" t="s">
        <v>2484</v>
      </c>
      <c r="B1138" t="s">
        <v>6</v>
      </c>
      <c r="C1138" t="s">
        <v>2485</v>
      </c>
      <c r="D1138" t="s">
        <v>2480</v>
      </c>
      <c r="E1138" t="s">
        <v>2481</v>
      </c>
      <c r="F1138" t="str">
        <f>HYPERLINK("https://talan.bank.gov.ua/get-user-certificate/45CEljMzDBNquUl54toB","Завантажити сертифікат")</f>
        <v>Завантажити сертифікат</v>
      </c>
    </row>
    <row r="1139" spans="1:6" x14ac:dyDescent="0.3">
      <c r="A1139" t="s">
        <v>2486</v>
      </c>
      <c r="B1139" t="s">
        <v>6</v>
      </c>
      <c r="C1139" t="s">
        <v>2487</v>
      </c>
      <c r="D1139" t="s">
        <v>2480</v>
      </c>
      <c r="E1139" t="s">
        <v>2481</v>
      </c>
      <c r="F1139" t="str">
        <f>HYPERLINK("https://talan.bank.gov.ua/get-user-certificate/45CEl7I6zxc4uZHDoKWR","Завантажити сертифікат")</f>
        <v>Завантажити сертифікат</v>
      </c>
    </row>
    <row r="1140" spans="1:6" x14ac:dyDescent="0.3">
      <c r="A1140" t="s">
        <v>2488</v>
      </c>
      <c r="B1140" t="s">
        <v>6</v>
      </c>
      <c r="C1140" t="s">
        <v>2489</v>
      </c>
      <c r="D1140" t="s">
        <v>2480</v>
      </c>
      <c r="E1140" t="s">
        <v>2481</v>
      </c>
      <c r="F1140" t="str">
        <f>HYPERLINK("https://talan.bank.gov.ua/get-user-certificate/45CElXlMdD3JrHKfZqeL","Завантажити сертифікат")</f>
        <v>Завантажити сертифікат</v>
      </c>
    </row>
    <row r="1141" spans="1:6" x14ac:dyDescent="0.3">
      <c r="A1141" t="s">
        <v>2490</v>
      </c>
      <c r="B1141" t="s">
        <v>6</v>
      </c>
      <c r="C1141" t="s">
        <v>2491</v>
      </c>
      <c r="D1141" t="s">
        <v>2480</v>
      </c>
      <c r="E1141" t="s">
        <v>2481</v>
      </c>
      <c r="F1141" t="str">
        <f>HYPERLINK("https://talan.bank.gov.ua/get-user-certificate/45CEljG3Cm9_qFUZA_0q","Завантажити сертифікат")</f>
        <v>Завантажити сертифікат</v>
      </c>
    </row>
    <row r="1142" spans="1:6" x14ac:dyDescent="0.3">
      <c r="A1142" t="s">
        <v>2492</v>
      </c>
      <c r="B1142" t="s">
        <v>6</v>
      </c>
      <c r="C1142" t="s">
        <v>2493</v>
      </c>
      <c r="D1142" t="s">
        <v>2480</v>
      </c>
      <c r="E1142" t="s">
        <v>2481</v>
      </c>
      <c r="F1142" t="str">
        <f>HYPERLINK("https://talan.bank.gov.ua/get-user-certificate/45CElaySKVaMnLvPtsG8","Завантажити сертифікат")</f>
        <v>Завантажити сертифікат</v>
      </c>
    </row>
    <row r="1143" spans="1:6" x14ac:dyDescent="0.3">
      <c r="A1143" t="s">
        <v>2494</v>
      </c>
      <c r="B1143" t="s">
        <v>6</v>
      </c>
      <c r="C1143" t="s">
        <v>2495</v>
      </c>
      <c r="D1143" t="s">
        <v>2480</v>
      </c>
      <c r="E1143" t="s">
        <v>2481</v>
      </c>
      <c r="F1143" t="str">
        <f>HYPERLINK("https://talan.bank.gov.ua/get-user-certificate/45CElsiJQZ5hOISFa071","Завантажити сертифікат")</f>
        <v>Завантажити сертифікат</v>
      </c>
    </row>
    <row r="1144" spans="1:6" x14ac:dyDescent="0.3">
      <c r="A1144" t="s">
        <v>2496</v>
      </c>
      <c r="B1144" t="s">
        <v>6</v>
      </c>
      <c r="C1144" t="s">
        <v>2497</v>
      </c>
      <c r="D1144" t="s">
        <v>2498</v>
      </c>
      <c r="E1144" t="s">
        <v>2499</v>
      </c>
      <c r="F1144" t="str">
        <f>HYPERLINK("https://talan.bank.gov.ua/get-user-certificate/45CEl4mszl5YiFNVTT4y","Завантажити сертифікат")</f>
        <v>Завантажити сертифікат</v>
      </c>
    </row>
    <row r="1145" spans="1:6" x14ac:dyDescent="0.3">
      <c r="A1145" t="s">
        <v>2500</v>
      </c>
      <c r="B1145" t="s">
        <v>6</v>
      </c>
      <c r="C1145" t="s">
        <v>2501</v>
      </c>
      <c r="D1145" t="s">
        <v>2498</v>
      </c>
      <c r="E1145" t="s">
        <v>2499</v>
      </c>
      <c r="F1145" t="str">
        <f>HYPERLINK("https://talan.bank.gov.ua/get-user-certificate/45CEl7YrOeYKLd4n1gzA","Завантажити сертифікат")</f>
        <v>Завантажити сертифікат</v>
      </c>
    </row>
    <row r="1146" spans="1:6" x14ac:dyDescent="0.3">
      <c r="A1146" t="s">
        <v>2502</v>
      </c>
      <c r="B1146" t="s">
        <v>6</v>
      </c>
      <c r="C1146" t="s">
        <v>2503</v>
      </c>
      <c r="D1146" t="s">
        <v>2498</v>
      </c>
      <c r="E1146" t="s">
        <v>2499</v>
      </c>
      <c r="F1146" t="str">
        <f>HYPERLINK("https://talan.bank.gov.ua/get-user-certificate/45CElik_1qF3A-Crz8mD","Завантажити сертифікат")</f>
        <v>Завантажити сертифікат</v>
      </c>
    </row>
    <row r="1147" spans="1:6" x14ac:dyDescent="0.3">
      <c r="A1147" t="s">
        <v>2504</v>
      </c>
      <c r="B1147" t="s">
        <v>6</v>
      </c>
      <c r="C1147" t="s">
        <v>2505</v>
      </c>
      <c r="D1147" t="s">
        <v>2498</v>
      </c>
      <c r="E1147" t="s">
        <v>2499</v>
      </c>
      <c r="F1147" t="str">
        <f>HYPERLINK("https://talan.bank.gov.ua/get-user-certificate/45CElQapL9ByGeBTuzTm","Завантажити сертифікат")</f>
        <v>Завантажити сертифікат</v>
      </c>
    </row>
    <row r="1148" spans="1:6" x14ac:dyDescent="0.3">
      <c r="A1148" t="s">
        <v>2506</v>
      </c>
      <c r="B1148" t="s">
        <v>6</v>
      </c>
      <c r="C1148" t="s">
        <v>2507</v>
      </c>
      <c r="D1148" t="s">
        <v>2498</v>
      </c>
      <c r="E1148" t="s">
        <v>2499</v>
      </c>
      <c r="F1148" t="str">
        <f>HYPERLINK("https://talan.bank.gov.ua/get-user-certificate/45CElzZXhX5QJgKDCMRb","Завантажити сертифікат")</f>
        <v>Завантажити сертифікат</v>
      </c>
    </row>
    <row r="1149" spans="1:6" x14ac:dyDescent="0.3">
      <c r="A1149" t="s">
        <v>2508</v>
      </c>
      <c r="B1149" t="s">
        <v>6</v>
      </c>
      <c r="C1149" t="s">
        <v>2509</v>
      </c>
      <c r="D1149" t="s">
        <v>2498</v>
      </c>
      <c r="E1149" t="s">
        <v>2499</v>
      </c>
      <c r="F1149" t="str">
        <f>HYPERLINK("https://talan.bank.gov.ua/get-user-certificate/45CElZGW7tNrcUol3G88","Завантажити сертифікат")</f>
        <v>Завантажити сертифікат</v>
      </c>
    </row>
    <row r="1150" spans="1:6" x14ac:dyDescent="0.3">
      <c r="A1150" t="s">
        <v>2510</v>
      </c>
      <c r="B1150" t="s">
        <v>6</v>
      </c>
      <c r="C1150" t="s">
        <v>2511</v>
      </c>
      <c r="D1150" t="s">
        <v>2498</v>
      </c>
      <c r="E1150" t="s">
        <v>2499</v>
      </c>
      <c r="F1150" t="str">
        <f>HYPERLINK("https://talan.bank.gov.ua/get-user-certificate/45CEl70JBb53H6QUgCwr","Завантажити сертифікат")</f>
        <v>Завантажити сертифікат</v>
      </c>
    </row>
    <row r="1151" spans="1:6" x14ac:dyDescent="0.3">
      <c r="A1151" t="s">
        <v>2512</v>
      </c>
      <c r="B1151" t="s">
        <v>6</v>
      </c>
      <c r="C1151" t="s">
        <v>2513</v>
      </c>
      <c r="D1151" t="s">
        <v>2498</v>
      </c>
      <c r="E1151" t="s">
        <v>2499</v>
      </c>
      <c r="F1151" t="str">
        <f>HYPERLINK("https://talan.bank.gov.ua/get-user-certificate/45CElyv7JMU8nzTsUqyf","Завантажити сертифікат")</f>
        <v>Завантажити сертифікат</v>
      </c>
    </row>
    <row r="1152" spans="1:6" x14ac:dyDescent="0.3">
      <c r="A1152" t="s">
        <v>2514</v>
      </c>
      <c r="B1152" t="s">
        <v>6</v>
      </c>
      <c r="C1152" t="s">
        <v>2515</v>
      </c>
      <c r="D1152" t="s">
        <v>2498</v>
      </c>
      <c r="E1152" t="s">
        <v>2499</v>
      </c>
      <c r="F1152" t="str">
        <f>HYPERLINK("https://talan.bank.gov.ua/get-user-certificate/45CElHYnVz71z-OqYo66","Завантажити сертифікат")</f>
        <v>Завантажити сертифікат</v>
      </c>
    </row>
    <row r="1153" spans="1:6" x14ac:dyDescent="0.3">
      <c r="A1153" t="s">
        <v>2516</v>
      </c>
      <c r="B1153" t="s">
        <v>6</v>
      </c>
      <c r="C1153" t="s">
        <v>2517</v>
      </c>
      <c r="D1153" t="s">
        <v>2498</v>
      </c>
      <c r="E1153" t="s">
        <v>2499</v>
      </c>
      <c r="F1153" t="str">
        <f>HYPERLINK("https://talan.bank.gov.ua/get-user-certificate/45CElW58tGoj7QxnGnpH","Завантажити сертифікат")</f>
        <v>Завантажити сертифікат</v>
      </c>
    </row>
    <row r="1154" spans="1:6" x14ac:dyDescent="0.3">
      <c r="A1154" t="s">
        <v>2518</v>
      </c>
      <c r="B1154" t="s">
        <v>6</v>
      </c>
      <c r="C1154" t="s">
        <v>2519</v>
      </c>
      <c r="D1154" t="s">
        <v>2498</v>
      </c>
      <c r="E1154" t="s">
        <v>2499</v>
      </c>
      <c r="F1154" t="str">
        <f>HYPERLINK("https://talan.bank.gov.ua/get-user-certificate/45CElEXF0nAUZfETp_ja","Завантажити сертифікат")</f>
        <v>Завантажити сертифікат</v>
      </c>
    </row>
    <row r="1155" spans="1:6" x14ac:dyDescent="0.3">
      <c r="A1155" t="s">
        <v>2520</v>
      </c>
      <c r="B1155" t="s">
        <v>6</v>
      </c>
      <c r="C1155" t="s">
        <v>2521</v>
      </c>
      <c r="D1155" t="s">
        <v>2498</v>
      </c>
      <c r="E1155" t="s">
        <v>2499</v>
      </c>
      <c r="F1155" t="str">
        <f>HYPERLINK("https://talan.bank.gov.ua/get-user-certificate/45CElucjS9QBSewVQpGJ","Завантажити сертифікат")</f>
        <v>Завантажити сертифікат</v>
      </c>
    </row>
    <row r="1156" spans="1:6" x14ac:dyDescent="0.3">
      <c r="A1156" t="s">
        <v>2522</v>
      </c>
      <c r="B1156" t="s">
        <v>6</v>
      </c>
      <c r="C1156" t="s">
        <v>2523</v>
      </c>
      <c r="D1156" t="s">
        <v>2498</v>
      </c>
      <c r="E1156" t="s">
        <v>2499</v>
      </c>
      <c r="F1156" t="str">
        <f>HYPERLINK("https://talan.bank.gov.ua/get-user-certificate/45CElgLhIEumiQ8mcz6m","Завантажити сертифікат")</f>
        <v>Завантажити сертифікат</v>
      </c>
    </row>
    <row r="1157" spans="1:6" x14ac:dyDescent="0.3">
      <c r="A1157" t="s">
        <v>2524</v>
      </c>
      <c r="B1157" t="s">
        <v>6</v>
      </c>
      <c r="C1157" t="s">
        <v>2525</v>
      </c>
      <c r="D1157" t="s">
        <v>2498</v>
      </c>
      <c r="E1157" t="s">
        <v>2499</v>
      </c>
      <c r="F1157" t="str">
        <f>HYPERLINK("https://talan.bank.gov.ua/get-user-certificate/45CElZuQF5r3xkfLIcE4","Завантажити сертифікат")</f>
        <v>Завантажити сертифікат</v>
      </c>
    </row>
    <row r="1158" spans="1:6" x14ac:dyDescent="0.3">
      <c r="A1158" t="s">
        <v>2526</v>
      </c>
      <c r="B1158" t="s">
        <v>6</v>
      </c>
      <c r="C1158" t="s">
        <v>2527</v>
      </c>
      <c r="D1158" t="s">
        <v>2498</v>
      </c>
      <c r="E1158" t="s">
        <v>2499</v>
      </c>
      <c r="F1158" t="str">
        <f>HYPERLINK("https://talan.bank.gov.ua/get-user-certificate/45CEl70zt_ILAx5UaM3n","Завантажити сертифікат")</f>
        <v>Завантажити сертифікат</v>
      </c>
    </row>
    <row r="1159" spans="1:6" x14ac:dyDescent="0.3">
      <c r="A1159" t="s">
        <v>2528</v>
      </c>
      <c r="B1159" t="s">
        <v>6</v>
      </c>
      <c r="C1159" t="s">
        <v>2529</v>
      </c>
      <c r="D1159" t="s">
        <v>2498</v>
      </c>
      <c r="E1159" t="s">
        <v>2499</v>
      </c>
      <c r="F1159" t="str">
        <f>HYPERLINK("https://talan.bank.gov.ua/get-user-certificate/45CElBAJKRiMm6iwdgPB","Завантажити сертифікат")</f>
        <v>Завантажити сертифікат</v>
      </c>
    </row>
    <row r="1160" spans="1:6" x14ac:dyDescent="0.3">
      <c r="A1160" t="s">
        <v>2530</v>
      </c>
      <c r="B1160" t="s">
        <v>6</v>
      </c>
      <c r="C1160" t="s">
        <v>2531</v>
      </c>
      <c r="D1160" t="s">
        <v>2498</v>
      </c>
      <c r="E1160" t="s">
        <v>2499</v>
      </c>
      <c r="F1160" t="str">
        <f>HYPERLINK("https://talan.bank.gov.ua/get-user-certificate/45CEllmo0H2jCSkxSkTZ","Завантажити сертифікат")</f>
        <v>Завантажити сертифікат</v>
      </c>
    </row>
    <row r="1161" spans="1:6" x14ac:dyDescent="0.3">
      <c r="A1161" t="s">
        <v>2532</v>
      </c>
      <c r="B1161" t="s">
        <v>6</v>
      </c>
      <c r="C1161" t="s">
        <v>2533</v>
      </c>
      <c r="D1161" t="s">
        <v>2498</v>
      </c>
      <c r="E1161" t="s">
        <v>2499</v>
      </c>
      <c r="F1161" t="str">
        <f>HYPERLINK("https://talan.bank.gov.ua/get-user-certificate/45CElfxkor_a67teSVRq","Завантажити сертифікат")</f>
        <v>Завантажити сертифікат</v>
      </c>
    </row>
    <row r="1162" spans="1:6" x14ac:dyDescent="0.3">
      <c r="A1162" t="s">
        <v>2534</v>
      </c>
      <c r="B1162" t="s">
        <v>6</v>
      </c>
      <c r="C1162" t="s">
        <v>2535</v>
      </c>
      <c r="D1162" t="s">
        <v>2498</v>
      </c>
      <c r="E1162" t="s">
        <v>2499</v>
      </c>
      <c r="F1162" t="str">
        <f>HYPERLINK("https://talan.bank.gov.ua/get-user-certificate/45CElfATH5iEKRrZ2VyA","Завантажити сертифікат")</f>
        <v>Завантажити сертифікат</v>
      </c>
    </row>
    <row r="1163" spans="1:6" x14ac:dyDescent="0.3">
      <c r="A1163" t="s">
        <v>2536</v>
      </c>
      <c r="B1163" t="s">
        <v>6</v>
      </c>
      <c r="C1163" t="s">
        <v>2537</v>
      </c>
      <c r="D1163" t="s">
        <v>2498</v>
      </c>
      <c r="E1163" t="s">
        <v>2499</v>
      </c>
      <c r="F1163" t="str">
        <f>HYPERLINK("https://talan.bank.gov.ua/get-user-certificate/45CElWNCSKigCqQaEKs8","Завантажити сертифікат")</f>
        <v>Завантажити сертифікат</v>
      </c>
    </row>
    <row r="1164" spans="1:6" x14ac:dyDescent="0.3">
      <c r="A1164" t="s">
        <v>2538</v>
      </c>
      <c r="B1164" t="s">
        <v>6</v>
      </c>
      <c r="C1164" t="s">
        <v>2539</v>
      </c>
      <c r="D1164" t="s">
        <v>2498</v>
      </c>
      <c r="E1164" t="s">
        <v>2499</v>
      </c>
      <c r="F1164" t="str">
        <f>HYPERLINK("https://talan.bank.gov.ua/get-user-certificate/45CEl0A66tMue2URIErL","Завантажити сертифікат")</f>
        <v>Завантажити сертифікат</v>
      </c>
    </row>
    <row r="1165" spans="1:6" x14ac:dyDescent="0.3">
      <c r="A1165" t="s">
        <v>2540</v>
      </c>
      <c r="B1165" t="s">
        <v>6</v>
      </c>
      <c r="C1165" t="s">
        <v>2541</v>
      </c>
      <c r="D1165" t="s">
        <v>2498</v>
      </c>
      <c r="E1165" t="s">
        <v>2499</v>
      </c>
      <c r="F1165" t="str">
        <f>HYPERLINK("https://talan.bank.gov.ua/get-user-certificate/45CElJKgWa3FrPhLxMVj","Завантажити сертифікат")</f>
        <v>Завантажити сертифікат</v>
      </c>
    </row>
    <row r="1166" spans="1:6" x14ac:dyDescent="0.3">
      <c r="A1166" t="s">
        <v>2542</v>
      </c>
      <c r="B1166" t="s">
        <v>6</v>
      </c>
      <c r="C1166" t="s">
        <v>2543</v>
      </c>
      <c r="D1166" t="s">
        <v>2498</v>
      </c>
      <c r="E1166" t="s">
        <v>2499</v>
      </c>
      <c r="F1166" t="str">
        <f>HYPERLINK("https://talan.bank.gov.ua/get-user-certificate/45CElypQePj384f_YohS","Завантажити сертифікат")</f>
        <v>Завантажити сертифікат</v>
      </c>
    </row>
    <row r="1167" spans="1:6" x14ac:dyDescent="0.3">
      <c r="A1167" t="s">
        <v>2544</v>
      </c>
      <c r="B1167" t="s">
        <v>6</v>
      </c>
      <c r="C1167" t="s">
        <v>2545</v>
      </c>
      <c r="D1167" t="s">
        <v>2498</v>
      </c>
      <c r="E1167" t="s">
        <v>2499</v>
      </c>
      <c r="F1167" t="str">
        <f>HYPERLINK("https://talan.bank.gov.ua/get-user-certificate/45CElxsUucM969uV0QnS","Завантажити сертифікат")</f>
        <v>Завантажити сертифікат</v>
      </c>
    </row>
    <row r="1168" spans="1:6" x14ac:dyDescent="0.3">
      <c r="A1168" t="s">
        <v>2546</v>
      </c>
      <c r="B1168" t="s">
        <v>6</v>
      </c>
      <c r="C1168" t="s">
        <v>2547</v>
      </c>
      <c r="D1168" t="s">
        <v>2498</v>
      </c>
      <c r="E1168" t="s">
        <v>2499</v>
      </c>
      <c r="F1168" t="str">
        <f>HYPERLINK("https://talan.bank.gov.ua/get-user-certificate/45CEluqQhb8sWdMExE4U","Завантажити сертифікат")</f>
        <v>Завантажити сертифікат</v>
      </c>
    </row>
    <row r="1169" spans="1:6" x14ac:dyDescent="0.3">
      <c r="A1169" t="s">
        <v>2548</v>
      </c>
      <c r="B1169" t="s">
        <v>6</v>
      </c>
      <c r="C1169" t="s">
        <v>2549</v>
      </c>
      <c r="D1169" t="s">
        <v>2498</v>
      </c>
      <c r="E1169" t="s">
        <v>2499</v>
      </c>
      <c r="F1169" t="str">
        <f>HYPERLINK("https://talan.bank.gov.ua/get-user-certificate/45CElsPKzb7GjAyTmhvc","Завантажити сертифікат")</f>
        <v>Завантажити сертифікат</v>
      </c>
    </row>
    <row r="1170" spans="1:6" x14ac:dyDescent="0.3">
      <c r="A1170" t="s">
        <v>2550</v>
      </c>
      <c r="B1170" t="s">
        <v>6</v>
      </c>
      <c r="C1170" t="s">
        <v>2551</v>
      </c>
      <c r="D1170" t="s">
        <v>2498</v>
      </c>
      <c r="E1170" t="s">
        <v>2499</v>
      </c>
      <c r="F1170" t="str">
        <f>HYPERLINK("https://talan.bank.gov.ua/get-user-certificate/45CElkg-KlGAmOC8LcLX","Завантажити сертифікат")</f>
        <v>Завантажити сертифікат</v>
      </c>
    </row>
    <row r="1171" spans="1:6" x14ac:dyDescent="0.3">
      <c r="A1171" t="s">
        <v>2552</v>
      </c>
      <c r="B1171" t="s">
        <v>6</v>
      </c>
      <c r="C1171" t="s">
        <v>2553</v>
      </c>
      <c r="D1171" t="s">
        <v>2498</v>
      </c>
      <c r="E1171" t="s">
        <v>2499</v>
      </c>
      <c r="F1171" t="str">
        <f>HYPERLINK("https://talan.bank.gov.ua/get-user-certificate/45CElHncIZ05n5icGG2e","Завантажити сертифікат")</f>
        <v>Завантажити сертифікат</v>
      </c>
    </row>
    <row r="1172" spans="1:6" x14ac:dyDescent="0.3">
      <c r="A1172" t="s">
        <v>2554</v>
      </c>
      <c r="B1172" t="s">
        <v>6</v>
      </c>
      <c r="C1172" t="s">
        <v>2555</v>
      </c>
      <c r="D1172" t="s">
        <v>2498</v>
      </c>
      <c r="E1172" t="s">
        <v>2499</v>
      </c>
      <c r="F1172" t="str">
        <f>HYPERLINK("https://talan.bank.gov.ua/get-user-certificate/45CElj8F0CJU7D--4ttd","Завантажити сертифікат")</f>
        <v>Завантажити сертифікат</v>
      </c>
    </row>
    <row r="1173" spans="1:6" x14ac:dyDescent="0.3">
      <c r="A1173" t="s">
        <v>2556</v>
      </c>
      <c r="B1173" t="s">
        <v>6</v>
      </c>
      <c r="C1173" t="s">
        <v>2557</v>
      </c>
      <c r="D1173" t="s">
        <v>2498</v>
      </c>
      <c r="E1173" t="s">
        <v>2499</v>
      </c>
      <c r="F1173" t="str">
        <f>HYPERLINK("https://talan.bank.gov.ua/get-user-certificate/45CElqQdMqXAa9kbvYVE","Завантажити сертифікат")</f>
        <v>Завантажити сертифікат</v>
      </c>
    </row>
    <row r="1174" spans="1:6" x14ac:dyDescent="0.3">
      <c r="A1174" t="s">
        <v>2558</v>
      </c>
      <c r="B1174" t="s">
        <v>6</v>
      </c>
      <c r="C1174" t="s">
        <v>2559</v>
      </c>
      <c r="D1174" t="s">
        <v>2498</v>
      </c>
      <c r="E1174" t="s">
        <v>2499</v>
      </c>
      <c r="F1174" t="str">
        <f>HYPERLINK("https://talan.bank.gov.ua/get-user-certificate/45CElFlQvxv2eJ75-rEB","Завантажити сертифікат")</f>
        <v>Завантажити сертифікат</v>
      </c>
    </row>
    <row r="1175" spans="1:6" x14ac:dyDescent="0.3">
      <c r="A1175" t="s">
        <v>2560</v>
      </c>
      <c r="B1175" t="s">
        <v>6</v>
      </c>
      <c r="C1175" t="s">
        <v>2561</v>
      </c>
      <c r="D1175" t="s">
        <v>2498</v>
      </c>
      <c r="E1175" t="s">
        <v>2499</v>
      </c>
      <c r="F1175" t="str">
        <f>HYPERLINK("https://talan.bank.gov.ua/get-user-certificate/45CElIexnCIyvXB8Nf5j","Завантажити сертифікат")</f>
        <v>Завантажити сертифікат</v>
      </c>
    </row>
    <row r="1176" spans="1:6" x14ac:dyDescent="0.3">
      <c r="A1176" t="s">
        <v>2562</v>
      </c>
      <c r="B1176" t="s">
        <v>6</v>
      </c>
      <c r="C1176" t="s">
        <v>2563</v>
      </c>
      <c r="D1176" t="s">
        <v>2498</v>
      </c>
      <c r="E1176" t="s">
        <v>2499</v>
      </c>
      <c r="F1176" t="str">
        <f>HYPERLINK("https://talan.bank.gov.ua/get-user-certificate/45CElPefv3V2tO4IEwzx","Завантажити сертифікат")</f>
        <v>Завантажити сертифікат</v>
      </c>
    </row>
    <row r="1177" spans="1:6" x14ac:dyDescent="0.3">
      <c r="A1177" t="s">
        <v>2564</v>
      </c>
      <c r="B1177" t="s">
        <v>6</v>
      </c>
      <c r="C1177" t="s">
        <v>2565</v>
      </c>
      <c r="D1177" t="s">
        <v>2498</v>
      </c>
      <c r="E1177" t="s">
        <v>2499</v>
      </c>
      <c r="F1177" t="str">
        <f>HYPERLINK("https://talan.bank.gov.ua/get-user-certificate/45CEl9GuhMDTNRnMrUvk","Завантажити сертифікат")</f>
        <v>Завантажити сертифікат</v>
      </c>
    </row>
    <row r="1178" spans="1:6" x14ac:dyDescent="0.3">
      <c r="A1178" t="s">
        <v>2566</v>
      </c>
      <c r="B1178" t="s">
        <v>6</v>
      </c>
      <c r="C1178" t="s">
        <v>2567</v>
      </c>
      <c r="D1178" t="s">
        <v>2498</v>
      </c>
      <c r="E1178" t="s">
        <v>2499</v>
      </c>
      <c r="F1178" t="str">
        <f>HYPERLINK("https://talan.bank.gov.ua/get-user-certificate/45CEl3kC3rujxzJ3cPzP","Завантажити сертифікат")</f>
        <v>Завантажити сертифікат</v>
      </c>
    </row>
    <row r="1179" spans="1:6" x14ac:dyDescent="0.3">
      <c r="A1179" t="s">
        <v>2568</v>
      </c>
      <c r="B1179" t="s">
        <v>6</v>
      </c>
      <c r="C1179" t="s">
        <v>2569</v>
      </c>
      <c r="D1179" t="s">
        <v>2498</v>
      </c>
      <c r="E1179" t="s">
        <v>2499</v>
      </c>
      <c r="F1179" t="str">
        <f>HYPERLINK("https://talan.bank.gov.ua/get-user-certificate/45CEl0l7dStUD6kn4iQc","Завантажити сертифікат")</f>
        <v>Завантажити сертифікат</v>
      </c>
    </row>
    <row r="1180" spans="1:6" x14ac:dyDescent="0.3">
      <c r="A1180" t="s">
        <v>2570</v>
      </c>
      <c r="B1180" t="s">
        <v>6</v>
      </c>
      <c r="C1180" t="s">
        <v>2571</v>
      </c>
      <c r="D1180" t="s">
        <v>2498</v>
      </c>
      <c r="E1180" t="s">
        <v>2499</v>
      </c>
      <c r="F1180" t="str">
        <f>HYPERLINK("https://talan.bank.gov.ua/get-user-certificate/45CEl2ijKx67pnhmCBkk","Завантажити сертифікат")</f>
        <v>Завантажити сертифікат</v>
      </c>
    </row>
    <row r="1181" spans="1:6" x14ac:dyDescent="0.3">
      <c r="A1181" t="s">
        <v>2572</v>
      </c>
      <c r="B1181" t="s">
        <v>6</v>
      </c>
      <c r="C1181" t="s">
        <v>2573</v>
      </c>
      <c r="D1181" t="s">
        <v>2574</v>
      </c>
      <c r="E1181" t="s">
        <v>2575</v>
      </c>
      <c r="F1181" t="str">
        <f>HYPERLINK("https://talan.bank.gov.ua/get-user-certificate/45CElL_DOTPXK4T37bu0","Завантажити сертифікат")</f>
        <v>Завантажити сертифікат</v>
      </c>
    </row>
    <row r="1182" spans="1:6" x14ac:dyDescent="0.3">
      <c r="A1182" t="s">
        <v>2576</v>
      </c>
      <c r="B1182" t="s">
        <v>6</v>
      </c>
      <c r="C1182" t="s">
        <v>2577</v>
      </c>
      <c r="D1182" t="s">
        <v>2574</v>
      </c>
      <c r="E1182" t="s">
        <v>2575</v>
      </c>
      <c r="F1182" t="str">
        <f>HYPERLINK("https://talan.bank.gov.ua/get-user-certificate/45CEl47F-Cc_mshQpEL6","Завантажити сертифікат")</f>
        <v>Завантажити сертифікат</v>
      </c>
    </row>
    <row r="1183" spans="1:6" x14ac:dyDescent="0.3">
      <c r="A1183" t="s">
        <v>2578</v>
      </c>
      <c r="B1183" t="s">
        <v>6</v>
      </c>
      <c r="C1183" t="s">
        <v>2579</v>
      </c>
      <c r="D1183" t="s">
        <v>2574</v>
      </c>
      <c r="E1183" t="s">
        <v>2575</v>
      </c>
      <c r="F1183" t="str">
        <f>HYPERLINK("https://talan.bank.gov.ua/get-user-certificate/45CElvQpXyZVthmjKtc6","Завантажити сертифікат")</f>
        <v>Завантажити сертифікат</v>
      </c>
    </row>
    <row r="1184" spans="1:6" x14ac:dyDescent="0.3">
      <c r="A1184" t="s">
        <v>2580</v>
      </c>
      <c r="B1184" t="s">
        <v>6</v>
      </c>
      <c r="C1184" t="s">
        <v>2581</v>
      </c>
      <c r="D1184" t="s">
        <v>2574</v>
      </c>
      <c r="E1184" t="s">
        <v>2575</v>
      </c>
      <c r="F1184" t="str">
        <f>HYPERLINK("https://talan.bank.gov.ua/get-user-certificate/45CElnpNqvQCyF-F-YAd","Завантажити сертифікат")</f>
        <v>Завантажити сертифікат</v>
      </c>
    </row>
    <row r="1185" spans="1:6" x14ac:dyDescent="0.3">
      <c r="A1185" t="s">
        <v>2582</v>
      </c>
      <c r="B1185" t="s">
        <v>6</v>
      </c>
      <c r="C1185" t="s">
        <v>2583</v>
      </c>
      <c r="D1185" t="s">
        <v>2574</v>
      </c>
      <c r="E1185" t="s">
        <v>2575</v>
      </c>
      <c r="F1185" t="str">
        <f>HYPERLINK("https://talan.bank.gov.ua/get-user-certificate/45CElmxTh6IG7DpYeb5F","Завантажити сертифікат")</f>
        <v>Завантажити сертифікат</v>
      </c>
    </row>
    <row r="1186" spans="1:6" x14ac:dyDescent="0.3">
      <c r="A1186" t="s">
        <v>2584</v>
      </c>
      <c r="B1186" t="s">
        <v>6</v>
      </c>
      <c r="C1186" t="s">
        <v>2585</v>
      </c>
      <c r="D1186" t="s">
        <v>2574</v>
      </c>
      <c r="E1186" t="s">
        <v>2575</v>
      </c>
      <c r="F1186" t="str">
        <f>HYPERLINK("https://talan.bank.gov.ua/get-user-certificate/45CEl8tNRzsVnxoGzNTa","Завантажити сертифікат")</f>
        <v>Завантажити сертифікат</v>
      </c>
    </row>
    <row r="1187" spans="1:6" x14ac:dyDescent="0.3">
      <c r="A1187" t="s">
        <v>2586</v>
      </c>
      <c r="B1187" t="s">
        <v>6</v>
      </c>
      <c r="C1187" t="s">
        <v>2587</v>
      </c>
      <c r="D1187" t="s">
        <v>2574</v>
      </c>
      <c r="E1187" t="s">
        <v>2575</v>
      </c>
      <c r="F1187" t="str">
        <f>HYPERLINK("https://talan.bank.gov.ua/get-user-certificate/45CElDYXWdcdCx5tiqQe","Завантажити сертифікат")</f>
        <v>Завантажити сертифікат</v>
      </c>
    </row>
    <row r="1188" spans="1:6" x14ac:dyDescent="0.3">
      <c r="A1188" t="s">
        <v>2588</v>
      </c>
      <c r="B1188" t="s">
        <v>6</v>
      </c>
      <c r="C1188" t="s">
        <v>2589</v>
      </c>
      <c r="D1188" t="s">
        <v>2574</v>
      </c>
      <c r="E1188" t="s">
        <v>2575</v>
      </c>
      <c r="F1188" t="str">
        <f>HYPERLINK("https://talan.bank.gov.ua/get-user-certificate/45CElUnRZQC4tZo-RWyy","Завантажити сертифікат")</f>
        <v>Завантажити сертифікат</v>
      </c>
    </row>
    <row r="1189" spans="1:6" x14ac:dyDescent="0.3">
      <c r="A1189" t="s">
        <v>2590</v>
      </c>
      <c r="B1189" t="s">
        <v>6</v>
      </c>
      <c r="C1189" t="s">
        <v>2591</v>
      </c>
      <c r="D1189" t="s">
        <v>2574</v>
      </c>
      <c r="E1189" t="s">
        <v>2575</v>
      </c>
      <c r="F1189" t="str">
        <f>HYPERLINK("https://talan.bank.gov.ua/get-user-certificate/45CElmvY0qF4FTyNO2Ul","Завантажити сертифікат")</f>
        <v>Завантажити сертифікат</v>
      </c>
    </row>
    <row r="1190" spans="1:6" x14ac:dyDescent="0.3">
      <c r="A1190" t="s">
        <v>2592</v>
      </c>
      <c r="B1190" t="s">
        <v>6</v>
      </c>
      <c r="C1190" t="s">
        <v>2593</v>
      </c>
      <c r="D1190" t="s">
        <v>2574</v>
      </c>
      <c r="E1190" t="s">
        <v>2575</v>
      </c>
      <c r="F1190" t="str">
        <f>HYPERLINK("https://talan.bank.gov.ua/get-user-certificate/45CElXBU4fshwlvZXjXX","Завантажити сертифікат")</f>
        <v>Завантажити сертифікат</v>
      </c>
    </row>
    <row r="1191" spans="1:6" x14ac:dyDescent="0.3">
      <c r="A1191" t="s">
        <v>2594</v>
      </c>
      <c r="B1191" t="s">
        <v>6</v>
      </c>
      <c r="C1191" t="s">
        <v>2595</v>
      </c>
      <c r="D1191" t="s">
        <v>2574</v>
      </c>
      <c r="E1191" t="s">
        <v>2575</v>
      </c>
      <c r="F1191" t="str">
        <f>HYPERLINK("https://talan.bank.gov.ua/get-user-certificate/45CElYrKlOyc_Dm99iDX","Завантажити сертифікат")</f>
        <v>Завантажити сертифікат</v>
      </c>
    </row>
    <row r="1192" spans="1:6" x14ac:dyDescent="0.3">
      <c r="A1192" t="s">
        <v>2596</v>
      </c>
      <c r="B1192" t="s">
        <v>6</v>
      </c>
      <c r="C1192" t="s">
        <v>2597</v>
      </c>
      <c r="D1192" t="s">
        <v>2574</v>
      </c>
      <c r="E1192" t="s">
        <v>2575</v>
      </c>
      <c r="F1192" t="str">
        <f>HYPERLINK("https://talan.bank.gov.ua/get-user-certificate/45CElg528fGsA7nTD72U","Завантажити сертифікат")</f>
        <v>Завантажити сертифікат</v>
      </c>
    </row>
    <row r="1193" spans="1:6" x14ac:dyDescent="0.3">
      <c r="A1193" t="s">
        <v>2598</v>
      </c>
      <c r="B1193" t="s">
        <v>6</v>
      </c>
      <c r="C1193" t="s">
        <v>2599</v>
      </c>
      <c r="D1193" t="s">
        <v>2574</v>
      </c>
      <c r="E1193" t="s">
        <v>2575</v>
      </c>
      <c r="F1193" t="str">
        <f>HYPERLINK("https://talan.bank.gov.ua/get-user-certificate/45CElmClKQhpJR8CMHnp","Завантажити сертифікат")</f>
        <v>Завантажити сертифікат</v>
      </c>
    </row>
    <row r="1194" spans="1:6" x14ac:dyDescent="0.3">
      <c r="A1194" t="s">
        <v>2600</v>
      </c>
      <c r="B1194" t="s">
        <v>6</v>
      </c>
      <c r="C1194" t="s">
        <v>2601</v>
      </c>
      <c r="D1194" t="s">
        <v>2574</v>
      </c>
      <c r="E1194" t="s">
        <v>2575</v>
      </c>
      <c r="F1194" t="str">
        <f>HYPERLINK("https://talan.bank.gov.ua/get-user-certificate/45CEl21V01Cf9J3daRCR","Завантажити сертифікат")</f>
        <v>Завантажити сертифікат</v>
      </c>
    </row>
    <row r="1195" spans="1:6" x14ac:dyDescent="0.3">
      <c r="A1195" t="s">
        <v>2602</v>
      </c>
      <c r="B1195" t="s">
        <v>6</v>
      </c>
      <c r="C1195" t="s">
        <v>2603</v>
      </c>
      <c r="D1195" t="s">
        <v>2574</v>
      </c>
      <c r="E1195" t="s">
        <v>2575</v>
      </c>
      <c r="F1195" t="str">
        <f>HYPERLINK("https://talan.bank.gov.ua/get-user-certificate/45CEl9iwmN4KJ4rUigEi","Завантажити сертифікат")</f>
        <v>Завантажити сертифікат</v>
      </c>
    </row>
    <row r="1196" spans="1:6" x14ac:dyDescent="0.3">
      <c r="A1196" t="s">
        <v>2604</v>
      </c>
      <c r="B1196" t="s">
        <v>6</v>
      </c>
      <c r="C1196" t="s">
        <v>2605</v>
      </c>
      <c r="D1196" t="s">
        <v>2574</v>
      </c>
      <c r="E1196" t="s">
        <v>2575</v>
      </c>
      <c r="F1196" t="str">
        <f>HYPERLINK("https://talan.bank.gov.ua/get-user-certificate/45CElbLzyJcqKJ09BcFW","Завантажити сертифікат")</f>
        <v>Завантажити сертифікат</v>
      </c>
    </row>
    <row r="1197" spans="1:6" x14ac:dyDescent="0.3">
      <c r="A1197" t="s">
        <v>2606</v>
      </c>
      <c r="B1197" t="s">
        <v>6</v>
      </c>
      <c r="C1197" t="s">
        <v>2607</v>
      </c>
      <c r="D1197" t="s">
        <v>2574</v>
      </c>
      <c r="E1197" t="s">
        <v>2575</v>
      </c>
      <c r="F1197" t="str">
        <f>HYPERLINK("https://talan.bank.gov.ua/get-user-certificate/45CEl2iCIFhJVwCAvbWK","Завантажити сертифікат")</f>
        <v>Завантажити сертифікат</v>
      </c>
    </row>
    <row r="1198" spans="1:6" x14ac:dyDescent="0.3">
      <c r="A1198" t="s">
        <v>2608</v>
      </c>
      <c r="B1198" t="s">
        <v>6</v>
      </c>
      <c r="C1198" t="s">
        <v>2609</v>
      </c>
      <c r="D1198" t="s">
        <v>2574</v>
      </c>
      <c r="E1198" t="s">
        <v>2575</v>
      </c>
      <c r="F1198" t="str">
        <f>HYPERLINK("https://talan.bank.gov.ua/get-user-certificate/45CEl6PonyCpaUyDeIAp","Завантажити сертифікат")</f>
        <v>Завантажити сертифікат</v>
      </c>
    </row>
    <row r="1199" spans="1:6" x14ac:dyDescent="0.3">
      <c r="A1199" t="s">
        <v>2610</v>
      </c>
      <c r="B1199" t="s">
        <v>6</v>
      </c>
      <c r="C1199" t="s">
        <v>2611</v>
      </c>
      <c r="D1199" t="s">
        <v>2574</v>
      </c>
      <c r="E1199" t="s">
        <v>2575</v>
      </c>
      <c r="F1199" t="str">
        <f>HYPERLINK("https://talan.bank.gov.ua/get-user-certificate/45CElPVZfrqSaphGj6Pd","Завантажити сертифікат")</f>
        <v>Завантажити сертифікат</v>
      </c>
    </row>
    <row r="1200" spans="1:6" x14ac:dyDescent="0.3">
      <c r="A1200" t="s">
        <v>2612</v>
      </c>
      <c r="B1200" t="s">
        <v>6</v>
      </c>
      <c r="C1200" t="s">
        <v>2613</v>
      </c>
      <c r="D1200" t="s">
        <v>2574</v>
      </c>
      <c r="E1200" t="s">
        <v>2575</v>
      </c>
      <c r="F1200" t="str">
        <f>HYPERLINK("https://talan.bank.gov.ua/get-user-certificate/45CElPrPIQSh_ldqX2tr","Завантажити сертифікат")</f>
        <v>Завантажити сертифікат</v>
      </c>
    </row>
    <row r="1201" spans="1:6" x14ac:dyDescent="0.3">
      <c r="A1201" t="s">
        <v>2614</v>
      </c>
      <c r="B1201" t="s">
        <v>6</v>
      </c>
      <c r="C1201" t="s">
        <v>2615</v>
      </c>
      <c r="D1201" t="s">
        <v>2574</v>
      </c>
      <c r="E1201" t="s">
        <v>2575</v>
      </c>
      <c r="F1201" t="str">
        <f>HYPERLINK("https://talan.bank.gov.ua/get-user-certificate/45CElsWloQlAlAhcSs2m","Завантажити сертифікат")</f>
        <v>Завантажити сертифікат</v>
      </c>
    </row>
    <row r="1202" spans="1:6" x14ac:dyDescent="0.3">
      <c r="A1202" t="s">
        <v>2616</v>
      </c>
      <c r="B1202" t="s">
        <v>6</v>
      </c>
      <c r="C1202" t="s">
        <v>2617</v>
      </c>
      <c r="D1202" t="s">
        <v>2574</v>
      </c>
      <c r="E1202" t="s">
        <v>2575</v>
      </c>
      <c r="F1202" t="str">
        <f>HYPERLINK("https://talan.bank.gov.ua/get-user-certificate/45CEljpmandwIiAv6zHx","Завантажити сертифікат")</f>
        <v>Завантажити сертифікат</v>
      </c>
    </row>
    <row r="1203" spans="1:6" x14ac:dyDescent="0.3">
      <c r="A1203" t="s">
        <v>2618</v>
      </c>
      <c r="B1203" t="s">
        <v>6</v>
      </c>
      <c r="C1203" t="s">
        <v>2619</v>
      </c>
      <c r="D1203" t="s">
        <v>2574</v>
      </c>
      <c r="E1203" t="s">
        <v>2575</v>
      </c>
      <c r="F1203" t="str">
        <f>HYPERLINK("https://talan.bank.gov.ua/get-user-certificate/45CElbd-UvH4enkRmm1w","Завантажити сертифікат")</f>
        <v>Завантажити сертифікат</v>
      </c>
    </row>
    <row r="1204" spans="1:6" x14ac:dyDescent="0.3">
      <c r="A1204" t="s">
        <v>2620</v>
      </c>
      <c r="B1204" t="s">
        <v>6</v>
      </c>
      <c r="C1204" t="s">
        <v>2621</v>
      </c>
      <c r="D1204" t="s">
        <v>2574</v>
      </c>
      <c r="E1204" t="s">
        <v>2575</v>
      </c>
      <c r="F1204" t="str">
        <f>HYPERLINK("https://talan.bank.gov.ua/get-user-certificate/45CElLLEdkB2ytM9RiEN","Завантажити сертифікат")</f>
        <v>Завантажити сертифікат</v>
      </c>
    </row>
    <row r="1205" spans="1:6" x14ac:dyDescent="0.3">
      <c r="A1205" t="s">
        <v>2622</v>
      </c>
      <c r="B1205" t="s">
        <v>6</v>
      </c>
      <c r="C1205" t="s">
        <v>2623</v>
      </c>
      <c r="D1205" t="s">
        <v>2624</v>
      </c>
      <c r="E1205" t="s">
        <v>2625</v>
      </c>
      <c r="F1205" t="str">
        <f>HYPERLINK("https://talan.bank.gov.ua/get-user-certificate/45CElsJowLvZ5Qb7c-Ws","Завантажити сертифікат")</f>
        <v>Завантажити сертифікат</v>
      </c>
    </row>
    <row r="1206" spans="1:6" x14ac:dyDescent="0.3">
      <c r="A1206" t="s">
        <v>2626</v>
      </c>
      <c r="B1206" t="s">
        <v>6</v>
      </c>
      <c r="C1206" t="s">
        <v>2627</v>
      </c>
      <c r="D1206" t="s">
        <v>2624</v>
      </c>
      <c r="E1206" t="s">
        <v>2625</v>
      </c>
      <c r="F1206" t="str">
        <f>HYPERLINK("https://talan.bank.gov.ua/get-user-certificate/45CElEXTBijM22kXz7sL","Завантажити сертифікат")</f>
        <v>Завантажити сертифікат</v>
      </c>
    </row>
    <row r="1207" spans="1:6" x14ac:dyDescent="0.3">
      <c r="A1207" t="s">
        <v>2628</v>
      </c>
      <c r="B1207" t="s">
        <v>6</v>
      </c>
      <c r="C1207" t="s">
        <v>2629</v>
      </c>
      <c r="D1207" t="s">
        <v>2624</v>
      </c>
      <c r="E1207" t="s">
        <v>2625</v>
      </c>
      <c r="F1207" t="str">
        <f>HYPERLINK("https://talan.bank.gov.ua/get-user-certificate/45CEls5lHB1UFeKGbS5K","Завантажити сертифікат")</f>
        <v>Завантажити сертифікат</v>
      </c>
    </row>
    <row r="1208" spans="1:6" x14ac:dyDescent="0.3">
      <c r="A1208" t="s">
        <v>2630</v>
      </c>
      <c r="B1208" t="s">
        <v>6</v>
      </c>
      <c r="C1208" t="s">
        <v>2631</v>
      </c>
      <c r="D1208" t="s">
        <v>2624</v>
      </c>
      <c r="E1208" t="s">
        <v>2625</v>
      </c>
      <c r="F1208" t="str">
        <f>HYPERLINK("https://talan.bank.gov.ua/get-user-certificate/45CElCdLuRb6qhcBudWV","Завантажити сертифікат")</f>
        <v>Завантажити сертифікат</v>
      </c>
    </row>
    <row r="1209" spans="1:6" x14ac:dyDescent="0.3">
      <c r="A1209" t="s">
        <v>2632</v>
      </c>
      <c r="B1209" t="s">
        <v>6</v>
      </c>
      <c r="C1209" t="s">
        <v>2633</v>
      </c>
      <c r="D1209" t="s">
        <v>2634</v>
      </c>
      <c r="E1209" t="s">
        <v>2635</v>
      </c>
      <c r="F1209" t="str">
        <f>HYPERLINK("https://talan.bank.gov.ua/get-user-certificate/45CElb2vei8NPTyt6Im6","Завантажити сертифікат")</f>
        <v>Завантажити сертифікат</v>
      </c>
    </row>
    <row r="1210" spans="1:6" x14ac:dyDescent="0.3">
      <c r="A1210" t="s">
        <v>2636</v>
      </c>
      <c r="B1210" t="s">
        <v>6</v>
      </c>
      <c r="C1210" t="s">
        <v>2637</v>
      </c>
      <c r="D1210" t="s">
        <v>2634</v>
      </c>
      <c r="E1210" t="s">
        <v>2635</v>
      </c>
      <c r="F1210" t="str">
        <f>HYPERLINK("https://talan.bank.gov.ua/get-user-certificate/45CElm7USnT1jilQBpVL","Завантажити сертифікат")</f>
        <v>Завантажити сертифікат</v>
      </c>
    </row>
    <row r="1211" spans="1:6" x14ac:dyDescent="0.3">
      <c r="A1211" t="s">
        <v>2638</v>
      </c>
      <c r="B1211" t="s">
        <v>6</v>
      </c>
      <c r="C1211" t="s">
        <v>2639</v>
      </c>
      <c r="D1211" t="s">
        <v>2634</v>
      </c>
      <c r="E1211" t="s">
        <v>2635</v>
      </c>
      <c r="F1211" t="str">
        <f>HYPERLINK("https://talan.bank.gov.ua/get-user-certificate/45CElE_ljkqNgWdfw6RD","Завантажити сертифікат")</f>
        <v>Завантажити сертифікат</v>
      </c>
    </row>
    <row r="1212" spans="1:6" x14ac:dyDescent="0.3">
      <c r="A1212" t="s">
        <v>2640</v>
      </c>
      <c r="B1212" t="s">
        <v>6</v>
      </c>
      <c r="C1212" t="s">
        <v>2641</v>
      </c>
      <c r="D1212" t="s">
        <v>2634</v>
      </c>
      <c r="E1212" t="s">
        <v>2635</v>
      </c>
      <c r="F1212" t="str">
        <f>HYPERLINK("https://talan.bank.gov.ua/get-user-certificate/45CElvx-KCkpLxi4lbUh","Завантажити сертифікат")</f>
        <v>Завантажити сертифікат</v>
      </c>
    </row>
    <row r="1213" spans="1:6" x14ac:dyDescent="0.3">
      <c r="A1213" t="s">
        <v>2642</v>
      </c>
      <c r="B1213" t="s">
        <v>6</v>
      </c>
      <c r="C1213" t="s">
        <v>2643</v>
      </c>
      <c r="D1213" t="s">
        <v>2634</v>
      </c>
      <c r="E1213" t="s">
        <v>2635</v>
      </c>
      <c r="F1213" t="str">
        <f>HYPERLINK("https://talan.bank.gov.ua/get-user-certificate/45CElThxtrf2oV3VR20G","Завантажити сертифікат")</f>
        <v>Завантажити сертифікат</v>
      </c>
    </row>
    <row r="1214" spans="1:6" x14ac:dyDescent="0.3">
      <c r="A1214" t="s">
        <v>2644</v>
      </c>
      <c r="B1214" t="s">
        <v>6</v>
      </c>
      <c r="C1214" t="s">
        <v>2645</v>
      </c>
      <c r="D1214" t="s">
        <v>2634</v>
      </c>
      <c r="E1214" t="s">
        <v>2635</v>
      </c>
      <c r="F1214" t="str">
        <f>HYPERLINK("https://talan.bank.gov.ua/get-user-certificate/45CEl4_PG2Mk9LV1YO7L","Завантажити сертифікат")</f>
        <v>Завантажити сертифікат</v>
      </c>
    </row>
    <row r="1215" spans="1:6" x14ac:dyDescent="0.3">
      <c r="A1215" t="s">
        <v>2646</v>
      </c>
      <c r="B1215" t="s">
        <v>6</v>
      </c>
      <c r="C1215" t="s">
        <v>2647</v>
      </c>
      <c r="D1215" t="s">
        <v>2634</v>
      </c>
      <c r="E1215" t="s">
        <v>2635</v>
      </c>
      <c r="F1215" t="str">
        <f>HYPERLINK("https://talan.bank.gov.ua/get-user-certificate/45CElCaSHKP_snqzqWtA","Завантажити сертифікат")</f>
        <v>Завантажити сертифікат</v>
      </c>
    </row>
    <row r="1216" spans="1:6" x14ac:dyDescent="0.3">
      <c r="A1216" t="s">
        <v>2648</v>
      </c>
      <c r="B1216" t="s">
        <v>6</v>
      </c>
      <c r="C1216" t="s">
        <v>2649</v>
      </c>
      <c r="D1216" t="s">
        <v>2634</v>
      </c>
      <c r="E1216" t="s">
        <v>2635</v>
      </c>
      <c r="F1216" t="str">
        <f>HYPERLINK("https://talan.bank.gov.ua/get-user-certificate/45CElK8Tgr1R-qwwo9Ia","Завантажити сертифікат")</f>
        <v>Завантажити сертифікат</v>
      </c>
    </row>
    <row r="1217" spans="1:6" x14ac:dyDescent="0.3">
      <c r="A1217" t="s">
        <v>2650</v>
      </c>
      <c r="B1217" t="s">
        <v>6</v>
      </c>
      <c r="C1217" t="s">
        <v>2651</v>
      </c>
      <c r="D1217" t="s">
        <v>2634</v>
      </c>
      <c r="E1217" t="s">
        <v>2635</v>
      </c>
      <c r="F1217" t="str">
        <f>HYPERLINK("https://talan.bank.gov.ua/get-user-certificate/45CEl_lSYoF9VTico3nO","Завантажити сертифікат")</f>
        <v>Завантажити сертифікат</v>
      </c>
    </row>
    <row r="1218" spans="1:6" x14ac:dyDescent="0.3">
      <c r="A1218" t="s">
        <v>2652</v>
      </c>
      <c r="B1218" t="s">
        <v>6</v>
      </c>
      <c r="C1218" t="s">
        <v>2653</v>
      </c>
      <c r="D1218" t="s">
        <v>2634</v>
      </c>
      <c r="E1218" t="s">
        <v>2635</v>
      </c>
      <c r="F1218" t="str">
        <f>HYPERLINK("https://talan.bank.gov.ua/get-user-certificate/45CElLzGeTuhvIxktJ84","Завантажити сертифікат")</f>
        <v>Завантажити сертифікат</v>
      </c>
    </row>
    <row r="1219" spans="1:6" x14ac:dyDescent="0.3">
      <c r="A1219" t="s">
        <v>2654</v>
      </c>
      <c r="B1219" t="s">
        <v>6</v>
      </c>
      <c r="C1219" t="s">
        <v>2655</v>
      </c>
      <c r="D1219" t="s">
        <v>2634</v>
      </c>
      <c r="E1219" t="s">
        <v>2635</v>
      </c>
      <c r="F1219" t="str">
        <f>HYPERLINK("https://talan.bank.gov.ua/get-user-certificate/45CEluY1uYikMPA_jE4d","Завантажити сертифікат")</f>
        <v>Завантажити сертифікат</v>
      </c>
    </row>
    <row r="1220" spans="1:6" x14ac:dyDescent="0.3">
      <c r="A1220" t="s">
        <v>2656</v>
      </c>
      <c r="B1220" t="s">
        <v>6</v>
      </c>
      <c r="C1220" t="s">
        <v>2657</v>
      </c>
      <c r="D1220" t="s">
        <v>2634</v>
      </c>
      <c r="E1220" t="s">
        <v>2635</v>
      </c>
      <c r="F1220" t="str">
        <f>HYPERLINK("https://talan.bank.gov.ua/get-user-certificate/45CEls7f8PwjUtvA0dd1","Завантажити сертифікат")</f>
        <v>Завантажити сертифікат</v>
      </c>
    </row>
    <row r="1221" spans="1:6" x14ac:dyDescent="0.3">
      <c r="A1221" t="s">
        <v>2658</v>
      </c>
      <c r="B1221" t="s">
        <v>6</v>
      </c>
      <c r="C1221" t="s">
        <v>2659</v>
      </c>
      <c r="D1221" t="s">
        <v>2634</v>
      </c>
      <c r="E1221" t="s">
        <v>2635</v>
      </c>
      <c r="F1221" t="str">
        <f>HYPERLINK("https://talan.bank.gov.ua/get-user-certificate/45CElJLVG6Tw1H-wtpeq","Завантажити сертифікат")</f>
        <v>Завантажити сертифікат</v>
      </c>
    </row>
    <row r="1222" spans="1:6" x14ac:dyDescent="0.3">
      <c r="A1222" t="s">
        <v>2660</v>
      </c>
      <c r="B1222" t="s">
        <v>6</v>
      </c>
      <c r="C1222" t="s">
        <v>2661</v>
      </c>
      <c r="D1222" t="s">
        <v>2634</v>
      </c>
      <c r="E1222" t="s">
        <v>2635</v>
      </c>
      <c r="F1222" t="str">
        <f>HYPERLINK("https://talan.bank.gov.ua/get-user-certificate/45CElGITXXXnKv2KXC5W","Завантажити сертифікат")</f>
        <v>Завантажити сертифікат</v>
      </c>
    </row>
    <row r="1223" spans="1:6" x14ac:dyDescent="0.3">
      <c r="A1223" t="s">
        <v>2662</v>
      </c>
      <c r="B1223" t="s">
        <v>6</v>
      </c>
      <c r="C1223" t="s">
        <v>2663</v>
      </c>
      <c r="D1223" t="s">
        <v>2634</v>
      </c>
      <c r="E1223" t="s">
        <v>2635</v>
      </c>
      <c r="F1223" t="str">
        <f>HYPERLINK("https://talan.bank.gov.ua/get-user-certificate/45CElVPlK7wXATHUj2CF","Завантажити сертифікат")</f>
        <v>Завантажити сертифікат</v>
      </c>
    </row>
    <row r="1224" spans="1:6" x14ac:dyDescent="0.3">
      <c r="A1224" t="s">
        <v>2664</v>
      </c>
      <c r="B1224" t="s">
        <v>6</v>
      </c>
      <c r="C1224" t="s">
        <v>2665</v>
      </c>
      <c r="D1224" t="s">
        <v>2634</v>
      </c>
      <c r="E1224" t="s">
        <v>2635</v>
      </c>
      <c r="F1224" t="str">
        <f>HYPERLINK("https://talan.bank.gov.ua/get-user-certificate/45CElG7u2Vp-lls_ElGF","Завантажити сертифікат")</f>
        <v>Завантажити сертифікат</v>
      </c>
    </row>
    <row r="1225" spans="1:6" x14ac:dyDescent="0.3">
      <c r="A1225" t="s">
        <v>2666</v>
      </c>
      <c r="B1225" t="s">
        <v>6</v>
      </c>
      <c r="C1225" t="s">
        <v>2667</v>
      </c>
      <c r="D1225" t="s">
        <v>2634</v>
      </c>
      <c r="E1225" t="s">
        <v>2635</v>
      </c>
      <c r="F1225" t="str">
        <f>HYPERLINK("https://talan.bank.gov.ua/get-user-certificate/45CEl2z9oyaghcYLGafM","Завантажити сертифікат")</f>
        <v>Завантажити сертифікат</v>
      </c>
    </row>
    <row r="1226" spans="1:6" x14ac:dyDescent="0.3">
      <c r="A1226" t="s">
        <v>2668</v>
      </c>
      <c r="B1226" t="s">
        <v>6</v>
      </c>
      <c r="C1226" t="s">
        <v>2669</v>
      </c>
      <c r="D1226" t="s">
        <v>2634</v>
      </c>
      <c r="E1226" t="s">
        <v>2635</v>
      </c>
      <c r="F1226" t="str">
        <f>HYPERLINK("https://talan.bank.gov.ua/get-user-certificate/45CElPlBIuhcpFPa3wLe","Завантажити сертифікат")</f>
        <v>Завантажити сертифікат</v>
      </c>
    </row>
    <row r="1227" spans="1:6" x14ac:dyDescent="0.3">
      <c r="A1227" t="s">
        <v>2670</v>
      </c>
      <c r="B1227" t="s">
        <v>6</v>
      </c>
      <c r="C1227" t="s">
        <v>2671</v>
      </c>
      <c r="D1227" t="s">
        <v>2634</v>
      </c>
      <c r="E1227" t="s">
        <v>2635</v>
      </c>
      <c r="F1227" t="str">
        <f>HYPERLINK("https://talan.bank.gov.ua/get-user-certificate/45CElIzOfQE-qB3r0aHr","Завантажити сертифікат")</f>
        <v>Завантажити сертифікат</v>
      </c>
    </row>
    <row r="1228" spans="1:6" x14ac:dyDescent="0.3">
      <c r="A1228" t="s">
        <v>2672</v>
      </c>
      <c r="B1228" t="s">
        <v>6</v>
      </c>
      <c r="C1228" t="s">
        <v>2673</v>
      </c>
      <c r="D1228" t="s">
        <v>2634</v>
      </c>
      <c r="E1228" t="s">
        <v>2635</v>
      </c>
      <c r="F1228" t="str">
        <f>HYPERLINK("https://talan.bank.gov.ua/get-user-certificate/45CElUx_f6Dcb2HMRBep","Завантажити сертифікат")</f>
        <v>Завантажити сертифікат</v>
      </c>
    </row>
    <row r="1229" spans="1:6" x14ac:dyDescent="0.3">
      <c r="A1229" t="s">
        <v>2674</v>
      </c>
      <c r="B1229" t="s">
        <v>6</v>
      </c>
      <c r="C1229" t="s">
        <v>2675</v>
      </c>
      <c r="D1229" t="s">
        <v>2634</v>
      </c>
      <c r="E1229" t="s">
        <v>2635</v>
      </c>
      <c r="F1229" t="str">
        <f>HYPERLINK("https://talan.bank.gov.ua/get-user-certificate/45CElxmTcxBXi7Qiypj9","Завантажити сертифікат")</f>
        <v>Завантажити сертифікат</v>
      </c>
    </row>
    <row r="1230" spans="1:6" x14ac:dyDescent="0.3">
      <c r="A1230" t="s">
        <v>2676</v>
      </c>
      <c r="B1230" t="s">
        <v>6</v>
      </c>
      <c r="C1230" t="s">
        <v>2677</v>
      </c>
      <c r="D1230" t="s">
        <v>2634</v>
      </c>
      <c r="E1230" t="s">
        <v>2635</v>
      </c>
      <c r="F1230" t="str">
        <f>HYPERLINK("https://talan.bank.gov.ua/get-user-certificate/45CElhQ6-SKFJ5MAsveU","Завантажити сертифікат")</f>
        <v>Завантажити сертифікат</v>
      </c>
    </row>
    <row r="1231" spans="1:6" x14ac:dyDescent="0.3">
      <c r="A1231" t="s">
        <v>2678</v>
      </c>
      <c r="B1231" t="s">
        <v>6</v>
      </c>
      <c r="C1231" t="s">
        <v>2679</v>
      </c>
      <c r="D1231" t="s">
        <v>2634</v>
      </c>
      <c r="E1231" t="s">
        <v>2635</v>
      </c>
      <c r="F1231" t="str">
        <f>HYPERLINK("https://talan.bank.gov.ua/get-user-certificate/45CElNS8KW-x_GSMdVz9","Завантажити сертифікат")</f>
        <v>Завантажити сертифікат</v>
      </c>
    </row>
    <row r="1232" spans="1:6" x14ac:dyDescent="0.3">
      <c r="A1232" t="s">
        <v>2680</v>
      </c>
      <c r="B1232" t="s">
        <v>6</v>
      </c>
      <c r="C1232" t="s">
        <v>2681</v>
      </c>
      <c r="D1232" t="s">
        <v>2634</v>
      </c>
      <c r="E1232" t="s">
        <v>2635</v>
      </c>
      <c r="F1232" t="str">
        <f>HYPERLINK("https://talan.bank.gov.ua/get-user-certificate/45CElfxems9oDz-SYloA","Завантажити сертифікат")</f>
        <v>Завантажити сертифікат</v>
      </c>
    </row>
    <row r="1233" spans="1:6" x14ac:dyDescent="0.3">
      <c r="A1233" t="s">
        <v>2682</v>
      </c>
      <c r="B1233" t="s">
        <v>6</v>
      </c>
      <c r="C1233" t="s">
        <v>2683</v>
      </c>
      <c r="D1233" t="s">
        <v>2634</v>
      </c>
      <c r="E1233" t="s">
        <v>2635</v>
      </c>
      <c r="F1233" t="str">
        <f>HYPERLINK("https://talan.bank.gov.ua/get-user-certificate/45CElipHSNIAAgxSItYu","Завантажити сертифікат")</f>
        <v>Завантажити сертифікат</v>
      </c>
    </row>
    <row r="1234" spans="1:6" x14ac:dyDescent="0.3">
      <c r="A1234" t="s">
        <v>2684</v>
      </c>
      <c r="B1234" t="s">
        <v>6</v>
      </c>
      <c r="C1234" t="s">
        <v>2685</v>
      </c>
      <c r="D1234" t="s">
        <v>2634</v>
      </c>
      <c r="E1234" t="s">
        <v>2635</v>
      </c>
      <c r="F1234" t="str">
        <f>HYPERLINK("https://talan.bank.gov.ua/get-user-certificate/45CElor02XjGSbO6ITNJ","Завантажити сертифікат")</f>
        <v>Завантажити сертифікат</v>
      </c>
    </row>
    <row r="1235" spans="1:6" x14ac:dyDescent="0.3">
      <c r="A1235" t="s">
        <v>2686</v>
      </c>
      <c r="B1235" t="s">
        <v>6</v>
      </c>
      <c r="C1235" t="s">
        <v>2687</v>
      </c>
      <c r="D1235" t="s">
        <v>2634</v>
      </c>
      <c r="E1235" t="s">
        <v>2635</v>
      </c>
      <c r="F1235" t="str">
        <f>HYPERLINK("https://talan.bank.gov.ua/get-user-certificate/45CElm1hFtgu6ZSgtPnz","Завантажити сертифікат")</f>
        <v>Завантажити сертифікат</v>
      </c>
    </row>
    <row r="1236" spans="1:6" x14ac:dyDescent="0.3">
      <c r="A1236" t="s">
        <v>2688</v>
      </c>
      <c r="B1236" t="s">
        <v>6</v>
      </c>
      <c r="C1236" t="s">
        <v>2689</v>
      </c>
      <c r="D1236" t="s">
        <v>2634</v>
      </c>
      <c r="E1236" t="s">
        <v>2635</v>
      </c>
      <c r="F1236" t="str">
        <f>HYPERLINK("https://talan.bank.gov.ua/get-user-certificate/45CElWiR_EvXjLL6w0ba","Завантажити сертифікат")</f>
        <v>Завантажити сертифікат</v>
      </c>
    </row>
    <row r="1237" spans="1:6" x14ac:dyDescent="0.3">
      <c r="A1237" t="s">
        <v>2690</v>
      </c>
      <c r="B1237" t="s">
        <v>6</v>
      </c>
      <c r="C1237" t="s">
        <v>2691</v>
      </c>
      <c r="D1237" t="s">
        <v>2634</v>
      </c>
      <c r="E1237" t="s">
        <v>2635</v>
      </c>
      <c r="F1237" t="str">
        <f>HYPERLINK("https://talan.bank.gov.ua/get-user-certificate/45CEljyq3RlHnkXOBdUT","Завантажити сертифікат")</f>
        <v>Завантажити сертифікат</v>
      </c>
    </row>
    <row r="1238" spans="1:6" x14ac:dyDescent="0.3">
      <c r="A1238" t="s">
        <v>2692</v>
      </c>
      <c r="B1238" t="s">
        <v>6</v>
      </c>
      <c r="C1238" t="s">
        <v>2693</v>
      </c>
      <c r="D1238" t="s">
        <v>2634</v>
      </c>
      <c r="E1238" t="s">
        <v>2635</v>
      </c>
      <c r="F1238" t="str">
        <f>HYPERLINK("https://talan.bank.gov.ua/get-user-certificate/45CElDfV4woV7aq3qaZ-","Завантажити сертифікат")</f>
        <v>Завантажити сертифікат</v>
      </c>
    </row>
    <row r="1239" spans="1:6" x14ac:dyDescent="0.3">
      <c r="A1239" t="s">
        <v>2694</v>
      </c>
      <c r="B1239" t="s">
        <v>6</v>
      </c>
      <c r="C1239" t="s">
        <v>2695</v>
      </c>
      <c r="D1239" t="s">
        <v>2634</v>
      </c>
      <c r="E1239" t="s">
        <v>2635</v>
      </c>
      <c r="F1239" t="str">
        <f>HYPERLINK("https://talan.bank.gov.ua/get-user-certificate/45CEluBnYauayVmjdsrd","Завантажити сертифікат")</f>
        <v>Завантажити сертифікат</v>
      </c>
    </row>
    <row r="1240" spans="1:6" x14ac:dyDescent="0.3">
      <c r="A1240" t="s">
        <v>2696</v>
      </c>
      <c r="B1240" t="s">
        <v>6</v>
      </c>
      <c r="C1240" t="s">
        <v>2697</v>
      </c>
      <c r="D1240" t="s">
        <v>2634</v>
      </c>
      <c r="E1240" t="s">
        <v>2635</v>
      </c>
      <c r="F1240" t="str">
        <f>HYPERLINK("https://talan.bank.gov.ua/get-user-certificate/45CElXC2YyYdgeEuSO6R","Завантажити сертифікат")</f>
        <v>Завантажити сертифікат</v>
      </c>
    </row>
    <row r="1241" spans="1:6" x14ac:dyDescent="0.3">
      <c r="A1241" t="s">
        <v>2698</v>
      </c>
      <c r="B1241" t="s">
        <v>6</v>
      </c>
      <c r="C1241" t="s">
        <v>2699</v>
      </c>
      <c r="D1241" t="s">
        <v>2634</v>
      </c>
      <c r="E1241" t="s">
        <v>2635</v>
      </c>
      <c r="F1241" t="str">
        <f>HYPERLINK("https://talan.bank.gov.ua/get-user-certificate/45CElg2xB3H95B4hImwo","Завантажити сертифікат")</f>
        <v>Завантажити сертифікат</v>
      </c>
    </row>
    <row r="1242" spans="1:6" x14ac:dyDescent="0.3">
      <c r="A1242" t="s">
        <v>2700</v>
      </c>
      <c r="B1242" t="s">
        <v>6</v>
      </c>
      <c r="C1242" t="s">
        <v>2701</v>
      </c>
      <c r="D1242" t="s">
        <v>2634</v>
      </c>
      <c r="E1242" t="s">
        <v>2635</v>
      </c>
      <c r="F1242" t="str">
        <f>HYPERLINK("https://talan.bank.gov.ua/get-user-certificate/45CElGA5-ohV7_J3xFlR","Завантажити сертифікат")</f>
        <v>Завантажити сертифікат</v>
      </c>
    </row>
    <row r="1243" spans="1:6" x14ac:dyDescent="0.3">
      <c r="A1243" t="s">
        <v>2702</v>
      </c>
      <c r="B1243" t="s">
        <v>6</v>
      </c>
      <c r="C1243" t="s">
        <v>2703</v>
      </c>
      <c r="D1243" t="s">
        <v>2634</v>
      </c>
      <c r="E1243" t="s">
        <v>2635</v>
      </c>
      <c r="F1243" t="str">
        <f>HYPERLINK("https://talan.bank.gov.ua/get-user-certificate/45CEloNnN0eoMxr0qgHN","Завантажити сертифікат")</f>
        <v>Завантажити сертифікат</v>
      </c>
    </row>
    <row r="1244" spans="1:6" x14ac:dyDescent="0.3">
      <c r="A1244" t="s">
        <v>2704</v>
      </c>
      <c r="B1244" t="s">
        <v>6</v>
      </c>
      <c r="C1244" t="s">
        <v>2705</v>
      </c>
      <c r="D1244" t="s">
        <v>2634</v>
      </c>
      <c r="E1244" t="s">
        <v>2635</v>
      </c>
      <c r="F1244" t="str">
        <f>HYPERLINK("https://talan.bank.gov.ua/get-user-certificate/45CElqYI9TPm6pIa8fmc","Завантажити сертифікат")</f>
        <v>Завантажити сертифікат</v>
      </c>
    </row>
    <row r="1245" spans="1:6" x14ac:dyDescent="0.3">
      <c r="A1245" t="s">
        <v>2706</v>
      </c>
      <c r="B1245" t="s">
        <v>6</v>
      </c>
      <c r="C1245" t="s">
        <v>2707</v>
      </c>
      <c r="D1245" t="s">
        <v>2634</v>
      </c>
      <c r="E1245" t="s">
        <v>2635</v>
      </c>
      <c r="F1245" t="str">
        <f>HYPERLINK("https://talan.bank.gov.ua/get-user-certificate/45CElOrKUvFsU6lxplJX","Завантажити сертифікат")</f>
        <v>Завантажити сертифікат</v>
      </c>
    </row>
    <row r="1246" spans="1:6" x14ac:dyDescent="0.3">
      <c r="A1246" t="s">
        <v>2708</v>
      </c>
      <c r="B1246" t="s">
        <v>6</v>
      </c>
      <c r="C1246" t="s">
        <v>2709</v>
      </c>
      <c r="D1246" t="s">
        <v>2634</v>
      </c>
      <c r="E1246" t="s">
        <v>2635</v>
      </c>
      <c r="F1246" t="str">
        <f>HYPERLINK("https://talan.bank.gov.ua/get-user-certificate/45CElnnshfDBAnXswnHH","Завантажити сертифікат")</f>
        <v>Завантажити сертифікат</v>
      </c>
    </row>
    <row r="1247" spans="1:6" x14ac:dyDescent="0.3">
      <c r="A1247" t="s">
        <v>2710</v>
      </c>
      <c r="B1247" t="s">
        <v>6</v>
      </c>
      <c r="C1247" t="s">
        <v>2711</v>
      </c>
      <c r="D1247" t="s">
        <v>2634</v>
      </c>
      <c r="E1247" t="s">
        <v>2635</v>
      </c>
      <c r="F1247" t="str">
        <f>HYPERLINK("https://talan.bank.gov.ua/get-user-certificate/45CElw90kMHcQJ2Gkc-A","Завантажити сертифікат")</f>
        <v>Завантажити сертифікат</v>
      </c>
    </row>
    <row r="1248" spans="1:6" x14ac:dyDescent="0.3">
      <c r="A1248" t="s">
        <v>2712</v>
      </c>
      <c r="B1248" t="s">
        <v>6</v>
      </c>
      <c r="C1248" t="s">
        <v>2713</v>
      </c>
      <c r="D1248" t="s">
        <v>2634</v>
      </c>
      <c r="E1248" t="s">
        <v>2635</v>
      </c>
      <c r="F1248" t="str">
        <f>HYPERLINK("https://talan.bank.gov.ua/get-user-certificate/45CElGIkDR2oK4dSNiQt","Завантажити сертифікат")</f>
        <v>Завантажити сертифікат</v>
      </c>
    </row>
    <row r="1249" spans="1:6" x14ac:dyDescent="0.3">
      <c r="A1249" t="s">
        <v>2714</v>
      </c>
      <c r="B1249" t="s">
        <v>6</v>
      </c>
      <c r="C1249" t="s">
        <v>2715</v>
      </c>
      <c r="D1249" t="s">
        <v>2634</v>
      </c>
      <c r="E1249" t="s">
        <v>2635</v>
      </c>
      <c r="F1249" t="str">
        <f>HYPERLINK("https://talan.bank.gov.ua/get-user-certificate/45CElmSUcBOLbwL_8dpD","Завантажити сертифікат")</f>
        <v>Завантажити сертифікат</v>
      </c>
    </row>
    <row r="1250" spans="1:6" x14ac:dyDescent="0.3">
      <c r="A1250" t="s">
        <v>2716</v>
      </c>
      <c r="B1250" t="s">
        <v>6</v>
      </c>
      <c r="C1250" t="s">
        <v>2717</v>
      </c>
      <c r="D1250" t="s">
        <v>2634</v>
      </c>
      <c r="E1250" t="s">
        <v>2635</v>
      </c>
      <c r="F1250" t="str">
        <f>HYPERLINK("https://talan.bank.gov.ua/get-user-certificate/45CElREq0k5kiUYk6o5-","Завантажити сертифікат")</f>
        <v>Завантажити сертифікат</v>
      </c>
    </row>
    <row r="1251" spans="1:6" x14ac:dyDescent="0.3">
      <c r="A1251" t="s">
        <v>2718</v>
      </c>
      <c r="B1251" t="s">
        <v>6</v>
      </c>
      <c r="C1251" t="s">
        <v>2719</v>
      </c>
      <c r="D1251" t="s">
        <v>2634</v>
      </c>
      <c r="E1251" t="s">
        <v>2635</v>
      </c>
      <c r="F1251" t="str">
        <f>HYPERLINK("https://talan.bank.gov.ua/get-user-certificate/45CElVN4tzg8EXCORvU6","Завантажити сертифікат")</f>
        <v>Завантажити сертифікат</v>
      </c>
    </row>
    <row r="1252" spans="1:6" x14ac:dyDescent="0.3">
      <c r="A1252" t="s">
        <v>2720</v>
      </c>
      <c r="B1252" t="s">
        <v>6</v>
      </c>
      <c r="C1252" t="s">
        <v>2721</v>
      </c>
      <c r="D1252" t="s">
        <v>2722</v>
      </c>
      <c r="E1252" t="s">
        <v>2723</v>
      </c>
      <c r="F1252" t="str">
        <f>HYPERLINK("https://talan.bank.gov.ua/get-user-certificate/45CElm8HPgRXZEvnuUCy","Завантажити сертифікат")</f>
        <v>Завантажити сертифікат</v>
      </c>
    </row>
    <row r="1253" spans="1:6" x14ac:dyDescent="0.3">
      <c r="A1253" t="s">
        <v>2724</v>
      </c>
      <c r="B1253" t="s">
        <v>6</v>
      </c>
      <c r="C1253" t="s">
        <v>2725</v>
      </c>
      <c r="D1253" t="s">
        <v>2722</v>
      </c>
      <c r="E1253" t="s">
        <v>2723</v>
      </c>
      <c r="F1253" t="str">
        <f>HYPERLINK("https://talan.bank.gov.ua/get-user-certificate/45CElbYZqvUibu3I5yq4","Завантажити сертифікат")</f>
        <v>Завантажити сертифікат</v>
      </c>
    </row>
    <row r="1254" spans="1:6" x14ac:dyDescent="0.3">
      <c r="A1254" t="s">
        <v>2726</v>
      </c>
      <c r="B1254" t="s">
        <v>6</v>
      </c>
      <c r="C1254" t="s">
        <v>2727</v>
      </c>
      <c r="D1254" t="s">
        <v>2722</v>
      </c>
      <c r="E1254" t="s">
        <v>2723</v>
      </c>
      <c r="F1254" t="str">
        <f>HYPERLINK("https://talan.bank.gov.ua/get-user-certificate/45CElNVYzTw2moeBtliu","Завантажити сертифікат")</f>
        <v>Завантажити сертифікат</v>
      </c>
    </row>
    <row r="1255" spans="1:6" x14ac:dyDescent="0.3">
      <c r="A1255" t="s">
        <v>2728</v>
      </c>
      <c r="B1255" t="s">
        <v>6</v>
      </c>
      <c r="C1255" t="s">
        <v>2729</v>
      </c>
      <c r="D1255" t="s">
        <v>2722</v>
      </c>
      <c r="E1255" t="s">
        <v>2723</v>
      </c>
      <c r="F1255" t="str">
        <f>HYPERLINK("https://talan.bank.gov.ua/get-user-certificate/45CEl1dEqWZe_p-h6dgN","Завантажити сертифікат")</f>
        <v>Завантажити сертифікат</v>
      </c>
    </row>
    <row r="1256" spans="1:6" x14ac:dyDescent="0.3">
      <c r="A1256" t="s">
        <v>2730</v>
      </c>
      <c r="B1256" t="s">
        <v>6</v>
      </c>
      <c r="C1256" t="s">
        <v>2731</v>
      </c>
      <c r="D1256" t="s">
        <v>2722</v>
      </c>
      <c r="E1256" t="s">
        <v>2723</v>
      </c>
      <c r="F1256" t="str">
        <f>HYPERLINK("https://talan.bank.gov.ua/get-user-certificate/45CElf5vgQQymrgeok27","Завантажити сертифікат")</f>
        <v>Завантажити сертифікат</v>
      </c>
    </row>
    <row r="1257" spans="1:6" x14ac:dyDescent="0.3">
      <c r="A1257" t="s">
        <v>2732</v>
      </c>
      <c r="B1257" t="s">
        <v>6</v>
      </c>
      <c r="C1257" t="s">
        <v>2733</v>
      </c>
      <c r="D1257" t="s">
        <v>2722</v>
      </c>
      <c r="E1257" t="s">
        <v>2723</v>
      </c>
      <c r="F1257" t="str">
        <f>HYPERLINK("https://talan.bank.gov.ua/get-user-certificate/45CElASetegJU4u4UeZg","Завантажити сертифікат")</f>
        <v>Завантажити сертифікат</v>
      </c>
    </row>
    <row r="1258" spans="1:6" x14ac:dyDescent="0.3">
      <c r="A1258" t="s">
        <v>2734</v>
      </c>
      <c r="B1258" t="s">
        <v>6</v>
      </c>
      <c r="C1258" t="s">
        <v>2735</v>
      </c>
      <c r="D1258" t="s">
        <v>2722</v>
      </c>
      <c r="E1258" t="s">
        <v>2723</v>
      </c>
      <c r="F1258" t="str">
        <f>HYPERLINK("https://talan.bank.gov.ua/get-user-certificate/45CElsDeARGFkYuRSr2w","Завантажити сертифікат")</f>
        <v>Завантажити сертифікат</v>
      </c>
    </row>
    <row r="1259" spans="1:6" x14ac:dyDescent="0.3">
      <c r="A1259" t="s">
        <v>2736</v>
      </c>
      <c r="B1259" t="s">
        <v>6</v>
      </c>
      <c r="C1259" t="s">
        <v>2737</v>
      </c>
      <c r="D1259" t="s">
        <v>2722</v>
      </c>
      <c r="E1259" t="s">
        <v>2723</v>
      </c>
      <c r="F1259" t="str">
        <f>HYPERLINK("https://talan.bank.gov.ua/get-user-certificate/45CElvCFbF2UUbGwq008","Завантажити сертифікат")</f>
        <v>Завантажити сертифікат</v>
      </c>
    </row>
    <row r="1260" spans="1:6" x14ac:dyDescent="0.3">
      <c r="A1260" t="s">
        <v>2738</v>
      </c>
      <c r="B1260" t="s">
        <v>6</v>
      </c>
      <c r="C1260" t="s">
        <v>2739</v>
      </c>
      <c r="D1260" t="s">
        <v>2722</v>
      </c>
      <c r="E1260" t="s">
        <v>2723</v>
      </c>
      <c r="F1260" t="str">
        <f>HYPERLINK("https://talan.bank.gov.ua/get-user-certificate/45CEliS3kKMkbLA0-D2S","Завантажити сертифікат")</f>
        <v>Завантажити сертифікат</v>
      </c>
    </row>
    <row r="1261" spans="1:6" x14ac:dyDescent="0.3">
      <c r="A1261" t="s">
        <v>2740</v>
      </c>
      <c r="B1261" t="s">
        <v>6</v>
      </c>
      <c r="C1261" t="s">
        <v>2741</v>
      </c>
      <c r="D1261" t="s">
        <v>2722</v>
      </c>
      <c r="E1261" t="s">
        <v>2723</v>
      </c>
      <c r="F1261" t="str">
        <f>HYPERLINK("https://talan.bank.gov.ua/get-user-certificate/45CEl_64DJNYssWyicun","Завантажити сертифікат")</f>
        <v>Завантажити сертифікат</v>
      </c>
    </row>
    <row r="1262" spans="1:6" x14ac:dyDescent="0.3">
      <c r="A1262" t="s">
        <v>2742</v>
      </c>
      <c r="B1262" t="s">
        <v>6</v>
      </c>
      <c r="C1262" t="s">
        <v>2743</v>
      </c>
      <c r="D1262" t="s">
        <v>2722</v>
      </c>
      <c r="E1262" t="s">
        <v>2723</v>
      </c>
      <c r="F1262" t="str">
        <f>HYPERLINK("https://talan.bank.gov.ua/get-user-certificate/45CEl8hm_fzcz5O6z7he","Завантажити сертифікат")</f>
        <v>Завантажити сертифікат</v>
      </c>
    </row>
    <row r="1263" spans="1:6" x14ac:dyDescent="0.3">
      <c r="A1263" t="s">
        <v>2744</v>
      </c>
      <c r="B1263" t="s">
        <v>6</v>
      </c>
      <c r="C1263" t="s">
        <v>2745</v>
      </c>
      <c r="D1263" t="s">
        <v>2722</v>
      </c>
      <c r="E1263" t="s">
        <v>2723</v>
      </c>
      <c r="F1263" t="str">
        <f>HYPERLINK("https://talan.bank.gov.ua/get-user-certificate/45CEliziJIojFLxfH2EC","Завантажити сертифікат")</f>
        <v>Завантажити сертифікат</v>
      </c>
    </row>
    <row r="1264" spans="1:6" x14ac:dyDescent="0.3">
      <c r="A1264" t="s">
        <v>2746</v>
      </c>
      <c r="B1264" t="s">
        <v>6</v>
      </c>
      <c r="C1264" t="s">
        <v>2747</v>
      </c>
      <c r="D1264" t="s">
        <v>2722</v>
      </c>
      <c r="E1264" t="s">
        <v>2723</v>
      </c>
      <c r="F1264" t="str">
        <f>HYPERLINK("https://talan.bank.gov.ua/get-user-certificate/45CElzfbmm-66E0RjobU","Завантажити сертифікат")</f>
        <v>Завантажити сертифікат</v>
      </c>
    </row>
    <row r="1265" spans="1:6" x14ac:dyDescent="0.3">
      <c r="A1265" t="s">
        <v>2748</v>
      </c>
      <c r="B1265" t="s">
        <v>6</v>
      </c>
      <c r="C1265" t="s">
        <v>2749</v>
      </c>
      <c r="D1265" t="s">
        <v>2722</v>
      </c>
      <c r="E1265" t="s">
        <v>2723</v>
      </c>
      <c r="F1265" t="str">
        <f>HYPERLINK("https://talan.bank.gov.ua/get-user-certificate/45CElVK2BBLka8eIWn1F","Завантажити сертифікат")</f>
        <v>Завантажити сертифікат</v>
      </c>
    </row>
    <row r="1266" spans="1:6" x14ac:dyDescent="0.3">
      <c r="A1266" t="s">
        <v>2750</v>
      </c>
      <c r="B1266" t="s">
        <v>6</v>
      </c>
      <c r="C1266" t="s">
        <v>2751</v>
      </c>
      <c r="D1266" t="s">
        <v>2752</v>
      </c>
      <c r="E1266" t="s">
        <v>2753</v>
      </c>
      <c r="F1266" t="str">
        <f>HYPERLINK("https://talan.bank.gov.ua/get-user-certificate/45CEljWPhlRQxEg9KgsD","Завантажити сертифікат")</f>
        <v>Завантажити сертифікат</v>
      </c>
    </row>
    <row r="1267" spans="1:6" x14ac:dyDescent="0.3">
      <c r="A1267" t="s">
        <v>2754</v>
      </c>
      <c r="B1267" t="s">
        <v>6</v>
      </c>
      <c r="C1267" t="s">
        <v>2755</v>
      </c>
      <c r="D1267" t="s">
        <v>2752</v>
      </c>
      <c r="E1267" t="s">
        <v>2753</v>
      </c>
      <c r="F1267" t="str">
        <f>HYPERLINK("https://talan.bank.gov.ua/get-user-certificate/45CElg0EP-CiUzC--ZUk","Завантажити сертифікат")</f>
        <v>Завантажити сертифікат</v>
      </c>
    </row>
    <row r="1268" spans="1:6" x14ac:dyDescent="0.3">
      <c r="A1268" t="s">
        <v>2756</v>
      </c>
      <c r="B1268" t="s">
        <v>6</v>
      </c>
      <c r="C1268" t="s">
        <v>2757</v>
      </c>
      <c r="D1268" t="s">
        <v>2752</v>
      </c>
      <c r="E1268" t="s">
        <v>2753</v>
      </c>
      <c r="F1268" t="str">
        <f>HYPERLINK("https://talan.bank.gov.ua/get-user-certificate/45CElCmg3FJtJn512_uz","Завантажити сертифікат")</f>
        <v>Завантажити сертифікат</v>
      </c>
    </row>
    <row r="1269" spans="1:6" x14ac:dyDescent="0.3">
      <c r="A1269" t="s">
        <v>2758</v>
      </c>
      <c r="B1269" t="s">
        <v>6</v>
      </c>
      <c r="C1269" t="s">
        <v>2759</v>
      </c>
      <c r="D1269" t="s">
        <v>2752</v>
      </c>
      <c r="E1269" t="s">
        <v>2753</v>
      </c>
      <c r="F1269" t="str">
        <f>HYPERLINK("https://talan.bank.gov.ua/get-user-certificate/45CElbI794XNiFJipeKC","Завантажити сертифікат")</f>
        <v>Завантажити сертифікат</v>
      </c>
    </row>
    <row r="1270" spans="1:6" x14ac:dyDescent="0.3">
      <c r="A1270" t="s">
        <v>2760</v>
      </c>
      <c r="B1270" t="s">
        <v>6</v>
      </c>
      <c r="C1270" t="s">
        <v>2761</v>
      </c>
      <c r="D1270" t="s">
        <v>2752</v>
      </c>
      <c r="E1270" t="s">
        <v>2753</v>
      </c>
      <c r="F1270" t="str">
        <f>HYPERLINK("https://talan.bank.gov.ua/get-user-certificate/45CElDkZ7eWKjtL6YGiL","Завантажити сертифікат")</f>
        <v>Завантажити сертифікат</v>
      </c>
    </row>
    <row r="1271" spans="1:6" x14ac:dyDescent="0.3">
      <c r="A1271" t="s">
        <v>2762</v>
      </c>
      <c r="B1271" t="s">
        <v>6</v>
      </c>
      <c r="C1271" t="s">
        <v>2763</v>
      </c>
      <c r="D1271" t="s">
        <v>2764</v>
      </c>
      <c r="E1271" t="s">
        <v>2765</v>
      </c>
      <c r="F1271" t="str">
        <f>HYPERLINK("https://talan.bank.gov.ua/get-user-certificate/45CElskqnjJ3hfE5QcXc","Завантажити сертифікат")</f>
        <v>Завантажити сертифікат</v>
      </c>
    </row>
    <row r="1272" spans="1:6" x14ac:dyDescent="0.3">
      <c r="A1272" t="s">
        <v>2766</v>
      </c>
      <c r="B1272" t="s">
        <v>6</v>
      </c>
      <c r="C1272" t="s">
        <v>2767</v>
      </c>
      <c r="D1272" t="s">
        <v>2768</v>
      </c>
      <c r="E1272" t="s">
        <v>2769</v>
      </c>
      <c r="F1272" t="str">
        <f>HYPERLINK("https://talan.bank.gov.ua/get-user-certificate/45CEla46rgg1XO9lO4gT","Завантажити сертифікат")</f>
        <v>Завантажити сертифікат</v>
      </c>
    </row>
    <row r="1273" spans="1:6" x14ac:dyDescent="0.3">
      <c r="A1273" t="s">
        <v>2770</v>
      </c>
      <c r="B1273" t="s">
        <v>6</v>
      </c>
      <c r="C1273" t="s">
        <v>2771</v>
      </c>
      <c r="D1273" t="s">
        <v>2768</v>
      </c>
      <c r="E1273" t="s">
        <v>2769</v>
      </c>
      <c r="F1273" t="str">
        <f>HYPERLINK("https://talan.bank.gov.ua/get-user-certificate/45CElvcnCpzyTAvKVgRa","Завантажити сертифікат")</f>
        <v>Завантажити сертифікат</v>
      </c>
    </row>
    <row r="1274" spans="1:6" x14ac:dyDescent="0.3">
      <c r="A1274" t="s">
        <v>2772</v>
      </c>
      <c r="B1274" t="s">
        <v>6</v>
      </c>
      <c r="C1274" t="s">
        <v>2773</v>
      </c>
      <c r="D1274" t="s">
        <v>2768</v>
      </c>
      <c r="E1274" t="s">
        <v>2769</v>
      </c>
      <c r="F1274" t="str">
        <f>HYPERLINK("https://talan.bank.gov.ua/get-user-certificate/45CElGWR1trAZ_49asbb","Завантажити сертифікат")</f>
        <v>Завантажити сертифікат</v>
      </c>
    </row>
    <row r="1275" spans="1:6" x14ac:dyDescent="0.3">
      <c r="A1275" t="s">
        <v>2774</v>
      </c>
      <c r="B1275" t="s">
        <v>6</v>
      </c>
      <c r="C1275" t="s">
        <v>2775</v>
      </c>
      <c r="D1275" t="s">
        <v>2768</v>
      </c>
      <c r="E1275" t="s">
        <v>2769</v>
      </c>
      <c r="F1275" t="str">
        <f>HYPERLINK("https://talan.bank.gov.ua/get-user-certificate/45CElm4gteUqprukJv-0","Завантажити сертифікат")</f>
        <v>Завантажити сертифікат</v>
      </c>
    </row>
    <row r="1276" spans="1:6" x14ac:dyDescent="0.3">
      <c r="A1276" t="s">
        <v>2776</v>
      </c>
      <c r="B1276" t="s">
        <v>6</v>
      </c>
      <c r="C1276" t="s">
        <v>2777</v>
      </c>
      <c r="D1276" t="s">
        <v>2768</v>
      </c>
      <c r="E1276" t="s">
        <v>2769</v>
      </c>
      <c r="F1276" t="str">
        <f>HYPERLINK("https://talan.bank.gov.ua/get-user-certificate/45CElIU5pRk6P_dA_ODj","Завантажити сертифікат")</f>
        <v>Завантажити сертифікат</v>
      </c>
    </row>
    <row r="1277" spans="1:6" x14ac:dyDescent="0.3">
      <c r="A1277" t="s">
        <v>2778</v>
      </c>
      <c r="B1277" t="s">
        <v>6</v>
      </c>
      <c r="C1277" t="s">
        <v>2779</v>
      </c>
      <c r="D1277" t="s">
        <v>2768</v>
      </c>
      <c r="E1277" t="s">
        <v>2769</v>
      </c>
      <c r="F1277" t="str">
        <f>HYPERLINK("https://talan.bank.gov.ua/get-user-certificate/45CElMGMvfQwcykAZxaf","Завантажити сертифікат")</f>
        <v>Завантажити сертифікат</v>
      </c>
    </row>
    <row r="1278" spans="1:6" x14ac:dyDescent="0.3">
      <c r="A1278" t="s">
        <v>2780</v>
      </c>
      <c r="B1278" t="s">
        <v>6</v>
      </c>
      <c r="C1278" t="s">
        <v>2781</v>
      </c>
      <c r="D1278" t="s">
        <v>2768</v>
      </c>
      <c r="E1278" t="s">
        <v>2769</v>
      </c>
      <c r="F1278" t="str">
        <f>HYPERLINK("https://talan.bank.gov.ua/get-user-certificate/45CElqsyTW_uHLAbQKzH","Завантажити сертифікат")</f>
        <v>Завантажити сертифікат</v>
      </c>
    </row>
    <row r="1279" spans="1:6" x14ac:dyDescent="0.3">
      <c r="A1279" t="s">
        <v>2782</v>
      </c>
      <c r="B1279" t="s">
        <v>6</v>
      </c>
      <c r="C1279" t="s">
        <v>2783</v>
      </c>
      <c r="D1279" t="s">
        <v>2768</v>
      </c>
      <c r="E1279" t="s">
        <v>2769</v>
      </c>
      <c r="F1279" t="str">
        <f>HYPERLINK("https://talan.bank.gov.ua/get-user-certificate/45CEln9oIjLYRJ9T-Mym","Завантажити сертифікат")</f>
        <v>Завантажити сертифікат</v>
      </c>
    </row>
    <row r="1280" spans="1:6" x14ac:dyDescent="0.3">
      <c r="A1280" t="s">
        <v>2784</v>
      </c>
      <c r="B1280" t="s">
        <v>6</v>
      </c>
      <c r="C1280" t="s">
        <v>2785</v>
      </c>
      <c r="D1280" t="s">
        <v>2768</v>
      </c>
      <c r="E1280" t="s">
        <v>2769</v>
      </c>
      <c r="F1280" t="str">
        <f>HYPERLINK("https://talan.bank.gov.ua/get-user-certificate/45CEluuUky_XLUGY5O3c","Завантажити сертифікат")</f>
        <v>Завантажити сертифікат</v>
      </c>
    </row>
    <row r="1281" spans="1:6" x14ac:dyDescent="0.3">
      <c r="A1281" t="s">
        <v>2786</v>
      </c>
      <c r="B1281" t="s">
        <v>6</v>
      </c>
      <c r="C1281" t="s">
        <v>2787</v>
      </c>
      <c r="D1281" t="s">
        <v>2768</v>
      </c>
      <c r="E1281" t="s">
        <v>2769</v>
      </c>
      <c r="F1281" t="str">
        <f>HYPERLINK("https://talan.bank.gov.ua/get-user-certificate/45CElySaEjEIN7A-wEWh","Завантажити сертифікат")</f>
        <v>Завантажити сертифікат</v>
      </c>
    </row>
    <row r="1282" spans="1:6" x14ac:dyDescent="0.3">
      <c r="A1282" t="s">
        <v>2788</v>
      </c>
      <c r="B1282" t="s">
        <v>6</v>
      </c>
      <c r="C1282" t="s">
        <v>2789</v>
      </c>
      <c r="D1282" t="s">
        <v>2790</v>
      </c>
      <c r="E1282" t="s">
        <v>2791</v>
      </c>
      <c r="F1282" t="str">
        <f>HYPERLINK("https://talan.bank.gov.ua/get-user-certificate/45CElJHfmB8vs6Lybfwc","Завантажити сертифікат")</f>
        <v>Завантажити сертифікат</v>
      </c>
    </row>
    <row r="1283" spans="1:6" x14ac:dyDescent="0.3">
      <c r="A1283" t="s">
        <v>2792</v>
      </c>
      <c r="B1283" t="s">
        <v>6</v>
      </c>
      <c r="C1283" t="s">
        <v>2793</v>
      </c>
      <c r="D1283" t="s">
        <v>2790</v>
      </c>
      <c r="E1283" t="s">
        <v>2791</v>
      </c>
      <c r="F1283" t="str">
        <f>HYPERLINK("https://talan.bank.gov.ua/get-user-certificate/45CEli45Nna5iWWSbz28","Завантажити сертифікат")</f>
        <v>Завантажити сертифікат</v>
      </c>
    </row>
    <row r="1284" spans="1:6" x14ac:dyDescent="0.3">
      <c r="A1284" t="s">
        <v>2794</v>
      </c>
      <c r="B1284" t="s">
        <v>6</v>
      </c>
      <c r="C1284" t="s">
        <v>2795</v>
      </c>
      <c r="D1284" t="s">
        <v>2790</v>
      </c>
      <c r="E1284" t="s">
        <v>2791</v>
      </c>
      <c r="F1284" t="str">
        <f>HYPERLINK("https://talan.bank.gov.ua/get-user-certificate/45CEl5pDT2HpVBbi7Imu","Завантажити сертифікат")</f>
        <v>Завантажити сертифікат</v>
      </c>
    </row>
    <row r="1285" spans="1:6" x14ac:dyDescent="0.3">
      <c r="A1285" t="s">
        <v>2796</v>
      </c>
      <c r="B1285" t="s">
        <v>6</v>
      </c>
      <c r="C1285" t="s">
        <v>2797</v>
      </c>
      <c r="D1285" t="s">
        <v>2790</v>
      </c>
      <c r="E1285" t="s">
        <v>2791</v>
      </c>
      <c r="F1285" t="str">
        <f>HYPERLINK("https://talan.bank.gov.ua/get-user-certificate/45CElA2gWB_qY6VP7tMs","Завантажити сертифікат")</f>
        <v>Завантажити сертифікат</v>
      </c>
    </row>
    <row r="1286" spans="1:6" x14ac:dyDescent="0.3">
      <c r="A1286" t="s">
        <v>2798</v>
      </c>
      <c r="B1286" t="s">
        <v>6</v>
      </c>
      <c r="C1286" t="s">
        <v>2799</v>
      </c>
      <c r="D1286" t="s">
        <v>2790</v>
      </c>
      <c r="E1286" t="s">
        <v>2791</v>
      </c>
      <c r="F1286" t="str">
        <f>HYPERLINK("https://talan.bank.gov.ua/get-user-certificate/45CEljT2aEZLQarmAvRo","Завантажити сертифікат")</f>
        <v>Завантажити сертифікат</v>
      </c>
    </row>
    <row r="1287" spans="1:6" x14ac:dyDescent="0.3">
      <c r="A1287" t="s">
        <v>2800</v>
      </c>
      <c r="B1287" t="s">
        <v>6</v>
      </c>
      <c r="C1287" t="s">
        <v>2801</v>
      </c>
      <c r="D1287" t="s">
        <v>2790</v>
      </c>
      <c r="E1287" t="s">
        <v>2791</v>
      </c>
      <c r="F1287" t="str">
        <f>HYPERLINK("https://talan.bank.gov.ua/get-user-certificate/45CElhUg4BBITZ8t600I","Завантажити сертифікат")</f>
        <v>Завантажити сертифікат</v>
      </c>
    </row>
    <row r="1288" spans="1:6" x14ac:dyDescent="0.3">
      <c r="A1288" t="s">
        <v>2802</v>
      </c>
      <c r="B1288" t="s">
        <v>6</v>
      </c>
      <c r="C1288" t="s">
        <v>2803</v>
      </c>
      <c r="D1288" t="s">
        <v>2790</v>
      </c>
      <c r="E1288" t="s">
        <v>2791</v>
      </c>
      <c r="F1288" t="str">
        <f>HYPERLINK("https://talan.bank.gov.ua/get-user-certificate/45CElRc_dtjI28pDSMDM","Завантажити сертифікат")</f>
        <v>Завантажити сертифікат</v>
      </c>
    </row>
    <row r="1289" spans="1:6" x14ac:dyDescent="0.3">
      <c r="A1289" t="s">
        <v>2804</v>
      </c>
      <c r="B1289" t="s">
        <v>6</v>
      </c>
      <c r="C1289" t="s">
        <v>2805</v>
      </c>
      <c r="D1289" t="s">
        <v>2790</v>
      </c>
      <c r="E1289" t="s">
        <v>2791</v>
      </c>
      <c r="F1289" t="str">
        <f>HYPERLINK("https://talan.bank.gov.ua/get-user-certificate/45CElThFwsg6xMAAw92f","Завантажити сертифікат")</f>
        <v>Завантажити сертифікат</v>
      </c>
    </row>
    <row r="1290" spans="1:6" x14ac:dyDescent="0.3">
      <c r="A1290" t="s">
        <v>2806</v>
      </c>
      <c r="B1290" t="s">
        <v>6</v>
      </c>
      <c r="C1290" t="s">
        <v>2807</v>
      </c>
      <c r="D1290" t="s">
        <v>2790</v>
      </c>
      <c r="E1290" t="s">
        <v>2791</v>
      </c>
      <c r="F1290" t="str">
        <f>HYPERLINK("https://talan.bank.gov.ua/get-user-certificate/45CEl3BsWiOe2l61pnJW","Завантажити сертифікат")</f>
        <v>Завантажити сертифікат</v>
      </c>
    </row>
    <row r="1291" spans="1:6" x14ac:dyDescent="0.3">
      <c r="A1291" t="s">
        <v>2808</v>
      </c>
      <c r="B1291" t="s">
        <v>6</v>
      </c>
      <c r="C1291" t="s">
        <v>2809</v>
      </c>
      <c r="D1291" t="s">
        <v>2790</v>
      </c>
      <c r="E1291" t="s">
        <v>2791</v>
      </c>
      <c r="F1291" t="str">
        <f>HYPERLINK("https://talan.bank.gov.ua/get-user-certificate/45CElr5Qlhuy5d6wX1tb","Завантажити сертифікат")</f>
        <v>Завантажити сертифікат</v>
      </c>
    </row>
    <row r="1292" spans="1:6" x14ac:dyDescent="0.3">
      <c r="A1292" t="s">
        <v>2810</v>
      </c>
      <c r="B1292" t="s">
        <v>6</v>
      </c>
      <c r="C1292" t="s">
        <v>2811</v>
      </c>
      <c r="D1292" t="s">
        <v>2790</v>
      </c>
      <c r="E1292" t="s">
        <v>2791</v>
      </c>
      <c r="F1292" t="str">
        <f>HYPERLINK("https://talan.bank.gov.ua/get-user-certificate/45CElDfJHtZ-6zcUGQCA","Завантажити сертифікат")</f>
        <v>Завантажити сертифікат</v>
      </c>
    </row>
    <row r="1293" spans="1:6" x14ac:dyDescent="0.3">
      <c r="A1293" t="s">
        <v>2812</v>
      </c>
      <c r="B1293" t="s">
        <v>6</v>
      </c>
      <c r="C1293" t="s">
        <v>2813</v>
      </c>
      <c r="D1293" t="s">
        <v>2790</v>
      </c>
      <c r="E1293" t="s">
        <v>2791</v>
      </c>
      <c r="F1293" t="str">
        <f>HYPERLINK("https://talan.bank.gov.ua/get-user-certificate/45CEl1TBN0Pmj0MmsGwP","Завантажити сертифікат")</f>
        <v>Завантажити сертифікат</v>
      </c>
    </row>
    <row r="1294" spans="1:6" x14ac:dyDescent="0.3">
      <c r="A1294" t="s">
        <v>2814</v>
      </c>
      <c r="B1294" t="s">
        <v>6</v>
      </c>
      <c r="C1294" t="s">
        <v>2815</v>
      </c>
      <c r="D1294" t="s">
        <v>2790</v>
      </c>
      <c r="E1294" t="s">
        <v>2791</v>
      </c>
      <c r="F1294" t="str">
        <f>HYPERLINK("https://talan.bank.gov.ua/get-user-certificate/45CEltc2ne5rF-EDv82S","Завантажити сертифікат")</f>
        <v>Завантажити сертифікат</v>
      </c>
    </row>
    <row r="1295" spans="1:6" x14ac:dyDescent="0.3">
      <c r="A1295" t="s">
        <v>2816</v>
      </c>
      <c r="B1295" t="s">
        <v>6</v>
      </c>
      <c r="C1295" t="s">
        <v>2817</v>
      </c>
      <c r="D1295" t="s">
        <v>2790</v>
      </c>
      <c r="E1295" t="s">
        <v>2791</v>
      </c>
      <c r="F1295" t="str">
        <f>HYPERLINK("https://talan.bank.gov.ua/get-user-certificate/45CElfXZLK7Rd04x5AsX","Завантажити сертифікат")</f>
        <v>Завантажити сертифікат</v>
      </c>
    </row>
    <row r="1296" spans="1:6" x14ac:dyDescent="0.3">
      <c r="A1296" t="s">
        <v>2818</v>
      </c>
      <c r="B1296" t="s">
        <v>6</v>
      </c>
      <c r="C1296" t="s">
        <v>2819</v>
      </c>
      <c r="D1296" t="s">
        <v>2790</v>
      </c>
      <c r="E1296" t="s">
        <v>2791</v>
      </c>
      <c r="F1296" t="str">
        <f>HYPERLINK("https://talan.bank.gov.ua/get-user-certificate/45CElMoxmNK4qVnTCBf8","Завантажити сертифікат")</f>
        <v>Завантажити сертифікат</v>
      </c>
    </row>
    <row r="1297" spans="1:6" x14ac:dyDescent="0.3">
      <c r="A1297" t="s">
        <v>2820</v>
      </c>
      <c r="B1297" t="s">
        <v>6</v>
      </c>
      <c r="C1297" t="s">
        <v>2821</v>
      </c>
      <c r="D1297" t="s">
        <v>2790</v>
      </c>
      <c r="E1297" t="s">
        <v>2791</v>
      </c>
      <c r="F1297" t="str">
        <f>HYPERLINK("https://talan.bank.gov.ua/get-user-certificate/45CEldctDj6Lv1zQBM8C","Завантажити сертифікат")</f>
        <v>Завантажити сертифікат</v>
      </c>
    </row>
    <row r="1298" spans="1:6" x14ac:dyDescent="0.3">
      <c r="A1298" t="s">
        <v>2822</v>
      </c>
      <c r="B1298" t="s">
        <v>6</v>
      </c>
      <c r="C1298" t="s">
        <v>2823</v>
      </c>
      <c r="D1298" t="s">
        <v>2790</v>
      </c>
      <c r="E1298" t="s">
        <v>2791</v>
      </c>
      <c r="F1298" t="str">
        <f>HYPERLINK("https://talan.bank.gov.ua/get-user-certificate/45CElPAkVAZKnASzWBUI","Завантажити сертифікат")</f>
        <v>Завантажити сертифікат</v>
      </c>
    </row>
    <row r="1299" spans="1:6" x14ac:dyDescent="0.3">
      <c r="A1299" t="s">
        <v>2824</v>
      </c>
      <c r="B1299" t="s">
        <v>6</v>
      </c>
      <c r="C1299" t="s">
        <v>2825</v>
      </c>
      <c r="D1299" t="s">
        <v>2790</v>
      </c>
      <c r="E1299" t="s">
        <v>2791</v>
      </c>
      <c r="F1299" t="str">
        <f>HYPERLINK("https://talan.bank.gov.ua/get-user-certificate/45CElRKx6XezQuZilEDQ","Завантажити сертифікат")</f>
        <v>Завантажити сертифікат</v>
      </c>
    </row>
    <row r="1300" spans="1:6" x14ac:dyDescent="0.3">
      <c r="A1300" t="s">
        <v>2826</v>
      </c>
      <c r="B1300" t="s">
        <v>6</v>
      </c>
      <c r="C1300" t="s">
        <v>2827</v>
      </c>
      <c r="D1300" t="s">
        <v>2790</v>
      </c>
      <c r="E1300" t="s">
        <v>2791</v>
      </c>
      <c r="F1300" t="str">
        <f>HYPERLINK("https://talan.bank.gov.ua/get-user-certificate/45CElCAK7eVhX8_tKH4M","Завантажити сертифікат")</f>
        <v>Завантажити сертифікат</v>
      </c>
    </row>
    <row r="1301" spans="1:6" x14ac:dyDescent="0.3">
      <c r="A1301" t="s">
        <v>2828</v>
      </c>
      <c r="B1301" t="s">
        <v>6</v>
      </c>
      <c r="C1301" t="s">
        <v>2829</v>
      </c>
      <c r="D1301" t="s">
        <v>2790</v>
      </c>
      <c r="E1301" t="s">
        <v>2791</v>
      </c>
      <c r="F1301" t="str">
        <f>HYPERLINK("https://talan.bank.gov.ua/get-user-certificate/45CElDh3BJzjtEMn-Ppm","Завантажити сертифікат")</f>
        <v>Завантажити сертифікат</v>
      </c>
    </row>
    <row r="1302" spans="1:6" x14ac:dyDescent="0.3">
      <c r="A1302" t="s">
        <v>2830</v>
      </c>
      <c r="B1302" t="s">
        <v>6</v>
      </c>
      <c r="C1302" t="s">
        <v>2831</v>
      </c>
      <c r="D1302" t="s">
        <v>2790</v>
      </c>
      <c r="E1302" t="s">
        <v>2791</v>
      </c>
      <c r="F1302" t="str">
        <f>HYPERLINK("https://talan.bank.gov.ua/get-user-certificate/45CElMnQ0QfGQJgmJ3ki","Завантажити сертифікат")</f>
        <v>Завантажити сертифікат</v>
      </c>
    </row>
    <row r="1303" spans="1:6" x14ac:dyDescent="0.3">
      <c r="A1303" t="s">
        <v>2832</v>
      </c>
      <c r="B1303" t="s">
        <v>6</v>
      </c>
      <c r="C1303" t="s">
        <v>2833</v>
      </c>
      <c r="D1303" t="s">
        <v>2790</v>
      </c>
      <c r="E1303" t="s">
        <v>2791</v>
      </c>
      <c r="F1303" t="str">
        <f>HYPERLINK("https://talan.bank.gov.ua/get-user-certificate/45CEl_sAnmcVRW6dl8e3","Завантажити сертифікат")</f>
        <v>Завантажити сертифікат</v>
      </c>
    </row>
    <row r="1304" spans="1:6" x14ac:dyDescent="0.3">
      <c r="A1304" t="s">
        <v>2834</v>
      </c>
      <c r="B1304" t="s">
        <v>6</v>
      </c>
      <c r="C1304" t="s">
        <v>2835</v>
      </c>
      <c r="D1304" t="s">
        <v>2790</v>
      </c>
      <c r="E1304" t="s">
        <v>2791</v>
      </c>
      <c r="F1304" t="str">
        <f>HYPERLINK("https://talan.bank.gov.ua/get-user-certificate/45CElNjfET4u_AW7XuC9","Завантажити сертифікат")</f>
        <v>Завантажити сертифікат</v>
      </c>
    </row>
    <row r="1305" spans="1:6" x14ac:dyDescent="0.3">
      <c r="A1305" t="s">
        <v>2836</v>
      </c>
      <c r="B1305" t="s">
        <v>6</v>
      </c>
      <c r="C1305" t="s">
        <v>2837</v>
      </c>
      <c r="D1305" t="s">
        <v>2790</v>
      </c>
      <c r="E1305" t="s">
        <v>2791</v>
      </c>
      <c r="F1305" t="str">
        <f>HYPERLINK("https://talan.bank.gov.ua/get-user-certificate/45CElAX3q_4qg2j5PfIm","Завантажити сертифікат")</f>
        <v>Завантажити сертифікат</v>
      </c>
    </row>
    <row r="1306" spans="1:6" x14ac:dyDescent="0.3">
      <c r="A1306" t="s">
        <v>2838</v>
      </c>
      <c r="B1306" t="s">
        <v>6</v>
      </c>
      <c r="C1306" t="s">
        <v>2839</v>
      </c>
      <c r="D1306" t="s">
        <v>2790</v>
      </c>
      <c r="E1306" t="s">
        <v>2791</v>
      </c>
      <c r="F1306" t="str">
        <f>HYPERLINK("https://talan.bank.gov.ua/get-user-certificate/45CEl25YHwKkqQlpX_xW","Завантажити сертифікат")</f>
        <v>Завантажити сертифікат</v>
      </c>
    </row>
    <row r="1307" spans="1:6" x14ac:dyDescent="0.3">
      <c r="A1307" t="s">
        <v>2840</v>
      </c>
      <c r="B1307" t="s">
        <v>6</v>
      </c>
      <c r="C1307" t="s">
        <v>2841</v>
      </c>
      <c r="D1307" t="s">
        <v>2790</v>
      </c>
      <c r="E1307" t="s">
        <v>2791</v>
      </c>
      <c r="F1307" t="str">
        <f>HYPERLINK("https://talan.bank.gov.ua/get-user-certificate/45CEl7KcIGDImovYkjXh","Завантажити сертифікат")</f>
        <v>Завантажити сертифікат</v>
      </c>
    </row>
    <row r="1308" spans="1:6" x14ac:dyDescent="0.3">
      <c r="A1308" t="s">
        <v>2842</v>
      </c>
      <c r="B1308" t="s">
        <v>6</v>
      </c>
      <c r="C1308" t="s">
        <v>2843</v>
      </c>
      <c r="D1308" t="s">
        <v>2790</v>
      </c>
      <c r="E1308" t="s">
        <v>2791</v>
      </c>
      <c r="F1308" t="str">
        <f>HYPERLINK("https://talan.bank.gov.ua/get-user-certificate/45CEl5lX-WEGnt6HFztN","Завантажити сертифікат")</f>
        <v>Завантажити сертифікат</v>
      </c>
    </row>
    <row r="1309" spans="1:6" x14ac:dyDescent="0.3">
      <c r="A1309" t="s">
        <v>2844</v>
      </c>
      <c r="B1309" t="s">
        <v>6</v>
      </c>
      <c r="C1309" t="s">
        <v>2845</v>
      </c>
      <c r="D1309" t="s">
        <v>2790</v>
      </c>
      <c r="E1309" t="s">
        <v>2791</v>
      </c>
      <c r="F1309" t="str">
        <f>HYPERLINK("https://talan.bank.gov.ua/get-user-certificate/45CElnEdCfXHimU6oYuk","Завантажити сертифікат")</f>
        <v>Завантажити сертифікат</v>
      </c>
    </row>
    <row r="1310" spans="1:6" x14ac:dyDescent="0.3">
      <c r="A1310" t="s">
        <v>2846</v>
      </c>
      <c r="B1310" t="s">
        <v>6</v>
      </c>
      <c r="C1310" t="s">
        <v>2847</v>
      </c>
      <c r="D1310" t="s">
        <v>2790</v>
      </c>
      <c r="E1310" t="s">
        <v>2791</v>
      </c>
      <c r="F1310" t="str">
        <f>HYPERLINK("https://talan.bank.gov.ua/get-user-certificate/45CElGsY1GLDgYzwfq7E","Завантажити сертифікат")</f>
        <v>Завантажити сертифікат</v>
      </c>
    </row>
    <row r="1311" spans="1:6" x14ac:dyDescent="0.3">
      <c r="A1311" t="s">
        <v>2848</v>
      </c>
      <c r="B1311" t="s">
        <v>6</v>
      </c>
      <c r="C1311" t="s">
        <v>2849</v>
      </c>
      <c r="D1311" t="s">
        <v>2790</v>
      </c>
      <c r="E1311" t="s">
        <v>2791</v>
      </c>
      <c r="F1311" t="str">
        <f>HYPERLINK("https://talan.bank.gov.ua/get-user-certificate/45CElshMnLGQf0DaGBhQ","Завантажити сертифікат")</f>
        <v>Завантажити сертифікат</v>
      </c>
    </row>
    <row r="1312" spans="1:6" x14ac:dyDescent="0.3">
      <c r="A1312" t="s">
        <v>2850</v>
      </c>
      <c r="B1312" t="s">
        <v>6</v>
      </c>
      <c r="C1312" t="s">
        <v>2851</v>
      </c>
      <c r="D1312" t="s">
        <v>2790</v>
      </c>
      <c r="E1312" t="s">
        <v>2791</v>
      </c>
      <c r="F1312" t="str">
        <f>HYPERLINK("https://talan.bank.gov.ua/get-user-certificate/45CElm5ACe3t_CEtqqbm","Завантажити сертифікат")</f>
        <v>Завантажити сертифікат</v>
      </c>
    </row>
    <row r="1313" spans="1:6" x14ac:dyDescent="0.3">
      <c r="A1313" t="s">
        <v>2852</v>
      </c>
      <c r="B1313" t="s">
        <v>6</v>
      </c>
      <c r="C1313" t="s">
        <v>2853</v>
      </c>
      <c r="D1313" t="s">
        <v>2790</v>
      </c>
      <c r="E1313" t="s">
        <v>2791</v>
      </c>
      <c r="F1313" t="str">
        <f>HYPERLINK("https://talan.bank.gov.ua/get-user-certificate/45CElx157HpyQ7jIPl27","Завантажити сертифікат")</f>
        <v>Завантажити сертифікат</v>
      </c>
    </row>
    <row r="1314" spans="1:6" x14ac:dyDescent="0.3">
      <c r="A1314" t="s">
        <v>2854</v>
      </c>
      <c r="B1314" t="s">
        <v>6</v>
      </c>
      <c r="C1314" t="s">
        <v>2855</v>
      </c>
      <c r="D1314" t="s">
        <v>2790</v>
      </c>
      <c r="E1314" t="s">
        <v>2791</v>
      </c>
      <c r="F1314" t="str">
        <f>HYPERLINK("https://talan.bank.gov.ua/get-user-certificate/45CElX1I6chIIfSjygep","Завантажити сертифікат")</f>
        <v>Завантажити сертифікат</v>
      </c>
    </row>
    <row r="1315" spans="1:6" x14ac:dyDescent="0.3">
      <c r="A1315" t="s">
        <v>2856</v>
      </c>
      <c r="B1315" t="s">
        <v>6</v>
      </c>
      <c r="C1315" t="s">
        <v>2857</v>
      </c>
      <c r="D1315" t="s">
        <v>2790</v>
      </c>
      <c r="E1315" t="s">
        <v>2791</v>
      </c>
      <c r="F1315" t="str">
        <f>HYPERLINK("https://talan.bank.gov.ua/get-user-certificate/45CElZ_OW7724esbkBm5","Завантажити сертифікат")</f>
        <v>Завантажити сертифікат</v>
      </c>
    </row>
    <row r="1316" spans="1:6" x14ac:dyDescent="0.3">
      <c r="A1316" t="s">
        <v>2858</v>
      </c>
      <c r="B1316" t="s">
        <v>6</v>
      </c>
      <c r="C1316" t="s">
        <v>2859</v>
      </c>
      <c r="D1316" t="s">
        <v>2790</v>
      </c>
      <c r="E1316" t="s">
        <v>2791</v>
      </c>
      <c r="F1316" t="str">
        <f>HYPERLINK("https://talan.bank.gov.ua/get-user-certificate/45CEl5qDu6V932F2ukhJ","Завантажити сертифікат")</f>
        <v>Завантажити сертифікат</v>
      </c>
    </row>
    <row r="1317" spans="1:6" x14ac:dyDescent="0.3">
      <c r="A1317" t="s">
        <v>2860</v>
      </c>
      <c r="B1317" t="s">
        <v>6</v>
      </c>
      <c r="C1317" t="s">
        <v>2861</v>
      </c>
      <c r="D1317" t="s">
        <v>2790</v>
      </c>
      <c r="E1317" t="s">
        <v>2791</v>
      </c>
      <c r="F1317" t="str">
        <f>HYPERLINK("https://talan.bank.gov.ua/get-user-certificate/45CElr1jNhi0S27RG5f_","Завантажити сертифікат")</f>
        <v>Завантажити сертифікат</v>
      </c>
    </row>
    <row r="1318" spans="1:6" x14ac:dyDescent="0.3">
      <c r="A1318" t="s">
        <v>2862</v>
      </c>
      <c r="B1318" t="s">
        <v>6</v>
      </c>
      <c r="C1318" t="s">
        <v>2863</v>
      </c>
      <c r="D1318" t="s">
        <v>2790</v>
      </c>
      <c r="E1318" t="s">
        <v>2791</v>
      </c>
      <c r="F1318" t="str">
        <f>HYPERLINK("https://talan.bank.gov.ua/get-user-certificate/45CElOSoxeemzARDitKa","Завантажити сертифікат")</f>
        <v>Завантажити сертифікат</v>
      </c>
    </row>
    <row r="1319" spans="1:6" x14ac:dyDescent="0.3">
      <c r="A1319" t="s">
        <v>2864</v>
      </c>
      <c r="B1319" t="s">
        <v>6</v>
      </c>
      <c r="C1319" t="s">
        <v>2865</v>
      </c>
      <c r="D1319" t="s">
        <v>2790</v>
      </c>
      <c r="E1319" t="s">
        <v>2791</v>
      </c>
      <c r="F1319" t="str">
        <f>HYPERLINK("https://talan.bank.gov.ua/get-user-certificate/45CElTPpDMf5e9xjstWY","Завантажити сертифікат")</f>
        <v>Завантажити сертифікат</v>
      </c>
    </row>
    <row r="1320" spans="1:6" x14ac:dyDescent="0.3">
      <c r="A1320" t="s">
        <v>2866</v>
      </c>
      <c r="B1320" t="s">
        <v>6</v>
      </c>
      <c r="C1320" t="s">
        <v>2867</v>
      </c>
      <c r="D1320" t="s">
        <v>2868</v>
      </c>
      <c r="E1320" t="s">
        <v>2869</v>
      </c>
      <c r="F1320" t="str">
        <f>HYPERLINK("https://talan.bank.gov.ua/get-user-certificate/45CElWAP6DR0GqjSOv9O","Завантажити сертифікат")</f>
        <v>Завантажити сертифікат</v>
      </c>
    </row>
    <row r="1321" spans="1:6" x14ac:dyDescent="0.3">
      <c r="A1321" t="s">
        <v>2870</v>
      </c>
      <c r="B1321" t="s">
        <v>6</v>
      </c>
      <c r="C1321" t="s">
        <v>2871</v>
      </c>
      <c r="D1321" t="s">
        <v>2868</v>
      </c>
      <c r="E1321" t="s">
        <v>2869</v>
      </c>
      <c r="F1321" t="str">
        <f>HYPERLINK("https://talan.bank.gov.ua/get-user-certificate/45CElWI8eteLhYjORJgV","Завантажити сертифікат")</f>
        <v>Завантажити сертифікат</v>
      </c>
    </row>
    <row r="1322" spans="1:6" x14ac:dyDescent="0.3">
      <c r="A1322" t="s">
        <v>2872</v>
      </c>
      <c r="B1322" t="s">
        <v>6</v>
      </c>
      <c r="C1322" t="s">
        <v>2873</v>
      </c>
      <c r="D1322" t="s">
        <v>2868</v>
      </c>
      <c r="E1322" t="s">
        <v>2869</v>
      </c>
      <c r="F1322" t="str">
        <f>HYPERLINK("https://talan.bank.gov.ua/get-user-certificate/45CElkn22gbaoT0QOOlU","Завантажити сертифікат")</f>
        <v>Завантажити сертифікат</v>
      </c>
    </row>
    <row r="1323" spans="1:6" x14ac:dyDescent="0.3">
      <c r="A1323" t="s">
        <v>2874</v>
      </c>
      <c r="B1323" t="s">
        <v>6</v>
      </c>
      <c r="C1323" t="s">
        <v>2875</v>
      </c>
      <c r="D1323" t="s">
        <v>2868</v>
      </c>
      <c r="E1323" t="s">
        <v>2869</v>
      </c>
      <c r="F1323" t="str">
        <f>HYPERLINK("https://talan.bank.gov.ua/get-user-certificate/45CElN9qJCzk75XdscFM","Завантажити сертифікат")</f>
        <v>Завантажити сертифікат</v>
      </c>
    </row>
    <row r="1324" spans="1:6" x14ac:dyDescent="0.3">
      <c r="A1324" t="s">
        <v>2876</v>
      </c>
      <c r="B1324" t="s">
        <v>6</v>
      </c>
      <c r="C1324" t="s">
        <v>2877</v>
      </c>
      <c r="D1324" t="s">
        <v>2868</v>
      </c>
      <c r="E1324" t="s">
        <v>2869</v>
      </c>
      <c r="F1324" t="str">
        <f>HYPERLINK("https://talan.bank.gov.ua/get-user-certificate/45CElQbXYHoexhLCiosc","Завантажити сертифікат")</f>
        <v>Завантажити сертифікат</v>
      </c>
    </row>
    <row r="1325" spans="1:6" x14ac:dyDescent="0.3">
      <c r="A1325" t="s">
        <v>2878</v>
      </c>
      <c r="B1325" t="s">
        <v>6</v>
      </c>
      <c r="C1325" t="s">
        <v>2879</v>
      </c>
      <c r="D1325" t="s">
        <v>2868</v>
      </c>
      <c r="E1325" t="s">
        <v>2869</v>
      </c>
      <c r="F1325" t="str">
        <f>HYPERLINK("https://talan.bank.gov.ua/get-user-certificate/45CElbHLWHyNWVF_XAeh","Завантажити сертифікат")</f>
        <v>Завантажити сертифікат</v>
      </c>
    </row>
    <row r="1326" spans="1:6" x14ac:dyDescent="0.3">
      <c r="A1326" t="s">
        <v>2880</v>
      </c>
      <c r="B1326" t="s">
        <v>6</v>
      </c>
      <c r="C1326" t="s">
        <v>2881</v>
      </c>
      <c r="D1326" t="s">
        <v>2868</v>
      </c>
      <c r="E1326" t="s">
        <v>2869</v>
      </c>
      <c r="F1326" t="str">
        <f>HYPERLINK("https://talan.bank.gov.ua/get-user-certificate/45CElkvjkAwMTt7VSWW7","Завантажити сертифікат")</f>
        <v>Завантажити сертифікат</v>
      </c>
    </row>
    <row r="1327" spans="1:6" x14ac:dyDescent="0.3">
      <c r="A1327" t="s">
        <v>2882</v>
      </c>
      <c r="B1327" t="s">
        <v>6</v>
      </c>
      <c r="C1327" t="s">
        <v>2883</v>
      </c>
      <c r="D1327" t="s">
        <v>2884</v>
      </c>
      <c r="E1327" t="s">
        <v>2885</v>
      </c>
      <c r="F1327" t="str">
        <f>HYPERLINK("https://talan.bank.gov.ua/get-user-certificate/45CElZf2OsFbhK-mjNvy","Завантажити сертифікат")</f>
        <v>Завантажити сертифікат</v>
      </c>
    </row>
    <row r="1328" spans="1:6" x14ac:dyDescent="0.3">
      <c r="A1328" t="s">
        <v>2886</v>
      </c>
      <c r="B1328" t="s">
        <v>6</v>
      </c>
      <c r="C1328" t="s">
        <v>2887</v>
      </c>
      <c r="D1328" t="s">
        <v>2884</v>
      </c>
      <c r="E1328" t="s">
        <v>2885</v>
      </c>
      <c r="F1328" t="str">
        <f>HYPERLINK("https://talan.bank.gov.ua/get-user-certificate/45CEls6wY-BSblMvXpIy","Завантажити сертифікат")</f>
        <v>Завантажити сертифікат</v>
      </c>
    </row>
    <row r="1329" spans="1:6" x14ac:dyDescent="0.3">
      <c r="A1329" t="s">
        <v>2888</v>
      </c>
      <c r="B1329" t="s">
        <v>6</v>
      </c>
      <c r="C1329" t="s">
        <v>2889</v>
      </c>
      <c r="D1329" t="s">
        <v>2884</v>
      </c>
      <c r="E1329" t="s">
        <v>2885</v>
      </c>
      <c r="F1329" t="str">
        <f>HYPERLINK("https://talan.bank.gov.ua/get-user-certificate/45CEldeHtUJMgcRenjb6","Завантажити сертифікат")</f>
        <v>Завантажити сертифікат</v>
      </c>
    </row>
    <row r="1330" spans="1:6" x14ac:dyDescent="0.3">
      <c r="A1330" t="s">
        <v>2890</v>
      </c>
      <c r="B1330" t="s">
        <v>6</v>
      </c>
      <c r="C1330" t="s">
        <v>2891</v>
      </c>
      <c r="D1330" t="s">
        <v>2884</v>
      </c>
      <c r="E1330" t="s">
        <v>2885</v>
      </c>
      <c r="F1330" t="str">
        <f>HYPERLINK("https://talan.bank.gov.ua/get-user-certificate/45CElKZJsWEj2rB4C7LV","Завантажити сертифікат")</f>
        <v>Завантажити сертифікат</v>
      </c>
    </row>
    <row r="1331" spans="1:6" x14ac:dyDescent="0.3">
      <c r="A1331" t="s">
        <v>2892</v>
      </c>
      <c r="B1331" t="s">
        <v>6</v>
      </c>
      <c r="C1331" t="s">
        <v>2893</v>
      </c>
      <c r="D1331" t="s">
        <v>2884</v>
      </c>
      <c r="E1331" t="s">
        <v>2885</v>
      </c>
      <c r="F1331" t="str">
        <f>HYPERLINK("https://talan.bank.gov.ua/get-user-certificate/45CElo73I2_QdSaZjDkW","Завантажити сертифікат")</f>
        <v>Завантажити сертифікат</v>
      </c>
    </row>
    <row r="1332" spans="1:6" x14ac:dyDescent="0.3">
      <c r="A1332" t="s">
        <v>2894</v>
      </c>
      <c r="B1332" t="s">
        <v>6</v>
      </c>
      <c r="C1332" t="s">
        <v>2895</v>
      </c>
      <c r="D1332" t="s">
        <v>2884</v>
      </c>
      <c r="E1332" t="s">
        <v>2885</v>
      </c>
      <c r="F1332" t="str">
        <f>HYPERLINK("https://talan.bank.gov.ua/get-user-certificate/45CEloNds9XC9Bta-6qi","Завантажити сертифікат")</f>
        <v>Завантажити сертифікат</v>
      </c>
    </row>
    <row r="1333" spans="1:6" x14ac:dyDescent="0.3">
      <c r="A1333" t="s">
        <v>2896</v>
      </c>
      <c r="B1333" t="s">
        <v>6</v>
      </c>
      <c r="C1333" t="s">
        <v>2897</v>
      </c>
      <c r="D1333" t="s">
        <v>2884</v>
      </c>
      <c r="E1333" t="s">
        <v>2885</v>
      </c>
      <c r="F1333" t="str">
        <f>HYPERLINK("https://talan.bank.gov.ua/get-user-certificate/45CElGSFggYpkA4E-gNN","Завантажити сертифікат")</f>
        <v>Завантажити сертифікат</v>
      </c>
    </row>
    <row r="1334" spans="1:6" x14ac:dyDescent="0.3">
      <c r="A1334" t="s">
        <v>2898</v>
      </c>
      <c r="B1334" t="s">
        <v>6</v>
      </c>
      <c r="C1334" t="s">
        <v>2899</v>
      </c>
      <c r="D1334" t="s">
        <v>2884</v>
      </c>
      <c r="E1334" t="s">
        <v>2885</v>
      </c>
      <c r="F1334" t="str">
        <f>HYPERLINK("https://talan.bank.gov.ua/get-user-certificate/45CElWa_QichH-o-bgXN","Завантажити сертифікат")</f>
        <v>Завантажити сертифікат</v>
      </c>
    </row>
    <row r="1335" spans="1:6" x14ac:dyDescent="0.3">
      <c r="A1335" t="s">
        <v>2900</v>
      </c>
      <c r="B1335" t="s">
        <v>6</v>
      </c>
      <c r="C1335" t="s">
        <v>2901</v>
      </c>
      <c r="D1335" t="s">
        <v>2884</v>
      </c>
      <c r="E1335" t="s">
        <v>2885</v>
      </c>
      <c r="F1335" t="str">
        <f>HYPERLINK("https://talan.bank.gov.ua/get-user-certificate/45CEldzPGfZeX3yuoE3S","Завантажити сертифікат")</f>
        <v>Завантажити сертифікат</v>
      </c>
    </row>
    <row r="1336" spans="1:6" x14ac:dyDescent="0.3">
      <c r="A1336" t="s">
        <v>2902</v>
      </c>
      <c r="B1336" t="s">
        <v>6</v>
      </c>
      <c r="C1336" t="s">
        <v>2903</v>
      </c>
      <c r="D1336" t="s">
        <v>2884</v>
      </c>
      <c r="E1336" t="s">
        <v>2885</v>
      </c>
      <c r="F1336" t="str">
        <f>HYPERLINK("https://talan.bank.gov.ua/get-user-certificate/45CElMNEKb9G_KQk2KL5","Завантажити сертифікат")</f>
        <v>Завантажити сертифікат</v>
      </c>
    </row>
    <row r="1337" spans="1:6" x14ac:dyDescent="0.3">
      <c r="A1337" t="s">
        <v>2904</v>
      </c>
      <c r="B1337" t="s">
        <v>6</v>
      </c>
      <c r="C1337" t="s">
        <v>2905</v>
      </c>
      <c r="D1337" t="s">
        <v>2884</v>
      </c>
      <c r="E1337" t="s">
        <v>2885</v>
      </c>
      <c r="F1337" t="str">
        <f>HYPERLINK("https://talan.bank.gov.ua/get-user-certificate/45CElBRR92ek68VwYz9E","Завантажити сертифікат")</f>
        <v>Завантажити сертифікат</v>
      </c>
    </row>
    <row r="1338" spans="1:6" x14ac:dyDescent="0.3">
      <c r="A1338" t="s">
        <v>2906</v>
      </c>
      <c r="B1338" t="s">
        <v>6</v>
      </c>
      <c r="C1338" t="s">
        <v>2907</v>
      </c>
      <c r="D1338" t="s">
        <v>2884</v>
      </c>
      <c r="E1338" t="s">
        <v>2885</v>
      </c>
      <c r="F1338" t="str">
        <f>HYPERLINK("https://talan.bank.gov.ua/get-user-certificate/45CElxzM0SpcAf4PJ3hU","Завантажити сертифікат")</f>
        <v>Завантажити сертифікат</v>
      </c>
    </row>
    <row r="1339" spans="1:6" x14ac:dyDescent="0.3">
      <c r="A1339" t="s">
        <v>2908</v>
      </c>
      <c r="B1339" t="s">
        <v>6</v>
      </c>
      <c r="C1339" t="s">
        <v>2909</v>
      </c>
      <c r="D1339" t="s">
        <v>2884</v>
      </c>
      <c r="E1339" t="s">
        <v>2885</v>
      </c>
      <c r="F1339" t="str">
        <f>HYPERLINK("https://talan.bank.gov.ua/get-user-certificate/45CEliJS5Zi1ZvGvVb_p","Завантажити сертифікат")</f>
        <v>Завантажити сертифікат</v>
      </c>
    </row>
    <row r="1340" spans="1:6" x14ac:dyDescent="0.3">
      <c r="A1340" t="s">
        <v>2910</v>
      </c>
      <c r="B1340" t="s">
        <v>6</v>
      </c>
      <c r="C1340" t="s">
        <v>2911</v>
      </c>
      <c r="D1340" t="s">
        <v>2884</v>
      </c>
      <c r="E1340" t="s">
        <v>2885</v>
      </c>
      <c r="F1340" t="str">
        <f>HYPERLINK("https://talan.bank.gov.ua/get-user-certificate/45CElvaeHuwvsIpZeQuU","Завантажити сертифікат")</f>
        <v>Завантажити сертифікат</v>
      </c>
    </row>
    <row r="1341" spans="1:6" x14ac:dyDescent="0.3">
      <c r="A1341" t="s">
        <v>2912</v>
      </c>
      <c r="B1341" t="s">
        <v>6</v>
      </c>
      <c r="C1341" t="s">
        <v>2913</v>
      </c>
      <c r="D1341" t="s">
        <v>2884</v>
      </c>
      <c r="E1341" t="s">
        <v>2885</v>
      </c>
      <c r="F1341" t="str">
        <f>HYPERLINK("https://talan.bank.gov.ua/get-user-certificate/45CElye1pG_JLLAP0nuq","Завантажити сертифікат")</f>
        <v>Завантажити сертифікат</v>
      </c>
    </row>
    <row r="1342" spans="1:6" x14ac:dyDescent="0.3">
      <c r="A1342" t="s">
        <v>2914</v>
      </c>
      <c r="B1342" t="s">
        <v>6</v>
      </c>
      <c r="C1342" t="s">
        <v>2915</v>
      </c>
      <c r="D1342" t="s">
        <v>2884</v>
      </c>
      <c r="E1342" t="s">
        <v>2885</v>
      </c>
      <c r="F1342" t="str">
        <f>HYPERLINK("https://talan.bank.gov.ua/get-user-certificate/45CEllSikZcooyQiyQGA","Завантажити сертифікат")</f>
        <v>Завантажити сертифікат</v>
      </c>
    </row>
    <row r="1343" spans="1:6" x14ac:dyDescent="0.3">
      <c r="A1343" t="s">
        <v>2916</v>
      </c>
      <c r="B1343" t="s">
        <v>6</v>
      </c>
      <c r="C1343" t="s">
        <v>2917</v>
      </c>
      <c r="D1343" t="s">
        <v>2884</v>
      </c>
      <c r="E1343" t="s">
        <v>2885</v>
      </c>
      <c r="F1343" t="str">
        <f>HYPERLINK("https://talan.bank.gov.ua/get-user-certificate/45CElEUPiup7vEtD87-c","Завантажити сертифікат")</f>
        <v>Завантажити сертифікат</v>
      </c>
    </row>
    <row r="1344" spans="1:6" x14ac:dyDescent="0.3">
      <c r="A1344" t="s">
        <v>2918</v>
      </c>
      <c r="B1344" t="s">
        <v>6</v>
      </c>
      <c r="C1344" t="s">
        <v>2919</v>
      </c>
      <c r="D1344" t="s">
        <v>2884</v>
      </c>
      <c r="E1344" t="s">
        <v>2885</v>
      </c>
      <c r="F1344" t="str">
        <f>HYPERLINK("https://talan.bank.gov.ua/get-user-certificate/45CElREfVvmJk1AWcGOl","Завантажити сертифікат")</f>
        <v>Завантажити сертифікат</v>
      </c>
    </row>
    <row r="1345" spans="1:6" x14ac:dyDescent="0.3">
      <c r="A1345" t="s">
        <v>2920</v>
      </c>
      <c r="B1345" t="s">
        <v>6</v>
      </c>
      <c r="C1345" t="s">
        <v>2921</v>
      </c>
      <c r="D1345" t="s">
        <v>2884</v>
      </c>
      <c r="E1345" t="s">
        <v>2885</v>
      </c>
      <c r="F1345" t="str">
        <f>HYPERLINK("https://talan.bank.gov.ua/get-user-certificate/45CElYf6RejpwCKDaUOY","Завантажити сертифікат")</f>
        <v>Завантажити сертифікат</v>
      </c>
    </row>
    <row r="1346" spans="1:6" x14ac:dyDescent="0.3">
      <c r="A1346" t="s">
        <v>2922</v>
      </c>
      <c r="B1346" t="s">
        <v>6</v>
      </c>
      <c r="C1346" t="s">
        <v>2923</v>
      </c>
      <c r="D1346" t="s">
        <v>2884</v>
      </c>
      <c r="E1346" t="s">
        <v>2885</v>
      </c>
      <c r="F1346" t="str">
        <f>HYPERLINK("https://talan.bank.gov.ua/get-user-certificate/45CEldsXjRL0YY_0qfKe","Завантажити сертифікат")</f>
        <v>Завантажити сертифікат</v>
      </c>
    </row>
    <row r="1347" spans="1:6" x14ac:dyDescent="0.3">
      <c r="A1347" t="s">
        <v>2924</v>
      </c>
      <c r="B1347" t="s">
        <v>6</v>
      </c>
      <c r="C1347" t="s">
        <v>2925</v>
      </c>
      <c r="D1347" t="s">
        <v>2884</v>
      </c>
      <c r="E1347" t="s">
        <v>2885</v>
      </c>
      <c r="F1347" t="str">
        <f>HYPERLINK("https://talan.bank.gov.ua/get-user-certificate/45CElrs_59eIfswF677d","Завантажити сертифікат")</f>
        <v>Завантажити сертифікат</v>
      </c>
    </row>
    <row r="1348" spans="1:6" x14ac:dyDescent="0.3">
      <c r="A1348" t="s">
        <v>2926</v>
      </c>
      <c r="B1348" t="s">
        <v>6</v>
      </c>
      <c r="C1348" t="s">
        <v>2927</v>
      </c>
      <c r="D1348" t="s">
        <v>2884</v>
      </c>
      <c r="E1348" t="s">
        <v>2885</v>
      </c>
      <c r="F1348" t="str">
        <f>HYPERLINK("https://talan.bank.gov.ua/get-user-certificate/45CEllbTc-_Bcb8VifhV","Завантажити сертифікат")</f>
        <v>Завантажити сертифікат</v>
      </c>
    </row>
    <row r="1349" spans="1:6" x14ac:dyDescent="0.3">
      <c r="A1349" t="s">
        <v>2928</v>
      </c>
      <c r="B1349" t="s">
        <v>6</v>
      </c>
      <c r="C1349" t="s">
        <v>2929</v>
      </c>
      <c r="D1349" t="s">
        <v>2884</v>
      </c>
      <c r="E1349" t="s">
        <v>2885</v>
      </c>
      <c r="F1349" t="str">
        <f>HYPERLINK("https://talan.bank.gov.ua/get-user-certificate/45CElRvy_xvYHUw-6xYZ","Завантажити сертифікат")</f>
        <v>Завантажити сертифікат</v>
      </c>
    </row>
    <row r="1350" spans="1:6" x14ac:dyDescent="0.3">
      <c r="A1350" t="s">
        <v>2930</v>
      </c>
      <c r="B1350" t="s">
        <v>6</v>
      </c>
      <c r="C1350" t="s">
        <v>2931</v>
      </c>
      <c r="D1350" t="s">
        <v>2884</v>
      </c>
      <c r="E1350" t="s">
        <v>2885</v>
      </c>
      <c r="F1350" t="str">
        <f>HYPERLINK("https://talan.bank.gov.ua/get-user-certificate/45CElD3x4ZyPUBBrUcCo","Завантажити сертифікат")</f>
        <v>Завантажити сертифікат</v>
      </c>
    </row>
    <row r="1351" spans="1:6" x14ac:dyDescent="0.3">
      <c r="A1351" t="s">
        <v>2932</v>
      </c>
      <c r="B1351" t="s">
        <v>6</v>
      </c>
      <c r="C1351" t="s">
        <v>2933</v>
      </c>
      <c r="D1351" t="s">
        <v>2884</v>
      </c>
      <c r="E1351" t="s">
        <v>2885</v>
      </c>
      <c r="F1351" t="str">
        <f>HYPERLINK("https://talan.bank.gov.ua/get-user-certificate/45CEldgfOJvqWfG1jLng","Завантажити сертифікат")</f>
        <v>Завантажити сертифікат</v>
      </c>
    </row>
    <row r="1352" spans="1:6" x14ac:dyDescent="0.3">
      <c r="A1352" t="s">
        <v>2934</v>
      </c>
      <c r="B1352" t="s">
        <v>6</v>
      </c>
      <c r="C1352" t="s">
        <v>2935</v>
      </c>
      <c r="D1352" t="s">
        <v>2884</v>
      </c>
      <c r="E1352" t="s">
        <v>2885</v>
      </c>
      <c r="F1352" t="str">
        <f>HYPERLINK("https://talan.bank.gov.ua/get-user-certificate/45CElA9XY497kEaoEA5Q","Завантажити сертифікат")</f>
        <v>Завантажити сертифікат</v>
      </c>
    </row>
    <row r="1353" spans="1:6" x14ac:dyDescent="0.3">
      <c r="A1353" t="s">
        <v>2936</v>
      </c>
      <c r="B1353" t="s">
        <v>6</v>
      </c>
      <c r="C1353" t="s">
        <v>2937</v>
      </c>
      <c r="D1353" t="s">
        <v>2884</v>
      </c>
      <c r="E1353" t="s">
        <v>2885</v>
      </c>
      <c r="F1353" t="str">
        <f>HYPERLINK("https://talan.bank.gov.ua/get-user-certificate/45CElzN_L2DQbdA384Ow","Завантажити сертифікат")</f>
        <v>Завантажити сертифікат</v>
      </c>
    </row>
    <row r="1354" spans="1:6" x14ac:dyDescent="0.3">
      <c r="A1354" t="s">
        <v>2938</v>
      </c>
      <c r="B1354" t="s">
        <v>6</v>
      </c>
      <c r="C1354" t="s">
        <v>2939</v>
      </c>
      <c r="D1354" t="s">
        <v>2884</v>
      </c>
      <c r="E1354" t="s">
        <v>2885</v>
      </c>
      <c r="F1354" t="str">
        <f>HYPERLINK("https://talan.bank.gov.ua/get-user-certificate/45CElki6JQPLebk8jnJx","Завантажити сертифікат")</f>
        <v>Завантажити сертифікат</v>
      </c>
    </row>
    <row r="1355" spans="1:6" x14ac:dyDescent="0.3">
      <c r="A1355" t="s">
        <v>2940</v>
      </c>
      <c r="B1355" t="s">
        <v>6</v>
      </c>
      <c r="C1355" t="s">
        <v>2941</v>
      </c>
      <c r="D1355" t="s">
        <v>2884</v>
      </c>
      <c r="E1355" t="s">
        <v>2885</v>
      </c>
      <c r="F1355" t="str">
        <f>HYPERLINK("https://talan.bank.gov.ua/get-user-certificate/45CElfxpUq1m9hjUKHN9","Завантажити сертифікат")</f>
        <v>Завантажити сертифікат</v>
      </c>
    </row>
    <row r="1356" spans="1:6" x14ac:dyDescent="0.3">
      <c r="A1356" t="s">
        <v>2942</v>
      </c>
      <c r="B1356" t="s">
        <v>6</v>
      </c>
      <c r="C1356" t="s">
        <v>2943</v>
      </c>
      <c r="D1356" t="s">
        <v>2884</v>
      </c>
      <c r="E1356" t="s">
        <v>2885</v>
      </c>
      <c r="F1356" t="str">
        <f>HYPERLINK("https://talan.bank.gov.ua/get-user-certificate/45CElN0OHRnUnE03hC_R","Завантажити сертифікат")</f>
        <v>Завантажити сертифікат</v>
      </c>
    </row>
    <row r="1357" spans="1:6" x14ac:dyDescent="0.3">
      <c r="A1357" t="s">
        <v>2944</v>
      </c>
      <c r="B1357" t="s">
        <v>6</v>
      </c>
      <c r="C1357" t="s">
        <v>2945</v>
      </c>
      <c r="D1357" t="s">
        <v>2884</v>
      </c>
      <c r="E1357" t="s">
        <v>2885</v>
      </c>
      <c r="F1357" t="str">
        <f>HYPERLINK("https://talan.bank.gov.ua/get-user-certificate/45CElu3i6WhafgSc6sFe","Завантажити сертифікат")</f>
        <v>Завантажити сертифікат</v>
      </c>
    </row>
    <row r="1358" spans="1:6" x14ac:dyDescent="0.3">
      <c r="A1358" t="s">
        <v>2946</v>
      </c>
      <c r="B1358" t="s">
        <v>6</v>
      </c>
      <c r="C1358" t="s">
        <v>2947</v>
      </c>
      <c r="D1358" t="s">
        <v>2884</v>
      </c>
      <c r="E1358" t="s">
        <v>2885</v>
      </c>
      <c r="F1358" t="str">
        <f>HYPERLINK("https://talan.bank.gov.ua/get-user-certificate/45CEllqzJcKymM5gt81K","Завантажити сертифікат")</f>
        <v>Завантажити сертифікат</v>
      </c>
    </row>
    <row r="1359" spans="1:6" x14ac:dyDescent="0.3">
      <c r="A1359" t="s">
        <v>2948</v>
      </c>
      <c r="B1359" t="s">
        <v>6</v>
      </c>
      <c r="C1359" t="s">
        <v>2949</v>
      </c>
      <c r="D1359" t="s">
        <v>2884</v>
      </c>
      <c r="E1359" t="s">
        <v>2885</v>
      </c>
      <c r="F1359" t="str">
        <f>HYPERLINK("https://talan.bank.gov.ua/get-user-certificate/45CElV9UdXuRnH1EK8PC","Завантажити сертифікат")</f>
        <v>Завантажити сертифікат</v>
      </c>
    </row>
    <row r="1360" spans="1:6" x14ac:dyDescent="0.3">
      <c r="A1360" t="s">
        <v>2950</v>
      </c>
      <c r="B1360" t="s">
        <v>6</v>
      </c>
      <c r="C1360" t="s">
        <v>2951</v>
      </c>
      <c r="D1360" t="s">
        <v>2884</v>
      </c>
      <c r="E1360" t="s">
        <v>2885</v>
      </c>
      <c r="F1360" t="str">
        <f>HYPERLINK("https://talan.bank.gov.ua/get-user-certificate/45CElEE2qhv-6e0Y91ly","Завантажити сертифікат")</f>
        <v>Завантажити сертифікат</v>
      </c>
    </row>
    <row r="1361" spans="1:6" x14ac:dyDescent="0.3">
      <c r="A1361" t="s">
        <v>2952</v>
      </c>
      <c r="B1361" t="s">
        <v>6</v>
      </c>
      <c r="C1361" t="s">
        <v>2953</v>
      </c>
      <c r="D1361" t="s">
        <v>2884</v>
      </c>
      <c r="E1361" t="s">
        <v>2885</v>
      </c>
      <c r="F1361" t="str">
        <f>HYPERLINK("https://talan.bank.gov.ua/get-user-certificate/45CElC7ckgOv-CiGaXdT","Завантажити сертифікат")</f>
        <v>Завантажити сертифікат</v>
      </c>
    </row>
    <row r="1362" spans="1:6" x14ac:dyDescent="0.3">
      <c r="A1362" t="s">
        <v>2954</v>
      </c>
      <c r="B1362" t="s">
        <v>6</v>
      </c>
      <c r="C1362" t="s">
        <v>2955</v>
      </c>
      <c r="D1362" t="s">
        <v>2884</v>
      </c>
      <c r="E1362" t="s">
        <v>2885</v>
      </c>
      <c r="F1362" t="str">
        <f>HYPERLINK("https://talan.bank.gov.ua/get-user-certificate/45CElgc-Vm0AnV8PSyz0","Завантажити сертифікат")</f>
        <v>Завантажити сертифікат</v>
      </c>
    </row>
    <row r="1363" spans="1:6" x14ac:dyDescent="0.3">
      <c r="A1363" t="s">
        <v>2956</v>
      </c>
      <c r="B1363" t="s">
        <v>6</v>
      </c>
      <c r="C1363" t="s">
        <v>2957</v>
      </c>
      <c r="D1363" t="s">
        <v>2884</v>
      </c>
      <c r="E1363" t="s">
        <v>2885</v>
      </c>
      <c r="F1363" t="str">
        <f>HYPERLINK("https://talan.bank.gov.ua/get-user-certificate/45CElI3oGZLy6Kpb0oBl","Завантажити сертифікат")</f>
        <v>Завантажити сертифікат</v>
      </c>
    </row>
    <row r="1364" spans="1:6" x14ac:dyDescent="0.3">
      <c r="A1364" t="s">
        <v>2958</v>
      </c>
      <c r="B1364" t="s">
        <v>6</v>
      </c>
      <c r="C1364" t="s">
        <v>2959</v>
      </c>
      <c r="D1364" t="s">
        <v>2884</v>
      </c>
      <c r="E1364" t="s">
        <v>2885</v>
      </c>
      <c r="F1364" t="str">
        <f>HYPERLINK("https://talan.bank.gov.ua/get-user-certificate/45CEljmQV8MlAMUc_hJ9","Завантажити сертифікат")</f>
        <v>Завантажити сертифікат</v>
      </c>
    </row>
    <row r="1365" spans="1:6" x14ac:dyDescent="0.3">
      <c r="A1365" t="s">
        <v>2960</v>
      </c>
      <c r="B1365" t="s">
        <v>6</v>
      </c>
      <c r="C1365" t="s">
        <v>2961</v>
      </c>
      <c r="D1365" t="s">
        <v>2884</v>
      </c>
      <c r="E1365" t="s">
        <v>2885</v>
      </c>
      <c r="F1365" t="str">
        <f>HYPERLINK("https://talan.bank.gov.ua/get-user-certificate/45CElhua-In7AMibK8s1","Завантажити сертифікат")</f>
        <v>Завантажити сертифікат</v>
      </c>
    </row>
    <row r="1366" spans="1:6" x14ac:dyDescent="0.3">
      <c r="A1366" t="s">
        <v>2962</v>
      </c>
      <c r="B1366" t="s">
        <v>6</v>
      </c>
      <c r="C1366" t="s">
        <v>2963</v>
      </c>
      <c r="D1366" t="s">
        <v>2884</v>
      </c>
      <c r="E1366" t="s">
        <v>2885</v>
      </c>
      <c r="F1366" t="str">
        <f>HYPERLINK("https://talan.bank.gov.ua/get-user-certificate/45CElo3-x3jORmramZkn","Завантажити сертифікат")</f>
        <v>Завантажити сертифікат</v>
      </c>
    </row>
    <row r="1367" spans="1:6" x14ac:dyDescent="0.3">
      <c r="A1367" t="s">
        <v>2964</v>
      </c>
      <c r="B1367" t="s">
        <v>6</v>
      </c>
      <c r="C1367" t="s">
        <v>2965</v>
      </c>
      <c r="D1367" t="s">
        <v>2884</v>
      </c>
      <c r="E1367" t="s">
        <v>2885</v>
      </c>
      <c r="F1367" t="str">
        <f>HYPERLINK("https://talan.bank.gov.ua/get-user-certificate/45CElhdurhHWdY-id7Ws","Завантажити сертифікат")</f>
        <v>Завантажити сертифікат</v>
      </c>
    </row>
    <row r="1368" spans="1:6" x14ac:dyDescent="0.3">
      <c r="A1368" t="s">
        <v>2966</v>
      </c>
      <c r="B1368" t="s">
        <v>6</v>
      </c>
      <c r="C1368" t="s">
        <v>2967</v>
      </c>
      <c r="D1368" t="s">
        <v>2884</v>
      </c>
      <c r="E1368" t="s">
        <v>2885</v>
      </c>
      <c r="F1368" t="str">
        <f>HYPERLINK("https://talan.bank.gov.ua/get-user-certificate/45CElGxtxoGDe7OcfDmg","Завантажити сертифікат")</f>
        <v>Завантажити сертифікат</v>
      </c>
    </row>
    <row r="1369" spans="1:6" x14ac:dyDescent="0.3">
      <c r="A1369" t="s">
        <v>2968</v>
      </c>
      <c r="B1369" t="s">
        <v>6</v>
      </c>
      <c r="C1369" t="s">
        <v>2969</v>
      </c>
      <c r="D1369" t="s">
        <v>2884</v>
      </c>
      <c r="E1369" t="s">
        <v>2885</v>
      </c>
      <c r="F1369" t="str">
        <f>HYPERLINK("https://talan.bank.gov.ua/get-user-certificate/45CEl8tZiWTsAah0dO07","Завантажити сертифікат")</f>
        <v>Завантажити сертифікат</v>
      </c>
    </row>
    <row r="1370" spans="1:6" x14ac:dyDescent="0.3">
      <c r="A1370" t="s">
        <v>2970</v>
      </c>
      <c r="B1370" t="s">
        <v>6</v>
      </c>
      <c r="C1370" t="s">
        <v>2971</v>
      </c>
      <c r="D1370" t="s">
        <v>2884</v>
      </c>
      <c r="E1370" t="s">
        <v>2885</v>
      </c>
      <c r="F1370" t="str">
        <f>HYPERLINK("https://talan.bank.gov.ua/get-user-certificate/45CEldzZ4ducwPulKD3r","Завантажити сертифікат")</f>
        <v>Завантажити сертифікат</v>
      </c>
    </row>
    <row r="1371" spans="1:6" x14ac:dyDescent="0.3">
      <c r="A1371" t="s">
        <v>2972</v>
      </c>
      <c r="B1371" t="s">
        <v>6</v>
      </c>
      <c r="C1371" t="s">
        <v>2973</v>
      </c>
      <c r="D1371" t="s">
        <v>2884</v>
      </c>
      <c r="E1371" t="s">
        <v>2885</v>
      </c>
      <c r="F1371" t="str">
        <f>HYPERLINK("https://talan.bank.gov.ua/get-user-certificate/45CElQ71pA5rHnpPCoZA","Завантажити сертифікат")</f>
        <v>Завантажити сертифікат</v>
      </c>
    </row>
    <row r="1372" spans="1:6" x14ac:dyDescent="0.3">
      <c r="A1372" t="s">
        <v>2974</v>
      </c>
      <c r="B1372" t="s">
        <v>6</v>
      </c>
      <c r="C1372" t="s">
        <v>2975</v>
      </c>
      <c r="D1372" t="s">
        <v>2884</v>
      </c>
      <c r="E1372" t="s">
        <v>2885</v>
      </c>
      <c r="F1372" t="str">
        <f>HYPERLINK("https://talan.bank.gov.ua/get-user-certificate/45CEl1E0a9pzSDa2bD-h","Завантажити сертифікат")</f>
        <v>Завантажити сертифікат</v>
      </c>
    </row>
    <row r="1373" spans="1:6" x14ac:dyDescent="0.3">
      <c r="A1373" t="s">
        <v>2976</v>
      </c>
      <c r="B1373" t="s">
        <v>6</v>
      </c>
      <c r="C1373" t="s">
        <v>2977</v>
      </c>
      <c r="D1373" t="s">
        <v>2884</v>
      </c>
      <c r="E1373" t="s">
        <v>2885</v>
      </c>
      <c r="F1373" t="str">
        <f>HYPERLINK("https://talan.bank.gov.ua/get-user-certificate/45CElVy005lAjvYuy--h","Завантажити сертифікат")</f>
        <v>Завантажити сертифікат</v>
      </c>
    </row>
    <row r="1374" spans="1:6" x14ac:dyDescent="0.3">
      <c r="A1374" t="s">
        <v>2978</v>
      </c>
      <c r="B1374" t="s">
        <v>6</v>
      </c>
      <c r="C1374" t="s">
        <v>2979</v>
      </c>
      <c r="D1374" t="s">
        <v>2884</v>
      </c>
      <c r="E1374" t="s">
        <v>2885</v>
      </c>
      <c r="F1374" t="str">
        <f>HYPERLINK("https://talan.bank.gov.ua/get-user-certificate/45CElCrpZQrlRGOaqkDE","Завантажити сертифікат")</f>
        <v>Завантажити сертифікат</v>
      </c>
    </row>
    <row r="1375" spans="1:6" x14ac:dyDescent="0.3">
      <c r="A1375" t="s">
        <v>2980</v>
      </c>
      <c r="B1375" t="s">
        <v>6</v>
      </c>
      <c r="C1375" t="s">
        <v>2981</v>
      </c>
      <c r="D1375" t="s">
        <v>2884</v>
      </c>
      <c r="E1375" t="s">
        <v>2885</v>
      </c>
      <c r="F1375" t="str">
        <f>HYPERLINK("https://talan.bank.gov.ua/get-user-certificate/45CElL2lk0eK6HnTmTJT","Завантажити сертифікат")</f>
        <v>Завантажити сертифікат</v>
      </c>
    </row>
    <row r="1376" spans="1:6" x14ac:dyDescent="0.3">
      <c r="A1376" t="s">
        <v>2982</v>
      </c>
      <c r="B1376" t="s">
        <v>6</v>
      </c>
      <c r="C1376" t="s">
        <v>2983</v>
      </c>
      <c r="D1376" t="s">
        <v>2884</v>
      </c>
      <c r="E1376" t="s">
        <v>2885</v>
      </c>
      <c r="F1376" t="str">
        <f>HYPERLINK("https://talan.bank.gov.ua/get-user-certificate/45CElEyNr4bJ-Bv4eiCA","Завантажити сертифікат")</f>
        <v>Завантажити сертифікат</v>
      </c>
    </row>
    <row r="1377" spans="1:6" x14ac:dyDescent="0.3">
      <c r="A1377" t="s">
        <v>2984</v>
      </c>
      <c r="B1377" t="s">
        <v>6</v>
      </c>
      <c r="C1377" t="s">
        <v>2985</v>
      </c>
      <c r="D1377" t="s">
        <v>2884</v>
      </c>
      <c r="E1377" t="s">
        <v>2885</v>
      </c>
      <c r="F1377" t="str">
        <f>HYPERLINK("https://talan.bank.gov.ua/get-user-certificate/45CElZGhVRUuJ15CHoOA","Завантажити сертифікат")</f>
        <v>Завантажити сертифікат</v>
      </c>
    </row>
    <row r="1378" spans="1:6" x14ac:dyDescent="0.3">
      <c r="A1378" t="s">
        <v>2986</v>
      </c>
      <c r="B1378" t="s">
        <v>6</v>
      </c>
      <c r="C1378" t="s">
        <v>2987</v>
      </c>
      <c r="D1378" t="s">
        <v>2884</v>
      </c>
      <c r="E1378" t="s">
        <v>2885</v>
      </c>
      <c r="F1378" t="str">
        <f>HYPERLINK("https://talan.bank.gov.ua/get-user-certificate/45CEl4KR__KVHWKc7BQQ","Завантажити сертифікат")</f>
        <v>Завантажити сертифікат</v>
      </c>
    </row>
    <row r="1379" spans="1:6" x14ac:dyDescent="0.3">
      <c r="A1379" t="s">
        <v>2988</v>
      </c>
      <c r="B1379" t="s">
        <v>6</v>
      </c>
      <c r="C1379" t="s">
        <v>2989</v>
      </c>
      <c r="D1379" t="s">
        <v>2884</v>
      </c>
      <c r="E1379" t="s">
        <v>2885</v>
      </c>
      <c r="F1379" t="str">
        <f>HYPERLINK("https://talan.bank.gov.ua/get-user-certificate/45CElW3n39u8gsdWRhmM","Завантажити сертифікат")</f>
        <v>Завантажити сертифікат</v>
      </c>
    </row>
    <row r="1380" spans="1:6" x14ac:dyDescent="0.3">
      <c r="A1380" t="s">
        <v>2990</v>
      </c>
      <c r="B1380" t="s">
        <v>6</v>
      </c>
      <c r="C1380" t="s">
        <v>2991</v>
      </c>
      <c r="D1380" t="s">
        <v>2884</v>
      </c>
      <c r="E1380" t="s">
        <v>2885</v>
      </c>
      <c r="F1380" t="str">
        <f>HYPERLINK("https://talan.bank.gov.ua/get-user-certificate/45CElz2Z-2Dmle2gAPDB","Завантажити сертифікат")</f>
        <v>Завантажити сертифікат</v>
      </c>
    </row>
    <row r="1381" spans="1:6" x14ac:dyDescent="0.3">
      <c r="A1381" t="s">
        <v>2992</v>
      </c>
      <c r="B1381" t="s">
        <v>6</v>
      </c>
      <c r="C1381" t="s">
        <v>2993</v>
      </c>
      <c r="D1381" t="s">
        <v>2884</v>
      </c>
      <c r="E1381" t="s">
        <v>2885</v>
      </c>
      <c r="F1381" t="str">
        <f>HYPERLINK("https://talan.bank.gov.ua/get-user-certificate/45CElCNyKKVSLGodkLsF","Завантажити сертифікат")</f>
        <v>Завантажити сертифікат</v>
      </c>
    </row>
    <row r="1382" spans="1:6" x14ac:dyDescent="0.3">
      <c r="A1382" t="s">
        <v>2994</v>
      </c>
      <c r="B1382" t="s">
        <v>6</v>
      </c>
      <c r="C1382" t="s">
        <v>2995</v>
      </c>
      <c r="D1382" t="s">
        <v>2884</v>
      </c>
      <c r="E1382" t="s">
        <v>2885</v>
      </c>
      <c r="F1382" t="str">
        <f>HYPERLINK("https://talan.bank.gov.ua/get-user-certificate/45CElnov7ihY7VTRqD1v","Завантажити сертифікат")</f>
        <v>Завантажити сертифікат</v>
      </c>
    </row>
    <row r="1383" spans="1:6" x14ac:dyDescent="0.3">
      <c r="A1383" t="s">
        <v>2996</v>
      </c>
      <c r="B1383" t="s">
        <v>6</v>
      </c>
      <c r="C1383" t="s">
        <v>2997</v>
      </c>
      <c r="D1383" t="s">
        <v>2884</v>
      </c>
      <c r="E1383" t="s">
        <v>2885</v>
      </c>
      <c r="F1383" t="str">
        <f>HYPERLINK("https://talan.bank.gov.ua/get-user-certificate/45CElAmqInfiw5Qk_NOz","Завантажити сертифікат")</f>
        <v>Завантажити сертифікат</v>
      </c>
    </row>
    <row r="1384" spans="1:6" x14ac:dyDescent="0.3">
      <c r="A1384" t="s">
        <v>2998</v>
      </c>
      <c r="B1384" t="s">
        <v>6</v>
      </c>
      <c r="C1384" t="s">
        <v>2999</v>
      </c>
      <c r="D1384" t="s">
        <v>2884</v>
      </c>
      <c r="E1384" t="s">
        <v>2885</v>
      </c>
      <c r="F1384" t="str">
        <f>HYPERLINK("https://talan.bank.gov.ua/get-user-certificate/45CElzuG82xPVq3CczPE","Завантажити сертифікат")</f>
        <v>Завантажити сертифікат</v>
      </c>
    </row>
    <row r="1385" spans="1:6" x14ac:dyDescent="0.3">
      <c r="A1385" t="s">
        <v>3000</v>
      </c>
      <c r="B1385" t="s">
        <v>6</v>
      </c>
      <c r="C1385" t="s">
        <v>3001</v>
      </c>
      <c r="D1385" t="s">
        <v>2884</v>
      </c>
      <c r="E1385" t="s">
        <v>2885</v>
      </c>
      <c r="F1385" t="str">
        <f>HYPERLINK("https://talan.bank.gov.ua/get-user-certificate/45CElhst1mZrRMgZUgwW","Завантажити сертифікат")</f>
        <v>Завантажити сертифікат</v>
      </c>
    </row>
    <row r="1386" spans="1:6" x14ac:dyDescent="0.3">
      <c r="A1386" t="s">
        <v>3002</v>
      </c>
      <c r="B1386" t="s">
        <v>6</v>
      </c>
      <c r="C1386" t="s">
        <v>3003</v>
      </c>
      <c r="D1386" t="s">
        <v>2884</v>
      </c>
      <c r="E1386" t="s">
        <v>2885</v>
      </c>
      <c r="F1386" t="str">
        <f>HYPERLINK("https://talan.bank.gov.ua/get-user-certificate/45CElvCIAsfw_990uuEz","Завантажити сертифікат")</f>
        <v>Завантажити сертифікат</v>
      </c>
    </row>
    <row r="1387" spans="1:6" x14ac:dyDescent="0.3">
      <c r="A1387" t="s">
        <v>3004</v>
      </c>
      <c r="B1387" t="s">
        <v>6</v>
      </c>
      <c r="C1387" t="s">
        <v>3005</v>
      </c>
      <c r="D1387" t="s">
        <v>2884</v>
      </c>
      <c r="E1387" t="s">
        <v>2885</v>
      </c>
      <c r="F1387" t="str">
        <f>HYPERLINK("https://talan.bank.gov.ua/get-user-certificate/45CElTqxqhHXi540b6L9","Завантажити сертифікат")</f>
        <v>Завантажити сертифікат</v>
      </c>
    </row>
    <row r="1388" spans="1:6" x14ac:dyDescent="0.3">
      <c r="A1388" t="s">
        <v>3006</v>
      </c>
      <c r="B1388" t="s">
        <v>6</v>
      </c>
      <c r="C1388" t="s">
        <v>3007</v>
      </c>
      <c r="D1388" t="s">
        <v>3008</v>
      </c>
      <c r="E1388" t="s">
        <v>3009</v>
      </c>
      <c r="F1388" t="str">
        <f>HYPERLINK("https://talan.bank.gov.ua/get-user-certificate/45CElsj6vx4oP6Iv_6Gw","Завантажити сертифікат")</f>
        <v>Завантажити сертифікат</v>
      </c>
    </row>
    <row r="1389" spans="1:6" x14ac:dyDescent="0.3">
      <c r="A1389" t="s">
        <v>3010</v>
      </c>
      <c r="B1389" t="s">
        <v>6</v>
      </c>
      <c r="C1389" t="s">
        <v>3011</v>
      </c>
      <c r="D1389" t="s">
        <v>3008</v>
      </c>
      <c r="E1389" t="s">
        <v>3009</v>
      </c>
      <c r="F1389" t="str">
        <f>HYPERLINK("https://talan.bank.gov.ua/get-user-certificate/45CEl3UU23yvaQe3r_f5","Завантажити сертифікат")</f>
        <v>Завантажити сертифікат</v>
      </c>
    </row>
    <row r="1390" spans="1:6" x14ac:dyDescent="0.3">
      <c r="A1390" t="s">
        <v>3012</v>
      </c>
      <c r="B1390" t="s">
        <v>6</v>
      </c>
      <c r="C1390" t="s">
        <v>3013</v>
      </c>
      <c r="D1390" t="s">
        <v>3008</v>
      </c>
      <c r="E1390" t="s">
        <v>3009</v>
      </c>
      <c r="F1390" t="str">
        <f>HYPERLINK("https://talan.bank.gov.ua/get-user-certificate/45CElA4jR0gBAlpMGWpc","Завантажити сертифікат")</f>
        <v>Завантажити сертифікат</v>
      </c>
    </row>
    <row r="1391" spans="1:6" x14ac:dyDescent="0.3">
      <c r="A1391" t="s">
        <v>3014</v>
      </c>
      <c r="B1391" t="s">
        <v>6</v>
      </c>
      <c r="C1391" t="s">
        <v>3015</v>
      </c>
      <c r="D1391" t="s">
        <v>3008</v>
      </c>
      <c r="E1391" t="s">
        <v>3009</v>
      </c>
      <c r="F1391" t="str">
        <f>HYPERLINK("https://talan.bank.gov.ua/get-user-certificate/45CElxTPWuKlB9RMitIM","Завантажити сертифікат")</f>
        <v>Завантажити сертифікат</v>
      </c>
    </row>
    <row r="1392" spans="1:6" x14ac:dyDescent="0.3">
      <c r="A1392" t="s">
        <v>3016</v>
      </c>
      <c r="B1392" t="s">
        <v>6</v>
      </c>
      <c r="C1392" t="s">
        <v>3017</v>
      </c>
      <c r="D1392" t="s">
        <v>3008</v>
      </c>
      <c r="E1392" t="s">
        <v>3009</v>
      </c>
      <c r="F1392" t="str">
        <f>HYPERLINK("https://talan.bank.gov.ua/get-user-certificate/45CEl0DPLpLx4WeeXSzx","Завантажити сертифікат")</f>
        <v>Завантажити сертифікат</v>
      </c>
    </row>
    <row r="1393" spans="1:6" x14ac:dyDescent="0.3">
      <c r="A1393" t="s">
        <v>3018</v>
      </c>
      <c r="B1393" t="s">
        <v>6</v>
      </c>
      <c r="C1393" t="s">
        <v>3019</v>
      </c>
      <c r="D1393" t="s">
        <v>3008</v>
      </c>
      <c r="E1393" t="s">
        <v>3009</v>
      </c>
      <c r="F1393" t="str">
        <f>HYPERLINK("https://talan.bank.gov.ua/get-user-certificate/45CElbdO5d5H5sLslWf6","Завантажити сертифікат")</f>
        <v>Завантажити сертифікат</v>
      </c>
    </row>
    <row r="1394" spans="1:6" x14ac:dyDescent="0.3">
      <c r="A1394" t="s">
        <v>3020</v>
      </c>
      <c r="B1394" t="s">
        <v>6</v>
      </c>
      <c r="C1394" t="s">
        <v>3021</v>
      </c>
      <c r="D1394" t="s">
        <v>3022</v>
      </c>
      <c r="E1394" t="s">
        <v>3023</v>
      </c>
      <c r="F1394" t="str">
        <f>HYPERLINK("https://talan.bank.gov.ua/get-user-certificate/45CElMNGpKzQ7MNBBotY","Завантажити сертифікат")</f>
        <v>Завантажити сертифікат</v>
      </c>
    </row>
    <row r="1395" spans="1:6" x14ac:dyDescent="0.3">
      <c r="A1395" t="s">
        <v>3024</v>
      </c>
      <c r="B1395" t="s">
        <v>6</v>
      </c>
      <c r="C1395" t="s">
        <v>3025</v>
      </c>
      <c r="D1395" t="s">
        <v>3022</v>
      </c>
      <c r="E1395" t="s">
        <v>3023</v>
      </c>
      <c r="F1395" t="str">
        <f>HYPERLINK("https://talan.bank.gov.ua/get-user-certificate/45CElEOdKUp6H7rgtaNG","Завантажити сертифікат")</f>
        <v>Завантажити сертифікат</v>
      </c>
    </row>
    <row r="1396" spans="1:6" x14ac:dyDescent="0.3">
      <c r="A1396" t="s">
        <v>3026</v>
      </c>
      <c r="B1396" t="s">
        <v>6</v>
      </c>
      <c r="C1396" t="s">
        <v>3027</v>
      </c>
      <c r="D1396" t="s">
        <v>3022</v>
      </c>
      <c r="E1396" t="s">
        <v>3023</v>
      </c>
      <c r="F1396" t="str">
        <f>HYPERLINK("https://talan.bank.gov.ua/get-user-certificate/45CElYg8jW2e9hFl7KEY","Завантажити сертифікат")</f>
        <v>Завантажити сертифікат</v>
      </c>
    </row>
    <row r="1397" spans="1:6" x14ac:dyDescent="0.3">
      <c r="A1397" t="s">
        <v>3028</v>
      </c>
      <c r="B1397" t="s">
        <v>6</v>
      </c>
      <c r="C1397" t="s">
        <v>3029</v>
      </c>
      <c r="D1397" t="s">
        <v>3022</v>
      </c>
      <c r="E1397" t="s">
        <v>3023</v>
      </c>
      <c r="F1397" t="str">
        <f>HYPERLINK("https://talan.bank.gov.ua/get-user-certificate/45CEluUzbPTwvLVYJkJ_","Завантажити сертифікат")</f>
        <v>Завантажити сертифікат</v>
      </c>
    </row>
    <row r="1398" spans="1:6" x14ac:dyDescent="0.3">
      <c r="A1398" t="s">
        <v>3030</v>
      </c>
      <c r="B1398" t="s">
        <v>6</v>
      </c>
      <c r="C1398" t="s">
        <v>3031</v>
      </c>
      <c r="D1398" t="s">
        <v>3022</v>
      </c>
      <c r="E1398" t="s">
        <v>3023</v>
      </c>
      <c r="F1398" t="str">
        <f>HYPERLINK("https://talan.bank.gov.ua/get-user-certificate/45CEloRRpY-hZdhRZUvl","Завантажити сертифікат")</f>
        <v>Завантажити сертифікат</v>
      </c>
    </row>
    <row r="1399" spans="1:6" x14ac:dyDescent="0.3">
      <c r="A1399" t="s">
        <v>3032</v>
      </c>
      <c r="B1399" t="s">
        <v>6</v>
      </c>
      <c r="C1399" t="s">
        <v>3033</v>
      </c>
      <c r="D1399" t="s">
        <v>3022</v>
      </c>
      <c r="E1399" t="s">
        <v>3023</v>
      </c>
      <c r="F1399" t="str">
        <f>HYPERLINK("https://talan.bank.gov.ua/get-user-certificate/45CElZQxy3tGXyO7iwJJ","Завантажити сертифікат")</f>
        <v>Завантажити сертифікат</v>
      </c>
    </row>
    <row r="1400" spans="1:6" x14ac:dyDescent="0.3">
      <c r="A1400" t="s">
        <v>3034</v>
      </c>
      <c r="B1400" t="s">
        <v>6</v>
      </c>
      <c r="C1400" t="s">
        <v>3035</v>
      </c>
      <c r="D1400" t="s">
        <v>3022</v>
      </c>
      <c r="E1400" t="s">
        <v>3023</v>
      </c>
      <c r="F1400" t="str">
        <f>HYPERLINK("https://talan.bank.gov.ua/get-user-certificate/45CElIvn7KaWhUW_2pv5","Завантажити сертифікат")</f>
        <v>Завантажити сертифікат</v>
      </c>
    </row>
    <row r="1401" spans="1:6" x14ac:dyDescent="0.3">
      <c r="A1401" t="s">
        <v>3036</v>
      </c>
      <c r="B1401" t="s">
        <v>6</v>
      </c>
      <c r="C1401" t="s">
        <v>3037</v>
      </c>
      <c r="D1401" t="s">
        <v>3022</v>
      </c>
      <c r="E1401" t="s">
        <v>3023</v>
      </c>
      <c r="F1401" t="str">
        <f>HYPERLINK("https://talan.bank.gov.ua/get-user-certificate/45CElVUPziHAum9kjb5O","Завантажити сертифікат")</f>
        <v>Завантажити сертифікат</v>
      </c>
    </row>
    <row r="1402" spans="1:6" x14ac:dyDescent="0.3">
      <c r="A1402" t="s">
        <v>3038</v>
      </c>
      <c r="B1402" t="s">
        <v>6</v>
      </c>
      <c r="C1402" t="s">
        <v>3039</v>
      </c>
      <c r="D1402" t="s">
        <v>3022</v>
      </c>
      <c r="E1402" t="s">
        <v>3023</v>
      </c>
      <c r="F1402" t="str">
        <f>HYPERLINK("https://talan.bank.gov.ua/get-user-certificate/45CElIHH2A5P63y8aR-O","Завантажити сертифікат")</f>
        <v>Завантажити сертифікат</v>
      </c>
    </row>
    <row r="1403" spans="1:6" x14ac:dyDescent="0.3">
      <c r="A1403" t="s">
        <v>3040</v>
      </c>
      <c r="B1403" t="s">
        <v>6</v>
      </c>
      <c r="C1403" t="s">
        <v>3041</v>
      </c>
      <c r="D1403" t="s">
        <v>3022</v>
      </c>
      <c r="E1403" t="s">
        <v>3023</v>
      </c>
      <c r="F1403" t="str">
        <f>HYPERLINK("https://talan.bank.gov.ua/get-user-certificate/45CElcFomwAUOlcG8eqo","Завантажити сертифікат")</f>
        <v>Завантажити сертифікат</v>
      </c>
    </row>
    <row r="1404" spans="1:6" x14ac:dyDescent="0.3">
      <c r="A1404" t="s">
        <v>3042</v>
      </c>
      <c r="B1404" t="s">
        <v>6</v>
      </c>
      <c r="C1404" t="s">
        <v>3043</v>
      </c>
      <c r="D1404" t="s">
        <v>3022</v>
      </c>
      <c r="E1404" t="s">
        <v>3023</v>
      </c>
      <c r="F1404" t="str">
        <f>HYPERLINK("https://talan.bank.gov.ua/get-user-certificate/45CElBIjQlrtGHncmEK3","Завантажити сертифікат")</f>
        <v>Завантажити сертифікат</v>
      </c>
    </row>
    <row r="1405" spans="1:6" x14ac:dyDescent="0.3">
      <c r="A1405" t="s">
        <v>3044</v>
      </c>
      <c r="B1405" t="s">
        <v>6</v>
      </c>
      <c r="C1405" t="s">
        <v>3045</v>
      </c>
      <c r="D1405" t="s">
        <v>3022</v>
      </c>
      <c r="E1405" t="s">
        <v>3023</v>
      </c>
      <c r="F1405" t="str">
        <f>HYPERLINK("https://talan.bank.gov.ua/get-user-certificate/45CEllToB-StO4l3zGy8","Завантажити сертифікат")</f>
        <v>Завантажити сертифікат</v>
      </c>
    </row>
    <row r="1406" spans="1:6" x14ac:dyDescent="0.3">
      <c r="A1406" t="s">
        <v>3046</v>
      </c>
      <c r="B1406" t="s">
        <v>6</v>
      </c>
      <c r="C1406" t="s">
        <v>3047</v>
      </c>
      <c r="D1406" t="s">
        <v>3022</v>
      </c>
      <c r="E1406" t="s">
        <v>3023</v>
      </c>
      <c r="F1406" t="str">
        <f>HYPERLINK("https://talan.bank.gov.ua/get-user-certificate/45CElcXI96Ail5RMzw_P","Завантажити сертифікат")</f>
        <v>Завантажити сертифікат</v>
      </c>
    </row>
    <row r="1407" spans="1:6" x14ac:dyDescent="0.3">
      <c r="A1407" t="s">
        <v>3048</v>
      </c>
      <c r="B1407" t="s">
        <v>6</v>
      </c>
      <c r="C1407" t="s">
        <v>3049</v>
      </c>
      <c r="D1407" t="s">
        <v>3022</v>
      </c>
      <c r="E1407" t="s">
        <v>3023</v>
      </c>
      <c r="F1407" t="str">
        <f>HYPERLINK("https://talan.bank.gov.ua/get-user-certificate/45CElm89_GG5aG3g-p3D","Завантажити сертифікат")</f>
        <v>Завантажити сертифікат</v>
      </c>
    </row>
    <row r="1408" spans="1:6" x14ac:dyDescent="0.3">
      <c r="A1408" t="s">
        <v>3050</v>
      </c>
      <c r="B1408" t="s">
        <v>6</v>
      </c>
      <c r="C1408" t="s">
        <v>3051</v>
      </c>
      <c r="D1408" t="s">
        <v>3052</v>
      </c>
      <c r="E1408" t="s">
        <v>3053</v>
      </c>
      <c r="F1408" t="str">
        <f>HYPERLINK("https://talan.bank.gov.ua/get-user-certificate/45CElXKPrSkR38oJBtK_","Завантажити сертифікат")</f>
        <v>Завантажити сертифікат</v>
      </c>
    </row>
    <row r="1409" spans="1:6" x14ac:dyDescent="0.3">
      <c r="A1409" t="s">
        <v>3054</v>
      </c>
      <c r="B1409" t="s">
        <v>6</v>
      </c>
      <c r="C1409" t="s">
        <v>3055</v>
      </c>
      <c r="D1409" t="s">
        <v>3052</v>
      </c>
      <c r="E1409" t="s">
        <v>3053</v>
      </c>
      <c r="F1409" t="str">
        <f>HYPERLINK("https://talan.bank.gov.ua/get-user-certificate/45CElIGnRo178s1iIej-","Завантажити сертифікат")</f>
        <v>Завантажити сертифікат</v>
      </c>
    </row>
    <row r="1410" spans="1:6" x14ac:dyDescent="0.3">
      <c r="A1410" t="s">
        <v>3056</v>
      </c>
      <c r="B1410" t="s">
        <v>6</v>
      </c>
      <c r="C1410" t="s">
        <v>3057</v>
      </c>
      <c r="D1410" t="s">
        <v>3052</v>
      </c>
      <c r="E1410" t="s">
        <v>3053</v>
      </c>
      <c r="F1410" t="str">
        <f>HYPERLINK("https://talan.bank.gov.ua/get-user-certificate/45CEl1ygNN9SgOjvWMbg","Завантажити сертифікат")</f>
        <v>Завантажити сертифікат</v>
      </c>
    </row>
    <row r="1411" spans="1:6" x14ac:dyDescent="0.3">
      <c r="A1411" t="s">
        <v>3058</v>
      </c>
      <c r="B1411" t="s">
        <v>6</v>
      </c>
      <c r="C1411" t="s">
        <v>3059</v>
      </c>
      <c r="D1411" t="s">
        <v>3060</v>
      </c>
      <c r="E1411" t="s">
        <v>3061</v>
      </c>
      <c r="F1411" t="str">
        <f>HYPERLINK("https://talan.bank.gov.ua/get-user-certificate/45CElTt7udVP1a_nupWK","Завантажити сертифікат")</f>
        <v>Завантажити сертифікат</v>
      </c>
    </row>
    <row r="1412" spans="1:6" x14ac:dyDescent="0.3">
      <c r="A1412" t="s">
        <v>3062</v>
      </c>
      <c r="B1412" t="s">
        <v>6</v>
      </c>
      <c r="C1412" t="s">
        <v>3063</v>
      </c>
      <c r="D1412" t="s">
        <v>3060</v>
      </c>
      <c r="E1412" t="s">
        <v>3061</v>
      </c>
      <c r="F1412" t="str">
        <f>HYPERLINK("https://talan.bank.gov.ua/get-user-certificate/45CElavlVk4YufjKSVYZ","Завантажити сертифікат")</f>
        <v>Завантажити сертифікат</v>
      </c>
    </row>
    <row r="1413" spans="1:6" x14ac:dyDescent="0.3">
      <c r="A1413" t="s">
        <v>3064</v>
      </c>
      <c r="B1413" t="s">
        <v>6</v>
      </c>
      <c r="C1413" t="s">
        <v>3065</v>
      </c>
      <c r="D1413" t="s">
        <v>3060</v>
      </c>
      <c r="E1413" t="s">
        <v>3061</v>
      </c>
      <c r="F1413" t="str">
        <f>HYPERLINK("https://talan.bank.gov.ua/get-user-certificate/45CElikvd1-P9DESHvLn","Завантажити сертифікат")</f>
        <v>Завантажити сертифікат</v>
      </c>
    </row>
    <row r="1414" spans="1:6" x14ac:dyDescent="0.3">
      <c r="A1414" t="s">
        <v>3066</v>
      </c>
      <c r="B1414" t="s">
        <v>6</v>
      </c>
      <c r="C1414" t="s">
        <v>3067</v>
      </c>
      <c r="D1414" t="s">
        <v>3060</v>
      </c>
      <c r="E1414" t="s">
        <v>3061</v>
      </c>
      <c r="F1414" t="str">
        <f>HYPERLINK("https://talan.bank.gov.ua/get-user-certificate/45CElJO7_jv_2N6KnJ-3","Завантажити сертифікат")</f>
        <v>Завантажити сертифікат</v>
      </c>
    </row>
    <row r="1415" spans="1:6" x14ac:dyDescent="0.3">
      <c r="A1415" t="s">
        <v>3068</v>
      </c>
      <c r="B1415" t="s">
        <v>6</v>
      </c>
      <c r="C1415" t="s">
        <v>3069</v>
      </c>
      <c r="D1415" t="s">
        <v>3060</v>
      </c>
      <c r="E1415" t="s">
        <v>3061</v>
      </c>
      <c r="F1415" t="str">
        <f>HYPERLINK("https://talan.bank.gov.ua/get-user-certificate/45CElhv3iTr1SJe07ThW","Завантажити сертифікат")</f>
        <v>Завантажити сертифікат</v>
      </c>
    </row>
    <row r="1416" spans="1:6" x14ac:dyDescent="0.3">
      <c r="A1416" t="s">
        <v>3070</v>
      </c>
      <c r="B1416" t="s">
        <v>6</v>
      </c>
      <c r="C1416" t="s">
        <v>3071</v>
      </c>
      <c r="D1416" t="s">
        <v>3060</v>
      </c>
      <c r="E1416" t="s">
        <v>3061</v>
      </c>
      <c r="F1416" t="str">
        <f>HYPERLINK("https://talan.bank.gov.ua/get-user-certificate/45CElopvZ17c_dRYwPsI","Завантажити сертифікат")</f>
        <v>Завантажити сертифікат</v>
      </c>
    </row>
    <row r="1417" spans="1:6" x14ac:dyDescent="0.3">
      <c r="A1417" t="s">
        <v>3072</v>
      </c>
      <c r="B1417" t="s">
        <v>6</v>
      </c>
      <c r="C1417" t="s">
        <v>3073</v>
      </c>
      <c r="D1417" t="s">
        <v>3060</v>
      </c>
      <c r="E1417" t="s">
        <v>3061</v>
      </c>
      <c r="F1417" t="str">
        <f>HYPERLINK("https://talan.bank.gov.ua/get-user-certificate/45CElJpejxfVVYuBbiMT","Завантажити сертифікат")</f>
        <v>Завантажити сертифікат</v>
      </c>
    </row>
    <row r="1418" spans="1:6" x14ac:dyDescent="0.3">
      <c r="A1418" t="s">
        <v>3074</v>
      </c>
      <c r="B1418" t="s">
        <v>6</v>
      </c>
      <c r="C1418" t="s">
        <v>3075</v>
      </c>
      <c r="D1418" t="s">
        <v>3060</v>
      </c>
      <c r="E1418" t="s">
        <v>3061</v>
      </c>
      <c r="F1418" t="str">
        <f>HYPERLINK("https://talan.bank.gov.ua/get-user-certificate/45CElGR_J_BPM48HGHQx","Завантажити сертифікат")</f>
        <v>Завантажити сертифікат</v>
      </c>
    </row>
    <row r="1419" spans="1:6" x14ac:dyDescent="0.3">
      <c r="A1419" t="s">
        <v>3076</v>
      </c>
      <c r="B1419" t="s">
        <v>6</v>
      </c>
      <c r="C1419" t="s">
        <v>3077</v>
      </c>
      <c r="D1419" t="s">
        <v>3060</v>
      </c>
      <c r="E1419" t="s">
        <v>3061</v>
      </c>
      <c r="F1419" t="str">
        <f>HYPERLINK("https://talan.bank.gov.ua/get-user-certificate/45CElHm08QlOMC2riQDp","Завантажити сертифікат")</f>
        <v>Завантажити сертифікат</v>
      </c>
    </row>
    <row r="1420" spans="1:6" x14ac:dyDescent="0.3">
      <c r="A1420" t="s">
        <v>3078</v>
      </c>
      <c r="B1420" t="s">
        <v>6</v>
      </c>
      <c r="C1420" t="s">
        <v>3079</v>
      </c>
      <c r="D1420" t="s">
        <v>3060</v>
      </c>
      <c r="E1420" t="s">
        <v>3061</v>
      </c>
      <c r="F1420" t="str">
        <f>HYPERLINK("https://talan.bank.gov.ua/get-user-certificate/45CElDujv9nej98s7Was","Завантажити сертифікат")</f>
        <v>Завантажити сертифікат</v>
      </c>
    </row>
    <row r="1421" spans="1:6" x14ac:dyDescent="0.3">
      <c r="A1421" t="s">
        <v>3080</v>
      </c>
      <c r="B1421" t="s">
        <v>6</v>
      </c>
      <c r="C1421" t="s">
        <v>3081</v>
      </c>
      <c r="D1421" t="s">
        <v>3060</v>
      </c>
      <c r="E1421" t="s">
        <v>3061</v>
      </c>
      <c r="F1421" t="str">
        <f>HYPERLINK("https://talan.bank.gov.ua/get-user-certificate/45CElsUEC-Z7YMeEjG2I","Завантажити сертифікат")</f>
        <v>Завантажити сертифікат</v>
      </c>
    </row>
    <row r="1422" spans="1:6" x14ac:dyDescent="0.3">
      <c r="A1422" t="s">
        <v>3082</v>
      </c>
      <c r="B1422" t="s">
        <v>6</v>
      </c>
      <c r="C1422" t="s">
        <v>3083</v>
      </c>
      <c r="D1422" t="s">
        <v>3060</v>
      </c>
      <c r="E1422" t="s">
        <v>3061</v>
      </c>
      <c r="F1422" t="str">
        <f>HYPERLINK("https://talan.bank.gov.ua/get-user-certificate/45CElpVkDXTOkqYMe5tT","Завантажити сертифікат")</f>
        <v>Завантажити сертифікат</v>
      </c>
    </row>
    <row r="1423" spans="1:6" x14ac:dyDescent="0.3">
      <c r="A1423" t="s">
        <v>3084</v>
      </c>
      <c r="B1423" t="s">
        <v>6</v>
      </c>
      <c r="C1423" t="s">
        <v>3085</v>
      </c>
      <c r="D1423" t="s">
        <v>3060</v>
      </c>
      <c r="E1423" t="s">
        <v>3061</v>
      </c>
      <c r="F1423" t="str">
        <f>HYPERLINK("https://talan.bank.gov.ua/get-user-certificate/45CElepVLkI7E1ubf9z_","Завантажити сертифікат")</f>
        <v>Завантажити сертифікат</v>
      </c>
    </row>
    <row r="1424" spans="1:6" x14ac:dyDescent="0.3">
      <c r="A1424" t="s">
        <v>3086</v>
      </c>
      <c r="B1424" t="s">
        <v>6</v>
      </c>
      <c r="C1424" t="s">
        <v>3087</v>
      </c>
      <c r="D1424" t="s">
        <v>3060</v>
      </c>
      <c r="E1424" t="s">
        <v>3061</v>
      </c>
      <c r="F1424" t="str">
        <f>HYPERLINK("https://talan.bank.gov.ua/get-user-certificate/45CEl4FhZBFYDw2QaJ1i","Завантажити сертифікат")</f>
        <v>Завантажити сертифікат</v>
      </c>
    </row>
    <row r="1425" spans="1:6" x14ac:dyDescent="0.3">
      <c r="A1425" t="s">
        <v>3088</v>
      </c>
      <c r="B1425" t="s">
        <v>6</v>
      </c>
      <c r="C1425" t="s">
        <v>3089</v>
      </c>
      <c r="D1425" t="s">
        <v>3060</v>
      </c>
      <c r="E1425" t="s">
        <v>3061</v>
      </c>
      <c r="F1425" t="str">
        <f>HYPERLINK("https://talan.bank.gov.ua/get-user-certificate/45CElepG2aBKxbntKOv5","Завантажити сертифікат")</f>
        <v>Завантажити сертифікат</v>
      </c>
    </row>
    <row r="1426" spans="1:6" x14ac:dyDescent="0.3">
      <c r="A1426" t="s">
        <v>3090</v>
      </c>
      <c r="B1426" t="s">
        <v>6</v>
      </c>
      <c r="C1426" t="s">
        <v>3091</v>
      </c>
      <c r="D1426" t="s">
        <v>3060</v>
      </c>
      <c r="E1426" t="s">
        <v>3061</v>
      </c>
      <c r="F1426" t="str">
        <f>HYPERLINK("https://talan.bank.gov.ua/get-user-certificate/45CEl1McuYZytf9G71S0","Завантажити сертифікат")</f>
        <v>Завантажити сертифікат</v>
      </c>
    </row>
    <row r="1427" spans="1:6" x14ac:dyDescent="0.3">
      <c r="A1427" t="s">
        <v>3092</v>
      </c>
      <c r="B1427" t="s">
        <v>6</v>
      </c>
      <c r="C1427" t="s">
        <v>3093</v>
      </c>
      <c r="D1427" t="s">
        <v>3060</v>
      </c>
      <c r="E1427" t="s">
        <v>3061</v>
      </c>
      <c r="F1427" t="str">
        <f>HYPERLINK("https://talan.bank.gov.ua/get-user-certificate/45CEl5xPBSxFqNTnK-Gy","Завантажити сертифікат")</f>
        <v>Завантажити сертифікат</v>
      </c>
    </row>
    <row r="1428" spans="1:6" x14ac:dyDescent="0.3">
      <c r="A1428" t="s">
        <v>3094</v>
      </c>
      <c r="B1428" t="s">
        <v>6</v>
      </c>
      <c r="C1428" t="s">
        <v>3095</v>
      </c>
      <c r="D1428" t="s">
        <v>3060</v>
      </c>
      <c r="E1428" t="s">
        <v>3061</v>
      </c>
      <c r="F1428" t="str">
        <f>HYPERLINK("https://talan.bank.gov.ua/get-user-certificate/45CEl-OteospRx4-fPtm","Завантажити сертифікат")</f>
        <v>Завантажити сертифікат</v>
      </c>
    </row>
    <row r="1429" spans="1:6" x14ac:dyDescent="0.3">
      <c r="A1429" t="s">
        <v>3096</v>
      </c>
      <c r="B1429" t="s">
        <v>6</v>
      </c>
      <c r="C1429" t="s">
        <v>3097</v>
      </c>
      <c r="D1429" t="s">
        <v>3060</v>
      </c>
      <c r="E1429" t="s">
        <v>3061</v>
      </c>
      <c r="F1429" t="str">
        <f>HYPERLINK("https://talan.bank.gov.ua/get-user-certificate/45CElBrM7GbJ37QWo9bJ","Завантажити сертифікат")</f>
        <v>Завантажити сертифікат</v>
      </c>
    </row>
    <row r="1430" spans="1:6" x14ac:dyDescent="0.3">
      <c r="A1430" t="s">
        <v>3098</v>
      </c>
      <c r="B1430" t="s">
        <v>6</v>
      </c>
      <c r="C1430" t="s">
        <v>3099</v>
      </c>
      <c r="D1430" t="s">
        <v>3060</v>
      </c>
      <c r="E1430" t="s">
        <v>3061</v>
      </c>
      <c r="F1430" t="str">
        <f>HYPERLINK("https://talan.bank.gov.ua/get-user-certificate/45CEldUpJUdS2tdBllXW","Завантажити сертифікат")</f>
        <v>Завантажити сертифікат</v>
      </c>
    </row>
    <row r="1431" spans="1:6" x14ac:dyDescent="0.3">
      <c r="A1431" t="s">
        <v>3100</v>
      </c>
      <c r="B1431" t="s">
        <v>6</v>
      </c>
      <c r="C1431" t="s">
        <v>3101</v>
      </c>
      <c r="D1431" t="s">
        <v>3060</v>
      </c>
      <c r="E1431" t="s">
        <v>3061</v>
      </c>
      <c r="F1431" t="str">
        <f>HYPERLINK("https://talan.bank.gov.ua/get-user-certificate/45CEl6XPSFwV2URxKjNE","Завантажити сертифікат")</f>
        <v>Завантажити сертифікат</v>
      </c>
    </row>
    <row r="1432" spans="1:6" x14ac:dyDescent="0.3">
      <c r="A1432" t="s">
        <v>3102</v>
      </c>
      <c r="B1432" t="s">
        <v>6</v>
      </c>
      <c r="C1432" t="s">
        <v>3103</v>
      </c>
      <c r="D1432" t="s">
        <v>3060</v>
      </c>
      <c r="E1432" t="s">
        <v>3061</v>
      </c>
      <c r="F1432" t="str">
        <f>HYPERLINK("https://talan.bank.gov.ua/get-user-certificate/45CElzeSrB3uNFKSLx7S","Завантажити сертифікат")</f>
        <v>Завантажити сертифікат</v>
      </c>
    </row>
    <row r="1433" spans="1:6" x14ac:dyDescent="0.3">
      <c r="A1433" t="s">
        <v>3104</v>
      </c>
      <c r="B1433" t="s">
        <v>6</v>
      </c>
      <c r="C1433" t="s">
        <v>3105</v>
      </c>
      <c r="D1433" t="s">
        <v>3060</v>
      </c>
      <c r="E1433" t="s">
        <v>3061</v>
      </c>
      <c r="F1433" t="str">
        <f>HYPERLINK("https://talan.bank.gov.ua/get-user-certificate/45CElcqI9nJ6AwhCxKp8","Завантажити сертифікат")</f>
        <v>Завантажити сертифікат</v>
      </c>
    </row>
    <row r="1434" spans="1:6" x14ac:dyDescent="0.3">
      <c r="A1434" t="s">
        <v>3106</v>
      </c>
      <c r="B1434" t="s">
        <v>6</v>
      </c>
      <c r="C1434" t="s">
        <v>3107</v>
      </c>
      <c r="D1434" t="s">
        <v>3060</v>
      </c>
      <c r="E1434" t="s">
        <v>3061</v>
      </c>
      <c r="F1434" t="str">
        <f>HYPERLINK("https://talan.bank.gov.ua/get-user-certificate/45CElXpn5CzurveGrVN0","Завантажити сертифікат")</f>
        <v>Завантажити сертифікат</v>
      </c>
    </row>
    <row r="1435" spans="1:6" x14ac:dyDescent="0.3">
      <c r="A1435" t="s">
        <v>3108</v>
      </c>
      <c r="B1435" t="s">
        <v>6</v>
      </c>
      <c r="C1435" t="s">
        <v>3109</v>
      </c>
      <c r="D1435" t="s">
        <v>3060</v>
      </c>
      <c r="E1435" t="s">
        <v>3061</v>
      </c>
      <c r="F1435" t="str">
        <f>HYPERLINK("https://talan.bank.gov.ua/get-user-certificate/45CElXF9GNVaWPdwjtr4","Завантажити сертифікат")</f>
        <v>Завантажити сертифікат</v>
      </c>
    </row>
    <row r="1436" spans="1:6" x14ac:dyDescent="0.3">
      <c r="A1436" t="s">
        <v>3110</v>
      </c>
      <c r="B1436" t="s">
        <v>6</v>
      </c>
      <c r="C1436" t="s">
        <v>3111</v>
      </c>
      <c r="D1436" t="s">
        <v>3060</v>
      </c>
      <c r="E1436" t="s">
        <v>3061</v>
      </c>
      <c r="F1436" t="str">
        <f>HYPERLINK("https://talan.bank.gov.ua/get-user-certificate/45CEl5GZZ9HpxCzDq9XP","Завантажити сертифікат")</f>
        <v>Завантажити сертифікат</v>
      </c>
    </row>
    <row r="1437" spans="1:6" x14ac:dyDescent="0.3">
      <c r="A1437" t="s">
        <v>3112</v>
      </c>
      <c r="B1437" t="s">
        <v>6</v>
      </c>
      <c r="C1437" t="s">
        <v>3113</v>
      </c>
      <c r="D1437" t="s">
        <v>3060</v>
      </c>
      <c r="E1437" t="s">
        <v>3061</v>
      </c>
      <c r="F1437" t="str">
        <f>HYPERLINK("https://talan.bank.gov.ua/get-user-certificate/45CElzk51CINOUSFppie","Завантажити сертифікат")</f>
        <v>Завантажити сертифікат</v>
      </c>
    </row>
    <row r="1438" spans="1:6" x14ac:dyDescent="0.3">
      <c r="A1438" t="s">
        <v>3114</v>
      </c>
      <c r="B1438" t="s">
        <v>6</v>
      </c>
      <c r="C1438" t="s">
        <v>3115</v>
      </c>
      <c r="D1438" t="s">
        <v>3060</v>
      </c>
      <c r="E1438" t="s">
        <v>3061</v>
      </c>
      <c r="F1438" t="str">
        <f>HYPERLINK("https://talan.bank.gov.ua/get-user-certificate/45CEltFsuxoHua_fcioa","Завантажити сертифікат")</f>
        <v>Завантажити сертифікат</v>
      </c>
    </row>
    <row r="1439" spans="1:6" x14ac:dyDescent="0.3">
      <c r="A1439" t="s">
        <v>3116</v>
      </c>
      <c r="B1439" t="s">
        <v>6</v>
      </c>
      <c r="C1439" t="s">
        <v>3117</v>
      </c>
      <c r="D1439" t="s">
        <v>3060</v>
      </c>
      <c r="E1439" t="s">
        <v>3061</v>
      </c>
      <c r="F1439" t="str">
        <f>HYPERLINK("https://talan.bank.gov.ua/get-user-certificate/45CElyHbRROuCsFJCzet","Завантажити сертифікат")</f>
        <v>Завантажити сертифікат</v>
      </c>
    </row>
    <row r="1440" spans="1:6" x14ac:dyDescent="0.3">
      <c r="A1440" t="s">
        <v>3118</v>
      </c>
      <c r="B1440" t="s">
        <v>6</v>
      </c>
      <c r="C1440" t="s">
        <v>3119</v>
      </c>
      <c r="D1440" t="s">
        <v>3060</v>
      </c>
      <c r="E1440" t="s">
        <v>3061</v>
      </c>
      <c r="F1440" t="str">
        <f>HYPERLINK("https://talan.bank.gov.ua/get-user-certificate/45CElu--vUwQN9RP9Aiy","Завантажити сертифікат")</f>
        <v>Завантажити сертифікат</v>
      </c>
    </row>
    <row r="1441" spans="1:6" x14ac:dyDescent="0.3">
      <c r="A1441" t="s">
        <v>3120</v>
      </c>
      <c r="B1441" t="s">
        <v>6</v>
      </c>
      <c r="C1441" t="s">
        <v>3121</v>
      </c>
      <c r="D1441" t="s">
        <v>3060</v>
      </c>
      <c r="E1441" t="s">
        <v>3061</v>
      </c>
      <c r="F1441" t="str">
        <f>HYPERLINK("https://talan.bank.gov.ua/get-user-certificate/45CEldWx93qORfsClSiq","Завантажити сертифікат")</f>
        <v>Завантажити сертифікат</v>
      </c>
    </row>
    <row r="1442" spans="1:6" x14ac:dyDescent="0.3">
      <c r="A1442" t="s">
        <v>3122</v>
      </c>
      <c r="B1442" t="s">
        <v>6</v>
      </c>
      <c r="C1442" t="s">
        <v>3123</v>
      </c>
      <c r="D1442" t="s">
        <v>3060</v>
      </c>
      <c r="E1442" t="s">
        <v>3061</v>
      </c>
      <c r="F1442" t="str">
        <f>HYPERLINK("https://talan.bank.gov.ua/get-user-certificate/45CElFiZHJQz-TwIlEd_","Завантажити сертифікат")</f>
        <v>Завантажити сертифікат</v>
      </c>
    </row>
    <row r="1443" spans="1:6" x14ac:dyDescent="0.3">
      <c r="A1443" t="s">
        <v>3124</v>
      </c>
      <c r="B1443" t="s">
        <v>6</v>
      </c>
      <c r="C1443" t="s">
        <v>3125</v>
      </c>
      <c r="D1443" t="s">
        <v>3060</v>
      </c>
      <c r="E1443" t="s">
        <v>3061</v>
      </c>
      <c r="F1443" t="str">
        <f>HYPERLINK("https://talan.bank.gov.ua/get-user-certificate/45CElj4fst5LEU_gPDvd","Завантажити сертифікат")</f>
        <v>Завантажити сертифікат</v>
      </c>
    </row>
    <row r="1444" spans="1:6" x14ac:dyDescent="0.3">
      <c r="A1444" t="s">
        <v>3126</v>
      </c>
      <c r="B1444" t="s">
        <v>6</v>
      </c>
      <c r="C1444" t="s">
        <v>3127</v>
      </c>
      <c r="D1444" t="s">
        <v>3060</v>
      </c>
      <c r="E1444" t="s">
        <v>3061</v>
      </c>
      <c r="F1444" t="str">
        <f>HYPERLINK("https://talan.bank.gov.ua/get-user-certificate/45CElR5l7iH1gnREfphD","Завантажити сертифікат")</f>
        <v>Завантажити сертифікат</v>
      </c>
    </row>
    <row r="1445" spans="1:6" x14ac:dyDescent="0.3">
      <c r="A1445" t="s">
        <v>3128</v>
      </c>
      <c r="B1445" t="s">
        <v>6</v>
      </c>
      <c r="C1445" t="s">
        <v>3129</v>
      </c>
      <c r="D1445" t="s">
        <v>3060</v>
      </c>
      <c r="E1445" t="s">
        <v>3061</v>
      </c>
      <c r="F1445" t="str">
        <f>HYPERLINK("https://talan.bank.gov.ua/get-user-certificate/45CElavNuXN8OwjSTvuc","Завантажити сертифікат")</f>
        <v>Завантажити сертифікат</v>
      </c>
    </row>
    <row r="1446" spans="1:6" x14ac:dyDescent="0.3">
      <c r="A1446" t="s">
        <v>3130</v>
      </c>
      <c r="B1446" t="s">
        <v>6</v>
      </c>
      <c r="C1446" t="s">
        <v>3131</v>
      </c>
      <c r="D1446" t="s">
        <v>3060</v>
      </c>
      <c r="E1446" t="s">
        <v>3061</v>
      </c>
      <c r="F1446" t="str">
        <f>HYPERLINK("https://talan.bank.gov.ua/get-user-certificate/45CEl_8Sk2li9gA31f3f","Завантажити сертифікат")</f>
        <v>Завантажити сертифікат</v>
      </c>
    </row>
    <row r="1447" spans="1:6" x14ac:dyDescent="0.3">
      <c r="A1447" t="s">
        <v>3132</v>
      </c>
      <c r="B1447" t="s">
        <v>6</v>
      </c>
      <c r="C1447" t="s">
        <v>3133</v>
      </c>
      <c r="D1447" t="s">
        <v>3060</v>
      </c>
      <c r="E1447" t="s">
        <v>3061</v>
      </c>
      <c r="F1447" t="str">
        <f>HYPERLINK("https://talan.bank.gov.ua/get-user-certificate/45CElT8J3SeTR4Js-oX5","Завантажити сертифікат")</f>
        <v>Завантажити сертифікат</v>
      </c>
    </row>
    <row r="1448" spans="1:6" x14ac:dyDescent="0.3">
      <c r="A1448" t="s">
        <v>3134</v>
      </c>
      <c r="B1448" t="s">
        <v>6</v>
      </c>
      <c r="C1448" t="s">
        <v>3135</v>
      </c>
      <c r="D1448" t="s">
        <v>3060</v>
      </c>
      <c r="E1448" t="s">
        <v>3061</v>
      </c>
      <c r="F1448" t="str">
        <f>HYPERLINK("https://talan.bank.gov.ua/get-user-certificate/45CEl6TP5aSQyCWQ_TJS","Завантажити сертифікат")</f>
        <v>Завантажити сертифікат</v>
      </c>
    </row>
    <row r="1449" spans="1:6" x14ac:dyDescent="0.3">
      <c r="A1449" t="s">
        <v>3136</v>
      </c>
      <c r="B1449" t="s">
        <v>6</v>
      </c>
      <c r="C1449" t="s">
        <v>3137</v>
      </c>
      <c r="D1449" t="s">
        <v>3060</v>
      </c>
      <c r="E1449" t="s">
        <v>3061</v>
      </c>
      <c r="F1449" t="str">
        <f>HYPERLINK("https://talan.bank.gov.ua/get-user-certificate/45CElVVgunksxXh89DK8","Завантажити сертифікат")</f>
        <v>Завантажити сертифікат</v>
      </c>
    </row>
    <row r="1450" spans="1:6" x14ac:dyDescent="0.3">
      <c r="A1450" t="s">
        <v>3138</v>
      </c>
      <c r="B1450" t="s">
        <v>6</v>
      </c>
      <c r="C1450" t="s">
        <v>3139</v>
      </c>
      <c r="D1450" t="s">
        <v>3060</v>
      </c>
      <c r="E1450" t="s">
        <v>3061</v>
      </c>
      <c r="F1450" t="str">
        <f>HYPERLINK("https://talan.bank.gov.ua/get-user-certificate/45CElvudrceJLfucaOaW","Завантажити сертифікат")</f>
        <v>Завантажити сертифікат</v>
      </c>
    </row>
    <row r="1451" spans="1:6" x14ac:dyDescent="0.3">
      <c r="A1451" t="s">
        <v>3140</v>
      </c>
      <c r="B1451" t="s">
        <v>6</v>
      </c>
      <c r="C1451" t="s">
        <v>3141</v>
      </c>
      <c r="D1451" t="s">
        <v>3060</v>
      </c>
      <c r="E1451" t="s">
        <v>3061</v>
      </c>
      <c r="F1451" t="str">
        <f>HYPERLINK("https://talan.bank.gov.ua/get-user-certificate/45CElREzelipc58hBDr9","Завантажити сертифікат")</f>
        <v>Завантажити сертифікат</v>
      </c>
    </row>
    <row r="1452" spans="1:6" x14ac:dyDescent="0.3">
      <c r="A1452" t="s">
        <v>3142</v>
      </c>
      <c r="B1452" t="s">
        <v>6</v>
      </c>
      <c r="C1452" t="s">
        <v>3143</v>
      </c>
      <c r="D1452" t="s">
        <v>3060</v>
      </c>
      <c r="E1452" t="s">
        <v>3061</v>
      </c>
      <c r="F1452" t="str">
        <f>HYPERLINK("https://talan.bank.gov.ua/get-user-certificate/45CElImNekoGRUOdmsgK","Завантажити сертифікат")</f>
        <v>Завантажити сертифікат</v>
      </c>
    </row>
    <row r="1453" spans="1:6" x14ac:dyDescent="0.3">
      <c r="A1453" t="s">
        <v>3144</v>
      </c>
      <c r="B1453" t="s">
        <v>6</v>
      </c>
      <c r="C1453" t="s">
        <v>3145</v>
      </c>
      <c r="D1453" t="s">
        <v>3060</v>
      </c>
      <c r="E1453" t="s">
        <v>3061</v>
      </c>
      <c r="F1453" t="str">
        <f>HYPERLINK("https://talan.bank.gov.ua/get-user-certificate/45CElEQozyW6kLE31uWl","Завантажити сертифікат")</f>
        <v>Завантажити сертифікат</v>
      </c>
    </row>
    <row r="1454" spans="1:6" x14ac:dyDescent="0.3">
      <c r="A1454" t="s">
        <v>3146</v>
      </c>
      <c r="B1454" t="s">
        <v>6</v>
      </c>
      <c r="C1454" t="s">
        <v>3147</v>
      </c>
      <c r="D1454" t="s">
        <v>3060</v>
      </c>
      <c r="E1454" t="s">
        <v>3061</v>
      </c>
      <c r="F1454" t="str">
        <f>HYPERLINK("https://talan.bank.gov.ua/get-user-certificate/45CElNHzCSvU7HQiV4Uo","Завантажити сертифікат")</f>
        <v>Завантажити сертифікат</v>
      </c>
    </row>
    <row r="1455" spans="1:6" x14ac:dyDescent="0.3">
      <c r="A1455" t="s">
        <v>3148</v>
      </c>
      <c r="B1455" t="s">
        <v>6</v>
      </c>
      <c r="C1455" t="s">
        <v>3149</v>
      </c>
      <c r="D1455" t="s">
        <v>3150</v>
      </c>
      <c r="E1455" t="s">
        <v>3151</v>
      </c>
      <c r="F1455" t="str">
        <f>HYPERLINK("https://talan.bank.gov.ua/get-user-certificate/45CElq-vstrsbdkUQeNJ","Завантажити сертифікат")</f>
        <v>Завантажити сертифікат</v>
      </c>
    </row>
    <row r="1456" spans="1:6" x14ac:dyDescent="0.3">
      <c r="A1456" t="s">
        <v>3152</v>
      </c>
      <c r="B1456" t="s">
        <v>6</v>
      </c>
      <c r="C1456" t="s">
        <v>3153</v>
      </c>
      <c r="D1456" t="s">
        <v>3150</v>
      </c>
      <c r="E1456" t="s">
        <v>3151</v>
      </c>
      <c r="F1456" t="str">
        <f>HYPERLINK("https://talan.bank.gov.ua/get-user-certificate/45CElkxBsvEj8nnUmNXh","Завантажити сертифікат")</f>
        <v>Завантажити сертифікат</v>
      </c>
    </row>
    <row r="1457" spans="1:6" x14ac:dyDescent="0.3">
      <c r="A1457" t="s">
        <v>3154</v>
      </c>
      <c r="B1457" t="s">
        <v>6</v>
      </c>
      <c r="C1457" t="s">
        <v>3155</v>
      </c>
      <c r="D1457" t="s">
        <v>3150</v>
      </c>
      <c r="E1457" t="s">
        <v>3151</v>
      </c>
      <c r="F1457" t="str">
        <f>HYPERLINK("https://talan.bank.gov.ua/get-user-certificate/45CElNmxKMdHCXjhBNFb","Завантажити сертифікат")</f>
        <v>Завантажити сертифікат</v>
      </c>
    </row>
    <row r="1458" spans="1:6" x14ac:dyDescent="0.3">
      <c r="A1458" t="s">
        <v>3156</v>
      </c>
      <c r="B1458" t="s">
        <v>6</v>
      </c>
      <c r="C1458" t="s">
        <v>3157</v>
      </c>
      <c r="D1458" t="s">
        <v>3150</v>
      </c>
      <c r="E1458" t="s">
        <v>3151</v>
      </c>
      <c r="F1458" t="str">
        <f>HYPERLINK("https://talan.bank.gov.ua/get-user-certificate/45CEliu3VC2QfCq-axu_","Завантажити сертифікат")</f>
        <v>Завантажити сертифікат</v>
      </c>
    </row>
    <row r="1459" spans="1:6" x14ac:dyDescent="0.3">
      <c r="A1459" t="s">
        <v>3158</v>
      </c>
      <c r="B1459" t="s">
        <v>6</v>
      </c>
      <c r="C1459" t="s">
        <v>3159</v>
      </c>
      <c r="D1459" t="s">
        <v>3150</v>
      </c>
      <c r="E1459" t="s">
        <v>3151</v>
      </c>
      <c r="F1459" t="str">
        <f>HYPERLINK("https://talan.bank.gov.ua/get-user-certificate/45CElPJW_x1AcQBJpOYA","Завантажити сертифікат")</f>
        <v>Завантажити сертифікат</v>
      </c>
    </row>
    <row r="1460" spans="1:6" x14ac:dyDescent="0.3">
      <c r="A1460" t="s">
        <v>3160</v>
      </c>
      <c r="B1460" t="s">
        <v>6</v>
      </c>
      <c r="C1460" t="s">
        <v>3161</v>
      </c>
      <c r="D1460" t="s">
        <v>3150</v>
      </c>
      <c r="E1460" t="s">
        <v>3151</v>
      </c>
      <c r="F1460" t="str">
        <f>HYPERLINK("https://talan.bank.gov.ua/get-user-certificate/45CElfUzAS3tKZwlppuE","Завантажити сертифікат")</f>
        <v>Завантажити сертифікат</v>
      </c>
    </row>
    <row r="1461" spans="1:6" x14ac:dyDescent="0.3">
      <c r="A1461" t="s">
        <v>3162</v>
      </c>
      <c r="B1461" t="s">
        <v>6</v>
      </c>
      <c r="C1461" t="s">
        <v>3163</v>
      </c>
      <c r="D1461" t="s">
        <v>3150</v>
      </c>
      <c r="E1461" t="s">
        <v>3151</v>
      </c>
      <c r="F1461" t="str">
        <f>HYPERLINK("https://talan.bank.gov.ua/get-user-certificate/45CEl13Hxd6ZZSd7wu_c","Завантажити сертифікат")</f>
        <v>Завантажити сертифікат</v>
      </c>
    </row>
    <row r="1462" spans="1:6" x14ac:dyDescent="0.3">
      <c r="A1462" t="s">
        <v>3164</v>
      </c>
      <c r="B1462" t="s">
        <v>6</v>
      </c>
      <c r="C1462" t="s">
        <v>3165</v>
      </c>
      <c r="D1462" t="s">
        <v>3150</v>
      </c>
      <c r="E1462" t="s">
        <v>3151</v>
      </c>
      <c r="F1462" t="str">
        <f>HYPERLINK("https://talan.bank.gov.ua/get-user-certificate/45CElqLzaEl9Rm8aHErC","Завантажити сертифікат")</f>
        <v>Завантажити сертифікат</v>
      </c>
    </row>
    <row r="1463" spans="1:6" x14ac:dyDescent="0.3">
      <c r="A1463" t="s">
        <v>3166</v>
      </c>
      <c r="B1463" t="s">
        <v>6</v>
      </c>
      <c r="C1463" t="s">
        <v>3167</v>
      </c>
      <c r="D1463" t="s">
        <v>3150</v>
      </c>
      <c r="E1463" t="s">
        <v>3151</v>
      </c>
      <c r="F1463" t="str">
        <f>HYPERLINK("https://talan.bank.gov.ua/get-user-certificate/45CElRXcFpUrcwLWn4O8","Завантажити сертифікат")</f>
        <v>Завантажити сертифікат</v>
      </c>
    </row>
    <row r="1464" spans="1:6" x14ac:dyDescent="0.3">
      <c r="A1464" t="s">
        <v>3168</v>
      </c>
      <c r="B1464" t="s">
        <v>6</v>
      </c>
      <c r="C1464" t="s">
        <v>3169</v>
      </c>
      <c r="D1464" t="s">
        <v>3150</v>
      </c>
      <c r="E1464" t="s">
        <v>3151</v>
      </c>
      <c r="F1464" t="str">
        <f>HYPERLINK("https://talan.bank.gov.ua/get-user-certificate/45CElG4UlXos0E7MQvgt","Завантажити сертифікат")</f>
        <v>Завантажити сертифікат</v>
      </c>
    </row>
    <row r="1465" spans="1:6" x14ac:dyDescent="0.3">
      <c r="A1465" t="s">
        <v>3170</v>
      </c>
      <c r="B1465" t="s">
        <v>6</v>
      </c>
      <c r="C1465" t="s">
        <v>3171</v>
      </c>
      <c r="D1465" t="s">
        <v>3150</v>
      </c>
      <c r="E1465" t="s">
        <v>3151</v>
      </c>
      <c r="F1465" t="str">
        <f>HYPERLINK("https://talan.bank.gov.ua/get-user-certificate/45CElQPo9XJq7TjVzq1g","Завантажити сертифікат")</f>
        <v>Завантажити сертифікат</v>
      </c>
    </row>
    <row r="1466" spans="1:6" x14ac:dyDescent="0.3">
      <c r="A1466" t="s">
        <v>3172</v>
      </c>
      <c r="B1466" t="s">
        <v>6</v>
      </c>
      <c r="C1466" t="s">
        <v>3173</v>
      </c>
      <c r="D1466" t="s">
        <v>3174</v>
      </c>
      <c r="E1466" t="s">
        <v>3175</v>
      </c>
      <c r="F1466" t="str">
        <f>HYPERLINK("https://talan.bank.gov.ua/get-user-certificate/45CElOAdvW_XQDIRhPH4","Завантажити сертифікат")</f>
        <v>Завантажити сертифікат</v>
      </c>
    </row>
    <row r="1467" spans="1:6" x14ac:dyDescent="0.3">
      <c r="A1467" t="s">
        <v>3176</v>
      </c>
      <c r="B1467" t="s">
        <v>6</v>
      </c>
      <c r="C1467" t="s">
        <v>3177</v>
      </c>
      <c r="D1467" t="s">
        <v>3174</v>
      </c>
      <c r="E1467" t="s">
        <v>3175</v>
      </c>
      <c r="F1467" t="str">
        <f>HYPERLINK("https://talan.bank.gov.ua/get-user-certificate/45CElUUT6mD2aMBQRTBT","Завантажити сертифікат")</f>
        <v>Завантажити сертифікат</v>
      </c>
    </row>
    <row r="1468" spans="1:6" x14ac:dyDescent="0.3">
      <c r="A1468" t="s">
        <v>3178</v>
      </c>
      <c r="B1468" t="s">
        <v>6</v>
      </c>
      <c r="C1468" t="s">
        <v>3179</v>
      </c>
      <c r="D1468" t="s">
        <v>3174</v>
      </c>
      <c r="E1468" t="s">
        <v>3175</v>
      </c>
      <c r="F1468" t="str">
        <f>HYPERLINK("https://talan.bank.gov.ua/get-user-certificate/45CEljilHjST1ZYT_YQ6","Завантажити сертифікат")</f>
        <v>Завантажити сертифікат</v>
      </c>
    </row>
    <row r="1469" spans="1:6" x14ac:dyDescent="0.3">
      <c r="A1469" t="s">
        <v>3180</v>
      </c>
      <c r="B1469" t="s">
        <v>6</v>
      </c>
      <c r="C1469" t="s">
        <v>3181</v>
      </c>
      <c r="D1469" t="s">
        <v>3174</v>
      </c>
      <c r="E1469" t="s">
        <v>3175</v>
      </c>
      <c r="F1469" t="str">
        <f>HYPERLINK("https://talan.bank.gov.ua/get-user-certificate/45CElN9MP9hVGwXekYzB","Завантажити сертифікат")</f>
        <v>Завантажити сертифікат</v>
      </c>
    </row>
    <row r="1470" spans="1:6" x14ac:dyDescent="0.3">
      <c r="A1470" t="s">
        <v>3182</v>
      </c>
      <c r="B1470" t="s">
        <v>6</v>
      </c>
      <c r="C1470" t="s">
        <v>3183</v>
      </c>
      <c r="D1470" t="s">
        <v>3174</v>
      </c>
      <c r="E1470" t="s">
        <v>3175</v>
      </c>
      <c r="F1470" t="str">
        <f>HYPERLINK("https://talan.bank.gov.ua/get-user-certificate/45CElwuO64nSU_SpX8yu","Завантажити сертифікат")</f>
        <v>Завантажити сертифікат</v>
      </c>
    </row>
    <row r="1471" spans="1:6" x14ac:dyDescent="0.3">
      <c r="A1471" t="s">
        <v>3184</v>
      </c>
      <c r="B1471" t="s">
        <v>6</v>
      </c>
      <c r="C1471" t="s">
        <v>3185</v>
      </c>
      <c r="D1471" t="s">
        <v>3174</v>
      </c>
      <c r="E1471" t="s">
        <v>3175</v>
      </c>
      <c r="F1471" t="str">
        <f>HYPERLINK("https://talan.bank.gov.ua/get-user-certificate/45CElG-Uxx4e1ODTcMUB","Завантажити сертифікат")</f>
        <v>Завантажити сертифікат</v>
      </c>
    </row>
    <row r="1472" spans="1:6" x14ac:dyDescent="0.3">
      <c r="A1472" t="s">
        <v>3186</v>
      </c>
      <c r="B1472" t="s">
        <v>6</v>
      </c>
      <c r="C1472" t="s">
        <v>3187</v>
      </c>
      <c r="D1472" t="s">
        <v>3174</v>
      </c>
      <c r="E1472" t="s">
        <v>3175</v>
      </c>
      <c r="F1472" t="str">
        <f>HYPERLINK("https://talan.bank.gov.ua/get-user-certificate/45CElWniHHExtNPwgPth","Завантажити сертифікат")</f>
        <v>Завантажити сертифікат</v>
      </c>
    </row>
    <row r="1473" spans="1:6" x14ac:dyDescent="0.3">
      <c r="A1473" t="s">
        <v>3188</v>
      </c>
      <c r="B1473" t="s">
        <v>6</v>
      </c>
      <c r="C1473" t="s">
        <v>3189</v>
      </c>
      <c r="D1473" t="s">
        <v>3174</v>
      </c>
      <c r="E1473" t="s">
        <v>3175</v>
      </c>
      <c r="F1473" t="str">
        <f>HYPERLINK("https://talan.bank.gov.ua/get-user-certificate/45CElIwgoc-NmMYxoCP_","Завантажити сертифікат")</f>
        <v>Завантажити сертифікат</v>
      </c>
    </row>
    <row r="1474" spans="1:6" x14ac:dyDescent="0.3">
      <c r="A1474" t="s">
        <v>3190</v>
      </c>
      <c r="B1474" t="s">
        <v>6</v>
      </c>
      <c r="C1474" t="s">
        <v>3191</v>
      </c>
      <c r="D1474" t="s">
        <v>3174</v>
      </c>
      <c r="E1474" t="s">
        <v>3175</v>
      </c>
      <c r="F1474" t="str">
        <f>HYPERLINK("https://talan.bank.gov.ua/get-user-certificate/45CElplZXuWon8U18sbT","Завантажити сертифікат")</f>
        <v>Завантажити сертифікат</v>
      </c>
    </row>
    <row r="1475" spans="1:6" x14ac:dyDescent="0.3">
      <c r="A1475" t="s">
        <v>3192</v>
      </c>
      <c r="B1475" t="s">
        <v>6</v>
      </c>
      <c r="C1475" t="s">
        <v>3193</v>
      </c>
      <c r="D1475" t="s">
        <v>3174</v>
      </c>
      <c r="E1475" t="s">
        <v>3175</v>
      </c>
      <c r="F1475" t="str">
        <f>HYPERLINK("https://talan.bank.gov.ua/get-user-certificate/45CElimX8do0x3Bdbpuv","Завантажити сертифікат")</f>
        <v>Завантажити сертифікат</v>
      </c>
    </row>
    <row r="1476" spans="1:6" x14ac:dyDescent="0.3">
      <c r="A1476" t="s">
        <v>3194</v>
      </c>
      <c r="B1476" t="s">
        <v>6</v>
      </c>
      <c r="C1476" t="s">
        <v>3195</v>
      </c>
      <c r="D1476" t="s">
        <v>3174</v>
      </c>
      <c r="E1476" t="s">
        <v>3175</v>
      </c>
      <c r="F1476" t="str">
        <f>HYPERLINK("https://talan.bank.gov.ua/get-user-certificate/45CEllcIKL38fmN9pdY4","Завантажити сертифікат")</f>
        <v>Завантажити сертифікат</v>
      </c>
    </row>
    <row r="1477" spans="1:6" x14ac:dyDescent="0.3">
      <c r="A1477" t="s">
        <v>3196</v>
      </c>
      <c r="B1477" t="s">
        <v>6</v>
      </c>
      <c r="C1477" t="s">
        <v>3197</v>
      </c>
      <c r="D1477" t="s">
        <v>3174</v>
      </c>
      <c r="E1477" t="s">
        <v>3175</v>
      </c>
      <c r="F1477" t="str">
        <f>HYPERLINK("https://talan.bank.gov.ua/get-user-certificate/45CElePtVT0DtFLYpUg8","Завантажити сертифікат")</f>
        <v>Завантажити сертифікат</v>
      </c>
    </row>
    <row r="1478" spans="1:6" x14ac:dyDescent="0.3">
      <c r="A1478" t="s">
        <v>3198</v>
      </c>
      <c r="B1478" t="s">
        <v>6</v>
      </c>
      <c r="C1478" t="s">
        <v>3199</v>
      </c>
      <c r="D1478" t="s">
        <v>3174</v>
      </c>
      <c r="E1478" t="s">
        <v>3175</v>
      </c>
      <c r="F1478" t="str">
        <f>HYPERLINK("https://talan.bank.gov.ua/get-user-certificate/45CElgQiyRSIg4WixwNz","Завантажити сертифікат")</f>
        <v>Завантажити сертифікат</v>
      </c>
    </row>
    <row r="1479" spans="1:6" x14ac:dyDescent="0.3">
      <c r="A1479" t="s">
        <v>3200</v>
      </c>
      <c r="B1479" t="s">
        <v>6</v>
      </c>
      <c r="C1479" t="s">
        <v>3201</v>
      </c>
      <c r="D1479" t="s">
        <v>3174</v>
      </c>
      <c r="E1479" t="s">
        <v>3175</v>
      </c>
      <c r="F1479" t="str">
        <f>HYPERLINK("https://talan.bank.gov.ua/get-user-certificate/45CElSIXKP3Uh0XUWDkM","Завантажити сертифікат")</f>
        <v>Завантажити сертифікат</v>
      </c>
    </row>
    <row r="1480" spans="1:6" x14ac:dyDescent="0.3">
      <c r="A1480" t="s">
        <v>3202</v>
      </c>
      <c r="B1480" t="s">
        <v>6</v>
      </c>
      <c r="C1480" t="s">
        <v>3203</v>
      </c>
      <c r="D1480" t="s">
        <v>3174</v>
      </c>
      <c r="E1480" t="s">
        <v>3175</v>
      </c>
      <c r="F1480" t="str">
        <f>HYPERLINK("https://talan.bank.gov.ua/get-user-certificate/45CElxtt3qeXyg9k6mNm","Завантажити сертифікат")</f>
        <v>Завантажити сертифікат</v>
      </c>
    </row>
    <row r="1481" spans="1:6" x14ac:dyDescent="0.3">
      <c r="A1481" t="s">
        <v>3204</v>
      </c>
      <c r="B1481" t="s">
        <v>6</v>
      </c>
      <c r="C1481" t="s">
        <v>3205</v>
      </c>
      <c r="D1481" t="s">
        <v>3174</v>
      </c>
      <c r="E1481" t="s">
        <v>3175</v>
      </c>
      <c r="F1481" t="str">
        <f>HYPERLINK("https://talan.bank.gov.ua/get-user-certificate/45CElJ499PnGLO3dHULL","Завантажити сертифікат")</f>
        <v>Завантажити сертифікат</v>
      </c>
    </row>
    <row r="1482" spans="1:6" x14ac:dyDescent="0.3">
      <c r="A1482" t="s">
        <v>3206</v>
      </c>
      <c r="B1482" t="s">
        <v>6</v>
      </c>
      <c r="C1482" t="s">
        <v>3207</v>
      </c>
      <c r="D1482" t="s">
        <v>3174</v>
      </c>
      <c r="E1482" t="s">
        <v>3175</v>
      </c>
      <c r="F1482" t="str">
        <f>HYPERLINK("https://talan.bank.gov.ua/get-user-certificate/45CElQuxYvvwFNJuaDrz","Завантажити сертифікат")</f>
        <v>Завантажити сертифікат</v>
      </c>
    </row>
    <row r="1483" spans="1:6" x14ac:dyDescent="0.3">
      <c r="A1483" t="s">
        <v>3208</v>
      </c>
      <c r="B1483" t="s">
        <v>6</v>
      </c>
      <c r="C1483" t="s">
        <v>3209</v>
      </c>
      <c r="D1483" t="s">
        <v>3174</v>
      </c>
      <c r="E1483" t="s">
        <v>3175</v>
      </c>
      <c r="F1483" t="str">
        <f>HYPERLINK("https://talan.bank.gov.ua/get-user-certificate/45CEltZJE3dm2ABppiAg","Завантажити сертифікат")</f>
        <v>Завантажити сертифікат</v>
      </c>
    </row>
    <row r="1484" spans="1:6" x14ac:dyDescent="0.3">
      <c r="A1484" t="s">
        <v>3210</v>
      </c>
      <c r="B1484" t="s">
        <v>6</v>
      </c>
      <c r="C1484" t="s">
        <v>3211</v>
      </c>
      <c r="D1484" t="s">
        <v>3174</v>
      </c>
      <c r="E1484" t="s">
        <v>3175</v>
      </c>
      <c r="F1484" t="str">
        <f>HYPERLINK("https://talan.bank.gov.ua/get-user-certificate/45CElo__ypW-dChLczyQ","Завантажити сертифікат")</f>
        <v>Завантажити сертифікат</v>
      </c>
    </row>
    <row r="1485" spans="1:6" x14ac:dyDescent="0.3">
      <c r="A1485" t="s">
        <v>3212</v>
      </c>
      <c r="B1485" t="s">
        <v>6</v>
      </c>
      <c r="C1485" t="s">
        <v>3213</v>
      </c>
      <c r="D1485" t="s">
        <v>3174</v>
      </c>
      <c r="E1485" t="s">
        <v>3175</v>
      </c>
      <c r="F1485" t="str">
        <f>HYPERLINK("https://talan.bank.gov.ua/get-user-certificate/45CElFle0rwlXlgd2hGk","Завантажити сертифікат")</f>
        <v>Завантажити сертифікат</v>
      </c>
    </row>
    <row r="1486" spans="1:6" x14ac:dyDescent="0.3">
      <c r="A1486" t="s">
        <v>3214</v>
      </c>
      <c r="B1486" t="s">
        <v>6</v>
      </c>
      <c r="C1486" t="s">
        <v>3215</v>
      </c>
      <c r="D1486" t="s">
        <v>3174</v>
      </c>
      <c r="E1486" t="s">
        <v>3175</v>
      </c>
      <c r="F1486" t="str">
        <f>HYPERLINK("https://talan.bank.gov.ua/get-user-certificate/45CElQgRwXbH_Jsx8Ayt","Завантажити сертифікат")</f>
        <v>Завантажити сертифікат</v>
      </c>
    </row>
    <row r="1487" spans="1:6" x14ac:dyDescent="0.3">
      <c r="A1487" t="s">
        <v>3216</v>
      </c>
      <c r="B1487" t="s">
        <v>6</v>
      </c>
      <c r="C1487" t="s">
        <v>3217</v>
      </c>
      <c r="D1487" t="s">
        <v>3174</v>
      </c>
      <c r="E1487" t="s">
        <v>3175</v>
      </c>
      <c r="F1487" t="str">
        <f>HYPERLINK("https://talan.bank.gov.ua/get-user-certificate/45CElsjDbqfkxJ_vsyZF","Завантажити сертифікат")</f>
        <v>Завантажити сертифікат</v>
      </c>
    </row>
    <row r="1488" spans="1:6" x14ac:dyDescent="0.3">
      <c r="A1488" t="s">
        <v>3218</v>
      </c>
      <c r="B1488" t="s">
        <v>6</v>
      </c>
      <c r="C1488" t="s">
        <v>3219</v>
      </c>
      <c r="D1488" t="s">
        <v>3174</v>
      </c>
      <c r="E1488" t="s">
        <v>3175</v>
      </c>
      <c r="F1488" t="str">
        <f>HYPERLINK("https://talan.bank.gov.ua/get-user-certificate/45CElhhmSZFN7cdO5-nM","Завантажити сертифікат")</f>
        <v>Завантажити сертифікат</v>
      </c>
    </row>
    <row r="1489" spans="1:6" x14ac:dyDescent="0.3">
      <c r="A1489" t="s">
        <v>3220</v>
      </c>
      <c r="B1489" t="s">
        <v>6</v>
      </c>
      <c r="C1489" t="s">
        <v>3221</v>
      </c>
      <c r="D1489" t="s">
        <v>3174</v>
      </c>
      <c r="E1489" t="s">
        <v>3175</v>
      </c>
      <c r="F1489" t="str">
        <f>HYPERLINK("https://talan.bank.gov.ua/get-user-certificate/45CEl_RDQeKadGZ5Ukt0","Завантажити сертифікат")</f>
        <v>Завантажити сертифікат</v>
      </c>
    </row>
    <row r="1490" spans="1:6" x14ac:dyDescent="0.3">
      <c r="A1490" t="s">
        <v>3222</v>
      </c>
      <c r="B1490" t="s">
        <v>6</v>
      </c>
      <c r="C1490" t="s">
        <v>3223</v>
      </c>
      <c r="D1490" t="s">
        <v>3174</v>
      </c>
      <c r="E1490" t="s">
        <v>3175</v>
      </c>
      <c r="F1490" t="str">
        <f>HYPERLINK("https://talan.bank.gov.ua/get-user-certificate/45CElcLWgeGARuAeH9W6","Завантажити сертифікат")</f>
        <v>Завантажити сертифікат</v>
      </c>
    </row>
    <row r="1491" spans="1:6" x14ac:dyDescent="0.3">
      <c r="A1491" t="s">
        <v>3224</v>
      </c>
      <c r="B1491" t="s">
        <v>6</v>
      </c>
      <c r="C1491" t="s">
        <v>3225</v>
      </c>
      <c r="D1491" t="s">
        <v>3174</v>
      </c>
      <c r="E1491" t="s">
        <v>3175</v>
      </c>
      <c r="F1491" t="str">
        <f>HYPERLINK("https://talan.bank.gov.ua/get-user-certificate/45CElmLzsMFwiRmeRL8i","Завантажити сертифікат")</f>
        <v>Завантажити сертифікат</v>
      </c>
    </row>
    <row r="1492" spans="1:6" x14ac:dyDescent="0.3">
      <c r="A1492" t="s">
        <v>3226</v>
      </c>
      <c r="B1492" t="s">
        <v>6</v>
      </c>
      <c r="C1492" t="s">
        <v>3227</v>
      </c>
      <c r="D1492" t="s">
        <v>3174</v>
      </c>
      <c r="E1492" t="s">
        <v>3175</v>
      </c>
      <c r="F1492" t="str">
        <f>HYPERLINK("https://talan.bank.gov.ua/get-user-certificate/45CElwSBBqXlZD_J29ND","Завантажити сертифікат")</f>
        <v>Завантажити сертифікат</v>
      </c>
    </row>
    <row r="1493" spans="1:6" x14ac:dyDescent="0.3">
      <c r="A1493" t="s">
        <v>3228</v>
      </c>
      <c r="B1493" t="s">
        <v>6</v>
      </c>
      <c r="C1493" t="s">
        <v>3229</v>
      </c>
      <c r="D1493" t="s">
        <v>3174</v>
      </c>
      <c r="E1493" t="s">
        <v>3175</v>
      </c>
      <c r="F1493" t="str">
        <f>HYPERLINK("https://talan.bank.gov.ua/get-user-certificate/45CElqvLbQzRFu6fP4MM","Завантажити сертифікат")</f>
        <v>Завантажити сертифікат</v>
      </c>
    </row>
    <row r="1494" spans="1:6" x14ac:dyDescent="0.3">
      <c r="A1494" t="s">
        <v>3230</v>
      </c>
      <c r="B1494" t="s">
        <v>6</v>
      </c>
      <c r="C1494" t="s">
        <v>3231</v>
      </c>
      <c r="D1494" t="s">
        <v>3174</v>
      </c>
      <c r="E1494" t="s">
        <v>3175</v>
      </c>
      <c r="F1494" t="str">
        <f>HYPERLINK("https://talan.bank.gov.ua/get-user-certificate/45CElokqai4b8ALVA3hC","Завантажити сертифікат")</f>
        <v>Завантажити сертифікат</v>
      </c>
    </row>
    <row r="1495" spans="1:6" x14ac:dyDescent="0.3">
      <c r="A1495" t="s">
        <v>3232</v>
      </c>
      <c r="B1495" t="s">
        <v>6</v>
      </c>
      <c r="C1495" t="s">
        <v>3233</v>
      </c>
      <c r="D1495" t="s">
        <v>3174</v>
      </c>
      <c r="E1495" t="s">
        <v>3175</v>
      </c>
      <c r="F1495" t="str">
        <f>HYPERLINK("https://talan.bank.gov.ua/get-user-certificate/45CElPGs8lqyhNlnx1tS","Завантажити сертифікат")</f>
        <v>Завантажити сертифікат</v>
      </c>
    </row>
    <row r="1496" spans="1:6" x14ac:dyDescent="0.3">
      <c r="A1496" t="s">
        <v>3234</v>
      </c>
      <c r="B1496" t="s">
        <v>6</v>
      </c>
      <c r="C1496" t="s">
        <v>3235</v>
      </c>
      <c r="D1496" t="s">
        <v>3174</v>
      </c>
      <c r="E1496" t="s">
        <v>3175</v>
      </c>
      <c r="F1496" t="str">
        <f>HYPERLINK("https://talan.bank.gov.ua/get-user-certificate/45CElP4Pywy_UGxiK23u","Завантажити сертифікат")</f>
        <v>Завантажити сертифікат</v>
      </c>
    </row>
    <row r="1497" spans="1:6" x14ac:dyDescent="0.3">
      <c r="A1497" t="s">
        <v>3236</v>
      </c>
      <c r="B1497" t="s">
        <v>6</v>
      </c>
      <c r="C1497" t="s">
        <v>3237</v>
      </c>
      <c r="D1497" t="s">
        <v>3174</v>
      </c>
      <c r="E1497" t="s">
        <v>3175</v>
      </c>
      <c r="F1497" t="str">
        <f>HYPERLINK("https://talan.bank.gov.ua/get-user-certificate/45CElnC4Ivx__pcdDPvd","Завантажити сертифікат")</f>
        <v>Завантажити сертифікат</v>
      </c>
    </row>
    <row r="1498" spans="1:6" x14ac:dyDescent="0.3">
      <c r="A1498" t="s">
        <v>3238</v>
      </c>
      <c r="B1498" t="s">
        <v>6</v>
      </c>
      <c r="C1498" t="s">
        <v>3239</v>
      </c>
      <c r="D1498" t="s">
        <v>3174</v>
      </c>
      <c r="E1498" t="s">
        <v>3175</v>
      </c>
      <c r="F1498" t="str">
        <f>HYPERLINK("https://talan.bank.gov.ua/get-user-certificate/45CElz8qp2_yD-6FfHfT","Завантажити сертифікат")</f>
        <v>Завантажити сертифікат</v>
      </c>
    </row>
    <row r="1499" spans="1:6" x14ac:dyDescent="0.3">
      <c r="A1499" t="s">
        <v>3240</v>
      </c>
      <c r="B1499" t="s">
        <v>6</v>
      </c>
      <c r="C1499" t="s">
        <v>3241</v>
      </c>
      <c r="D1499" t="s">
        <v>3174</v>
      </c>
      <c r="E1499" t="s">
        <v>3175</v>
      </c>
      <c r="F1499" t="str">
        <f>HYPERLINK("https://talan.bank.gov.ua/get-user-certificate/45CElHeXUKkdwDoqYJiZ","Завантажити сертифікат")</f>
        <v>Завантажити сертифікат</v>
      </c>
    </row>
    <row r="1500" spans="1:6" x14ac:dyDescent="0.3">
      <c r="A1500" t="s">
        <v>3242</v>
      </c>
      <c r="B1500" t="s">
        <v>6</v>
      </c>
      <c r="C1500" t="s">
        <v>3243</v>
      </c>
      <c r="D1500" t="s">
        <v>3174</v>
      </c>
      <c r="E1500" t="s">
        <v>3175</v>
      </c>
      <c r="F1500" t="str">
        <f>HYPERLINK("https://talan.bank.gov.ua/get-user-certificate/45CElih1SDj6jOEniA31","Завантажити сертифікат")</f>
        <v>Завантажити сертифікат</v>
      </c>
    </row>
    <row r="1501" spans="1:6" x14ac:dyDescent="0.3">
      <c r="A1501" t="s">
        <v>3244</v>
      </c>
      <c r="B1501" t="s">
        <v>6</v>
      </c>
      <c r="C1501" t="s">
        <v>3245</v>
      </c>
      <c r="D1501" t="s">
        <v>3174</v>
      </c>
      <c r="E1501" t="s">
        <v>3175</v>
      </c>
      <c r="F1501" t="str">
        <f>HYPERLINK("https://talan.bank.gov.ua/get-user-certificate/45CElm5LSWrQXPosoMUm","Завантажити сертифікат")</f>
        <v>Завантажити сертифікат</v>
      </c>
    </row>
    <row r="1502" spans="1:6" x14ac:dyDescent="0.3">
      <c r="A1502" t="s">
        <v>3246</v>
      </c>
      <c r="B1502" t="s">
        <v>6</v>
      </c>
      <c r="C1502" t="s">
        <v>3247</v>
      </c>
      <c r="D1502" t="s">
        <v>3174</v>
      </c>
      <c r="E1502" t="s">
        <v>3175</v>
      </c>
      <c r="F1502" t="str">
        <f>HYPERLINK("https://talan.bank.gov.ua/get-user-certificate/45CEl74JbliMYXcJomM3","Завантажити сертифікат")</f>
        <v>Завантажити сертифікат</v>
      </c>
    </row>
    <row r="1503" spans="1:6" x14ac:dyDescent="0.3">
      <c r="A1503" t="s">
        <v>3248</v>
      </c>
      <c r="B1503" t="s">
        <v>6</v>
      </c>
      <c r="C1503" t="s">
        <v>3249</v>
      </c>
      <c r="D1503" t="s">
        <v>3174</v>
      </c>
      <c r="E1503" t="s">
        <v>3175</v>
      </c>
      <c r="F1503" t="str">
        <f>HYPERLINK("https://talan.bank.gov.ua/get-user-certificate/45CEl4ycYW4bFe-E9kvF","Завантажити сертифікат")</f>
        <v>Завантажити сертифікат</v>
      </c>
    </row>
    <row r="1504" spans="1:6" x14ac:dyDescent="0.3">
      <c r="A1504" t="s">
        <v>3250</v>
      </c>
      <c r="B1504" t="s">
        <v>6</v>
      </c>
      <c r="C1504" t="s">
        <v>3251</v>
      </c>
      <c r="D1504" t="s">
        <v>3252</v>
      </c>
      <c r="E1504" t="s">
        <v>3253</v>
      </c>
      <c r="F1504" t="str">
        <f>HYPERLINK("https://talan.bank.gov.ua/get-user-certificate/45CEl_9fAlzEsFd5v2IY","Завантажити сертифікат")</f>
        <v>Завантажити сертифікат</v>
      </c>
    </row>
    <row r="1505" spans="1:6" x14ac:dyDescent="0.3">
      <c r="A1505" t="s">
        <v>3254</v>
      </c>
      <c r="B1505" t="s">
        <v>6</v>
      </c>
      <c r="C1505" t="s">
        <v>3255</v>
      </c>
      <c r="D1505" t="s">
        <v>3252</v>
      </c>
      <c r="E1505" t="s">
        <v>3253</v>
      </c>
      <c r="F1505" t="str">
        <f>HYPERLINK("https://talan.bank.gov.ua/get-user-certificate/45CElDvgdo7o1G-3LYo4","Завантажити сертифікат")</f>
        <v>Завантажити сертифікат</v>
      </c>
    </row>
    <row r="1506" spans="1:6" x14ac:dyDescent="0.3">
      <c r="A1506" t="s">
        <v>3256</v>
      </c>
      <c r="B1506" t="s">
        <v>6</v>
      </c>
      <c r="C1506" t="s">
        <v>3257</v>
      </c>
      <c r="D1506" t="s">
        <v>3252</v>
      </c>
      <c r="E1506" t="s">
        <v>3253</v>
      </c>
      <c r="F1506" t="str">
        <f>HYPERLINK("https://talan.bank.gov.ua/get-user-certificate/45CEl9jpRtRI4bsv6h0W","Завантажити сертифікат")</f>
        <v>Завантажити сертифікат</v>
      </c>
    </row>
    <row r="1507" spans="1:6" x14ac:dyDescent="0.3">
      <c r="A1507" t="s">
        <v>3258</v>
      </c>
      <c r="B1507" t="s">
        <v>6</v>
      </c>
      <c r="C1507" t="s">
        <v>3259</v>
      </c>
      <c r="D1507" t="s">
        <v>3252</v>
      </c>
      <c r="E1507" t="s">
        <v>3253</v>
      </c>
      <c r="F1507" t="str">
        <f>HYPERLINK("https://talan.bank.gov.ua/get-user-certificate/45CEluTV4y8aESankIf5","Завантажити сертифікат")</f>
        <v>Завантажити сертифікат</v>
      </c>
    </row>
    <row r="1508" spans="1:6" x14ac:dyDescent="0.3">
      <c r="A1508" t="s">
        <v>3260</v>
      </c>
      <c r="B1508" t="s">
        <v>6</v>
      </c>
      <c r="C1508" t="s">
        <v>3261</v>
      </c>
      <c r="D1508" t="s">
        <v>3252</v>
      </c>
      <c r="E1508" t="s">
        <v>3253</v>
      </c>
      <c r="F1508" t="str">
        <f>HYPERLINK("https://talan.bank.gov.ua/get-user-certificate/45CElAsRfztxlATE7Wy2","Завантажити сертифікат")</f>
        <v>Завантажити сертифікат</v>
      </c>
    </row>
    <row r="1509" spans="1:6" x14ac:dyDescent="0.3">
      <c r="A1509" t="s">
        <v>3262</v>
      </c>
      <c r="B1509" t="s">
        <v>6</v>
      </c>
      <c r="C1509" t="s">
        <v>3263</v>
      </c>
      <c r="D1509" t="s">
        <v>3252</v>
      </c>
      <c r="E1509" t="s">
        <v>3253</v>
      </c>
      <c r="F1509" t="str">
        <f>HYPERLINK("https://talan.bank.gov.ua/get-user-certificate/45CElnk3TW8iHfOzc_pT","Завантажити сертифікат")</f>
        <v>Завантажити сертифікат</v>
      </c>
    </row>
    <row r="1510" spans="1:6" x14ac:dyDescent="0.3">
      <c r="A1510" t="s">
        <v>3264</v>
      </c>
      <c r="B1510" t="s">
        <v>6</v>
      </c>
      <c r="C1510" t="s">
        <v>3265</v>
      </c>
      <c r="D1510" t="s">
        <v>3252</v>
      </c>
      <c r="E1510" t="s">
        <v>3253</v>
      </c>
      <c r="F1510" t="str">
        <f>HYPERLINK("https://talan.bank.gov.ua/get-user-certificate/45CElXLgC8gqajozT4Va","Завантажити сертифікат")</f>
        <v>Завантажити сертифікат</v>
      </c>
    </row>
    <row r="1511" spans="1:6" x14ac:dyDescent="0.3">
      <c r="A1511" t="s">
        <v>3266</v>
      </c>
      <c r="B1511" t="s">
        <v>6</v>
      </c>
      <c r="C1511" t="s">
        <v>3267</v>
      </c>
      <c r="D1511" t="s">
        <v>3252</v>
      </c>
      <c r="E1511" t="s">
        <v>3253</v>
      </c>
      <c r="F1511" t="str">
        <f>HYPERLINK("https://talan.bank.gov.ua/get-user-certificate/45CElu9VizXMtbegCfq-","Завантажити сертифікат")</f>
        <v>Завантажити сертифікат</v>
      </c>
    </row>
    <row r="1512" spans="1:6" x14ac:dyDescent="0.3">
      <c r="A1512" t="s">
        <v>3268</v>
      </c>
      <c r="B1512" t="s">
        <v>6</v>
      </c>
      <c r="C1512" t="s">
        <v>3269</v>
      </c>
      <c r="D1512" t="s">
        <v>3252</v>
      </c>
      <c r="E1512" t="s">
        <v>3253</v>
      </c>
      <c r="F1512" t="str">
        <f>HYPERLINK("https://talan.bank.gov.ua/get-user-certificate/45CEl8IN_E72Zw_fbVxD","Завантажити сертифікат")</f>
        <v>Завантажити сертифікат</v>
      </c>
    </row>
    <row r="1513" spans="1:6" x14ac:dyDescent="0.3">
      <c r="A1513" t="s">
        <v>3270</v>
      </c>
      <c r="B1513" t="s">
        <v>6</v>
      </c>
      <c r="C1513" t="s">
        <v>3271</v>
      </c>
      <c r="D1513" t="s">
        <v>3252</v>
      </c>
      <c r="E1513" t="s">
        <v>3253</v>
      </c>
      <c r="F1513" t="str">
        <f>HYPERLINK("https://talan.bank.gov.ua/get-user-certificate/45CEluD9bD4nvbngz7PR","Завантажити сертифікат")</f>
        <v>Завантажити сертифікат</v>
      </c>
    </row>
    <row r="1514" spans="1:6" x14ac:dyDescent="0.3">
      <c r="A1514" t="s">
        <v>3272</v>
      </c>
      <c r="B1514" t="s">
        <v>6</v>
      </c>
      <c r="C1514" t="s">
        <v>3273</v>
      </c>
      <c r="D1514" t="s">
        <v>3252</v>
      </c>
      <c r="E1514" t="s">
        <v>3253</v>
      </c>
      <c r="F1514" t="str">
        <f>HYPERLINK("https://talan.bank.gov.ua/get-user-certificate/45CElRFxlfiy-qh0k_Dk","Завантажити сертифікат")</f>
        <v>Завантажити сертифікат</v>
      </c>
    </row>
    <row r="1515" spans="1:6" x14ac:dyDescent="0.3">
      <c r="A1515" t="s">
        <v>3274</v>
      </c>
      <c r="B1515" t="s">
        <v>6</v>
      </c>
      <c r="C1515" t="s">
        <v>3275</v>
      </c>
      <c r="D1515" t="s">
        <v>3252</v>
      </c>
      <c r="E1515" t="s">
        <v>3253</v>
      </c>
      <c r="F1515" t="str">
        <f>HYPERLINK("https://talan.bank.gov.ua/get-user-certificate/45CElWMghZN5D9G8M6I-","Завантажити сертифікат")</f>
        <v>Завантажити сертифікат</v>
      </c>
    </row>
    <row r="1516" spans="1:6" x14ac:dyDescent="0.3">
      <c r="A1516" t="s">
        <v>3276</v>
      </c>
      <c r="B1516" t="s">
        <v>6</v>
      </c>
      <c r="C1516" t="s">
        <v>3277</v>
      </c>
      <c r="D1516" t="s">
        <v>3252</v>
      </c>
      <c r="E1516" t="s">
        <v>3253</v>
      </c>
      <c r="F1516" t="str">
        <f>HYPERLINK("https://talan.bank.gov.ua/get-user-certificate/45CElAupEcfvkU3e-IEi","Завантажити сертифікат")</f>
        <v>Завантажити сертифікат</v>
      </c>
    </row>
    <row r="1517" spans="1:6" x14ac:dyDescent="0.3">
      <c r="A1517" t="s">
        <v>3278</v>
      </c>
      <c r="B1517" t="s">
        <v>6</v>
      </c>
      <c r="C1517" t="s">
        <v>3279</v>
      </c>
      <c r="D1517" t="s">
        <v>3252</v>
      </c>
      <c r="E1517" t="s">
        <v>3253</v>
      </c>
      <c r="F1517" t="str">
        <f>HYPERLINK("https://talan.bank.gov.ua/get-user-certificate/45CElTe5Xo2oI8LtXsw1","Завантажити сертифікат")</f>
        <v>Завантажити сертифікат</v>
      </c>
    </row>
    <row r="1518" spans="1:6" x14ac:dyDescent="0.3">
      <c r="A1518" t="s">
        <v>3280</v>
      </c>
      <c r="B1518" t="s">
        <v>6</v>
      </c>
      <c r="C1518" t="s">
        <v>3281</v>
      </c>
      <c r="D1518" t="s">
        <v>3252</v>
      </c>
      <c r="E1518" t="s">
        <v>3253</v>
      </c>
      <c r="F1518" t="str">
        <f>HYPERLINK("https://talan.bank.gov.ua/get-user-certificate/45CElRmHQjArxXTUNoY6","Завантажити сертифікат")</f>
        <v>Завантажити сертифікат</v>
      </c>
    </row>
    <row r="1519" spans="1:6" x14ac:dyDescent="0.3">
      <c r="A1519" t="s">
        <v>3282</v>
      </c>
      <c r="B1519" t="s">
        <v>6</v>
      </c>
      <c r="C1519" t="s">
        <v>3283</v>
      </c>
      <c r="D1519" t="s">
        <v>3252</v>
      </c>
      <c r="E1519" t="s">
        <v>3253</v>
      </c>
      <c r="F1519" t="str">
        <f>HYPERLINK("https://talan.bank.gov.ua/get-user-certificate/45CElYQEO-BE9R4G0Zmj","Завантажити сертифікат")</f>
        <v>Завантажити сертифікат</v>
      </c>
    </row>
    <row r="1520" spans="1:6" x14ac:dyDescent="0.3">
      <c r="A1520" t="s">
        <v>3284</v>
      </c>
      <c r="B1520" t="s">
        <v>6</v>
      </c>
      <c r="C1520" t="s">
        <v>3285</v>
      </c>
      <c r="D1520" t="s">
        <v>3252</v>
      </c>
      <c r="E1520" t="s">
        <v>3253</v>
      </c>
      <c r="F1520" t="str">
        <f>HYPERLINK("https://talan.bank.gov.ua/get-user-certificate/45CElm-8gOGxZwSPvgOf","Завантажити сертифікат")</f>
        <v>Завантажити сертифікат</v>
      </c>
    </row>
    <row r="1521" spans="1:6" x14ac:dyDescent="0.3">
      <c r="A1521" t="s">
        <v>3286</v>
      </c>
      <c r="B1521" t="s">
        <v>6</v>
      </c>
      <c r="C1521" t="s">
        <v>3287</v>
      </c>
      <c r="D1521" t="s">
        <v>3252</v>
      </c>
      <c r="E1521" t="s">
        <v>3253</v>
      </c>
      <c r="F1521" t="str">
        <f>HYPERLINK("https://talan.bank.gov.ua/get-user-certificate/45CElBLJNrgrlZmt9J7o","Завантажити сертифікат")</f>
        <v>Завантажити сертифікат</v>
      </c>
    </row>
    <row r="1522" spans="1:6" x14ac:dyDescent="0.3">
      <c r="A1522" t="s">
        <v>3288</v>
      </c>
      <c r="B1522" t="s">
        <v>6</v>
      </c>
      <c r="C1522" t="s">
        <v>3289</v>
      </c>
      <c r="D1522" t="s">
        <v>3252</v>
      </c>
      <c r="E1522" t="s">
        <v>3253</v>
      </c>
      <c r="F1522" t="str">
        <f>HYPERLINK("https://talan.bank.gov.ua/get-user-certificate/45CElIwH3Ax8VgH9ayhW","Завантажити сертифікат")</f>
        <v>Завантажити сертифікат</v>
      </c>
    </row>
    <row r="1523" spans="1:6" x14ac:dyDescent="0.3">
      <c r="A1523" t="s">
        <v>3290</v>
      </c>
      <c r="B1523" t="s">
        <v>6</v>
      </c>
      <c r="C1523" t="s">
        <v>3291</v>
      </c>
      <c r="D1523" t="s">
        <v>3252</v>
      </c>
      <c r="E1523" t="s">
        <v>3253</v>
      </c>
      <c r="F1523" t="str">
        <f>HYPERLINK("https://talan.bank.gov.ua/get-user-certificate/45CElyFzSCltQ_lWiBrX","Завантажити сертифікат")</f>
        <v>Завантажити сертифікат</v>
      </c>
    </row>
    <row r="1524" spans="1:6" x14ac:dyDescent="0.3">
      <c r="A1524" t="s">
        <v>3292</v>
      </c>
      <c r="B1524" t="s">
        <v>6</v>
      </c>
      <c r="C1524" t="s">
        <v>3293</v>
      </c>
      <c r="D1524" t="s">
        <v>3252</v>
      </c>
      <c r="E1524" t="s">
        <v>3253</v>
      </c>
      <c r="F1524" t="str">
        <f>HYPERLINK("https://talan.bank.gov.ua/get-user-certificate/45CEl_BnxffbgT3n-pw4","Завантажити сертифікат")</f>
        <v>Завантажити сертифікат</v>
      </c>
    </row>
    <row r="1525" spans="1:6" x14ac:dyDescent="0.3">
      <c r="A1525" t="s">
        <v>3294</v>
      </c>
      <c r="B1525" t="s">
        <v>6</v>
      </c>
      <c r="C1525" t="s">
        <v>3295</v>
      </c>
      <c r="D1525" t="s">
        <v>3252</v>
      </c>
      <c r="E1525" t="s">
        <v>3253</v>
      </c>
      <c r="F1525" t="str">
        <f>HYPERLINK("https://talan.bank.gov.ua/get-user-certificate/45CEl-QQf7zcdsNQKjUm","Завантажити сертифікат")</f>
        <v>Завантажити сертифікат</v>
      </c>
    </row>
    <row r="1526" spans="1:6" x14ac:dyDescent="0.3">
      <c r="A1526" t="s">
        <v>3296</v>
      </c>
      <c r="B1526" t="s">
        <v>6</v>
      </c>
      <c r="C1526" t="s">
        <v>3297</v>
      </c>
      <c r="D1526" t="s">
        <v>3252</v>
      </c>
      <c r="E1526" t="s">
        <v>3253</v>
      </c>
      <c r="F1526" t="str">
        <f>HYPERLINK("https://talan.bank.gov.ua/get-user-certificate/45CElxdnU-ERBqE2xyXG","Завантажити сертифікат")</f>
        <v>Завантажити сертифікат</v>
      </c>
    </row>
    <row r="1527" spans="1:6" x14ac:dyDescent="0.3">
      <c r="A1527" t="s">
        <v>3298</v>
      </c>
      <c r="B1527" t="s">
        <v>6</v>
      </c>
      <c r="C1527" t="s">
        <v>3299</v>
      </c>
      <c r="D1527" t="s">
        <v>3252</v>
      </c>
      <c r="E1527" t="s">
        <v>3253</v>
      </c>
      <c r="F1527" t="str">
        <f>HYPERLINK("https://talan.bank.gov.ua/get-user-certificate/45CElGD4M9IvY-DkHqaG","Завантажити сертифікат")</f>
        <v>Завантажити сертифікат</v>
      </c>
    </row>
    <row r="1528" spans="1:6" x14ac:dyDescent="0.3">
      <c r="A1528" t="s">
        <v>3300</v>
      </c>
      <c r="B1528" t="s">
        <v>6</v>
      </c>
      <c r="C1528" t="s">
        <v>3301</v>
      </c>
      <c r="D1528" t="s">
        <v>3252</v>
      </c>
      <c r="E1528" t="s">
        <v>3253</v>
      </c>
      <c r="F1528" t="str">
        <f>HYPERLINK("https://talan.bank.gov.ua/get-user-certificate/45CEl48GUUUKoz624C_J","Завантажити сертифікат")</f>
        <v>Завантажити сертифікат</v>
      </c>
    </row>
    <row r="1529" spans="1:6" x14ac:dyDescent="0.3">
      <c r="A1529" t="s">
        <v>3302</v>
      </c>
      <c r="B1529" t="s">
        <v>6</v>
      </c>
      <c r="C1529" t="s">
        <v>3303</v>
      </c>
      <c r="D1529" t="s">
        <v>3252</v>
      </c>
      <c r="E1529" t="s">
        <v>3253</v>
      </c>
      <c r="F1529" t="str">
        <f>HYPERLINK("https://talan.bank.gov.ua/get-user-certificate/45CEl3Eg5L9O8w0J0kzA","Завантажити сертифікат")</f>
        <v>Завантажити сертифікат</v>
      </c>
    </row>
    <row r="1530" spans="1:6" x14ac:dyDescent="0.3">
      <c r="A1530" t="s">
        <v>3304</v>
      </c>
      <c r="B1530" t="s">
        <v>6</v>
      </c>
      <c r="C1530" t="s">
        <v>3305</v>
      </c>
      <c r="D1530" t="s">
        <v>3252</v>
      </c>
      <c r="E1530" t="s">
        <v>3253</v>
      </c>
      <c r="F1530" t="str">
        <f>HYPERLINK("https://talan.bank.gov.ua/get-user-certificate/45CElcWvcS1UNRc7XEHH","Завантажити сертифікат")</f>
        <v>Завантажити сертифікат</v>
      </c>
    </row>
    <row r="1531" spans="1:6" x14ac:dyDescent="0.3">
      <c r="A1531" t="s">
        <v>3306</v>
      </c>
      <c r="B1531" t="s">
        <v>6</v>
      </c>
      <c r="C1531" t="s">
        <v>3307</v>
      </c>
      <c r="D1531" t="s">
        <v>3252</v>
      </c>
      <c r="E1531" t="s">
        <v>3253</v>
      </c>
      <c r="F1531" t="str">
        <f>HYPERLINK("https://talan.bank.gov.ua/get-user-certificate/45CElIpkC_DeYeudJiAf","Завантажити сертифікат")</f>
        <v>Завантажити сертифікат</v>
      </c>
    </row>
    <row r="1532" spans="1:6" x14ac:dyDescent="0.3">
      <c r="A1532" t="s">
        <v>3308</v>
      </c>
      <c r="B1532" t="s">
        <v>6</v>
      </c>
      <c r="C1532" t="s">
        <v>3309</v>
      </c>
      <c r="D1532" t="s">
        <v>3252</v>
      </c>
      <c r="E1532" t="s">
        <v>3253</v>
      </c>
      <c r="F1532" t="str">
        <f>HYPERLINK("https://talan.bank.gov.ua/get-user-certificate/45CEl-uSdV494hGJfN2e","Завантажити сертифікат")</f>
        <v>Завантажити сертифікат</v>
      </c>
    </row>
    <row r="1533" spans="1:6" x14ac:dyDescent="0.3">
      <c r="A1533" t="s">
        <v>3310</v>
      </c>
      <c r="B1533" t="s">
        <v>6</v>
      </c>
      <c r="C1533" t="s">
        <v>3311</v>
      </c>
      <c r="D1533" t="s">
        <v>3252</v>
      </c>
      <c r="E1533" t="s">
        <v>3253</v>
      </c>
      <c r="F1533" t="str">
        <f>HYPERLINK("https://talan.bank.gov.ua/get-user-certificate/45CElQudYehp0gEl0Gtd","Завантажити сертифікат")</f>
        <v>Завантажити сертифікат</v>
      </c>
    </row>
    <row r="1534" spans="1:6" x14ac:dyDescent="0.3">
      <c r="A1534" t="s">
        <v>3312</v>
      </c>
      <c r="B1534" t="s">
        <v>6</v>
      </c>
      <c r="C1534" t="s">
        <v>3313</v>
      </c>
      <c r="D1534" t="s">
        <v>3252</v>
      </c>
      <c r="E1534" t="s">
        <v>3253</v>
      </c>
      <c r="F1534" t="str">
        <f>HYPERLINK("https://talan.bank.gov.ua/get-user-certificate/45CEljcOd7n1dH2RlCk7","Завантажити сертифікат")</f>
        <v>Завантажити сертифікат</v>
      </c>
    </row>
    <row r="1535" spans="1:6" x14ac:dyDescent="0.3">
      <c r="A1535" t="s">
        <v>3314</v>
      </c>
      <c r="B1535" t="s">
        <v>6</v>
      </c>
      <c r="C1535" t="s">
        <v>3315</v>
      </c>
      <c r="D1535" t="s">
        <v>3252</v>
      </c>
      <c r="E1535" t="s">
        <v>3253</v>
      </c>
      <c r="F1535" t="str">
        <f>HYPERLINK("https://talan.bank.gov.ua/get-user-certificate/45CElU4xpf8-m3iTQU27","Завантажити сертифікат")</f>
        <v>Завантажити сертифікат</v>
      </c>
    </row>
    <row r="1536" spans="1:6" x14ac:dyDescent="0.3">
      <c r="A1536" t="s">
        <v>3316</v>
      </c>
      <c r="B1536" t="s">
        <v>6</v>
      </c>
      <c r="C1536" t="s">
        <v>3317</v>
      </c>
      <c r="D1536" t="s">
        <v>3252</v>
      </c>
      <c r="E1536" t="s">
        <v>3253</v>
      </c>
      <c r="F1536" t="str">
        <f>HYPERLINK("https://talan.bank.gov.ua/get-user-certificate/45CEl9NR2S7B6kw2g20G","Завантажити сертифікат")</f>
        <v>Завантажити сертифікат</v>
      </c>
    </row>
    <row r="1537" spans="1:6" x14ac:dyDescent="0.3">
      <c r="A1537" t="s">
        <v>3318</v>
      </c>
      <c r="B1537" t="s">
        <v>6</v>
      </c>
      <c r="C1537" t="s">
        <v>3319</v>
      </c>
      <c r="D1537" t="s">
        <v>3320</v>
      </c>
      <c r="E1537" t="s">
        <v>3321</v>
      </c>
      <c r="F1537" t="str">
        <f>HYPERLINK("https://talan.bank.gov.ua/get-user-certificate/45CElp1hwTq_BUFK5bIl","Завантажити сертифікат")</f>
        <v>Завантажити сертифікат</v>
      </c>
    </row>
    <row r="1538" spans="1:6" x14ac:dyDescent="0.3">
      <c r="A1538" t="s">
        <v>3322</v>
      </c>
      <c r="B1538" t="s">
        <v>6</v>
      </c>
      <c r="C1538" t="s">
        <v>3323</v>
      </c>
      <c r="D1538" t="s">
        <v>3320</v>
      </c>
      <c r="E1538" t="s">
        <v>3321</v>
      </c>
      <c r="F1538" t="str">
        <f>HYPERLINK("https://talan.bank.gov.ua/get-user-certificate/45CEl4NSuwJmLqKDEB38","Завантажити сертифікат")</f>
        <v>Завантажити сертифікат</v>
      </c>
    </row>
    <row r="1539" spans="1:6" x14ac:dyDescent="0.3">
      <c r="A1539" t="s">
        <v>3324</v>
      </c>
      <c r="B1539" t="s">
        <v>6</v>
      </c>
      <c r="C1539" t="s">
        <v>3325</v>
      </c>
      <c r="D1539" t="s">
        <v>3320</v>
      </c>
      <c r="E1539" t="s">
        <v>3321</v>
      </c>
      <c r="F1539" t="str">
        <f>HYPERLINK("https://talan.bank.gov.ua/get-user-certificate/45CEl3I0H5lj3pdcKUww","Завантажити сертифікат")</f>
        <v>Завантажити сертифікат</v>
      </c>
    </row>
    <row r="1540" spans="1:6" x14ac:dyDescent="0.3">
      <c r="A1540" t="s">
        <v>3326</v>
      </c>
      <c r="B1540" t="s">
        <v>6</v>
      </c>
      <c r="C1540" t="s">
        <v>3327</v>
      </c>
      <c r="D1540" t="s">
        <v>3320</v>
      </c>
      <c r="E1540" t="s">
        <v>3321</v>
      </c>
      <c r="F1540" t="str">
        <f>HYPERLINK("https://talan.bank.gov.ua/get-user-certificate/45CElCZdoXqixvFLoV4A","Завантажити сертифікат")</f>
        <v>Завантажити сертифікат</v>
      </c>
    </row>
    <row r="1541" spans="1:6" x14ac:dyDescent="0.3">
      <c r="A1541" t="s">
        <v>3328</v>
      </c>
      <c r="B1541" t="s">
        <v>6</v>
      </c>
      <c r="C1541" t="s">
        <v>3329</v>
      </c>
      <c r="D1541" t="s">
        <v>3320</v>
      </c>
      <c r="E1541" t="s">
        <v>3321</v>
      </c>
      <c r="F1541" t="str">
        <f>HYPERLINK("https://talan.bank.gov.ua/get-user-certificate/45CElGZEAOsiVGTTcrBB","Завантажити сертифікат")</f>
        <v>Завантажити сертифікат</v>
      </c>
    </row>
    <row r="1542" spans="1:6" x14ac:dyDescent="0.3">
      <c r="A1542" t="s">
        <v>3330</v>
      </c>
      <c r="B1542" t="s">
        <v>6</v>
      </c>
      <c r="C1542" t="s">
        <v>3331</v>
      </c>
      <c r="D1542" t="s">
        <v>3320</v>
      </c>
      <c r="E1542" t="s">
        <v>3321</v>
      </c>
      <c r="F1542" t="str">
        <f>HYPERLINK("https://talan.bank.gov.ua/get-user-certificate/45CEleIp4-PedQ-1SZP4","Завантажити сертифікат")</f>
        <v>Завантажити сертифікат</v>
      </c>
    </row>
    <row r="1543" spans="1:6" x14ac:dyDescent="0.3">
      <c r="A1543" t="s">
        <v>3332</v>
      </c>
      <c r="B1543" t="s">
        <v>6</v>
      </c>
      <c r="C1543" t="s">
        <v>3333</v>
      </c>
      <c r="D1543" t="s">
        <v>3334</v>
      </c>
      <c r="E1543" t="s">
        <v>3335</v>
      </c>
      <c r="F1543" t="str">
        <f>HYPERLINK("https://talan.bank.gov.ua/get-user-certificate/45CElMcVDSu8EPPV9gZt","Завантажити сертифікат")</f>
        <v>Завантажити сертифікат</v>
      </c>
    </row>
    <row r="1544" spans="1:6" x14ac:dyDescent="0.3">
      <c r="A1544" t="s">
        <v>3336</v>
      </c>
      <c r="B1544" t="s">
        <v>6</v>
      </c>
      <c r="C1544" t="s">
        <v>3337</v>
      </c>
      <c r="D1544" t="s">
        <v>3334</v>
      </c>
      <c r="E1544" t="s">
        <v>3335</v>
      </c>
      <c r="F1544" t="str">
        <f>HYPERLINK("https://talan.bank.gov.ua/get-user-certificate/45CElOFJlkQBehBaqhXD","Завантажити сертифікат")</f>
        <v>Завантажити сертифікат</v>
      </c>
    </row>
    <row r="1545" spans="1:6" x14ac:dyDescent="0.3">
      <c r="A1545" t="s">
        <v>3338</v>
      </c>
      <c r="B1545" t="s">
        <v>6</v>
      </c>
      <c r="C1545" t="s">
        <v>3339</v>
      </c>
      <c r="D1545" t="s">
        <v>3334</v>
      </c>
      <c r="E1545" t="s">
        <v>3335</v>
      </c>
      <c r="F1545" t="str">
        <f>HYPERLINK("https://talan.bank.gov.ua/get-user-certificate/45CEl1MURlKLC_ZPZf07","Завантажити сертифікат")</f>
        <v>Завантажити сертифікат</v>
      </c>
    </row>
    <row r="1546" spans="1:6" x14ac:dyDescent="0.3">
      <c r="A1546" t="s">
        <v>3340</v>
      </c>
      <c r="B1546" t="s">
        <v>6</v>
      </c>
      <c r="C1546" t="s">
        <v>3341</v>
      </c>
      <c r="D1546" t="s">
        <v>3334</v>
      </c>
      <c r="E1546" t="s">
        <v>3335</v>
      </c>
      <c r="F1546" t="str">
        <f>HYPERLINK("https://talan.bank.gov.ua/get-user-certificate/45CEljjJVHYlbU-7aFe4","Завантажити сертифікат")</f>
        <v>Завантажити сертифікат</v>
      </c>
    </row>
    <row r="1547" spans="1:6" x14ac:dyDescent="0.3">
      <c r="A1547" t="s">
        <v>3342</v>
      </c>
      <c r="B1547" t="s">
        <v>6</v>
      </c>
      <c r="C1547" t="s">
        <v>3343</v>
      </c>
      <c r="D1547" t="s">
        <v>3334</v>
      </c>
      <c r="E1547" t="s">
        <v>3335</v>
      </c>
      <c r="F1547" t="str">
        <f>HYPERLINK("https://talan.bank.gov.ua/get-user-certificate/45CElgRSVFNsLQ87ozAx","Завантажити сертифікат")</f>
        <v>Завантажити сертифікат</v>
      </c>
    </row>
    <row r="1548" spans="1:6" x14ac:dyDescent="0.3">
      <c r="A1548" t="s">
        <v>3344</v>
      </c>
      <c r="B1548" t="s">
        <v>6</v>
      </c>
      <c r="C1548" t="s">
        <v>3345</v>
      </c>
      <c r="D1548" t="s">
        <v>3334</v>
      </c>
      <c r="E1548" t="s">
        <v>3335</v>
      </c>
      <c r="F1548" t="str">
        <f>HYPERLINK("https://talan.bank.gov.ua/get-user-certificate/45CElIQJU_ouQfyxGfBS","Завантажити сертифікат")</f>
        <v>Завантажити сертифікат</v>
      </c>
    </row>
    <row r="1549" spans="1:6" x14ac:dyDescent="0.3">
      <c r="A1549" t="s">
        <v>3346</v>
      </c>
      <c r="B1549" t="s">
        <v>6</v>
      </c>
      <c r="C1549" t="s">
        <v>3347</v>
      </c>
      <c r="D1549" t="s">
        <v>3334</v>
      </c>
      <c r="E1549" t="s">
        <v>3335</v>
      </c>
      <c r="F1549" t="str">
        <f>HYPERLINK("https://talan.bank.gov.ua/get-user-certificate/45CElqGchmiFatsm2Q8p","Завантажити сертифікат")</f>
        <v>Завантажити сертифікат</v>
      </c>
    </row>
    <row r="1550" spans="1:6" x14ac:dyDescent="0.3">
      <c r="A1550" t="s">
        <v>3348</v>
      </c>
      <c r="B1550" t="s">
        <v>6</v>
      </c>
      <c r="C1550" t="s">
        <v>3349</v>
      </c>
      <c r="D1550" t="s">
        <v>3350</v>
      </c>
      <c r="E1550" t="s">
        <v>3351</v>
      </c>
      <c r="F1550" t="str">
        <f>HYPERLINK("https://talan.bank.gov.ua/get-user-certificate/45CElHAJQrM5NjaAD0BM","Завантажити сертифікат")</f>
        <v>Завантажити сертифікат</v>
      </c>
    </row>
    <row r="1551" spans="1:6" x14ac:dyDescent="0.3">
      <c r="A1551" t="s">
        <v>3352</v>
      </c>
      <c r="B1551" t="s">
        <v>6</v>
      </c>
      <c r="C1551" t="s">
        <v>3353</v>
      </c>
      <c r="D1551" t="s">
        <v>3350</v>
      </c>
      <c r="E1551" t="s">
        <v>3351</v>
      </c>
      <c r="F1551" t="str">
        <f>HYPERLINK("https://talan.bank.gov.ua/get-user-certificate/45CElwm_3xETfeKkHOsx","Завантажити сертифікат")</f>
        <v>Завантажити сертифікат</v>
      </c>
    </row>
    <row r="1552" spans="1:6" x14ac:dyDescent="0.3">
      <c r="A1552" t="s">
        <v>3354</v>
      </c>
      <c r="B1552" t="s">
        <v>6</v>
      </c>
      <c r="C1552" t="s">
        <v>3355</v>
      </c>
      <c r="D1552" t="s">
        <v>3350</v>
      </c>
      <c r="E1552" t="s">
        <v>3351</v>
      </c>
      <c r="F1552" t="str">
        <f>HYPERLINK("https://talan.bank.gov.ua/get-user-certificate/45CEl1MDb2eJn6AzFbkM","Завантажити сертифікат")</f>
        <v>Завантажити сертифікат</v>
      </c>
    </row>
    <row r="1553" spans="1:6" x14ac:dyDescent="0.3">
      <c r="A1553" t="s">
        <v>3356</v>
      </c>
      <c r="B1553" t="s">
        <v>6</v>
      </c>
      <c r="C1553" t="s">
        <v>3357</v>
      </c>
      <c r="D1553" t="s">
        <v>3350</v>
      </c>
      <c r="E1553" t="s">
        <v>3351</v>
      </c>
      <c r="F1553" t="str">
        <f>HYPERLINK("https://talan.bank.gov.ua/get-user-certificate/45CElCKXdSswl8GlTCTS","Завантажити сертифікат")</f>
        <v>Завантажити сертифікат</v>
      </c>
    </row>
    <row r="1554" spans="1:6" x14ac:dyDescent="0.3">
      <c r="A1554" t="s">
        <v>3358</v>
      </c>
      <c r="B1554" t="s">
        <v>6</v>
      </c>
      <c r="C1554" t="s">
        <v>3359</v>
      </c>
      <c r="D1554" t="s">
        <v>3360</v>
      </c>
      <c r="E1554" t="s">
        <v>3361</v>
      </c>
      <c r="F1554" t="str">
        <f>HYPERLINK("https://talan.bank.gov.ua/get-user-certificate/45CEl6Djh9Qky5ADzvF2","Завантажити сертифікат")</f>
        <v>Завантажити сертифікат</v>
      </c>
    </row>
    <row r="1555" spans="1:6" x14ac:dyDescent="0.3">
      <c r="A1555" t="s">
        <v>3362</v>
      </c>
      <c r="B1555" t="s">
        <v>6</v>
      </c>
      <c r="C1555" t="s">
        <v>3363</v>
      </c>
      <c r="D1555" t="s">
        <v>3360</v>
      </c>
      <c r="E1555" t="s">
        <v>3361</v>
      </c>
      <c r="F1555" t="str">
        <f>HYPERLINK("https://talan.bank.gov.ua/get-user-certificate/45CElbFnpB1O2T0LANjH","Завантажити сертифікат")</f>
        <v>Завантажити сертифікат</v>
      </c>
    </row>
    <row r="1556" spans="1:6" x14ac:dyDescent="0.3">
      <c r="A1556" t="s">
        <v>3364</v>
      </c>
      <c r="B1556" t="s">
        <v>6</v>
      </c>
      <c r="C1556" t="s">
        <v>3365</v>
      </c>
      <c r="D1556" t="s">
        <v>3360</v>
      </c>
      <c r="E1556" t="s">
        <v>3361</v>
      </c>
      <c r="F1556" t="str">
        <f>HYPERLINK("https://talan.bank.gov.ua/get-user-certificate/45CElGAY8zJNLVEdmIlG","Завантажити сертифікат")</f>
        <v>Завантажити сертифікат</v>
      </c>
    </row>
    <row r="1557" spans="1:6" x14ac:dyDescent="0.3">
      <c r="A1557" t="s">
        <v>3366</v>
      </c>
      <c r="B1557" t="s">
        <v>6</v>
      </c>
      <c r="C1557" t="s">
        <v>3367</v>
      </c>
      <c r="D1557" t="s">
        <v>3360</v>
      </c>
      <c r="E1557" t="s">
        <v>3361</v>
      </c>
      <c r="F1557" t="str">
        <f>HYPERLINK("https://talan.bank.gov.ua/get-user-certificate/45CElFRscq-OyO4IKWGi","Завантажити сертифікат")</f>
        <v>Завантажити сертифікат</v>
      </c>
    </row>
    <row r="1558" spans="1:6" x14ac:dyDescent="0.3">
      <c r="A1558" t="s">
        <v>3368</v>
      </c>
      <c r="B1558" t="s">
        <v>6</v>
      </c>
      <c r="C1558" t="s">
        <v>3369</v>
      </c>
      <c r="D1558" t="s">
        <v>3360</v>
      </c>
      <c r="E1558" t="s">
        <v>3361</v>
      </c>
      <c r="F1558" t="str">
        <f>HYPERLINK("https://talan.bank.gov.ua/get-user-certificate/45CElQHx-vuFtjPUC53k","Завантажити сертифікат")</f>
        <v>Завантажити сертифікат</v>
      </c>
    </row>
    <row r="1559" spans="1:6" x14ac:dyDescent="0.3">
      <c r="A1559" t="s">
        <v>3370</v>
      </c>
      <c r="B1559" t="s">
        <v>6</v>
      </c>
      <c r="C1559" t="s">
        <v>3371</v>
      </c>
      <c r="D1559" t="s">
        <v>3372</v>
      </c>
      <c r="E1559" t="s">
        <v>3373</v>
      </c>
      <c r="F1559" t="str">
        <f>HYPERLINK("https://talan.bank.gov.ua/get-user-certificate/45CElXK--hrUvuNk0LxY","Завантажити сертифікат")</f>
        <v>Завантажити сертифікат</v>
      </c>
    </row>
    <row r="1560" spans="1:6" x14ac:dyDescent="0.3">
      <c r="A1560" t="s">
        <v>3374</v>
      </c>
      <c r="B1560" t="s">
        <v>6</v>
      </c>
      <c r="C1560" t="s">
        <v>3375</v>
      </c>
      <c r="D1560" t="s">
        <v>3372</v>
      </c>
      <c r="E1560" t="s">
        <v>3373</v>
      </c>
      <c r="F1560" t="str">
        <f>HYPERLINK("https://talan.bank.gov.ua/get-user-certificate/45CElPwM_Cs3tU3vO1rZ","Завантажити сертифікат")</f>
        <v>Завантажити сертифікат</v>
      </c>
    </row>
    <row r="1561" spans="1:6" x14ac:dyDescent="0.3">
      <c r="A1561" t="s">
        <v>3376</v>
      </c>
      <c r="B1561" t="s">
        <v>6</v>
      </c>
      <c r="C1561" t="s">
        <v>3377</v>
      </c>
      <c r="D1561" t="s">
        <v>3372</v>
      </c>
      <c r="E1561" t="s">
        <v>3373</v>
      </c>
      <c r="F1561" t="str">
        <f>HYPERLINK("https://talan.bank.gov.ua/get-user-certificate/45CEl8G7ZfTfG2ih-GxF","Завантажити сертифікат")</f>
        <v>Завантажити сертифікат</v>
      </c>
    </row>
    <row r="1562" spans="1:6" x14ac:dyDescent="0.3">
      <c r="A1562" t="s">
        <v>3378</v>
      </c>
      <c r="B1562" t="s">
        <v>6</v>
      </c>
      <c r="C1562" t="s">
        <v>3379</v>
      </c>
      <c r="D1562" t="s">
        <v>3372</v>
      </c>
      <c r="E1562" t="s">
        <v>3373</v>
      </c>
      <c r="F1562" t="str">
        <f>HYPERLINK("https://talan.bank.gov.ua/get-user-certificate/45CElX9MqwGJRISQlkZK","Завантажити сертифікат")</f>
        <v>Завантажити сертифікат</v>
      </c>
    </row>
    <row r="1563" spans="1:6" x14ac:dyDescent="0.3">
      <c r="A1563" t="s">
        <v>3380</v>
      </c>
      <c r="B1563" t="s">
        <v>6</v>
      </c>
      <c r="C1563" t="s">
        <v>3381</v>
      </c>
      <c r="D1563" t="s">
        <v>3372</v>
      </c>
      <c r="E1563" t="s">
        <v>3373</v>
      </c>
      <c r="F1563" t="str">
        <f>HYPERLINK("https://talan.bank.gov.ua/get-user-certificate/45CElotJOhHwE2N_P-IM","Завантажити сертифікат")</f>
        <v>Завантажити сертифікат</v>
      </c>
    </row>
    <row r="1564" spans="1:6" x14ac:dyDescent="0.3">
      <c r="A1564" t="s">
        <v>3382</v>
      </c>
      <c r="B1564" t="s">
        <v>6</v>
      </c>
      <c r="C1564" t="s">
        <v>3383</v>
      </c>
      <c r="D1564" t="s">
        <v>3372</v>
      </c>
      <c r="E1564" t="s">
        <v>3373</v>
      </c>
      <c r="F1564" t="str">
        <f>HYPERLINK("https://talan.bank.gov.ua/get-user-certificate/45CElP-zQ7vffetfA5zI","Завантажити сертифікат")</f>
        <v>Завантажити сертифікат</v>
      </c>
    </row>
    <row r="1565" spans="1:6" x14ac:dyDescent="0.3">
      <c r="A1565" t="s">
        <v>3384</v>
      </c>
      <c r="B1565" t="s">
        <v>6</v>
      </c>
      <c r="C1565" t="s">
        <v>3385</v>
      </c>
      <c r="D1565" t="s">
        <v>3372</v>
      </c>
      <c r="E1565" t="s">
        <v>3373</v>
      </c>
      <c r="F1565" t="str">
        <f>HYPERLINK("https://talan.bank.gov.ua/get-user-certificate/45CEl-u6XGoWbzJXK8GL","Завантажити сертифікат")</f>
        <v>Завантажити сертифікат</v>
      </c>
    </row>
    <row r="1566" spans="1:6" x14ac:dyDescent="0.3">
      <c r="A1566" t="s">
        <v>3386</v>
      </c>
      <c r="B1566" t="s">
        <v>6</v>
      </c>
      <c r="C1566" t="s">
        <v>3387</v>
      </c>
      <c r="D1566" t="s">
        <v>3372</v>
      </c>
      <c r="E1566" t="s">
        <v>3373</v>
      </c>
      <c r="F1566" t="str">
        <f>HYPERLINK("https://talan.bank.gov.ua/get-user-certificate/45CElSfqEMNpdCEZZRC2","Завантажити сертифікат")</f>
        <v>Завантажити сертифікат</v>
      </c>
    </row>
    <row r="1567" spans="1:6" x14ac:dyDescent="0.3">
      <c r="A1567" t="s">
        <v>3388</v>
      </c>
      <c r="B1567" t="s">
        <v>6</v>
      </c>
      <c r="C1567" t="s">
        <v>3389</v>
      </c>
      <c r="D1567" t="s">
        <v>3372</v>
      </c>
      <c r="E1567" t="s">
        <v>3373</v>
      </c>
      <c r="F1567" t="str">
        <f>HYPERLINK("https://talan.bank.gov.ua/get-user-certificate/45CElDFhm9Ku5TLaIY7r","Завантажити сертифікат")</f>
        <v>Завантажити сертифікат</v>
      </c>
    </row>
    <row r="1568" spans="1:6" x14ac:dyDescent="0.3">
      <c r="A1568" t="s">
        <v>3390</v>
      </c>
      <c r="B1568" t="s">
        <v>6</v>
      </c>
      <c r="C1568" t="s">
        <v>3391</v>
      </c>
      <c r="D1568" t="s">
        <v>3372</v>
      </c>
      <c r="E1568" t="s">
        <v>3373</v>
      </c>
      <c r="F1568" t="str">
        <f>HYPERLINK("https://talan.bank.gov.ua/get-user-certificate/45CElruDHMSg6KFrCFe_","Завантажити сертифікат")</f>
        <v>Завантажити сертифікат</v>
      </c>
    </row>
    <row r="1569" spans="1:6" x14ac:dyDescent="0.3">
      <c r="A1569" t="s">
        <v>3392</v>
      </c>
      <c r="B1569" t="s">
        <v>6</v>
      </c>
      <c r="C1569" t="s">
        <v>3393</v>
      </c>
      <c r="D1569" t="s">
        <v>3372</v>
      </c>
      <c r="E1569" t="s">
        <v>3373</v>
      </c>
      <c r="F1569" t="str">
        <f>HYPERLINK("https://talan.bank.gov.ua/get-user-certificate/45CEli1S6DAAtXU8DgGS","Завантажити сертифікат")</f>
        <v>Завантажити сертифікат</v>
      </c>
    </row>
    <row r="1570" spans="1:6" x14ac:dyDescent="0.3">
      <c r="A1570" t="s">
        <v>3394</v>
      </c>
      <c r="B1570" t="s">
        <v>6</v>
      </c>
      <c r="C1570" t="s">
        <v>3395</v>
      </c>
      <c r="D1570" t="s">
        <v>3372</v>
      </c>
      <c r="E1570" t="s">
        <v>3373</v>
      </c>
      <c r="F1570" t="str">
        <f>HYPERLINK("https://talan.bank.gov.ua/get-user-certificate/45CElgzc9Yl_lcEzvlHH","Завантажити сертифікат")</f>
        <v>Завантажити сертифікат</v>
      </c>
    </row>
    <row r="1571" spans="1:6" x14ac:dyDescent="0.3">
      <c r="A1571" t="s">
        <v>3396</v>
      </c>
      <c r="B1571" t="s">
        <v>6</v>
      </c>
      <c r="C1571" t="s">
        <v>3397</v>
      </c>
      <c r="D1571" t="s">
        <v>3372</v>
      </c>
      <c r="E1571" t="s">
        <v>3373</v>
      </c>
      <c r="F1571" t="str">
        <f>HYPERLINK("https://talan.bank.gov.ua/get-user-certificate/45CElLblYXIKl1y90G2-","Завантажити сертифікат")</f>
        <v>Завантажити сертифікат</v>
      </c>
    </row>
    <row r="1572" spans="1:6" x14ac:dyDescent="0.3">
      <c r="A1572" t="s">
        <v>3398</v>
      </c>
      <c r="B1572" t="s">
        <v>6</v>
      </c>
      <c r="C1572" t="s">
        <v>3399</v>
      </c>
      <c r="D1572" t="s">
        <v>3372</v>
      </c>
      <c r="E1572" t="s">
        <v>3373</v>
      </c>
      <c r="F1572" t="str">
        <f>HYPERLINK("https://talan.bank.gov.ua/get-user-certificate/45CElZulAFVW16pzYdkc","Завантажити сертифікат")</f>
        <v>Завантажити сертифікат</v>
      </c>
    </row>
    <row r="1573" spans="1:6" x14ac:dyDescent="0.3">
      <c r="A1573" t="s">
        <v>3400</v>
      </c>
      <c r="B1573" t="s">
        <v>6</v>
      </c>
      <c r="C1573" t="s">
        <v>3401</v>
      </c>
      <c r="D1573" t="s">
        <v>3372</v>
      </c>
      <c r="E1573" t="s">
        <v>3373</v>
      </c>
      <c r="F1573" t="str">
        <f>HYPERLINK("https://talan.bank.gov.ua/get-user-certificate/45CElTQyPsEMYtTpx54k","Завантажити сертифікат")</f>
        <v>Завантажити сертифікат</v>
      </c>
    </row>
    <row r="1574" spans="1:6" x14ac:dyDescent="0.3">
      <c r="A1574" t="s">
        <v>3402</v>
      </c>
      <c r="B1574" t="s">
        <v>6</v>
      </c>
      <c r="C1574" t="s">
        <v>3403</v>
      </c>
      <c r="D1574" t="s">
        <v>3372</v>
      </c>
      <c r="E1574" t="s">
        <v>3373</v>
      </c>
      <c r="F1574" t="str">
        <f>HYPERLINK("https://talan.bank.gov.ua/get-user-certificate/45CElTke8tx_KAweqfPx","Завантажити сертифікат")</f>
        <v>Завантажити сертифікат</v>
      </c>
    </row>
    <row r="1575" spans="1:6" x14ac:dyDescent="0.3">
      <c r="A1575" t="s">
        <v>3404</v>
      </c>
      <c r="B1575" t="s">
        <v>6</v>
      </c>
      <c r="C1575" t="s">
        <v>3405</v>
      </c>
      <c r="D1575" t="s">
        <v>3372</v>
      </c>
      <c r="E1575" t="s">
        <v>3373</v>
      </c>
      <c r="F1575" t="str">
        <f>HYPERLINK("https://talan.bank.gov.ua/get-user-certificate/45CElOrkMIwdRDSCkbAO","Завантажити сертифікат")</f>
        <v>Завантажити сертифікат</v>
      </c>
    </row>
    <row r="1576" spans="1:6" x14ac:dyDescent="0.3">
      <c r="A1576" t="s">
        <v>3406</v>
      </c>
      <c r="B1576" t="s">
        <v>6</v>
      </c>
      <c r="C1576" t="s">
        <v>3407</v>
      </c>
      <c r="D1576" t="s">
        <v>3372</v>
      </c>
      <c r="E1576" t="s">
        <v>3373</v>
      </c>
      <c r="F1576" t="str">
        <f>HYPERLINK("https://talan.bank.gov.ua/get-user-certificate/45CEl3IyrHhLIRlcgpcA","Завантажити сертифікат")</f>
        <v>Завантажити сертифікат</v>
      </c>
    </row>
    <row r="1577" spans="1:6" x14ac:dyDescent="0.3">
      <c r="A1577" t="s">
        <v>3408</v>
      </c>
      <c r="B1577" t="s">
        <v>6</v>
      </c>
      <c r="C1577" t="s">
        <v>3409</v>
      </c>
      <c r="D1577" t="s">
        <v>3372</v>
      </c>
      <c r="E1577" t="s">
        <v>3373</v>
      </c>
      <c r="F1577" t="str">
        <f>HYPERLINK("https://talan.bank.gov.ua/get-user-certificate/45CElmw5g3T8Wu6L0aOe","Завантажити сертифікат")</f>
        <v>Завантажити сертифікат</v>
      </c>
    </row>
    <row r="1578" spans="1:6" x14ac:dyDescent="0.3">
      <c r="A1578" t="s">
        <v>3410</v>
      </c>
      <c r="B1578" t="s">
        <v>6</v>
      </c>
      <c r="C1578" t="s">
        <v>3411</v>
      </c>
      <c r="D1578" t="s">
        <v>3372</v>
      </c>
      <c r="E1578" t="s">
        <v>3373</v>
      </c>
      <c r="F1578" t="str">
        <f>HYPERLINK("https://talan.bank.gov.ua/get-user-certificate/45CElwe9PW3FFYaqHZVG","Завантажити сертифікат")</f>
        <v>Завантажити сертифікат</v>
      </c>
    </row>
    <row r="1579" spans="1:6" x14ac:dyDescent="0.3">
      <c r="A1579" t="s">
        <v>3412</v>
      </c>
      <c r="B1579" t="s">
        <v>6</v>
      </c>
      <c r="C1579" t="s">
        <v>3413</v>
      </c>
      <c r="D1579" t="s">
        <v>3372</v>
      </c>
      <c r="E1579" t="s">
        <v>3373</v>
      </c>
      <c r="F1579" t="str">
        <f>HYPERLINK("https://talan.bank.gov.ua/get-user-certificate/45CElGUWQurpLXCZvY6d","Завантажити сертифікат")</f>
        <v>Завантажити сертифікат</v>
      </c>
    </row>
    <row r="1580" spans="1:6" x14ac:dyDescent="0.3">
      <c r="A1580" t="s">
        <v>3414</v>
      </c>
      <c r="B1580" t="s">
        <v>6</v>
      </c>
      <c r="C1580" t="s">
        <v>3415</v>
      </c>
      <c r="D1580" t="s">
        <v>3372</v>
      </c>
      <c r="E1580" t="s">
        <v>3373</v>
      </c>
      <c r="F1580" t="str">
        <f>HYPERLINK("https://talan.bank.gov.ua/get-user-certificate/45CElKpctMf9JutoNSEs","Завантажити сертифікат")</f>
        <v>Завантажити сертифікат</v>
      </c>
    </row>
    <row r="1581" spans="1:6" x14ac:dyDescent="0.3">
      <c r="A1581" t="s">
        <v>3416</v>
      </c>
      <c r="B1581" t="s">
        <v>6</v>
      </c>
      <c r="C1581" t="s">
        <v>3417</v>
      </c>
      <c r="D1581" t="s">
        <v>3372</v>
      </c>
      <c r="E1581" t="s">
        <v>3373</v>
      </c>
      <c r="F1581" t="str">
        <f>HYPERLINK("https://talan.bank.gov.ua/get-user-certificate/45CElfYxwWdGV3ckw3nZ","Завантажити сертифікат")</f>
        <v>Завантажити сертифікат</v>
      </c>
    </row>
    <row r="1582" spans="1:6" x14ac:dyDescent="0.3">
      <c r="A1582" t="s">
        <v>3418</v>
      </c>
      <c r="B1582" t="s">
        <v>6</v>
      </c>
      <c r="C1582" t="s">
        <v>3419</v>
      </c>
      <c r="D1582" t="s">
        <v>3420</v>
      </c>
      <c r="E1582" t="s">
        <v>3421</v>
      </c>
      <c r="F1582" t="str">
        <f>HYPERLINK("https://talan.bank.gov.ua/get-user-certificate/45CEl5okZw3cudl4bMl6","Завантажити сертифікат")</f>
        <v>Завантажити сертифікат</v>
      </c>
    </row>
    <row r="1583" spans="1:6" x14ac:dyDescent="0.3">
      <c r="A1583" t="s">
        <v>3422</v>
      </c>
      <c r="B1583" t="s">
        <v>6</v>
      </c>
      <c r="C1583" t="s">
        <v>3423</v>
      </c>
      <c r="D1583" t="s">
        <v>3420</v>
      </c>
      <c r="E1583" t="s">
        <v>3421</v>
      </c>
      <c r="F1583" t="str">
        <f>HYPERLINK("https://talan.bank.gov.ua/get-user-certificate/45CElNmStFB-LgcpQZj-","Завантажити сертифікат")</f>
        <v>Завантажити сертифікат</v>
      </c>
    </row>
    <row r="1584" spans="1:6" x14ac:dyDescent="0.3">
      <c r="A1584" t="s">
        <v>3424</v>
      </c>
      <c r="B1584" t="s">
        <v>6</v>
      </c>
      <c r="C1584" t="s">
        <v>3425</v>
      </c>
      <c r="D1584" t="s">
        <v>3426</v>
      </c>
      <c r="E1584" t="s">
        <v>3427</v>
      </c>
      <c r="F1584" t="str">
        <f>HYPERLINK("https://talan.bank.gov.ua/get-user-certificate/45CElrUkeGUvj1Fpx7Ce","Завантажити сертифікат")</f>
        <v>Завантажити сертифікат</v>
      </c>
    </row>
    <row r="1585" spans="1:6" x14ac:dyDescent="0.3">
      <c r="A1585" t="s">
        <v>3428</v>
      </c>
      <c r="B1585" t="s">
        <v>6</v>
      </c>
      <c r="C1585" t="s">
        <v>3429</v>
      </c>
      <c r="D1585" t="s">
        <v>3426</v>
      </c>
      <c r="E1585" t="s">
        <v>3427</v>
      </c>
      <c r="F1585" t="str">
        <f>HYPERLINK("https://talan.bank.gov.ua/get-user-certificate/45CEl7ZkKldL1_FBTEjs","Завантажити сертифікат")</f>
        <v>Завантажити сертифікат</v>
      </c>
    </row>
    <row r="1586" spans="1:6" x14ac:dyDescent="0.3">
      <c r="A1586" t="s">
        <v>3430</v>
      </c>
      <c r="B1586" t="s">
        <v>6</v>
      </c>
      <c r="C1586" t="s">
        <v>3431</v>
      </c>
      <c r="D1586" t="s">
        <v>3426</v>
      </c>
      <c r="E1586" t="s">
        <v>3427</v>
      </c>
      <c r="F1586" t="str">
        <f>HYPERLINK("https://talan.bank.gov.ua/get-user-certificate/45CEl9idm7sOhH7qDLjI","Завантажити сертифікат")</f>
        <v>Завантажити сертифікат</v>
      </c>
    </row>
    <row r="1587" spans="1:6" x14ac:dyDescent="0.3">
      <c r="A1587" t="s">
        <v>3432</v>
      </c>
      <c r="B1587" t="s">
        <v>6</v>
      </c>
      <c r="C1587" t="s">
        <v>3433</v>
      </c>
      <c r="D1587" t="s">
        <v>3426</v>
      </c>
      <c r="E1587" t="s">
        <v>3427</v>
      </c>
      <c r="F1587" t="str">
        <f>HYPERLINK("https://talan.bank.gov.ua/get-user-certificate/45CElJGlWyTgd5ob95wX","Завантажити сертифікат")</f>
        <v>Завантажити сертифікат</v>
      </c>
    </row>
    <row r="1588" spans="1:6" x14ac:dyDescent="0.3">
      <c r="A1588" t="s">
        <v>3434</v>
      </c>
      <c r="B1588" t="s">
        <v>6</v>
      </c>
      <c r="C1588" t="s">
        <v>3435</v>
      </c>
      <c r="D1588" t="s">
        <v>3426</v>
      </c>
      <c r="E1588" t="s">
        <v>3427</v>
      </c>
      <c r="F1588" t="str">
        <f>HYPERLINK("https://talan.bank.gov.ua/get-user-certificate/45CElegvWEZyaTyNGdzZ","Завантажити сертифікат")</f>
        <v>Завантажити сертифікат</v>
      </c>
    </row>
    <row r="1589" spans="1:6" x14ac:dyDescent="0.3">
      <c r="A1589" t="s">
        <v>3436</v>
      </c>
      <c r="B1589" t="s">
        <v>6</v>
      </c>
      <c r="C1589" t="s">
        <v>3437</v>
      </c>
      <c r="D1589" t="s">
        <v>3426</v>
      </c>
      <c r="E1589" t="s">
        <v>3427</v>
      </c>
      <c r="F1589" t="str">
        <f>HYPERLINK("https://talan.bank.gov.ua/get-user-certificate/45CEl5cOtcAVwSeDc74m","Завантажити сертифікат")</f>
        <v>Завантажити сертифікат</v>
      </c>
    </row>
    <row r="1590" spans="1:6" x14ac:dyDescent="0.3">
      <c r="A1590" t="s">
        <v>3438</v>
      </c>
      <c r="B1590" t="s">
        <v>6</v>
      </c>
      <c r="C1590" t="s">
        <v>3439</v>
      </c>
      <c r="D1590" t="s">
        <v>3426</v>
      </c>
      <c r="E1590" t="s">
        <v>3427</v>
      </c>
      <c r="F1590" t="str">
        <f>HYPERLINK("https://talan.bank.gov.ua/get-user-certificate/45CElERX2bRsAuPlcbx5","Завантажити сертифікат")</f>
        <v>Завантажити сертифікат</v>
      </c>
    </row>
    <row r="1591" spans="1:6" x14ac:dyDescent="0.3">
      <c r="A1591" t="s">
        <v>3440</v>
      </c>
      <c r="B1591" t="s">
        <v>6</v>
      </c>
      <c r="C1591" t="s">
        <v>3441</v>
      </c>
      <c r="D1591" t="s">
        <v>3442</v>
      </c>
      <c r="E1591" t="s">
        <v>3443</v>
      </c>
      <c r="F1591" t="str">
        <f>HYPERLINK("https://talan.bank.gov.ua/get-user-certificate/45CElhz6ym16vZUm1D06","Завантажити сертифікат")</f>
        <v>Завантажити сертифікат</v>
      </c>
    </row>
    <row r="1592" spans="1:6" x14ac:dyDescent="0.3">
      <c r="A1592" t="s">
        <v>3444</v>
      </c>
      <c r="B1592" t="s">
        <v>6</v>
      </c>
      <c r="C1592" t="s">
        <v>3445</v>
      </c>
      <c r="D1592" t="s">
        <v>3446</v>
      </c>
      <c r="E1592" t="s">
        <v>3447</v>
      </c>
      <c r="F1592" t="str">
        <f>HYPERLINK("https://talan.bank.gov.ua/get-user-certificate/45CEla11_r5qvfC19yfP","Завантажити сертифікат")</f>
        <v>Завантажити сертифікат</v>
      </c>
    </row>
    <row r="1593" spans="1:6" x14ac:dyDescent="0.3">
      <c r="A1593" t="s">
        <v>3448</v>
      </c>
      <c r="B1593" t="s">
        <v>6</v>
      </c>
      <c r="C1593" t="s">
        <v>3449</v>
      </c>
      <c r="D1593" t="s">
        <v>3446</v>
      </c>
      <c r="E1593" t="s">
        <v>3447</v>
      </c>
      <c r="F1593" t="str">
        <f>HYPERLINK("https://talan.bank.gov.ua/get-user-certificate/45CEl5xemEW0qv8KcdWA","Завантажити сертифікат")</f>
        <v>Завантажити сертифікат</v>
      </c>
    </row>
    <row r="1594" spans="1:6" x14ac:dyDescent="0.3">
      <c r="A1594" t="s">
        <v>3450</v>
      </c>
      <c r="B1594" t="s">
        <v>6</v>
      </c>
      <c r="C1594" t="s">
        <v>3451</v>
      </c>
      <c r="D1594" t="s">
        <v>3446</v>
      </c>
      <c r="E1594" t="s">
        <v>3447</v>
      </c>
      <c r="F1594" t="str">
        <f>HYPERLINK("https://talan.bank.gov.ua/get-user-certificate/45CEltV00AQbgcgPVOOj","Завантажити сертифікат")</f>
        <v>Завантажити сертифікат</v>
      </c>
    </row>
    <row r="1595" spans="1:6" x14ac:dyDescent="0.3">
      <c r="A1595" t="s">
        <v>3452</v>
      </c>
      <c r="B1595" t="s">
        <v>6</v>
      </c>
      <c r="C1595" t="s">
        <v>3453</v>
      </c>
      <c r="D1595" t="s">
        <v>3454</v>
      </c>
      <c r="E1595" t="s">
        <v>3455</v>
      </c>
      <c r="F1595" t="str">
        <f>HYPERLINK("https://talan.bank.gov.ua/get-user-certificate/45CEl4gvfitGysHVFqQD","Завантажити сертифікат")</f>
        <v>Завантажити сертифікат</v>
      </c>
    </row>
    <row r="1596" spans="1:6" x14ac:dyDescent="0.3">
      <c r="A1596" t="s">
        <v>3456</v>
      </c>
      <c r="B1596" t="s">
        <v>6</v>
      </c>
      <c r="C1596" t="s">
        <v>3457</v>
      </c>
      <c r="D1596" t="s">
        <v>3454</v>
      </c>
      <c r="E1596" t="s">
        <v>3455</v>
      </c>
      <c r="F1596" t="str">
        <f>HYPERLINK("https://talan.bank.gov.ua/get-user-certificate/45CElT6YNxCcT_P0JyX0","Завантажити сертифікат")</f>
        <v>Завантажити сертифікат</v>
      </c>
    </row>
    <row r="1597" spans="1:6" x14ac:dyDescent="0.3">
      <c r="A1597" t="s">
        <v>3458</v>
      </c>
      <c r="B1597" t="s">
        <v>6</v>
      </c>
      <c r="C1597" t="s">
        <v>3459</v>
      </c>
      <c r="D1597" t="s">
        <v>3454</v>
      </c>
      <c r="E1597" t="s">
        <v>3455</v>
      </c>
      <c r="F1597" t="str">
        <f>HYPERLINK("https://talan.bank.gov.ua/get-user-certificate/45CElw856_Jf3m0YnMma","Завантажити сертифікат")</f>
        <v>Завантажити сертифікат</v>
      </c>
    </row>
    <row r="1598" spans="1:6" x14ac:dyDescent="0.3">
      <c r="A1598" t="s">
        <v>3460</v>
      </c>
      <c r="B1598" t="s">
        <v>6</v>
      </c>
      <c r="C1598" t="s">
        <v>3461</v>
      </c>
      <c r="D1598" t="s">
        <v>3454</v>
      </c>
      <c r="E1598" t="s">
        <v>3455</v>
      </c>
      <c r="F1598" t="str">
        <f>HYPERLINK("https://talan.bank.gov.ua/get-user-certificate/45CElp_rI6KH2_m-jIkf","Завантажити сертифікат")</f>
        <v>Завантажити сертифікат</v>
      </c>
    </row>
    <row r="1599" spans="1:6" x14ac:dyDescent="0.3">
      <c r="A1599" t="s">
        <v>3462</v>
      </c>
      <c r="B1599" t="s">
        <v>6</v>
      </c>
      <c r="C1599" t="s">
        <v>3463</v>
      </c>
      <c r="D1599" t="s">
        <v>3454</v>
      </c>
      <c r="E1599" t="s">
        <v>3455</v>
      </c>
      <c r="F1599" t="str">
        <f>HYPERLINK("https://talan.bank.gov.ua/get-user-certificate/45CElg7N86W5NnA1KeZ5","Завантажити сертифікат")</f>
        <v>Завантажити сертифікат</v>
      </c>
    </row>
    <row r="1600" spans="1:6" x14ac:dyDescent="0.3">
      <c r="A1600" t="s">
        <v>3464</v>
      </c>
      <c r="B1600" t="s">
        <v>6</v>
      </c>
      <c r="C1600" t="s">
        <v>3465</v>
      </c>
      <c r="D1600" t="s">
        <v>3454</v>
      </c>
      <c r="E1600" t="s">
        <v>3455</v>
      </c>
      <c r="F1600" t="str">
        <f>HYPERLINK("https://talan.bank.gov.ua/get-user-certificate/45CElXEtGbNpfcGDsSi8","Завантажити сертифікат")</f>
        <v>Завантажити сертифікат</v>
      </c>
    </row>
    <row r="1601" spans="1:6" x14ac:dyDescent="0.3">
      <c r="A1601" t="s">
        <v>3466</v>
      </c>
      <c r="B1601" t="s">
        <v>6</v>
      </c>
      <c r="C1601" t="s">
        <v>3467</v>
      </c>
      <c r="D1601" t="s">
        <v>3454</v>
      </c>
      <c r="E1601" t="s">
        <v>3455</v>
      </c>
      <c r="F1601" t="str">
        <f>HYPERLINK("https://talan.bank.gov.ua/get-user-certificate/45CElurZCdxnCOttcIOr","Завантажити сертифікат")</f>
        <v>Завантажити сертифікат</v>
      </c>
    </row>
    <row r="1602" spans="1:6" x14ac:dyDescent="0.3">
      <c r="A1602" t="s">
        <v>3468</v>
      </c>
      <c r="B1602" t="s">
        <v>6</v>
      </c>
      <c r="C1602" t="s">
        <v>3469</v>
      </c>
      <c r="D1602" t="s">
        <v>3454</v>
      </c>
      <c r="E1602" t="s">
        <v>3455</v>
      </c>
      <c r="F1602" t="str">
        <f>HYPERLINK("https://talan.bank.gov.ua/get-user-certificate/45CElKjZC32WoAH17SbE","Завантажити сертифікат")</f>
        <v>Завантажити сертифікат</v>
      </c>
    </row>
    <row r="1603" spans="1:6" x14ac:dyDescent="0.3">
      <c r="A1603" t="s">
        <v>3470</v>
      </c>
      <c r="B1603" t="s">
        <v>6</v>
      </c>
      <c r="C1603" t="s">
        <v>3471</v>
      </c>
      <c r="D1603" t="s">
        <v>3454</v>
      </c>
      <c r="E1603" t="s">
        <v>3455</v>
      </c>
      <c r="F1603" t="str">
        <f>HYPERLINK("https://talan.bank.gov.ua/get-user-certificate/45CElT4fe1YtJvMBVWs3","Завантажити сертифікат")</f>
        <v>Завантажити сертифікат</v>
      </c>
    </row>
    <row r="1604" spans="1:6" x14ac:dyDescent="0.3">
      <c r="A1604" t="s">
        <v>3472</v>
      </c>
      <c r="B1604" t="s">
        <v>6</v>
      </c>
      <c r="C1604" t="s">
        <v>3473</v>
      </c>
      <c r="D1604" t="s">
        <v>3454</v>
      </c>
      <c r="E1604" t="s">
        <v>3455</v>
      </c>
      <c r="F1604" t="str">
        <f>HYPERLINK("https://talan.bank.gov.ua/get-user-certificate/45CElCFNI1dKSym2Q5pw","Завантажити сертифікат")</f>
        <v>Завантажити сертифікат</v>
      </c>
    </row>
    <row r="1605" spans="1:6" x14ac:dyDescent="0.3">
      <c r="A1605" t="s">
        <v>3474</v>
      </c>
      <c r="B1605" t="s">
        <v>6</v>
      </c>
      <c r="C1605" t="s">
        <v>3475</v>
      </c>
      <c r="D1605" t="s">
        <v>3454</v>
      </c>
      <c r="E1605" t="s">
        <v>3455</v>
      </c>
      <c r="F1605" t="str">
        <f>HYPERLINK("https://talan.bank.gov.ua/get-user-certificate/45CElUnAKPyJ0zYPPLKl","Завантажити сертифікат")</f>
        <v>Завантажити сертифікат</v>
      </c>
    </row>
    <row r="1606" spans="1:6" x14ac:dyDescent="0.3">
      <c r="A1606" t="s">
        <v>3476</v>
      </c>
      <c r="B1606" t="s">
        <v>6</v>
      </c>
      <c r="C1606" t="s">
        <v>3477</v>
      </c>
      <c r="D1606" t="s">
        <v>3454</v>
      </c>
      <c r="E1606" t="s">
        <v>3455</v>
      </c>
      <c r="F1606" t="str">
        <f>HYPERLINK("https://talan.bank.gov.ua/get-user-certificate/45CElc2k1qeIxoNHoAUn","Завантажити сертифікат")</f>
        <v>Завантажити сертифікат</v>
      </c>
    </row>
    <row r="1607" spans="1:6" x14ac:dyDescent="0.3">
      <c r="A1607" t="s">
        <v>3478</v>
      </c>
      <c r="B1607" t="s">
        <v>6</v>
      </c>
      <c r="C1607" t="s">
        <v>3479</v>
      </c>
      <c r="D1607" t="s">
        <v>3454</v>
      </c>
      <c r="E1607" t="s">
        <v>3455</v>
      </c>
      <c r="F1607" t="str">
        <f>HYPERLINK("https://talan.bank.gov.ua/get-user-certificate/45CEl3xWSs_SIXGEuSiT","Завантажити сертифікат")</f>
        <v>Завантажити сертифікат</v>
      </c>
    </row>
    <row r="1608" spans="1:6" x14ac:dyDescent="0.3">
      <c r="A1608" t="s">
        <v>3480</v>
      </c>
      <c r="B1608" t="s">
        <v>6</v>
      </c>
      <c r="C1608" t="s">
        <v>3481</v>
      </c>
      <c r="D1608" t="s">
        <v>3454</v>
      </c>
      <c r="E1608" t="s">
        <v>3455</v>
      </c>
      <c r="F1608" t="str">
        <f>HYPERLINK("https://talan.bank.gov.ua/get-user-certificate/45CElT_2PYe5ksKphI32","Завантажити сертифікат")</f>
        <v>Завантажити сертифікат</v>
      </c>
    </row>
    <row r="1609" spans="1:6" x14ac:dyDescent="0.3">
      <c r="A1609" t="s">
        <v>3482</v>
      </c>
      <c r="B1609" t="s">
        <v>6</v>
      </c>
      <c r="C1609" t="s">
        <v>3483</v>
      </c>
      <c r="D1609" t="s">
        <v>3454</v>
      </c>
      <c r="E1609" t="s">
        <v>3455</v>
      </c>
      <c r="F1609" t="str">
        <f>HYPERLINK("https://talan.bank.gov.ua/get-user-certificate/45CEl7oNpfKaC2wlV-F_","Завантажити сертифікат")</f>
        <v>Завантажити сертифікат</v>
      </c>
    </row>
    <row r="1610" spans="1:6" x14ac:dyDescent="0.3">
      <c r="A1610" t="s">
        <v>3484</v>
      </c>
      <c r="B1610" t="s">
        <v>6</v>
      </c>
      <c r="C1610" t="s">
        <v>3485</v>
      </c>
      <c r="D1610" t="s">
        <v>3454</v>
      </c>
      <c r="E1610" t="s">
        <v>3455</v>
      </c>
      <c r="F1610" t="str">
        <f>HYPERLINK("https://talan.bank.gov.ua/get-user-certificate/45CElnukPeSvGxa_mPQX","Завантажити сертифікат")</f>
        <v>Завантажити сертифікат</v>
      </c>
    </row>
    <row r="1611" spans="1:6" x14ac:dyDescent="0.3">
      <c r="A1611" t="s">
        <v>3486</v>
      </c>
      <c r="B1611" t="s">
        <v>6</v>
      </c>
      <c r="C1611" t="s">
        <v>3487</v>
      </c>
      <c r="D1611" t="s">
        <v>3454</v>
      </c>
      <c r="E1611" t="s">
        <v>3455</v>
      </c>
      <c r="F1611" t="str">
        <f>HYPERLINK("https://talan.bank.gov.ua/get-user-certificate/45CEl5P-uMs00kiJPHxk","Завантажити сертифікат")</f>
        <v>Завантажити сертифікат</v>
      </c>
    </row>
    <row r="1612" spans="1:6" x14ac:dyDescent="0.3">
      <c r="A1612" t="s">
        <v>3488</v>
      </c>
      <c r="B1612" t="s">
        <v>6</v>
      </c>
      <c r="C1612" t="s">
        <v>3489</v>
      </c>
      <c r="D1612" t="s">
        <v>3490</v>
      </c>
      <c r="E1612" t="s">
        <v>3491</v>
      </c>
      <c r="F1612" t="str">
        <f>HYPERLINK("https://talan.bank.gov.ua/get-user-certificate/45CElXO2NzACC1JvrD1z","Завантажити сертифікат")</f>
        <v>Завантажити сертифікат</v>
      </c>
    </row>
    <row r="1613" spans="1:6" x14ac:dyDescent="0.3">
      <c r="A1613" t="s">
        <v>3492</v>
      </c>
      <c r="B1613" t="s">
        <v>6</v>
      </c>
      <c r="C1613" t="s">
        <v>3493</v>
      </c>
      <c r="D1613" t="s">
        <v>3490</v>
      </c>
      <c r="E1613" t="s">
        <v>3491</v>
      </c>
      <c r="F1613" t="str">
        <f>HYPERLINK("https://talan.bank.gov.ua/get-user-certificate/45CElNMeHjDc3fIetE29","Завантажити сертифікат")</f>
        <v>Завантажити сертифікат</v>
      </c>
    </row>
    <row r="1614" spans="1:6" x14ac:dyDescent="0.3">
      <c r="A1614" t="s">
        <v>3494</v>
      </c>
      <c r="B1614" t="s">
        <v>6</v>
      </c>
      <c r="C1614" t="s">
        <v>3495</v>
      </c>
      <c r="D1614" t="s">
        <v>3490</v>
      </c>
      <c r="E1614" t="s">
        <v>3491</v>
      </c>
      <c r="F1614" t="str">
        <f>HYPERLINK("https://talan.bank.gov.ua/get-user-certificate/45CEluF9eBDHl4ExVNQ1","Завантажити сертифікат")</f>
        <v>Завантажити сертифікат</v>
      </c>
    </row>
    <row r="1615" spans="1:6" x14ac:dyDescent="0.3">
      <c r="A1615" t="s">
        <v>3496</v>
      </c>
      <c r="B1615" t="s">
        <v>6</v>
      </c>
      <c r="C1615" t="s">
        <v>3497</v>
      </c>
      <c r="D1615" t="s">
        <v>3490</v>
      </c>
      <c r="E1615" t="s">
        <v>3491</v>
      </c>
      <c r="F1615" t="str">
        <f>HYPERLINK("https://talan.bank.gov.ua/get-user-certificate/45CEl45W-vjh0aYJRsts","Завантажити сертифікат")</f>
        <v>Завантажити сертифікат</v>
      </c>
    </row>
    <row r="1616" spans="1:6" x14ac:dyDescent="0.3">
      <c r="A1616" t="s">
        <v>3498</v>
      </c>
      <c r="B1616" t="s">
        <v>6</v>
      </c>
      <c r="C1616" t="s">
        <v>3499</v>
      </c>
      <c r="D1616" t="s">
        <v>3490</v>
      </c>
      <c r="E1616" t="s">
        <v>3491</v>
      </c>
      <c r="F1616" t="str">
        <f>HYPERLINK("https://talan.bank.gov.ua/get-user-certificate/45CElYk7FYl5nITJbtcw","Завантажити сертифікат")</f>
        <v>Завантажити сертифікат</v>
      </c>
    </row>
    <row r="1617" spans="1:6" x14ac:dyDescent="0.3">
      <c r="A1617" t="s">
        <v>3500</v>
      </c>
      <c r="B1617" t="s">
        <v>6</v>
      </c>
      <c r="C1617" t="s">
        <v>3501</v>
      </c>
      <c r="D1617" t="s">
        <v>3490</v>
      </c>
      <c r="E1617" t="s">
        <v>3491</v>
      </c>
      <c r="F1617" t="str">
        <f>HYPERLINK("https://talan.bank.gov.ua/get-user-certificate/45CElPu9RqObIRl-Co-W","Завантажити сертифікат")</f>
        <v>Завантажити сертифікат</v>
      </c>
    </row>
    <row r="1618" spans="1:6" x14ac:dyDescent="0.3">
      <c r="A1618" t="s">
        <v>3502</v>
      </c>
      <c r="B1618" t="s">
        <v>6</v>
      </c>
      <c r="C1618" t="s">
        <v>3503</v>
      </c>
      <c r="D1618" t="s">
        <v>3490</v>
      </c>
      <c r="E1618" t="s">
        <v>3491</v>
      </c>
      <c r="F1618" t="str">
        <f>HYPERLINK("https://talan.bank.gov.ua/get-user-certificate/45CElfEZVqVIwvtAnmU5","Завантажити сертифікат")</f>
        <v>Завантажити сертифікат</v>
      </c>
    </row>
    <row r="1619" spans="1:6" x14ac:dyDescent="0.3">
      <c r="A1619" t="s">
        <v>3504</v>
      </c>
      <c r="B1619" t="s">
        <v>6</v>
      </c>
      <c r="C1619" t="s">
        <v>3505</v>
      </c>
      <c r="D1619" t="s">
        <v>3490</v>
      </c>
      <c r="E1619" t="s">
        <v>3491</v>
      </c>
      <c r="F1619" t="str">
        <f>HYPERLINK("https://talan.bank.gov.ua/get-user-certificate/45CElmEjy5zk1yiL500h","Завантажити сертифікат")</f>
        <v>Завантажити сертифікат</v>
      </c>
    </row>
    <row r="1620" spans="1:6" x14ac:dyDescent="0.3">
      <c r="A1620" t="s">
        <v>3506</v>
      </c>
      <c r="B1620" t="s">
        <v>6</v>
      </c>
      <c r="C1620" t="s">
        <v>3507</v>
      </c>
      <c r="D1620" t="s">
        <v>3490</v>
      </c>
      <c r="E1620" t="s">
        <v>3491</v>
      </c>
      <c r="F1620" t="str">
        <f>HYPERLINK("https://talan.bank.gov.ua/get-user-certificate/45CEl8Ccv6DIvn_nJfVc","Завантажити сертифікат")</f>
        <v>Завантажити сертифікат</v>
      </c>
    </row>
    <row r="1621" spans="1:6" x14ac:dyDescent="0.3">
      <c r="A1621" t="s">
        <v>3508</v>
      </c>
      <c r="B1621" t="s">
        <v>6</v>
      </c>
      <c r="C1621" t="s">
        <v>3509</v>
      </c>
      <c r="D1621" t="s">
        <v>3490</v>
      </c>
      <c r="E1621" t="s">
        <v>3491</v>
      </c>
      <c r="F1621" t="str">
        <f>HYPERLINK("https://talan.bank.gov.ua/get-user-certificate/45CElZ_aFflZGu8wBp3K","Завантажити сертифікат")</f>
        <v>Завантажити сертифікат</v>
      </c>
    </row>
    <row r="1622" spans="1:6" x14ac:dyDescent="0.3">
      <c r="A1622" t="s">
        <v>3510</v>
      </c>
      <c r="B1622" t="s">
        <v>6</v>
      </c>
      <c r="C1622" t="s">
        <v>3511</v>
      </c>
      <c r="D1622" t="s">
        <v>3490</v>
      </c>
      <c r="E1622" t="s">
        <v>3491</v>
      </c>
      <c r="F1622" t="str">
        <f>HYPERLINK("https://talan.bank.gov.ua/get-user-certificate/45CElxEAr3BIDNub-s5G","Завантажити сертифікат")</f>
        <v>Завантажити сертифікат</v>
      </c>
    </row>
    <row r="1623" spans="1:6" x14ac:dyDescent="0.3">
      <c r="A1623" t="s">
        <v>3512</v>
      </c>
      <c r="B1623" t="s">
        <v>6</v>
      </c>
      <c r="C1623" t="s">
        <v>3513</v>
      </c>
      <c r="D1623" t="s">
        <v>3490</v>
      </c>
      <c r="E1623" t="s">
        <v>3491</v>
      </c>
      <c r="F1623" t="str">
        <f>HYPERLINK("https://talan.bank.gov.ua/get-user-certificate/45CElSIoYYZSG4p3S1G3","Завантажити сертифікат")</f>
        <v>Завантажити сертифікат</v>
      </c>
    </row>
    <row r="1624" spans="1:6" x14ac:dyDescent="0.3">
      <c r="A1624" t="s">
        <v>3514</v>
      </c>
      <c r="B1624" t="s">
        <v>6</v>
      </c>
      <c r="C1624" t="s">
        <v>3515</v>
      </c>
      <c r="D1624" t="s">
        <v>3490</v>
      </c>
      <c r="E1624" t="s">
        <v>3491</v>
      </c>
      <c r="F1624" t="str">
        <f>HYPERLINK("https://talan.bank.gov.ua/get-user-certificate/45CElfNCm2mP85DNolCz","Завантажити сертифікат")</f>
        <v>Завантажити сертифікат</v>
      </c>
    </row>
    <row r="1625" spans="1:6" x14ac:dyDescent="0.3">
      <c r="A1625" t="s">
        <v>3516</v>
      </c>
      <c r="B1625" t="s">
        <v>6</v>
      </c>
      <c r="C1625" t="s">
        <v>3517</v>
      </c>
      <c r="D1625" t="s">
        <v>3490</v>
      </c>
      <c r="E1625" t="s">
        <v>3491</v>
      </c>
      <c r="F1625" t="str">
        <f>HYPERLINK("https://talan.bank.gov.ua/get-user-certificate/45CElEsE9lXaNy5dlzFb","Завантажити сертифікат")</f>
        <v>Завантажити сертифікат</v>
      </c>
    </row>
    <row r="1626" spans="1:6" x14ac:dyDescent="0.3">
      <c r="A1626" t="s">
        <v>3518</v>
      </c>
      <c r="B1626" t="s">
        <v>6</v>
      </c>
      <c r="C1626" t="s">
        <v>3519</v>
      </c>
      <c r="D1626" t="s">
        <v>3490</v>
      </c>
      <c r="E1626" t="s">
        <v>3491</v>
      </c>
      <c r="F1626" t="str">
        <f>HYPERLINK("https://talan.bank.gov.ua/get-user-certificate/45CElM3BxVjJbTO3m4oE","Завантажити сертифікат")</f>
        <v>Завантажити сертифікат</v>
      </c>
    </row>
    <row r="1627" spans="1:6" x14ac:dyDescent="0.3">
      <c r="A1627" t="s">
        <v>3520</v>
      </c>
      <c r="B1627" t="s">
        <v>6</v>
      </c>
      <c r="C1627" t="s">
        <v>3521</v>
      </c>
      <c r="D1627" t="s">
        <v>3490</v>
      </c>
      <c r="E1627" t="s">
        <v>3491</v>
      </c>
      <c r="F1627" t="str">
        <f>HYPERLINK("https://talan.bank.gov.ua/get-user-certificate/45CEleBAOFuCDYfu_yta","Завантажити сертифікат")</f>
        <v>Завантажити сертифікат</v>
      </c>
    </row>
    <row r="1628" spans="1:6" x14ac:dyDescent="0.3">
      <c r="A1628" t="s">
        <v>3522</v>
      </c>
      <c r="B1628" t="s">
        <v>6</v>
      </c>
      <c r="C1628" t="s">
        <v>3523</v>
      </c>
      <c r="D1628" t="s">
        <v>3490</v>
      </c>
      <c r="E1628" t="s">
        <v>3491</v>
      </c>
      <c r="F1628" t="str">
        <f>HYPERLINK("https://talan.bank.gov.ua/get-user-certificate/45CElq9N2Hw-hq7aRgs6","Завантажити сертифікат")</f>
        <v>Завантажити сертифікат</v>
      </c>
    </row>
    <row r="1629" spans="1:6" x14ac:dyDescent="0.3">
      <c r="A1629" t="s">
        <v>3524</v>
      </c>
      <c r="B1629" t="s">
        <v>6</v>
      </c>
      <c r="C1629" t="s">
        <v>3525</v>
      </c>
      <c r="D1629" t="s">
        <v>3490</v>
      </c>
      <c r="E1629" t="s">
        <v>3491</v>
      </c>
      <c r="F1629" t="str">
        <f>HYPERLINK("https://talan.bank.gov.ua/get-user-certificate/45CEllnSOFSqzGajp9eX","Завантажити сертифікат")</f>
        <v>Завантажити сертифікат</v>
      </c>
    </row>
    <row r="1630" spans="1:6" x14ac:dyDescent="0.3">
      <c r="A1630" t="s">
        <v>3526</v>
      </c>
      <c r="B1630" t="s">
        <v>6</v>
      </c>
      <c r="C1630" t="s">
        <v>3527</v>
      </c>
      <c r="D1630" t="s">
        <v>3490</v>
      </c>
      <c r="E1630" t="s">
        <v>3491</v>
      </c>
      <c r="F1630" t="str">
        <f>HYPERLINK("https://talan.bank.gov.ua/get-user-certificate/45CElMqlLN44j_lSqupW","Завантажити сертифікат")</f>
        <v>Завантажити сертифікат</v>
      </c>
    </row>
    <row r="1631" spans="1:6" x14ac:dyDescent="0.3">
      <c r="A1631" t="s">
        <v>3528</v>
      </c>
      <c r="B1631" t="s">
        <v>6</v>
      </c>
      <c r="C1631" t="s">
        <v>3529</v>
      </c>
      <c r="D1631" t="s">
        <v>3490</v>
      </c>
      <c r="E1631" t="s">
        <v>3491</v>
      </c>
      <c r="F1631" t="str">
        <f>HYPERLINK("https://talan.bank.gov.ua/get-user-certificate/45CElYz9hNI7d5LQ-S6P","Завантажити сертифікат")</f>
        <v>Завантажити сертифікат</v>
      </c>
    </row>
    <row r="1632" spans="1:6" x14ac:dyDescent="0.3">
      <c r="A1632" t="s">
        <v>3530</v>
      </c>
      <c r="B1632" t="s">
        <v>6</v>
      </c>
      <c r="C1632" t="s">
        <v>3531</v>
      </c>
      <c r="D1632" t="s">
        <v>3490</v>
      </c>
      <c r="E1632" t="s">
        <v>3491</v>
      </c>
      <c r="F1632" t="str">
        <f>HYPERLINK("https://talan.bank.gov.ua/get-user-certificate/45CElDk12dTCpnbnaHbc","Завантажити сертифікат")</f>
        <v>Завантажити сертифікат</v>
      </c>
    </row>
    <row r="1633" spans="1:6" x14ac:dyDescent="0.3">
      <c r="A1633" t="s">
        <v>3532</v>
      </c>
      <c r="B1633" t="s">
        <v>6</v>
      </c>
      <c r="C1633" t="s">
        <v>3533</v>
      </c>
      <c r="D1633" t="s">
        <v>3490</v>
      </c>
      <c r="E1633" t="s">
        <v>3491</v>
      </c>
      <c r="F1633" t="str">
        <f>HYPERLINK("https://talan.bank.gov.ua/get-user-certificate/45CEl5L9luqG-EsXuSxg","Завантажити сертифікат")</f>
        <v>Завантажити сертифікат</v>
      </c>
    </row>
    <row r="1634" spans="1:6" x14ac:dyDescent="0.3">
      <c r="A1634" t="s">
        <v>3534</v>
      </c>
      <c r="B1634" t="s">
        <v>6</v>
      </c>
      <c r="C1634" t="s">
        <v>3535</v>
      </c>
      <c r="D1634" t="s">
        <v>3490</v>
      </c>
      <c r="E1634" t="s">
        <v>3491</v>
      </c>
      <c r="F1634" t="str">
        <f>HYPERLINK("https://talan.bank.gov.ua/get-user-certificate/45CElD2vc1xZD--OMpH7","Завантажити сертифікат")</f>
        <v>Завантажити сертифікат</v>
      </c>
    </row>
    <row r="1635" spans="1:6" x14ac:dyDescent="0.3">
      <c r="A1635" t="s">
        <v>3536</v>
      </c>
      <c r="B1635" t="s">
        <v>6</v>
      </c>
      <c r="C1635" t="s">
        <v>3537</v>
      </c>
      <c r="D1635" t="s">
        <v>3490</v>
      </c>
      <c r="E1635" t="s">
        <v>3491</v>
      </c>
      <c r="F1635" t="str">
        <f>HYPERLINK("https://talan.bank.gov.ua/get-user-certificate/45CElsrj4svOI4ad2Qbr","Завантажити сертифікат")</f>
        <v>Завантажити сертифікат</v>
      </c>
    </row>
    <row r="1636" spans="1:6" x14ac:dyDescent="0.3">
      <c r="A1636" t="s">
        <v>3538</v>
      </c>
      <c r="B1636" t="s">
        <v>6</v>
      </c>
      <c r="C1636" t="s">
        <v>3539</v>
      </c>
      <c r="D1636" t="s">
        <v>3490</v>
      </c>
      <c r="E1636" t="s">
        <v>3491</v>
      </c>
      <c r="F1636" t="str">
        <f>HYPERLINK("https://talan.bank.gov.ua/get-user-certificate/45CElZnYpL2rtY70aJPS","Завантажити сертифікат")</f>
        <v>Завантажити сертифікат</v>
      </c>
    </row>
    <row r="1637" spans="1:6" x14ac:dyDescent="0.3">
      <c r="A1637" t="s">
        <v>3540</v>
      </c>
      <c r="B1637" t="s">
        <v>6</v>
      </c>
      <c r="C1637" t="s">
        <v>3541</v>
      </c>
      <c r="D1637" t="s">
        <v>3490</v>
      </c>
      <c r="E1637" t="s">
        <v>3491</v>
      </c>
      <c r="F1637" t="str">
        <f>HYPERLINK("https://talan.bank.gov.ua/get-user-certificate/45CElpPk8X7FdjWktzdj","Завантажити сертифікат")</f>
        <v>Завантажити сертифікат</v>
      </c>
    </row>
    <row r="1638" spans="1:6" x14ac:dyDescent="0.3">
      <c r="A1638" t="s">
        <v>3542</v>
      </c>
      <c r="B1638" t="s">
        <v>6</v>
      </c>
      <c r="C1638" t="s">
        <v>3543</v>
      </c>
      <c r="D1638" t="s">
        <v>3490</v>
      </c>
      <c r="E1638" t="s">
        <v>3491</v>
      </c>
      <c r="F1638" t="str">
        <f>HYPERLINK("https://talan.bank.gov.ua/get-user-certificate/45CElkrqUiJUn1JnY_0F","Завантажити сертифікат")</f>
        <v>Завантажити сертифікат</v>
      </c>
    </row>
    <row r="1639" spans="1:6" x14ac:dyDescent="0.3">
      <c r="A1639" t="s">
        <v>3544</v>
      </c>
      <c r="B1639" t="s">
        <v>6</v>
      </c>
      <c r="C1639" t="s">
        <v>3545</v>
      </c>
      <c r="D1639" t="s">
        <v>3490</v>
      </c>
      <c r="E1639" t="s">
        <v>3491</v>
      </c>
      <c r="F1639" t="str">
        <f>HYPERLINK("https://talan.bank.gov.ua/get-user-certificate/45CElVPMZ4l2h3XIM4g9","Завантажити сертифікат")</f>
        <v>Завантажити сертифікат</v>
      </c>
    </row>
    <row r="1640" spans="1:6" x14ac:dyDescent="0.3">
      <c r="A1640" t="s">
        <v>3546</v>
      </c>
      <c r="B1640" t="s">
        <v>6</v>
      </c>
      <c r="C1640" t="s">
        <v>3547</v>
      </c>
      <c r="D1640" t="s">
        <v>3490</v>
      </c>
      <c r="E1640" t="s">
        <v>3491</v>
      </c>
      <c r="F1640" t="str">
        <f>HYPERLINK("https://talan.bank.gov.ua/get-user-certificate/45CEl_Lwn2VCWuZ4E9Uw","Завантажити сертифікат")</f>
        <v>Завантажити сертифікат</v>
      </c>
    </row>
    <row r="1641" spans="1:6" x14ac:dyDescent="0.3">
      <c r="A1641" t="s">
        <v>3548</v>
      </c>
      <c r="B1641" t="s">
        <v>6</v>
      </c>
      <c r="C1641" t="s">
        <v>3549</v>
      </c>
      <c r="D1641" t="s">
        <v>3550</v>
      </c>
      <c r="E1641" t="s">
        <v>3551</v>
      </c>
      <c r="F1641" t="str">
        <f>HYPERLINK("https://talan.bank.gov.ua/get-user-certificate/45CElqtxWtDDNSwG57ip","Завантажити сертифікат")</f>
        <v>Завантажити сертифікат</v>
      </c>
    </row>
    <row r="1642" spans="1:6" x14ac:dyDescent="0.3">
      <c r="A1642" t="s">
        <v>3552</v>
      </c>
      <c r="B1642" t="s">
        <v>6</v>
      </c>
      <c r="C1642" t="s">
        <v>3553</v>
      </c>
      <c r="D1642" t="s">
        <v>3550</v>
      </c>
      <c r="E1642" t="s">
        <v>3551</v>
      </c>
      <c r="F1642" t="str">
        <f>HYPERLINK("https://talan.bank.gov.ua/get-user-certificate/45CEllok9gd1Od30YVas","Завантажити сертифікат")</f>
        <v>Завантажити сертифікат</v>
      </c>
    </row>
    <row r="1643" spans="1:6" x14ac:dyDescent="0.3">
      <c r="A1643" t="s">
        <v>3554</v>
      </c>
      <c r="B1643" t="s">
        <v>6</v>
      </c>
      <c r="C1643" t="s">
        <v>3555</v>
      </c>
      <c r="D1643" t="s">
        <v>3550</v>
      </c>
      <c r="E1643" t="s">
        <v>3551</v>
      </c>
      <c r="F1643" t="str">
        <f>HYPERLINK("https://talan.bank.gov.ua/get-user-certificate/45CElWfOI0m2HRHxMGou","Завантажити сертифікат")</f>
        <v>Завантажити сертифікат</v>
      </c>
    </row>
    <row r="1644" spans="1:6" x14ac:dyDescent="0.3">
      <c r="A1644" t="s">
        <v>3556</v>
      </c>
      <c r="B1644" t="s">
        <v>6</v>
      </c>
      <c r="C1644" t="s">
        <v>3557</v>
      </c>
      <c r="D1644" t="s">
        <v>3550</v>
      </c>
      <c r="E1644" t="s">
        <v>3551</v>
      </c>
      <c r="F1644" t="str">
        <f>HYPERLINK("https://talan.bank.gov.ua/get-user-certificate/45CElotx9YHfohftzI8p","Завантажити сертифікат")</f>
        <v>Завантажити сертифікат</v>
      </c>
    </row>
    <row r="1645" spans="1:6" x14ac:dyDescent="0.3">
      <c r="A1645" t="s">
        <v>3558</v>
      </c>
      <c r="B1645" t="s">
        <v>6</v>
      </c>
      <c r="C1645" t="s">
        <v>3559</v>
      </c>
      <c r="D1645" t="s">
        <v>3550</v>
      </c>
      <c r="E1645" t="s">
        <v>3551</v>
      </c>
      <c r="F1645" t="str">
        <f>HYPERLINK("https://talan.bank.gov.ua/get-user-certificate/45CElGwy9vt2gXhQwqwE","Завантажити сертифікат")</f>
        <v>Завантажити сертифікат</v>
      </c>
    </row>
    <row r="1646" spans="1:6" x14ac:dyDescent="0.3">
      <c r="A1646" t="s">
        <v>3560</v>
      </c>
      <c r="B1646" t="s">
        <v>6</v>
      </c>
      <c r="C1646" t="s">
        <v>3561</v>
      </c>
      <c r="D1646" t="s">
        <v>3550</v>
      </c>
      <c r="E1646" t="s">
        <v>3551</v>
      </c>
      <c r="F1646" t="str">
        <f>HYPERLINK("https://talan.bank.gov.ua/get-user-certificate/45CElpTUycrSr3OfXtCP","Завантажити сертифікат")</f>
        <v>Завантажити сертифікат</v>
      </c>
    </row>
    <row r="1647" spans="1:6" x14ac:dyDescent="0.3">
      <c r="A1647" t="s">
        <v>3562</v>
      </c>
      <c r="B1647" t="s">
        <v>6</v>
      </c>
      <c r="C1647" t="s">
        <v>3563</v>
      </c>
      <c r="D1647" t="s">
        <v>3550</v>
      </c>
      <c r="E1647" t="s">
        <v>3551</v>
      </c>
      <c r="F1647" t="str">
        <f>HYPERLINK("https://talan.bank.gov.ua/get-user-certificate/45CElSVQ8ZTlnZuwhM3E","Завантажити сертифікат")</f>
        <v>Завантажити сертифікат</v>
      </c>
    </row>
    <row r="1648" spans="1:6" x14ac:dyDescent="0.3">
      <c r="A1648" t="s">
        <v>3564</v>
      </c>
      <c r="B1648" t="s">
        <v>6</v>
      </c>
      <c r="C1648" t="s">
        <v>3565</v>
      </c>
      <c r="D1648" t="s">
        <v>3550</v>
      </c>
      <c r="E1648" t="s">
        <v>3551</v>
      </c>
      <c r="F1648" t="str">
        <f>HYPERLINK("https://talan.bank.gov.ua/get-user-certificate/45CElWH7VAy7LB34Yx3c","Завантажити сертифікат")</f>
        <v>Завантажити сертифікат</v>
      </c>
    </row>
    <row r="1649" spans="1:6" x14ac:dyDescent="0.3">
      <c r="A1649" t="s">
        <v>3566</v>
      </c>
      <c r="B1649" t="s">
        <v>6</v>
      </c>
      <c r="C1649" t="s">
        <v>3567</v>
      </c>
      <c r="D1649" t="s">
        <v>3550</v>
      </c>
      <c r="E1649" t="s">
        <v>3551</v>
      </c>
      <c r="F1649" t="str">
        <f>HYPERLINK("https://talan.bank.gov.ua/get-user-certificate/45CElyUI778michvpkSh","Завантажити сертифікат")</f>
        <v>Завантажити сертифікат</v>
      </c>
    </row>
    <row r="1650" spans="1:6" x14ac:dyDescent="0.3">
      <c r="A1650" t="s">
        <v>3568</v>
      </c>
      <c r="B1650" t="s">
        <v>6</v>
      </c>
      <c r="C1650" t="s">
        <v>3569</v>
      </c>
      <c r="D1650" t="s">
        <v>3550</v>
      </c>
      <c r="E1650" t="s">
        <v>3551</v>
      </c>
      <c r="F1650" t="str">
        <f>HYPERLINK("https://talan.bank.gov.ua/get-user-certificate/45CEln46O1MfxAuXNsau","Завантажити сертифікат")</f>
        <v>Завантажити сертифікат</v>
      </c>
    </row>
    <row r="1651" spans="1:6" x14ac:dyDescent="0.3">
      <c r="A1651" t="s">
        <v>3570</v>
      </c>
      <c r="B1651" t="s">
        <v>6</v>
      </c>
      <c r="C1651" t="s">
        <v>3571</v>
      </c>
      <c r="D1651" t="s">
        <v>3550</v>
      </c>
      <c r="E1651" t="s">
        <v>3551</v>
      </c>
      <c r="F1651" t="str">
        <f>HYPERLINK("https://talan.bank.gov.ua/get-user-certificate/45CEl7fya2Ghag9RcoCL","Завантажити сертифікат")</f>
        <v>Завантажити сертифікат</v>
      </c>
    </row>
    <row r="1652" spans="1:6" x14ac:dyDescent="0.3">
      <c r="A1652" t="s">
        <v>3572</v>
      </c>
      <c r="B1652" t="s">
        <v>6</v>
      </c>
      <c r="C1652" t="s">
        <v>3573</v>
      </c>
      <c r="D1652" t="s">
        <v>3550</v>
      </c>
      <c r="E1652" t="s">
        <v>3551</v>
      </c>
      <c r="F1652" t="str">
        <f>HYPERLINK("https://talan.bank.gov.ua/get-user-certificate/45CEltWRlBpWYmmO1muN","Завантажити сертифікат")</f>
        <v>Завантажити сертифікат</v>
      </c>
    </row>
    <row r="1653" spans="1:6" x14ac:dyDescent="0.3">
      <c r="A1653" t="s">
        <v>3574</v>
      </c>
      <c r="B1653" t="s">
        <v>6</v>
      </c>
      <c r="C1653" t="s">
        <v>3575</v>
      </c>
      <c r="D1653" t="s">
        <v>3550</v>
      </c>
      <c r="E1653" t="s">
        <v>3551</v>
      </c>
      <c r="F1653" t="str">
        <f>HYPERLINK("https://talan.bank.gov.ua/get-user-certificate/45CElVN6iTXL1XtavMe1","Завантажити сертифікат")</f>
        <v>Завантажити сертифікат</v>
      </c>
    </row>
    <row r="1654" spans="1:6" x14ac:dyDescent="0.3">
      <c r="A1654" t="s">
        <v>3576</v>
      </c>
      <c r="B1654" t="s">
        <v>6</v>
      </c>
      <c r="C1654" t="s">
        <v>3577</v>
      </c>
      <c r="D1654" t="s">
        <v>3578</v>
      </c>
      <c r="E1654" t="s">
        <v>3579</v>
      </c>
      <c r="F1654" t="str">
        <f>HYPERLINK("https://talan.bank.gov.ua/get-user-certificate/45CElrt-mfDemF0b1GI9","Завантажити сертифікат")</f>
        <v>Завантажити сертифікат</v>
      </c>
    </row>
    <row r="1655" spans="1:6" x14ac:dyDescent="0.3">
      <c r="A1655" t="s">
        <v>3580</v>
      </c>
      <c r="B1655" t="s">
        <v>6</v>
      </c>
      <c r="C1655" t="s">
        <v>3581</v>
      </c>
      <c r="D1655" t="s">
        <v>3578</v>
      </c>
      <c r="E1655" t="s">
        <v>3579</v>
      </c>
      <c r="F1655" t="str">
        <f>HYPERLINK("https://talan.bank.gov.ua/get-user-certificate/45CElB7wKZ4Bd-0GXgBX","Завантажити сертифікат")</f>
        <v>Завантажити сертифікат</v>
      </c>
    </row>
    <row r="1656" spans="1:6" x14ac:dyDescent="0.3">
      <c r="A1656" t="s">
        <v>3582</v>
      </c>
      <c r="B1656" t="s">
        <v>6</v>
      </c>
      <c r="C1656" t="s">
        <v>3583</v>
      </c>
      <c r="D1656" t="s">
        <v>3578</v>
      </c>
      <c r="E1656" t="s">
        <v>3579</v>
      </c>
      <c r="F1656" t="str">
        <f>HYPERLINK("https://talan.bank.gov.ua/get-user-certificate/45CElMFgFCeDg5w51Z5y","Завантажити сертифікат")</f>
        <v>Завантажити сертифікат</v>
      </c>
    </row>
    <row r="1657" spans="1:6" x14ac:dyDescent="0.3">
      <c r="A1657" t="s">
        <v>3584</v>
      </c>
      <c r="B1657" t="s">
        <v>6</v>
      </c>
      <c r="C1657" t="s">
        <v>3585</v>
      </c>
      <c r="D1657" t="s">
        <v>3578</v>
      </c>
      <c r="E1657" t="s">
        <v>3579</v>
      </c>
      <c r="F1657" t="str">
        <f>HYPERLINK("https://talan.bank.gov.ua/get-user-certificate/45CElNx8hx3OdJQobFay","Завантажити сертифікат")</f>
        <v>Завантажити сертифікат</v>
      </c>
    </row>
    <row r="1658" spans="1:6" x14ac:dyDescent="0.3">
      <c r="A1658" t="s">
        <v>3586</v>
      </c>
      <c r="B1658" t="s">
        <v>6</v>
      </c>
      <c r="C1658" t="s">
        <v>3587</v>
      </c>
      <c r="D1658" t="s">
        <v>3578</v>
      </c>
      <c r="E1658" t="s">
        <v>3579</v>
      </c>
      <c r="F1658" t="str">
        <f>HYPERLINK("https://talan.bank.gov.ua/get-user-certificate/45CElYSWBg8XqNrVmdBL","Завантажити сертифікат")</f>
        <v>Завантажити сертифікат</v>
      </c>
    </row>
    <row r="1659" spans="1:6" x14ac:dyDescent="0.3">
      <c r="A1659" t="s">
        <v>3588</v>
      </c>
      <c r="B1659" t="s">
        <v>6</v>
      </c>
      <c r="C1659" t="s">
        <v>3589</v>
      </c>
      <c r="D1659" t="s">
        <v>3578</v>
      </c>
      <c r="E1659" t="s">
        <v>3579</v>
      </c>
      <c r="F1659" t="str">
        <f>HYPERLINK("https://talan.bank.gov.ua/get-user-certificate/45CElRA7VgnAlmdIffk0","Завантажити сертифікат")</f>
        <v>Завантажити сертифікат</v>
      </c>
    </row>
    <row r="1660" spans="1:6" x14ac:dyDescent="0.3">
      <c r="A1660" t="s">
        <v>3590</v>
      </c>
      <c r="B1660" t="s">
        <v>6</v>
      </c>
      <c r="C1660" t="s">
        <v>3591</v>
      </c>
      <c r="D1660" t="s">
        <v>3578</v>
      </c>
      <c r="E1660" t="s">
        <v>3579</v>
      </c>
      <c r="F1660" t="str">
        <f>HYPERLINK("https://talan.bank.gov.ua/get-user-certificate/45CElrHxf5fdB0laA-aY","Завантажити сертифікат")</f>
        <v>Завантажити сертифікат</v>
      </c>
    </row>
    <row r="1661" spans="1:6" x14ac:dyDescent="0.3">
      <c r="A1661" t="s">
        <v>3592</v>
      </c>
      <c r="B1661" t="s">
        <v>6</v>
      </c>
      <c r="C1661" t="s">
        <v>3593</v>
      </c>
      <c r="D1661" t="s">
        <v>3578</v>
      </c>
      <c r="E1661" t="s">
        <v>3579</v>
      </c>
      <c r="F1661" t="str">
        <f>HYPERLINK("https://talan.bank.gov.ua/get-user-certificate/45CElehNa2Z-v3fe80WB","Завантажити сертифікат")</f>
        <v>Завантажити сертифікат</v>
      </c>
    </row>
    <row r="1662" spans="1:6" x14ac:dyDescent="0.3">
      <c r="A1662" t="s">
        <v>3594</v>
      </c>
      <c r="B1662" t="s">
        <v>6</v>
      </c>
      <c r="C1662" t="s">
        <v>3595</v>
      </c>
      <c r="D1662" t="s">
        <v>3578</v>
      </c>
      <c r="E1662" t="s">
        <v>3579</v>
      </c>
      <c r="F1662" t="str">
        <f>HYPERLINK("https://talan.bank.gov.ua/get-user-certificate/45CEl_JuiPP6qEetEzmt","Завантажити сертифікат")</f>
        <v>Завантажити сертифікат</v>
      </c>
    </row>
    <row r="1663" spans="1:6" x14ac:dyDescent="0.3">
      <c r="A1663" t="s">
        <v>3596</v>
      </c>
      <c r="B1663" t="s">
        <v>6</v>
      </c>
      <c r="C1663" t="s">
        <v>3597</v>
      </c>
      <c r="D1663" t="s">
        <v>3578</v>
      </c>
      <c r="E1663" t="s">
        <v>3579</v>
      </c>
      <c r="F1663" t="str">
        <f>HYPERLINK("https://talan.bank.gov.ua/get-user-certificate/45CElMWJChBb0CyZYrwL","Завантажити сертифікат")</f>
        <v>Завантажити сертифікат</v>
      </c>
    </row>
    <row r="1664" spans="1:6" x14ac:dyDescent="0.3">
      <c r="A1664" t="s">
        <v>3598</v>
      </c>
      <c r="B1664" t="s">
        <v>6</v>
      </c>
      <c r="C1664" t="s">
        <v>3599</v>
      </c>
      <c r="D1664" t="s">
        <v>3600</v>
      </c>
      <c r="E1664" t="s">
        <v>3601</v>
      </c>
      <c r="F1664" t="str">
        <f>HYPERLINK("https://talan.bank.gov.ua/get-user-certificate/45CElO96uTPRU0vcdHp5","Завантажити сертифікат")</f>
        <v>Завантажити сертифікат</v>
      </c>
    </row>
    <row r="1665" spans="1:6" x14ac:dyDescent="0.3">
      <c r="A1665" t="s">
        <v>3602</v>
      </c>
      <c r="B1665" t="s">
        <v>6</v>
      </c>
      <c r="C1665" t="s">
        <v>3603</v>
      </c>
      <c r="D1665" t="s">
        <v>3600</v>
      </c>
      <c r="E1665" t="s">
        <v>3601</v>
      </c>
      <c r="F1665" t="str">
        <f>HYPERLINK("https://talan.bank.gov.ua/get-user-certificate/45CEl1voFBK6yVpBx5Ay","Завантажити сертифікат")</f>
        <v>Завантажити сертифікат</v>
      </c>
    </row>
    <row r="1666" spans="1:6" x14ac:dyDescent="0.3">
      <c r="A1666" t="s">
        <v>3604</v>
      </c>
      <c r="B1666" t="s">
        <v>6</v>
      </c>
      <c r="C1666" t="s">
        <v>3605</v>
      </c>
      <c r="D1666" t="s">
        <v>3600</v>
      </c>
      <c r="E1666" t="s">
        <v>3601</v>
      </c>
      <c r="F1666" t="str">
        <f>HYPERLINK("https://talan.bank.gov.ua/get-user-certificate/45CElwmPsG2MtAFvVZOX","Завантажити сертифікат")</f>
        <v>Завантажити сертифікат</v>
      </c>
    </row>
    <row r="1667" spans="1:6" x14ac:dyDescent="0.3">
      <c r="A1667" t="s">
        <v>3606</v>
      </c>
      <c r="B1667" t="s">
        <v>6</v>
      </c>
      <c r="C1667" t="s">
        <v>3607</v>
      </c>
      <c r="D1667" t="s">
        <v>3600</v>
      </c>
      <c r="E1667" t="s">
        <v>3601</v>
      </c>
      <c r="F1667" t="str">
        <f>HYPERLINK("https://talan.bank.gov.ua/get-user-certificate/45CEl4djMv_j5RcnHlqb","Завантажити сертифікат")</f>
        <v>Завантажити сертифікат</v>
      </c>
    </row>
    <row r="1668" spans="1:6" x14ac:dyDescent="0.3">
      <c r="A1668" t="s">
        <v>3608</v>
      </c>
      <c r="B1668" t="s">
        <v>6</v>
      </c>
      <c r="C1668" t="s">
        <v>3609</v>
      </c>
      <c r="D1668" t="s">
        <v>3600</v>
      </c>
      <c r="E1668" t="s">
        <v>3601</v>
      </c>
      <c r="F1668" t="str">
        <f>HYPERLINK("https://talan.bank.gov.ua/get-user-certificate/45CElO7bfccSTjf9o5_T","Завантажити сертифікат")</f>
        <v>Завантажити сертифікат</v>
      </c>
    </row>
    <row r="1669" spans="1:6" x14ac:dyDescent="0.3">
      <c r="A1669" t="s">
        <v>3610</v>
      </c>
      <c r="B1669" t="s">
        <v>6</v>
      </c>
      <c r="C1669" t="s">
        <v>3611</v>
      </c>
      <c r="D1669" t="s">
        <v>3600</v>
      </c>
      <c r="E1669" t="s">
        <v>3601</v>
      </c>
      <c r="F1669" t="str">
        <f>HYPERLINK("https://talan.bank.gov.ua/get-user-certificate/45CElLZcR1Vz3rkBL_wN","Завантажити сертифікат")</f>
        <v>Завантажити сертифікат</v>
      </c>
    </row>
    <row r="1670" spans="1:6" x14ac:dyDescent="0.3">
      <c r="A1670" t="s">
        <v>3612</v>
      </c>
      <c r="B1670" t="s">
        <v>6</v>
      </c>
      <c r="C1670" t="s">
        <v>3613</v>
      </c>
      <c r="D1670" t="s">
        <v>3600</v>
      </c>
      <c r="E1670" t="s">
        <v>3601</v>
      </c>
      <c r="F1670" t="str">
        <f>HYPERLINK("https://talan.bank.gov.ua/get-user-certificate/45CEl83Ni8Z15awFp-v0","Завантажити сертифікат")</f>
        <v>Завантажити сертифікат</v>
      </c>
    </row>
    <row r="1671" spans="1:6" x14ac:dyDescent="0.3">
      <c r="A1671" t="s">
        <v>3614</v>
      </c>
      <c r="B1671" t="s">
        <v>6</v>
      </c>
      <c r="C1671" t="s">
        <v>3615</v>
      </c>
      <c r="D1671" t="s">
        <v>3600</v>
      </c>
      <c r="E1671" t="s">
        <v>3601</v>
      </c>
      <c r="F1671" t="str">
        <f>HYPERLINK("https://talan.bank.gov.ua/get-user-certificate/45CEl7feU--x_6hL_TP7","Завантажити сертифікат")</f>
        <v>Завантажити сертифікат</v>
      </c>
    </row>
    <row r="1672" spans="1:6" x14ac:dyDescent="0.3">
      <c r="A1672" t="s">
        <v>3616</v>
      </c>
      <c r="B1672" t="s">
        <v>6</v>
      </c>
      <c r="C1672" t="s">
        <v>3617</v>
      </c>
      <c r="D1672" t="s">
        <v>3600</v>
      </c>
      <c r="E1672" t="s">
        <v>3601</v>
      </c>
      <c r="F1672" t="str">
        <f>HYPERLINK("https://talan.bank.gov.ua/get-user-certificate/45CEl8UJjYbgp-HNQ1wD","Завантажити сертифікат")</f>
        <v>Завантажити сертифікат</v>
      </c>
    </row>
    <row r="1673" spans="1:6" x14ac:dyDescent="0.3">
      <c r="A1673" t="s">
        <v>3618</v>
      </c>
      <c r="B1673" t="s">
        <v>6</v>
      </c>
      <c r="C1673" t="s">
        <v>3619</v>
      </c>
      <c r="D1673" t="s">
        <v>3600</v>
      </c>
      <c r="E1673" t="s">
        <v>3601</v>
      </c>
      <c r="F1673" t="str">
        <f>HYPERLINK("https://talan.bank.gov.ua/get-user-certificate/45CElTwsFyD8-S-wVcRr","Завантажити сертифікат")</f>
        <v>Завантажити сертифікат</v>
      </c>
    </row>
    <row r="1674" spans="1:6" x14ac:dyDescent="0.3">
      <c r="A1674" t="s">
        <v>3620</v>
      </c>
      <c r="B1674" t="s">
        <v>6</v>
      </c>
      <c r="C1674" t="s">
        <v>3621</v>
      </c>
      <c r="D1674" t="s">
        <v>3600</v>
      </c>
      <c r="E1674" t="s">
        <v>3601</v>
      </c>
      <c r="F1674" t="str">
        <f>HYPERLINK("https://talan.bank.gov.ua/get-user-certificate/45CElO78vnNhLejnAhX8","Завантажити сертифікат")</f>
        <v>Завантажити сертифікат</v>
      </c>
    </row>
    <row r="1675" spans="1:6" x14ac:dyDescent="0.3">
      <c r="A1675" t="s">
        <v>3622</v>
      </c>
      <c r="B1675" t="s">
        <v>6</v>
      </c>
      <c r="C1675" t="s">
        <v>3623</v>
      </c>
      <c r="D1675" t="s">
        <v>3600</v>
      </c>
      <c r="E1675" t="s">
        <v>3601</v>
      </c>
      <c r="F1675" t="str">
        <f>HYPERLINK("https://talan.bank.gov.ua/get-user-certificate/45CElVEZqYeYRwcmdxjo","Завантажити сертифікат")</f>
        <v>Завантажити сертифікат</v>
      </c>
    </row>
    <row r="1676" spans="1:6" x14ac:dyDescent="0.3">
      <c r="A1676" t="s">
        <v>3624</v>
      </c>
      <c r="B1676" t="s">
        <v>6</v>
      </c>
      <c r="C1676" t="s">
        <v>3625</v>
      </c>
      <c r="D1676" t="s">
        <v>3600</v>
      </c>
      <c r="E1676" t="s">
        <v>3601</v>
      </c>
      <c r="F1676" t="str">
        <f>HYPERLINK("https://talan.bank.gov.ua/get-user-certificate/45CElVHbneoFHJRk0HZo","Завантажити сертифікат")</f>
        <v>Завантажити сертифікат</v>
      </c>
    </row>
    <row r="1677" spans="1:6" x14ac:dyDescent="0.3">
      <c r="A1677" t="s">
        <v>3626</v>
      </c>
      <c r="B1677" t="s">
        <v>6</v>
      </c>
      <c r="C1677" t="s">
        <v>3627</v>
      </c>
      <c r="D1677" t="s">
        <v>3600</v>
      </c>
      <c r="E1677" t="s">
        <v>3601</v>
      </c>
      <c r="F1677" t="str">
        <f>HYPERLINK("https://talan.bank.gov.ua/get-user-certificate/45CEl1MhzjOyo4A_oaRu","Завантажити сертифікат")</f>
        <v>Завантажити сертифікат</v>
      </c>
    </row>
    <row r="1678" spans="1:6" x14ac:dyDescent="0.3">
      <c r="A1678" t="s">
        <v>3628</v>
      </c>
      <c r="B1678" t="s">
        <v>6</v>
      </c>
      <c r="C1678" t="s">
        <v>3629</v>
      </c>
      <c r="D1678" t="s">
        <v>3600</v>
      </c>
      <c r="E1678" t="s">
        <v>3601</v>
      </c>
      <c r="F1678" t="str">
        <f>HYPERLINK("https://talan.bank.gov.ua/get-user-certificate/45CEl-zodU9zYCmgPjba","Завантажити сертифікат")</f>
        <v>Завантажити сертифікат</v>
      </c>
    </row>
    <row r="1679" spans="1:6" x14ac:dyDescent="0.3">
      <c r="A1679" t="s">
        <v>3630</v>
      </c>
      <c r="B1679" t="s">
        <v>6</v>
      </c>
      <c r="C1679" t="s">
        <v>3631</v>
      </c>
      <c r="D1679" t="s">
        <v>3600</v>
      </c>
      <c r="E1679" t="s">
        <v>3601</v>
      </c>
      <c r="F1679" t="str">
        <f>HYPERLINK("https://talan.bank.gov.ua/get-user-certificate/45CElt_G6f8cknVyFOg_","Завантажити сертифікат")</f>
        <v>Завантажити сертифікат</v>
      </c>
    </row>
    <row r="1680" spans="1:6" x14ac:dyDescent="0.3">
      <c r="A1680" t="s">
        <v>3632</v>
      </c>
      <c r="B1680" t="s">
        <v>6</v>
      </c>
      <c r="C1680" t="s">
        <v>3633</v>
      </c>
      <c r="D1680" t="s">
        <v>3600</v>
      </c>
      <c r="E1680" t="s">
        <v>3601</v>
      </c>
      <c r="F1680" t="str">
        <f>HYPERLINK("https://talan.bank.gov.ua/get-user-certificate/45CElQfnxhAtUyLF6Mf8","Завантажити сертифікат")</f>
        <v>Завантажити сертифікат</v>
      </c>
    </row>
    <row r="1681" spans="1:6" x14ac:dyDescent="0.3">
      <c r="A1681" t="s">
        <v>3634</v>
      </c>
      <c r="B1681" t="s">
        <v>6</v>
      </c>
      <c r="C1681" t="s">
        <v>3635</v>
      </c>
      <c r="D1681" t="s">
        <v>3600</v>
      </c>
      <c r="E1681" t="s">
        <v>3601</v>
      </c>
      <c r="F1681" t="str">
        <f>HYPERLINK("https://talan.bank.gov.ua/get-user-certificate/45CEleYkDHV8zFyVMvmN","Завантажити сертифікат")</f>
        <v>Завантажити сертифікат</v>
      </c>
    </row>
    <row r="1682" spans="1:6" x14ac:dyDescent="0.3">
      <c r="A1682" t="s">
        <v>3636</v>
      </c>
      <c r="B1682" t="s">
        <v>6</v>
      </c>
      <c r="C1682" t="s">
        <v>3637</v>
      </c>
      <c r="D1682" t="s">
        <v>3600</v>
      </c>
      <c r="E1682" t="s">
        <v>3601</v>
      </c>
      <c r="F1682" t="str">
        <f>HYPERLINK("https://talan.bank.gov.ua/get-user-certificate/45CElfcanuE28Gaw9GIK","Завантажити сертифікат")</f>
        <v>Завантажити сертифікат</v>
      </c>
    </row>
    <row r="1683" spans="1:6" x14ac:dyDescent="0.3">
      <c r="A1683" t="s">
        <v>3638</v>
      </c>
      <c r="B1683" t="s">
        <v>6</v>
      </c>
      <c r="C1683" t="s">
        <v>3639</v>
      </c>
      <c r="D1683" t="s">
        <v>3600</v>
      </c>
      <c r="E1683" t="s">
        <v>3601</v>
      </c>
      <c r="F1683" t="str">
        <f>HYPERLINK("https://talan.bank.gov.ua/get-user-certificate/45CEllpFKbynxVFqI_Q7","Завантажити сертифікат")</f>
        <v>Завантажити сертифікат</v>
      </c>
    </row>
    <row r="1684" spans="1:6" x14ac:dyDescent="0.3">
      <c r="A1684" t="s">
        <v>3640</v>
      </c>
      <c r="B1684" t="s">
        <v>6</v>
      </c>
      <c r="C1684" t="s">
        <v>3641</v>
      </c>
      <c r="D1684" t="s">
        <v>3600</v>
      </c>
      <c r="E1684" t="s">
        <v>3601</v>
      </c>
      <c r="F1684" t="str">
        <f>HYPERLINK("https://talan.bank.gov.ua/get-user-certificate/45CEl0YO-BQICysVa9hp","Завантажити сертифікат")</f>
        <v>Завантажити сертифікат</v>
      </c>
    </row>
    <row r="1685" spans="1:6" x14ac:dyDescent="0.3">
      <c r="A1685" t="s">
        <v>3642</v>
      </c>
      <c r="B1685" t="s">
        <v>6</v>
      </c>
      <c r="C1685" t="s">
        <v>3643</v>
      </c>
      <c r="D1685" t="s">
        <v>3600</v>
      </c>
      <c r="E1685" t="s">
        <v>3601</v>
      </c>
      <c r="F1685" t="str">
        <f>HYPERLINK("https://talan.bank.gov.ua/get-user-certificate/45CEl0o1w5g52p1GFRYf","Завантажити сертифікат")</f>
        <v>Завантажити сертифікат</v>
      </c>
    </row>
    <row r="1686" spans="1:6" x14ac:dyDescent="0.3">
      <c r="A1686" t="s">
        <v>3644</v>
      </c>
      <c r="B1686" t="s">
        <v>6</v>
      </c>
      <c r="C1686" t="s">
        <v>3645</v>
      </c>
      <c r="D1686" t="s">
        <v>3600</v>
      </c>
      <c r="E1686" t="s">
        <v>3601</v>
      </c>
      <c r="F1686" t="str">
        <f>HYPERLINK("https://talan.bank.gov.ua/get-user-certificate/45CElXIH95oPSIIvWeRC","Завантажити сертифікат")</f>
        <v>Завантажити сертифікат</v>
      </c>
    </row>
    <row r="1687" spans="1:6" x14ac:dyDescent="0.3">
      <c r="A1687" t="s">
        <v>3646</v>
      </c>
      <c r="B1687" t="s">
        <v>6</v>
      </c>
      <c r="C1687" t="s">
        <v>3647</v>
      </c>
      <c r="D1687" t="s">
        <v>3648</v>
      </c>
      <c r="E1687" t="s">
        <v>3649</v>
      </c>
      <c r="F1687" t="str">
        <f>HYPERLINK("https://talan.bank.gov.ua/get-user-certificate/45CEllxbI8iRa2-dA0HO","Завантажити сертифікат")</f>
        <v>Завантажити сертифікат</v>
      </c>
    </row>
    <row r="1688" spans="1:6" x14ac:dyDescent="0.3">
      <c r="A1688" t="s">
        <v>3650</v>
      </c>
      <c r="B1688" t="s">
        <v>6</v>
      </c>
      <c r="C1688" t="s">
        <v>3651</v>
      </c>
      <c r="D1688" t="s">
        <v>3648</v>
      </c>
      <c r="E1688" t="s">
        <v>3649</v>
      </c>
      <c r="F1688" t="str">
        <f>HYPERLINK("https://talan.bank.gov.ua/get-user-certificate/45CElLUQFL0Ddo-ynxMO","Завантажити сертифікат")</f>
        <v>Завантажити сертифікат</v>
      </c>
    </row>
    <row r="1689" spans="1:6" x14ac:dyDescent="0.3">
      <c r="A1689" t="s">
        <v>3652</v>
      </c>
      <c r="B1689" t="s">
        <v>6</v>
      </c>
      <c r="C1689" t="s">
        <v>3653</v>
      </c>
      <c r="D1689" t="s">
        <v>3648</v>
      </c>
      <c r="E1689" t="s">
        <v>3649</v>
      </c>
      <c r="F1689" t="str">
        <f>HYPERLINK("https://talan.bank.gov.ua/get-user-certificate/45CElvkUgZadJn288FDE","Завантажити сертифікат")</f>
        <v>Завантажити сертифікат</v>
      </c>
    </row>
    <row r="1690" spans="1:6" x14ac:dyDescent="0.3">
      <c r="A1690" t="s">
        <v>3654</v>
      </c>
      <c r="B1690" t="s">
        <v>6</v>
      </c>
      <c r="C1690" t="s">
        <v>3655</v>
      </c>
      <c r="D1690" t="s">
        <v>3656</v>
      </c>
      <c r="E1690" t="s">
        <v>3657</v>
      </c>
      <c r="F1690" t="str">
        <f>HYPERLINK("https://talan.bank.gov.ua/get-user-certificate/45CEl0RRwyGzfRjjR7tU","Завантажити сертифікат")</f>
        <v>Завантажити сертифікат</v>
      </c>
    </row>
    <row r="1691" spans="1:6" x14ac:dyDescent="0.3">
      <c r="A1691" t="s">
        <v>3658</v>
      </c>
      <c r="B1691" t="s">
        <v>6</v>
      </c>
      <c r="C1691" t="s">
        <v>3659</v>
      </c>
      <c r="D1691" t="s">
        <v>3656</v>
      </c>
      <c r="E1691" t="s">
        <v>3657</v>
      </c>
      <c r="F1691" t="str">
        <f>HYPERLINK("https://talan.bank.gov.ua/get-user-certificate/45CEl6OUkGQiZzUxkueX","Завантажити сертифікат")</f>
        <v>Завантажити сертифікат</v>
      </c>
    </row>
    <row r="1692" spans="1:6" x14ac:dyDescent="0.3">
      <c r="A1692" t="s">
        <v>3660</v>
      </c>
      <c r="B1692" t="s">
        <v>6</v>
      </c>
      <c r="C1692" t="s">
        <v>3661</v>
      </c>
      <c r="D1692" t="s">
        <v>3656</v>
      </c>
      <c r="E1692" t="s">
        <v>3657</v>
      </c>
      <c r="F1692" t="str">
        <f>HYPERLINK("https://talan.bank.gov.ua/get-user-certificate/45CEluGE_x26B2mTbHVp","Завантажити сертифікат")</f>
        <v>Завантажити сертифікат</v>
      </c>
    </row>
    <row r="1693" spans="1:6" x14ac:dyDescent="0.3">
      <c r="A1693" t="s">
        <v>3662</v>
      </c>
      <c r="B1693" t="s">
        <v>6</v>
      </c>
      <c r="C1693" t="s">
        <v>3663</v>
      </c>
      <c r="D1693" t="s">
        <v>3656</v>
      </c>
      <c r="E1693" t="s">
        <v>3657</v>
      </c>
      <c r="F1693" t="str">
        <f>HYPERLINK("https://talan.bank.gov.ua/get-user-certificate/45CElcFv522DV-HlVBER","Завантажити сертифікат")</f>
        <v>Завантажити сертифікат</v>
      </c>
    </row>
    <row r="1694" spans="1:6" x14ac:dyDescent="0.3">
      <c r="A1694" t="s">
        <v>3664</v>
      </c>
      <c r="B1694" t="s">
        <v>6</v>
      </c>
      <c r="C1694" t="s">
        <v>3665</v>
      </c>
      <c r="D1694" t="s">
        <v>3656</v>
      </c>
      <c r="E1694" t="s">
        <v>3657</v>
      </c>
      <c r="F1694" t="str">
        <f>HYPERLINK("https://talan.bank.gov.ua/get-user-certificate/45CElg7ujeO3gC0E-8lv","Завантажити сертифікат")</f>
        <v>Завантажити сертифікат</v>
      </c>
    </row>
    <row r="1695" spans="1:6" x14ac:dyDescent="0.3">
      <c r="A1695" t="s">
        <v>3666</v>
      </c>
      <c r="B1695" t="s">
        <v>6</v>
      </c>
      <c r="C1695" t="s">
        <v>3667</v>
      </c>
      <c r="D1695" t="s">
        <v>3656</v>
      </c>
      <c r="E1695" t="s">
        <v>3657</v>
      </c>
      <c r="F1695" t="str">
        <f>HYPERLINK("https://talan.bank.gov.ua/get-user-certificate/45CEltULMrbZ3g3G3gl9","Завантажити сертифікат")</f>
        <v>Завантажити сертифікат</v>
      </c>
    </row>
    <row r="1696" spans="1:6" x14ac:dyDescent="0.3">
      <c r="A1696" t="s">
        <v>3668</v>
      </c>
      <c r="B1696" t="s">
        <v>6</v>
      </c>
      <c r="C1696" t="s">
        <v>3669</v>
      </c>
      <c r="D1696" t="s">
        <v>3656</v>
      </c>
      <c r="E1696" t="s">
        <v>3657</v>
      </c>
      <c r="F1696" t="str">
        <f>HYPERLINK("https://talan.bank.gov.ua/get-user-certificate/45CElmrdORzCY9W2XiVA","Завантажити сертифікат")</f>
        <v>Завантажити сертифікат</v>
      </c>
    </row>
    <row r="1697" spans="1:6" x14ac:dyDescent="0.3">
      <c r="A1697" t="s">
        <v>3670</v>
      </c>
      <c r="B1697" t="s">
        <v>6</v>
      </c>
      <c r="C1697" t="s">
        <v>3671</v>
      </c>
      <c r="D1697" t="s">
        <v>3656</v>
      </c>
      <c r="E1697" t="s">
        <v>3657</v>
      </c>
      <c r="F1697" t="str">
        <f>HYPERLINK("https://talan.bank.gov.ua/get-user-certificate/45CEl4Z09ASwkni-vB3M","Завантажити сертифікат")</f>
        <v>Завантажити сертифікат</v>
      </c>
    </row>
    <row r="1698" spans="1:6" x14ac:dyDescent="0.3">
      <c r="A1698" t="s">
        <v>3672</v>
      </c>
      <c r="B1698" t="s">
        <v>6</v>
      </c>
      <c r="C1698" t="s">
        <v>3673</v>
      </c>
      <c r="D1698" t="s">
        <v>3674</v>
      </c>
      <c r="E1698" t="s">
        <v>3675</v>
      </c>
      <c r="F1698" t="str">
        <f>HYPERLINK("https://talan.bank.gov.ua/get-user-certificate/45CElJFTDzttghRYV_-j","Завантажити сертифікат")</f>
        <v>Завантажити сертифікат</v>
      </c>
    </row>
    <row r="1699" spans="1:6" x14ac:dyDescent="0.3">
      <c r="A1699" t="s">
        <v>3676</v>
      </c>
      <c r="B1699" t="s">
        <v>6</v>
      </c>
      <c r="C1699" t="s">
        <v>3677</v>
      </c>
      <c r="D1699" t="s">
        <v>3674</v>
      </c>
      <c r="E1699" t="s">
        <v>3675</v>
      </c>
      <c r="F1699" t="str">
        <f>HYPERLINK("https://talan.bank.gov.ua/get-user-certificate/45CElpCbOCuVkbFtrQTA","Завантажити сертифікат")</f>
        <v>Завантажити сертифікат</v>
      </c>
    </row>
    <row r="1700" spans="1:6" x14ac:dyDescent="0.3">
      <c r="A1700" t="s">
        <v>3678</v>
      </c>
      <c r="B1700" t="s">
        <v>6</v>
      </c>
      <c r="C1700" t="s">
        <v>3679</v>
      </c>
      <c r="D1700" t="s">
        <v>3674</v>
      </c>
      <c r="E1700" t="s">
        <v>3675</v>
      </c>
      <c r="F1700" t="str">
        <f>HYPERLINK("https://talan.bank.gov.ua/get-user-certificate/45CElBcvn_Z7u8oM-BBx","Завантажити сертифікат")</f>
        <v>Завантажити сертифікат</v>
      </c>
    </row>
    <row r="1701" spans="1:6" x14ac:dyDescent="0.3">
      <c r="A1701" t="s">
        <v>3680</v>
      </c>
      <c r="B1701" t="s">
        <v>6</v>
      </c>
      <c r="C1701" t="s">
        <v>3681</v>
      </c>
      <c r="D1701" t="s">
        <v>3674</v>
      </c>
      <c r="E1701" t="s">
        <v>3675</v>
      </c>
      <c r="F1701" t="str">
        <f>HYPERLINK("https://talan.bank.gov.ua/get-user-certificate/45CEliIh62vhAiR1xzvP","Завантажити сертифікат")</f>
        <v>Завантажити сертифікат</v>
      </c>
    </row>
    <row r="1702" spans="1:6" x14ac:dyDescent="0.3">
      <c r="A1702" t="s">
        <v>3682</v>
      </c>
      <c r="B1702" t="s">
        <v>6</v>
      </c>
      <c r="C1702" t="s">
        <v>3683</v>
      </c>
      <c r="D1702" t="s">
        <v>3674</v>
      </c>
      <c r="E1702" t="s">
        <v>3675</v>
      </c>
      <c r="F1702" t="str">
        <f>HYPERLINK("https://talan.bank.gov.ua/get-user-certificate/45CElErijQ1irkuVuyOH","Завантажити сертифікат")</f>
        <v>Завантажити сертифікат</v>
      </c>
    </row>
    <row r="1703" spans="1:6" x14ac:dyDescent="0.3">
      <c r="A1703" t="s">
        <v>3684</v>
      </c>
      <c r="B1703" t="s">
        <v>6</v>
      </c>
      <c r="C1703" t="s">
        <v>3685</v>
      </c>
      <c r="D1703" t="s">
        <v>3674</v>
      </c>
      <c r="E1703" t="s">
        <v>3675</v>
      </c>
      <c r="F1703" t="str">
        <f>HYPERLINK("https://talan.bank.gov.ua/get-user-certificate/45CElm4PK_te34UAAQJC","Завантажити сертифікат")</f>
        <v>Завантажити сертифікат</v>
      </c>
    </row>
    <row r="1704" spans="1:6" x14ac:dyDescent="0.3">
      <c r="A1704" t="s">
        <v>3686</v>
      </c>
      <c r="B1704" t="s">
        <v>6</v>
      </c>
      <c r="C1704" t="s">
        <v>3687</v>
      </c>
      <c r="D1704" t="s">
        <v>3674</v>
      </c>
      <c r="E1704" t="s">
        <v>3675</v>
      </c>
      <c r="F1704" t="str">
        <f>HYPERLINK("https://talan.bank.gov.ua/get-user-certificate/45CEluiChZ95vlgG7EBh","Завантажити сертифікат")</f>
        <v>Завантажити сертифікат</v>
      </c>
    </row>
    <row r="1705" spans="1:6" x14ac:dyDescent="0.3">
      <c r="A1705" t="s">
        <v>3688</v>
      </c>
      <c r="B1705" t="s">
        <v>6</v>
      </c>
      <c r="C1705" t="s">
        <v>3689</v>
      </c>
      <c r="D1705" t="s">
        <v>3674</v>
      </c>
      <c r="E1705" t="s">
        <v>3675</v>
      </c>
      <c r="F1705" t="str">
        <f>HYPERLINK("https://talan.bank.gov.ua/get-user-certificate/45CElgtJ8gKNjFQypgxM","Завантажити сертифікат")</f>
        <v>Завантажити сертифікат</v>
      </c>
    </row>
    <row r="1706" spans="1:6" x14ac:dyDescent="0.3">
      <c r="A1706" t="s">
        <v>3690</v>
      </c>
      <c r="B1706" t="s">
        <v>6</v>
      </c>
      <c r="C1706" t="s">
        <v>3691</v>
      </c>
      <c r="D1706" t="s">
        <v>3674</v>
      </c>
      <c r="E1706" t="s">
        <v>3675</v>
      </c>
      <c r="F1706" t="str">
        <f>HYPERLINK("https://talan.bank.gov.ua/get-user-certificate/45CElmvfe3a-rAWxYFcJ","Завантажити сертифікат")</f>
        <v>Завантажити сертифікат</v>
      </c>
    </row>
    <row r="1707" spans="1:6" x14ac:dyDescent="0.3">
      <c r="A1707" t="s">
        <v>3692</v>
      </c>
      <c r="B1707" t="s">
        <v>6</v>
      </c>
      <c r="C1707" t="s">
        <v>3693</v>
      </c>
      <c r="D1707" t="s">
        <v>3674</v>
      </c>
      <c r="E1707" t="s">
        <v>3675</v>
      </c>
      <c r="F1707" t="str">
        <f>HYPERLINK("https://talan.bank.gov.ua/get-user-certificate/45CElz6EcagPNA6Ch6BC","Завантажити сертифікат")</f>
        <v>Завантажити сертифікат</v>
      </c>
    </row>
    <row r="1708" spans="1:6" x14ac:dyDescent="0.3">
      <c r="A1708" t="s">
        <v>3694</v>
      </c>
      <c r="B1708" t="s">
        <v>6</v>
      </c>
      <c r="C1708" t="s">
        <v>3695</v>
      </c>
      <c r="D1708" t="s">
        <v>3674</v>
      </c>
      <c r="E1708" t="s">
        <v>3675</v>
      </c>
      <c r="F1708" t="str">
        <f>HYPERLINK("https://talan.bank.gov.ua/get-user-certificate/45CElcCGKrVzlzBGHx1l","Завантажити сертифікат")</f>
        <v>Завантажити сертифікат</v>
      </c>
    </row>
    <row r="1709" spans="1:6" x14ac:dyDescent="0.3">
      <c r="A1709" t="s">
        <v>3696</v>
      </c>
      <c r="B1709" t="s">
        <v>6</v>
      </c>
      <c r="C1709" t="s">
        <v>3697</v>
      </c>
      <c r="D1709" t="s">
        <v>3698</v>
      </c>
      <c r="E1709" t="s">
        <v>3699</v>
      </c>
      <c r="F1709" t="str">
        <f>HYPERLINK("https://talan.bank.gov.ua/get-user-certificate/45CElYprGZgbcEBFj4Cz","Завантажити сертифікат")</f>
        <v>Завантажити сертифікат</v>
      </c>
    </row>
    <row r="1710" spans="1:6" x14ac:dyDescent="0.3">
      <c r="A1710" t="s">
        <v>3700</v>
      </c>
      <c r="B1710" t="s">
        <v>6</v>
      </c>
      <c r="C1710" t="s">
        <v>3701</v>
      </c>
      <c r="D1710" t="s">
        <v>3698</v>
      </c>
      <c r="E1710" t="s">
        <v>3699</v>
      </c>
      <c r="F1710" t="str">
        <f>HYPERLINK("https://talan.bank.gov.ua/get-user-certificate/45CElEeT0e8GC_IovaM7","Завантажити сертифікат")</f>
        <v>Завантажити сертифікат</v>
      </c>
    </row>
    <row r="1711" spans="1:6" x14ac:dyDescent="0.3">
      <c r="A1711" t="s">
        <v>3702</v>
      </c>
      <c r="B1711" t="s">
        <v>6</v>
      </c>
      <c r="C1711" t="s">
        <v>3703</v>
      </c>
      <c r="D1711" t="s">
        <v>3698</v>
      </c>
      <c r="E1711" t="s">
        <v>3699</v>
      </c>
      <c r="F1711" t="str">
        <f>HYPERLINK("https://talan.bank.gov.ua/get-user-certificate/45CElJb9di40RP49jmQA","Завантажити сертифікат")</f>
        <v>Завантажити сертифікат</v>
      </c>
    </row>
    <row r="1712" spans="1:6" x14ac:dyDescent="0.3">
      <c r="A1712" t="s">
        <v>3704</v>
      </c>
      <c r="B1712" t="s">
        <v>6</v>
      </c>
      <c r="C1712" t="s">
        <v>3705</v>
      </c>
      <c r="D1712" t="s">
        <v>3698</v>
      </c>
      <c r="E1712" t="s">
        <v>3699</v>
      </c>
      <c r="F1712" t="str">
        <f>HYPERLINK("https://talan.bank.gov.ua/get-user-certificate/45CEll3I93EUoAevydBp","Завантажити сертифікат")</f>
        <v>Завантажити сертифікат</v>
      </c>
    </row>
    <row r="1713" spans="1:6" x14ac:dyDescent="0.3">
      <c r="A1713" t="s">
        <v>3706</v>
      </c>
      <c r="B1713" t="s">
        <v>6</v>
      </c>
      <c r="C1713" t="s">
        <v>3707</v>
      </c>
      <c r="D1713" t="s">
        <v>3698</v>
      </c>
      <c r="E1713" t="s">
        <v>3699</v>
      </c>
      <c r="F1713" t="str">
        <f>HYPERLINK("https://talan.bank.gov.ua/get-user-certificate/45CEl4NxXgKv85J8OBTf","Завантажити сертифікат")</f>
        <v>Завантажити сертифікат</v>
      </c>
    </row>
    <row r="1714" spans="1:6" x14ac:dyDescent="0.3">
      <c r="A1714" t="s">
        <v>3708</v>
      </c>
      <c r="B1714" t="s">
        <v>6</v>
      </c>
      <c r="C1714" t="s">
        <v>3709</v>
      </c>
      <c r="D1714" t="s">
        <v>3698</v>
      </c>
      <c r="E1714" t="s">
        <v>3699</v>
      </c>
      <c r="F1714" t="str">
        <f>HYPERLINK("https://talan.bank.gov.ua/get-user-certificate/45CElHifD9WNhClW3Nwo","Завантажити сертифікат")</f>
        <v>Завантажити сертифікат</v>
      </c>
    </row>
    <row r="1715" spans="1:6" x14ac:dyDescent="0.3">
      <c r="A1715" t="s">
        <v>3710</v>
      </c>
      <c r="B1715" t="s">
        <v>6</v>
      </c>
      <c r="C1715" t="s">
        <v>3711</v>
      </c>
      <c r="D1715" t="s">
        <v>3712</v>
      </c>
      <c r="E1715" t="s">
        <v>3713</v>
      </c>
      <c r="F1715" t="str">
        <f>HYPERLINK("https://talan.bank.gov.ua/get-user-certificate/45CEl-w8DjK4W4E4ia0I","Завантажити сертифікат")</f>
        <v>Завантажити сертифікат</v>
      </c>
    </row>
    <row r="1716" spans="1:6" x14ac:dyDescent="0.3">
      <c r="A1716" t="s">
        <v>3714</v>
      </c>
      <c r="B1716" t="s">
        <v>6</v>
      </c>
      <c r="C1716" t="s">
        <v>3715</v>
      </c>
      <c r="D1716" t="s">
        <v>3712</v>
      </c>
      <c r="E1716" t="s">
        <v>3713</v>
      </c>
      <c r="F1716" t="str">
        <f>HYPERLINK("https://talan.bank.gov.ua/get-user-certificate/45CEl9K3VTJc9Xe4rFuO","Завантажити сертифікат")</f>
        <v>Завантажити сертифікат</v>
      </c>
    </row>
    <row r="1717" spans="1:6" x14ac:dyDescent="0.3">
      <c r="A1717" t="s">
        <v>3716</v>
      </c>
      <c r="B1717" t="s">
        <v>6</v>
      </c>
      <c r="C1717" t="s">
        <v>3717</v>
      </c>
      <c r="D1717" t="s">
        <v>3712</v>
      </c>
      <c r="E1717" t="s">
        <v>3713</v>
      </c>
      <c r="F1717" t="str">
        <f>HYPERLINK("https://talan.bank.gov.ua/get-user-certificate/45CElOAnJeZfCllhuFNl","Завантажити сертифікат")</f>
        <v>Завантажити сертифікат</v>
      </c>
    </row>
    <row r="1718" spans="1:6" x14ac:dyDescent="0.3">
      <c r="A1718" t="s">
        <v>3718</v>
      </c>
      <c r="B1718" t="s">
        <v>6</v>
      </c>
      <c r="C1718" t="s">
        <v>3719</v>
      </c>
      <c r="D1718" t="s">
        <v>3712</v>
      </c>
      <c r="E1718" t="s">
        <v>3713</v>
      </c>
      <c r="F1718" t="str">
        <f>HYPERLINK("https://talan.bank.gov.ua/get-user-certificate/45CElAvsdXNTe1Y-5ZHO","Завантажити сертифікат")</f>
        <v>Завантажити сертифікат</v>
      </c>
    </row>
    <row r="1719" spans="1:6" x14ac:dyDescent="0.3">
      <c r="A1719" t="s">
        <v>3720</v>
      </c>
      <c r="B1719" t="s">
        <v>6</v>
      </c>
      <c r="C1719" t="s">
        <v>3721</v>
      </c>
      <c r="D1719" t="s">
        <v>3712</v>
      </c>
      <c r="E1719" t="s">
        <v>3713</v>
      </c>
      <c r="F1719" t="str">
        <f>HYPERLINK("https://talan.bank.gov.ua/get-user-certificate/45CElHlMNoN754gP_ULc","Завантажити сертифікат")</f>
        <v>Завантажити сертифікат</v>
      </c>
    </row>
    <row r="1720" spans="1:6" x14ac:dyDescent="0.3">
      <c r="A1720" t="s">
        <v>3722</v>
      </c>
      <c r="B1720" t="s">
        <v>6</v>
      </c>
      <c r="C1720" t="s">
        <v>3723</v>
      </c>
      <c r="D1720" t="s">
        <v>3712</v>
      </c>
      <c r="E1720" t="s">
        <v>3713</v>
      </c>
      <c r="F1720" t="str">
        <f>HYPERLINK("https://talan.bank.gov.ua/get-user-certificate/45CElVS2xsO1_JHzJLYD","Завантажити сертифікат")</f>
        <v>Завантажити сертифікат</v>
      </c>
    </row>
    <row r="1721" spans="1:6" x14ac:dyDescent="0.3">
      <c r="A1721" t="s">
        <v>3724</v>
      </c>
      <c r="B1721" t="s">
        <v>6</v>
      </c>
      <c r="C1721" t="s">
        <v>3725</v>
      </c>
      <c r="D1721" t="s">
        <v>3712</v>
      </c>
      <c r="E1721" t="s">
        <v>3713</v>
      </c>
      <c r="F1721" t="str">
        <f>HYPERLINK("https://talan.bank.gov.ua/get-user-certificate/45CElGcEcDfM-zw_KbuJ","Завантажити сертифікат")</f>
        <v>Завантажити сертифікат</v>
      </c>
    </row>
    <row r="1722" spans="1:6" x14ac:dyDescent="0.3">
      <c r="A1722" t="s">
        <v>3726</v>
      </c>
      <c r="B1722" t="s">
        <v>6</v>
      </c>
      <c r="C1722" t="s">
        <v>3727</v>
      </c>
      <c r="D1722" t="s">
        <v>3712</v>
      </c>
      <c r="E1722" t="s">
        <v>3713</v>
      </c>
      <c r="F1722" t="str">
        <f>HYPERLINK("https://talan.bank.gov.ua/get-user-certificate/45CElRYxlOH4uZPNiwTj","Завантажити сертифікат")</f>
        <v>Завантажити сертифікат</v>
      </c>
    </row>
    <row r="1723" spans="1:6" x14ac:dyDescent="0.3">
      <c r="A1723" t="s">
        <v>3728</v>
      </c>
      <c r="B1723" t="s">
        <v>6</v>
      </c>
      <c r="C1723" t="s">
        <v>3729</v>
      </c>
      <c r="D1723" t="s">
        <v>3712</v>
      </c>
      <c r="E1723" t="s">
        <v>3713</v>
      </c>
      <c r="F1723" t="str">
        <f>HYPERLINK("https://talan.bank.gov.ua/get-user-certificate/45CElb5Thj3rJtoX5PPS","Завантажити сертифікат")</f>
        <v>Завантажити сертифікат</v>
      </c>
    </row>
    <row r="1724" spans="1:6" x14ac:dyDescent="0.3">
      <c r="A1724" t="s">
        <v>3730</v>
      </c>
      <c r="B1724" t="s">
        <v>6</v>
      </c>
      <c r="C1724" t="s">
        <v>3731</v>
      </c>
      <c r="D1724" t="s">
        <v>3712</v>
      </c>
      <c r="E1724" t="s">
        <v>3713</v>
      </c>
      <c r="F1724" t="str">
        <f>HYPERLINK("https://talan.bank.gov.ua/get-user-certificate/45CElZOel_aEvZFuTBI2","Завантажити сертифікат")</f>
        <v>Завантажити сертифікат</v>
      </c>
    </row>
    <row r="1725" spans="1:6" x14ac:dyDescent="0.3">
      <c r="A1725" t="s">
        <v>3732</v>
      </c>
      <c r="B1725" t="s">
        <v>6</v>
      </c>
      <c r="C1725" t="s">
        <v>3733</v>
      </c>
      <c r="D1725" t="s">
        <v>3712</v>
      </c>
      <c r="E1725" t="s">
        <v>3713</v>
      </c>
      <c r="F1725" t="str">
        <f>HYPERLINK("https://talan.bank.gov.ua/get-user-certificate/45CElI9ShTQtAKU8jbxF","Завантажити сертифікат")</f>
        <v>Завантажити сертифікат</v>
      </c>
    </row>
    <row r="1726" spans="1:6" x14ac:dyDescent="0.3">
      <c r="A1726" t="s">
        <v>3734</v>
      </c>
      <c r="B1726" t="s">
        <v>6</v>
      </c>
      <c r="C1726" t="s">
        <v>3735</v>
      </c>
      <c r="D1726" t="s">
        <v>3712</v>
      </c>
      <c r="E1726" t="s">
        <v>3713</v>
      </c>
      <c r="F1726" t="str">
        <f>HYPERLINK("https://talan.bank.gov.ua/get-user-certificate/45CElO0QcDgch5aWM0O4","Завантажити сертифікат")</f>
        <v>Завантажити сертифікат</v>
      </c>
    </row>
    <row r="1727" spans="1:6" x14ac:dyDescent="0.3">
      <c r="A1727" t="s">
        <v>3736</v>
      </c>
      <c r="B1727" t="s">
        <v>6</v>
      </c>
      <c r="C1727" t="s">
        <v>3737</v>
      </c>
      <c r="D1727" t="s">
        <v>3712</v>
      </c>
      <c r="E1727" t="s">
        <v>3713</v>
      </c>
      <c r="F1727" t="str">
        <f>HYPERLINK("https://talan.bank.gov.ua/get-user-certificate/45CElrWHPH-waLWuZr5p","Завантажити сертифікат")</f>
        <v>Завантажити сертифікат</v>
      </c>
    </row>
    <row r="1728" spans="1:6" x14ac:dyDescent="0.3">
      <c r="A1728" t="s">
        <v>3738</v>
      </c>
      <c r="B1728" t="s">
        <v>6</v>
      </c>
      <c r="C1728" t="s">
        <v>3739</v>
      </c>
      <c r="D1728" t="s">
        <v>3712</v>
      </c>
      <c r="E1728" t="s">
        <v>3713</v>
      </c>
      <c r="F1728" t="str">
        <f>HYPERLINK("https://talan.bank.gov.ua/get-user-certificate/45CElE-AwiKAhcc0jdiv","Завантажити сертифікат")</f>
        <v>Завантажити сертифікат</v>
      </c>
    </row>
    <row r="1729" spans="1:6" x14ac:dyDescent="0.3">
      <c r="A1729" t="s">
        <v>3740</v>
      </c>
      <c r="B1729" t="s">
        <v>6</v>
      </c>
      <c r="C1729" t="s">
        <v>3741</v>
      </c>
      <c r="D1729" t="s">
        <v>3712</v>
      </c>
      <c r="E1729" t="s">
        <v>3713</v>
      </c>
      <c r="F1729" t="str">
        <f>HYPERLINK("https://talan.bank.gov.ua/get-user-certificate/45CElffuV8OwIPVcQwk5","Завантажити сертифікат")</f>
        <v>Завантажити сертифікат</v>
      </c>
    </row>
    <row r="1730" spans="1:6" x14ac:dyDescent="0.3">
      <c r="A1730" t="s">
        <v>3742</v>
      </c>
      <c r="B1730" t="s">
        <v>6</v>
      </c>
      <c r="C1730" t="s">
        <v>3743</v>
      </c>
      <c r="D1730" t="s">
        <v>3712</v>
      </c>
      <c r="E1730" t="s">
        <v>3713</v>
      </c>
      <c r="F1730" t="str">
        <f>HYPERLINK("https://talan.bank.gov.ua/get-user-certificate/45CEl2qFJjh06nHajeCm","Завантажити сертифікат")</f>
        <v>Завантажити сертифікат</v>
      </c>
    </row>
    <row r="1731" spans="1:6" x14ac:dyDescent="0.3">
      <c r="A1731" t="s">
        <v>3744</v>
      </c>
      <c r="B1731" t="s">
        <v>6</v>
      </c>
      <c r="C1731" t="s">
        <v>3745</v>
      </c>
      <c r="D1731" t="s">
        <v>3746</v>
      </c>
      <c r="E1731" t="s">
        <v>3747</v>
      </c>
      <c r="F1731" t="str">
        <f>HYPERLINK("https://talan.bank.gov.ua/get-user-certificate/45CElQ7hV-P_xVVl4jUl","Завантажити сертифікат")</f>
        <v>Завантажити сертифікат</v>
      </c>
    </row>
    <row r="1732" spans="1:6" x14ac:dyDescent="0.3">
      <c r="A1732" t="s">
        <v>3748</v>
      </c>
      <c r="B1732" t="s">
        <v>6</v>
      </c>
      <c r="C1732" t="s">
        <v>3749</v>
      </c>
      <c r="D1732" t="s">
        <v>3746</v>
      </c>
      <c r="E1732" t="s">
        <v>3747</v>
      </c>
      <c r="F1732" t="str">
        <f>HYPERLINK("https://talan.bank.gov.ua/get-user-certificate/45CElccAK8hVBkyPOuqj","Завантажити сертифікат")</f>
        <v>Завантажити сертифікат</v>
      </c>
    </row>
    <row r="1733" spans="1:6" x14ac:dyDescent="0.3">
      <c r="A1733" t="s">
        <v>3750</v>
      </c>
      <c r="B1733" t="s">
        <v>6</v>
      </c>
      <c r="C1733" t="s">
        <v>3751</v>
      </c>
      <c r="D1733" t="s">
        <v>3746</v>
      </c>
      <c r="E1733" t="s">
        <v>3747</v>
      </c>
      <c r="F1733" t="str">
        <f>HYPERLINK("https://talan.bank.gov.ua/get-user-certificate/45CElXBUVLYym9LyTZ_6","Завантажити сертифікат")</f>
        <v>Завантажити сертифікат</v>
      </c>
    </row>
    <row r="1734" spans="1:6" x14ac:dyDescent="0.3">
      <c r="A1734" t="s">
        <v>3752</v>
      </c>
      <c r="B1734" t="s">
        <v>6</v>
      </c>
      <c r="C1734" t="s">
        <v>3753</v>
      </c>
      <c r="D1734" t="s">
        <v>3746</v>
      </c>
      <c r="E1734" t="s">
        <v>3747</v>
      </c>
      <c r="F1734" t="str">
        <f>HYPERLINK("https://talan.bank.gov.ua/get-user-certificate/45CElCVuWAK61MIyzxeR","Завантажити сертифікат")</f>
        <v>Завантажити сертифікат</v>
      </c>
    </row>
    <row r="1735" spans="1:6" x14ac:dyDescent="0.3">
      <c r="A1735" t="s">
        <v>3754</v>
      </c>
      <c r="B1735" t="s">
        <v>6</v>
      </c>
      <c r="C1735" t="s">
        <v>3755</v>
      </c>
      <c r="D1735" t="s">
        <v>3746</v>
      </c>
      <c r="E1735" t="s">
        <v>3747</v>
      </c>
      <c r="F1735" t="str">
        <f>HYPERLINK("https://talan.bank.gov.ua/get-user-certificate/45CEllHHpO24I8bWafN4","Завантажити сертифікат")</f>
        <v>Завантажити сертифікат</v>
      </c>
    </row>
    <row r="1736" spans="1:6" x14ac:dyDescent="0.3">
      <c r="A1736" t="s">
        <v>3756</v>
      </c>
      <c r="B1736" t="s">
        <v>6</v>
      </c>
      <c r="C1736" t="s">
        <v>3757</v>
      </c>
      <c r="D1736" t="s">
        <v>3746</v>
      </c>
      <c r="E1736" t="s">
        <v>3747</v>
      </c>
      <c r="F1736" t="str">
        <f>HYPERLINK("https://talan.bank.gov.ua/get-user-certificate/45CEllSWUTi-QtPijqqi","Завантажити сертифікат")</f>
        <v>Завантажити сертифікат</v>
      </c>
    </row>
    <row r="1737" spans="1:6" x14ac:dyDescent="0.3">
      <c r="A1737" t="s">
        <v>3758</v>
      </c>
      <c r="B1737" t="s">
        <v>6</v>
      </c>
      <c r="C1737" t="s">
        <v>3759</v>
      </c>
      <c r="D1737" t="s">
        <v>3746</v>
      </c>
      <c r="E1737" t="s">
        <v>3747</v>
      </c>
      <c r="F1737" t="str">
        <f>HYPERLINK("https://talan.bank.gov.ua/get-user-certificate/45CElsnizG9LUCaFMgiY","Завантажити сертифікат")</f>
        <v>Завантажити сертифікат</v>
      </c>
    </row>
    <row r="1738" spans="1:6" x14ac:dyDescent="0.3">
      <c r="A1738" t="s">
        <v>3760</v>
      </c>
      <c r="B1738" t="s">
        <v>6</v>
      </c>
      <c r="C1738" t="s">
        <v>3761</v>
      </c>
      <c r="D1738" t="s">
        <v>3746</v>
      </c>
      <c r="E1738" t="s">
        <v>3747</v>
      </c>
      <c r="F1738" t="str">
        <f>HYPERLINK("https://talan.bank.gov.ua/get-user-certificate/45CElwNPxwDTxe-hEIlh","Завантажити сертифікат")</f>
        <v>Завантажити сертифікат</v>
      </c>
    </row>
    <row r="1739" spans="1:6" x14ac:dyDescent="0.3">
      <c r="A1739" t="s">
        <v>3762</v>
      </c>
      <c r="B1739" t="s">
        <v>6</v>
      </c>
      <c r="C1739" t="s">
        <v>3763</v>
      </c>
      <c r="D1739" t="s">
        <v>3746</v>
      </c>
      <c r="E1739" t="s">
        <v>3747</v>
      </c>
      <c r="F1739" t="str">
        <f>HYPERLINK("https://talan.bank.gov.ua/get-user-certificate/45CElQ9Tmwm-a7LJYkur","Завантажити сертифікат")</f>
        <v>Завантажити сертифікат</v>
      </c>
    </row>
    <row r="1740" spans="1:6" x14ac:dyDescent="0.3">
      <c r="A1740" t="s">
        <v>3764</v>
      </c>
      <c r="B1740" t="s">
        <v>6</v>
      </c>
      <c r="C1740" t="s">
        <v>3765</v>
      </c>
      <c r="D1740" t="s">
        <v>3766</v>
      </c>
      <c r="E1740" t="s">
        <v>3767</v>
      </c>
      <c r="F1740" t="str">
        <f>HYPERLINK("https://talan.bank.gov.ua/get-user-certificate/45CElDdilXppmeKu2iXf","Завантажити сертифікат")</f>
        <v>Завантажити сертифікат</v>
      </c>
    </row>
    <row r="1741" spans="1:6" x14ac:dyDescent="0.3">
      <c r="A1741" t="s">
        <v>3768</v>
      </c>
      <c r="B1741" t="s">
        <v>6</v>
      </c>
      <c r="C1741" t="s">
        <v>3769</v>
      </c>
      <c r="D1741" t="s">
        <v>3770</v>
      </c>
      <c r="E1741" t="s">
        <v>3767</v>
      </c>
      <c r="F1741" t="str">
        <f>HYPERLINK("https://talan.bank.gov.ua/get-user-certificate/45CElK2duj3cUhGbf79T","Завантажити сертифікат")</f>
        <v>Завантажити сертифікат</v>
      </c>
    </row>
    <row r="1742" spans="1:6" x14ac:dyDescent="0.3">
      <c r="A1742" t="s">
        <v>3771</v>
      </c>
      <c r="B1742" t="s">
        <v>6</v>
      </c>
      <c r="C1742" t="s">
        <v>3772</v>
      </c>
      <c r="D1742" t="s">
        <v>3773</v>
      </c>
      <c r="E1742" t="s">
        <v>3767</v>
      </c>
      <c r="F1742" t="str">
        <f>HYPERLINK("https://talan.bank.gov.ua/get-user-certificate/45CElQO93xNxaUX2aKYT","Завантажити сертифікат")</f>
        <v>Завантажити сертифікат</v>
      </c>
    </row>
    <row r="1743" spans="1:6" x14ac:dyDescent="0.3">
      <c r="A1743" t="s">
        <v>3774</v>
      </c>
      <c r="B1743" t="s">
        <v>6</v>
      </c>
      <c r="C1743" t="s">
        <v>3775</v>
      </c>
      <c r="D1743" t="s">
        <v>3776</v>
      </c>
      <c r="E1743" t="s">
        <v>3767</v>
      </c>
      <c r="F1743" t="str">
        <f>HYPERLINK("https://talan.bank.gov.ua/get-user-certificate/45CEleyTJhHDMt60amln","Завантажити сертифікат")</f>
        <v>Завантажити сертифікат</v>
      </c>
    </row>
    <row r="1744" spans="1:6" x14ac:dyDescent="0.3">
      <c r="A1744" t="s">
        <v>3777</v>
      </c>
      <c r="B1744" t="s">
        <v>6</v>
      </c>
      <c r="C1744" t="s">
        <v>3778</v>
      </c>
      <c r="D1744" t="s">
        <v>3779</v>
      </c>
      <c r="E1744" t="s">
        <v>3767</v>
      </c>
      <c r="F1744" t="str">
        <f>HYPERLINK("https://talan.bank.gov.ua/get-user-certificate/45CElmb_t72HLUHTVaeg","Завантажити сертифікат")</f>
        <v>Завантажити сертифікат</v>
      </c>
    </row>
    <row r="1745" spans="1:6" x14ac:dyDescent="0.3">
      <c r="A1745" t="s">
        <v>3780</v>
      </c>
      <c r="B1745" t="s">
        <v>6</v>
      </c>
      <c r="C1745" t="s">
        <v>3781</v>
      </c>
      <c r="D1745" t="s">
        <v>3782</v>
      </c>
      <c r="E1745" t="s">
        <v>3767</v>
      </c>
      <c r="F1745" t="str">
        <f>HYPERLINK("https://talan.bank.gov.ua/get-user-certificate/45CEl-9WxWTcViGQMNo3","Завантажити сертифікат")</f>
        <v>Завантажити сертифікат</v>
      </c>
    </row>
    <row r="1746" spans="1:6" x14ac:dyDescent="0.3">
      <c r="A1746" t="s">
        <v>3783</v>
      </c>
      <c r="B1746" t="s">
        <v>6</v>
      </c>
      <c r="C1746" t="s">
        <v>3784</v>
      </c>
      <c r="D1746" t="s">
        <v>3785</v>
      </c>
      <c r="E1746" t="s">
        <v>3786</v>
      </c>
      <c r="F1746" t="str">
        <f>HYPERLINK("https://talan.bank.gov.ua/get-user-certificate/45CEl6VCAjXakuxUDUy-","Завантажити сертифікат")</f>
        <v>Завантажити сертифікат</v>
      </c>
    </row>
    <row r="1747" spans="1:6" x14ac:dyDescent="0.3">
      <c r="A1747" t="s">
        <v>3787</v>
      </c>
      <c r="B1747" t="s">
        <v>6</v>
      </c>
      <c r="C1747" t="s">
        <v>3788</v>
      </c>
      <c r="D1747" t="s">
        <v>3785</v>
      </c>
      <c r="E1747" t="s">
        <v>3786</v>
      </c>
      <c r="F1747" t="str">
        <f>HYPERLINK("https://talan.bank.gov.ua/get-user-certificate/45CElRZ495hqM9cjh-OT","Завантажити сертифікат")</f>
        <v>Завантажити сертифікат</v>
      </c>
    </row>
    <row r="1748" spans="1:6" x14ac:dyDescent="0.3">
      <c r="A1748" t="s">
        <v>3789</v>
      </c>
      <c r="B1748" t="s">
        <v>6</v>
      </c>
      <c r="C1748" t="s">
        <v>3790</v>
      </c>
      <c r="D1748" t="s">
        <v>3785</v>
      </c>
      <c r="E1748" t="s">
        <v>3786</v>
      </c>
      <c r="F1748" t="str">
        <f>HYPERLINK("https://talan.bank.gov.ua/get-user-certificate/45CElMR1xgVGdaFWC38b","Завантажити сертифікат")</f>
        <v>Завантажити сертифікат</v>
      </c>
    </row>
    <row r="1749" spans="1:6" x14ac:dyDescent="0.3">
      <c r="A1749" t="s">
        <v>3791</v>
      </c>
      <c r="B1749" t="s">
        <v>6</v>
      </c>
      <c r="C1749" t="s">
        <v>3792</v>
      </c>
      <c r="D1749" t="s">
        <v>3785</v>
      </c>
      <c r="E1749" t="s">
        <v>3786</v>
      </c>
      <c r="F1749" t="str">
        <f>HYPERLINK("https://talan.bank.gov.ua/get-user-certificate/45CElksJwzTv7j8vnjeU","Завантажити сертифікат")</f>
        <v>Завантажити сертифікат</v>
      </c>
    </row>
    <row r="1750" spans="1:6" x14ac:dyDescent="0.3">
      <c r="A1750" t="s">
        <v>3793</v>
      </c>
      <c r="B1750" t="s">
        <v>6</v>
      </c>
      <c r="C1750" t="s">
        <v>3794</v>
      </c>
      <c r="D1750" t="s">
        <v>3785</v>
      </c>
      <c r="E1750" t="s">
        <v>3786</v>
      </c>
      <c r="F1750" t="str">
        <f>HYPERLINK("https://talan.bank.gov.ua/get-user-certificate/45CElYntk0JFcCdqOjlU","Завантажити сертифікат")</f>
        <v>Завантажити сертифікат</v>
      </c>
    </row>
    <row r="1751" spans="1:6" x14ac:dyDescent="0.3">
      <c r="A1751" t="s">
        <v>3795</v>
      </c>
      <c r="B1751" t="s">
        <v>6</v>
      </c>
      <c r="C1751" t="s">
        <v>3796</v>
      </c>
      <c r="D1751" t="s">
        <v>3785</v>
      </c>
      <c r="E1751" t="s">
        <v>3786</v>
      </c>
      <c r="F1751" t="str">
        <f>HYPERLINK("https://talan.bank.gov.ua/get-user-certificate/45CElPof7V6HSN7nO-uR","Завантажити сертифікат")</f>
        <v>Завантажити сертифікат</v>
      </c>
    </row>
    <row r="1752" spans="1:6" x14ac:dyDescent="0.3">
      <c r="A1752" t="s">
        <v>3797</v>
      </c>
      <c r="B1752" t="s">
        <v>6</v>
      </c>
      <c r="C1752" t="s">
        <v>3798</v>
      </c>
      <c r="D1752" t="s">
        <v>3785</v>
      </c>
      <c r="E1752" t="s">
        <v>3786</v>
      </c>
      <c r="F1752" t="str">
        <f>HYPERLINK("https://talan.bank.gov.ua/get-user-certificate/45CEl0T6VobtmSC7L8OI","Завантажити сертифікат")</f>
        <v>Завантажити сертифікат</v>
      </c>
    </row>
    <row r="1753" spans="1:6" x14ac:dyDescent="0.3">
      <c r="A1753" t="s">
        <v>3799</v>
      </c>
      <c r="B1753" t="s">
        <v>6</v>
      </c>
      <c r="C1753" t="s">
        <v>3800</v>
      </c>
      <c r="D1753" t="s">
        <v>3785</v>
      </c>
      <c r="E1753" t="s">
        <v>3786</v>
      </c>
      <c r="F1753" t="str">
        <f>HYPERLINK("https://talan.bank.gov.ua/get-user-certificate/45CElhjGfP78pDA_9_x8","Завантажити сертифікат")</f>
        <v>Завантажити сертифікат</v>
      </c>
    </row>
    <row r="1754" spans="1:6" x14ac:dyDescent="0.3">
      <c r="A1754" t="s">
        <v>3801</v>
      </c>
      <c r="B1754" t="s">
        <v>6</v>
      </c>
      <c r="C1754" t="s">
        <v>3802</v>
      </c>
      <c r="D1754" t="s">
        <v>3785</v>
      </c>
      <c r="E1754" t="s">
        <v>3786</v>
      </c>
      <c r="F1754" t="str">
        <f>HYPERLINK("https://talan.bank.gov.ua/get-user-certificate/45CElVwJQS4zC-DA5AWA","Завантажити сертифікат")</f>
        <v>Завантажити сертифікат</v>
      </c>
    </row>
    <row r="1755" spans="1:6" x14ac:dyDescent="0.3">
      <c r="A1755" t="s">
        <v>3803</v>
      </c>
      <c r="B1755" t="s">
        <v>6</v>
      </c>
      <c r="C1755" t="s">
        <v>3804</v>
      </c>
      <c r="D1755" t="s">
        <v>3785</v>
      </c>
      <c r="E1755" t="s">
        <v>3786</v>
      </c>
      <c r="F1755" t="str">
        <f>HYPERLINK("https://talan.bank.gov.ua/get-user-certificate/45CElfuh5OQKyauXx-1j","Завантажити сертифікат")</f>
        <v>Завантажити сертифікат</v>
      </c>
    </row>
    <row r="1756" spans="1:6" x14ac:dyDescent="0.3">
      <c r="A1756" t="s">
        <v>3805</v>
      </c>
      <c r="B1756" t="s">
        <v>6</v>
      </c>
      <c r="C1756" t="s">
        <v>3806</v>
      </c>
      <c r="D1756" t="s">
        <v>3785</v>
      </c>
      <c r="E1756" t="s">
        <v>3786</v>
      </c>
      <c r="F1756" t="str">
        <f>HYPERLINK("https://talan.bank.gov.ua/get-user-certificate/45CElaYwvcl_A8fuvd0q","Завантажити сертифікат")</f>
        <v>Завантажити сертифікат</v>
      </c>
    </row>
    <row r="1757" spans="1:6" x14ac:dyDescent="0.3">
      <c r="A1757" t="s">
        <v>3807</v>
      </c>
      <c r="B1757" t="s">
        <v>6</v>
      </c>
      <c r="C1757" t="s">
        <v>3808</v>
      </c>
      <c r="D1757" t="s">
        <v>3785</v>
      </c>
      <c r="E1757" t="s">
        <v>3786</v>
      </c>
      <c r="F1757" t="str">
        <f>HYPERLINK("https://talan.bank.gov.ua/get-user-certificate/45CElo-BKlwfTZgzg-Dd","Завантажити сертифікат")</f>
        <v>Завантажити сертифікат</v>
      </c>
    </row>
    <row r="1758" spans="1:6" x14ac:dyDescent="0.3">
      <c r="A1758" t="s">
        <v>3809</v>
      </c>
      <c r="B1758" t="s">
        <v>6</v>
      </c>
      <c r="C1758" t="s">
        <v>3810</v>
      </c>
      <c r="D1758" t="s">
        <v>3785</v>
      </c>
      <c r="E1758" t="s">
        <v>3786</v>
      </c>
      <c r="F1758" t="str">
        <f>HYPERLINK("https://talan.bank.gov.ua/get-user-certificate/45CEl1g5aFf773hHOC8Q","Завантажити сертифікат")</f>
        <v>Завантажити сертифікат</v>
      </c>
    </row>
    <row r="1759" spans="1:6" x14ac:dyDescent="0.3">
      <c r="A1759" t="s">
        <v>3811</v>
      </c>
      <c r="B1759" t="s">
        <v>6</v>
      </c>
      <c r="C1759" t="s">
        <v>3812</v>
      </c>
      <c r="D1759" t="s">
        <v>3813</v>
      </c>
      <c r="E1759" t="s">
        <v>3814</v>
      </c>
      <c r="F1759" t="str">
        <f>HYPERLINK("https://talan.bank.gov.ua/get-user-certificate/45CEl39kRQnUAwUFCtnI","Завантажити сертифікат")</f>
        <v>Завантажити сертифікат</v>
      </c>
    </row>
    <row r="1760" spans="1:6" x14ac:dyDescent="0.3">
      <c r="A1760" t="s">
        <v>3815</v>
      </c>
      <c r="B1760" t="s">
        <v>6</v>
      </c>
      <c r="C1760" t="s">
        <v>3816</v>
      </c>
      <c r="D1760" t="s">
        <v>3813</v>
      </c>
      <c r="E1760" t="s">
        <v>3814</v>
      </c>
      <c r="F1760" t="str">
        <f>HYPERLINK("https://talan.bank.gov.ua/get-user-certificate/45CEl2zyNARz6UYw8Hq9","Завантажити сертифікат")</f>
        <v>Завантажити сертифікат</v>
      </c>
    </row>
    <row r="1761" spans="1:6" x14ac:dyDescent="0.3">
      <c r="A1761" t="s">
        <v>3817</v>
      </c>
      <c r="B1761" t="s">
        <v>6</v>
      </c>
      <c r="C1761" t="s">
        <v>3818</v>
      </c>
      <c r="D1761" t="s">
        <v>3813</v>
      </c>
      <c r="E1761" t="s">
        <v>3814</v>
      </c>
      <c r="F1761" t="str">
        <f>HYPERLINK("https://talan.bank.gov.ua/get-user-certificate/45CEl871xRyrOIBvv016","Завантажити сертифікат")</f>
        <v>Завантажити сертифікат</v>
      </c>
    </row>
    <row r="1762" spans="1:6" x14ac:dyDescent="0.3">
      <c r="A1762" t="s">
        <v>3819</v>
      </c>
      <c r="B1762" t="s">
        <v>6</v>
      </c>
      <c r="C1762" t="s">
        <v>3820</v>
      </c>
      <c r="D1762" t="s">
        <v>3813</v>
      </c>
      <c r="E1762" t="s">
        <v>3814</v>
      </c>
      <c r="F1762" t="str">
        <f>HYPERLINK("https://talan.bank.gov.ua/get-user-certificate/45CEl8O54G1fv6ajytKC","Завантажити сертифікат")</f>
        <v>Завантажити сертифікат</v>
      </c>
    </row>
    <row r="1763" spans="1:6" x14ac:dyDescent="0.3">
      <c r="A1763" t="s">
        <v>3821</v>
      </c>
      <c r="B1763" t="s">
        <v>6</v>
      </c>
      <c r="C1763" t="s">
        <v>3822</v>
      </c>
      <c r="D1763" t="s">
        <v>3813</v>
      </c>
      <c r="E1763" t="s">
        <v>3814</v>
      </c>
      <c r="F1763" t="str">
        <f>HYPERLINK("https://talan.bank.gov.ua/get-user-certificate/45CElGjm8J9fYurqkNi9","Завантажити сертифікат")</f>
        <v>Завантажити сертифікат</v>
      </c>
    </row>
    <row r="1764" spans="1:6" x14ac:dyDescent="0.3">
      <c r="A1764" t="s">
        <v>3823</v>
      </c>
      <c r="B1764" t="s">
        <v>6</v>
      </c>
      <c r="C1764" t="s">
        <v>3824</v>
      </c>
      <c r="D1764" t="s">
        <v>3813</v>
      </c>
      <c r="E1764" t="s">
        <v>3814</v>
      </c>
      <c r="F1764" t="str">
        <f>HYPERLINK("https://talan.bank.gov.ua/get-user-certificate/45CElXkGVDVtMBhGBFi2","Завантажити сертифікат")</f>
        <v>Завантажити сертифікат</v>
      </c>
    </row>
    <row r="1765" spans="1:6" x14ac:dyDescent="0.3">
      <c r="A1765" t="s">
        <v>3825</v>
      </c>
      <c r="B1765" t="s">
        <v>6</v>
      </c>
      <c r="C1765" t="s">
        <v>3826</v>
      </c>
      <c r="D1765" t="s">
        <v>3813</v>
      </c>
      <c r="E1765" t="s">
        <v>3814</v>
      </c>
      <c r="F1765" t="str">
        <f>HYPERLINK("https://talan.bank.gov.ua/get-user-certificate/45CEloUDuS4HxoZWM7-A","Завантажити сертифікат")</f>
        <v>Завантажити сертифікат</v>
      </c>
    </row>
    <row r="1766" spans="1:6" x14ac:dyDescent="0.3">
      <c r="A1766" t="s">
        <v>3827</v>
      </c>
      <c r="B1766" t="s">
        <v>6</v>
      </c>
      <c r="C1766" t="s">
        <v>3828</v>
      </c>
      <c r="D1766" t="s">
        <v>3813</v>
      </c>
      <c r="E1766" t="s">
        <v>3814</v>
      </c>
      <c r="F1766" t="str">
        <f>HYPERLINK("https://talan.bank.gov.ua/get-user-certificate/45CElGJVriZYyBNM9tFd","Завантажити сертифікат")</f>
        <v>Завантажити сертифікат</v>
      </c>
    </row>
    <row r="1767" spans="1:6" x14ac:dyDescent="0.3">
      <c r="A1767" t="s">
        <v>3829</v>
      </c>
      <c r="B1767" t="s">
        <v>6</v>
      </c>
      <c r="C1767" t="s">
        <v>3830</v>
      </c>
      <c r="D1767" t="s">
        <v>3813</v>
      </c>
      <c r="E1767" t="s">
        <v>3814</v>
      </c>
      <c r="F1767" t="str">
        <f>HYPERLINK("https://talan.bank.gov.ua/get-user-certificate/45CEltmmWVfSlNX0d0ok","Завантажити сертифікат")</f>
        <v>Завантажити сертифікат</v>
      </c>
    </row>
    <row r="1768" spans="1:6" x14ac:dyDescent="0.3">
      <c r="A1768" t="s">
        <v>3831</v>
      </c>
      <c r="B1768" t="s">
        <v>6</v>
      </c>
      <c r="C1768" t="s">
        <v>3832</v>
      </c>
      <c r="D1768" t="s">
        <v>3813</v>
      </c>
      <c r="E1768" t="s">
        <v>3814</v>
      </c>
      <c r="F1768" t="str">
        <f>HYPERLINK("https://talan.bank.gov.ua/get-user-certificate/45CElHt82IKPFI5MJdjY","Завантажити сертифікат")</f>
        <v>Завантажити сертифікат</v>
      </c>
    </row>
    <row r="1769" spans="1:6" x14ac:dyDescent="0.3">
      <c r="A1769" t="s">
        <v>3833</v>
      </c>
      <c r="B1769" t="s">
        <v>6</v>
      </c>
      <c r="C1769" t="s">
        <v>3834</v>
      </c>
      <c r="D1769" t="s">
        <v>3835</v>
      </c>
      <c r="E1769" t="s">
        <v>3836</v>
      </c>
      <c r="F1769" t="str">
        <f>HYPERLINK("https://talan.bank.gov.ua/get-user-certificate/45CEl3tAXBz3lq0d69Ib","Завантажити сертифікат")</f>
        <v>Завантажити сертифікат</v>
      </c>
    </row>
    <row r="1770" spans="1:6" x14ac:dyDescent="0.3">
      <c r="A1770" t="s">
        <v>3837</v>
      </c>
      <c r="B1770" t="s">
        <v>6</v>
      </c>
      <c r="C1770" t="s">
        <v>3838</v>
      </c>
      <c r="D1770" t="s">
        <v>3835</v>
      </c>
      <c r="E1770" t="s">
        <v>3836</v>
      </c>
      <c r="F1770" t="str">
        <f>HYPERLINK("https://talan.bank.gov.ua/get-user-certificate/45CElViwjWAPSwSfIn4G","Завантажити сертифікат")</f>
        <v>Завантажити сертифікат</v>
      </c>
    </row>
    <row r="1771" spans="1:6" x14ac:dyDescent="0.3">
      <c r="A1771" t="s">
        <v>3839</v>
      </c>
      <c r="B1771" t="s">
        <v>6</v>
      </c>
      <c r="C1771" t="s">
        <v>3840</v>
      </c>
      <c r="D1771" t="s">
        <v>3835</v>
      </c>
      <c r="E1771" t="s">
        <v>3836</v>
      </c>
      <c r="F1771" t="str">
        <f>HYPERLINK("https://talan.bank.gov.ua/get-user-certificate/45CElHgHb2lUpbwUyJR2","Завантажити сертифікат")</f>
        <v>Завантажити сертифікат</v>
      </c>
    </row>
    <row r="1772" spans="1:6" x14ac:dyDescent="0.3">
      <c r="A1772" t="s">
        <v>3841</v>
      </c>
      <c r="B1772" t="s">
        <v>6</v>
      </c>
      <c r="C1772" t="s">
        <v>3842</v>
      </c>
      <c r="D1772" t="s">
        <v>3835</v>
      </c>
      <c r="E1772" t="s">
        <v>3836</v>
      </c>
      <c r="F1772" t="str">
        <f>HYPERLINK("https://talan.bank.gov.ua/get-user-certificate/45CElhPkrVdzCWm9AMbd","Завантажити сертифікат")</f>
        <v>Завантажити сертифікат</v>
      </c>
    </row>
    <row r="1773" spans="1:6" x14ac:dyDescent="0.3">
      <c r="A1773" t="s">
        <v>3843</v>
      </c>
      <c r="B1773" t="s">
        <v>6</v>
      </c>
      <c r="C1773" t="s">
        <v>3844</v>
      </c>
      <c r="D1773" t="s">
        <v>3835</v>
      </c>
      <c r="E1773" t="s">
        <v>3836</v>
      </c>
      <c r="F1773" t="str">
        <f>HYPERLINK("https://talan.bank.gov.ua/get-user-certificate/45CElNhVw0r61nXYxToh","Завантажити сертифікат")</f>
        <v>Завантажити сертифікат</v>
      </c>
    </row>
    <row r="1774" spans="1:6" x14ac:dyDescent="0.3">
      <c r="A1774" t="s">
        <v>3845</v>
      </c>
      <c r="B1774" t="s">
        <v>6</v>
      </c>
      <c r="C1774" t="s">
        <v>3846</v>
      </c>
      <c r="D1774" t="s">
        <v>3835</v>
      </c>
      <c r="E1774" t="s">
        <v>3836</v>
      </c>
      <c r="F1774" t="str">
        <f>HYPERLINK("https://talan.bank.gov.ua/get-user-certificate/45CElYO5G6m8JNZoFVHx","Завантажити сертифікат")</f>
        <v>Завантажити сертифікат</v>
      </c>
    </row>
    <row r="1775" spans="1:6" x14ac:dyDescent="0.3">
      <c r="A1775" t="s">
        <v>3847</v>
      </c>
      <c r="B1775" t="s">
        <v>6</v>
      </c>
      <c r="C1775" t="s">
        <v>3848</v>
      </c>
      <c r="D1775" t="s">
        <v>3835</v>
      </c>
      <c r="E1775" t="s">
        <v>3836</v>
      </c>
      <c r="F1775" t="str">
        <f>HYPERLINK("https://talan.bank.gov.ua/get-user-certificate/45CElxb97C7U5LRz9a3s","Завантажити сертифікат")</f>
        <v>Завантажити сертифікат</v>
      </c>
    </row>
    <row r="1776" spans="1:6" x14ac:dyDescent="0.3">
      <c r="A1776" t="s">
        <v>3849</v>
      </c>
      <c r="B1776" t="s">
        <v>6</v>
      </c>
      <c r="C1776" t="s">
        <v>3850</v>
      </c>
      <c r="D1776" t="s">
        <v>3835</v>
      </c>
      <c r="E1776" t="s">
        <v>3836</v>
      </c>
      <c r="F1776" t="str">
        <f>HYPERLINK("https://talan.bank.gov.ua/get-user-certificate/45CEl90E-Oz2iUsBVHkv","Завантажити сертифікат")</f>
        <v>Завантажити сертифікат</v>
      </c>
    </row>
    <row r="1777" spans="1:6" x14ac:dyDescent="0.3">
      <c r="A1777" t="s">
        <v>3851</v>
      </c>
      <c r="B1777" t="s">
        <v>6</v>
      </c>
      <c r="C1777" t="s">
        <v>3852</v>
      </c>
      <c r="D1777" t="s">
        <v>3835</v>
      </c>
      <c r="E1777" t="s">
        <v>3836</v>
      </c>
      <c r="F1777" t="str">
        <f>HYPERLINK("https://talan.bank.gov.ua/get-user-certificate/45CElUmVMVesKvlvuphC","Завантажити сертифікат")</f>
        <v>Завантажити сертифікат</v>
      </c>
    </row>
    <row r="1778" spans="1:6" x14ac:dyDescent="0.3">
      <c r="A1778" t="s">
        <v>3853</v>
      </c>
      <c r="B1778" t="s">
        <v>6</v>
      </c>
      <c r="C1778" t="s">
        <v>3854</v>
      </c>
      <c r="D1778" t="s">
        <v>3835</v>
      </c>
      <c r="E1778" t="s">
        <v>3836</v>
      </c>
      <c r="F1778" t="str">
        <f>HYPERLINK("https://talan.bank.gov.ua/get-user-certificate/45CElu7PX4flGGY0e_LV","Завантажити сертифікат")</f>
        <v>Завантажити сертифікат</v>
      </c>
    </row>
    <row r="1779" spans="1:6" x14ac:dyDescent="0.3">
      <c r="A1779" t="s">
        <v>3855</v>
      </c>
      <c r="B1779" t="s">
        <v>6</v>
      </c>
      <c r="C1779" t="s">
        <v>3856</v>
      </c>
      <c r="D1779" t="s">
        <v>3835</v>
      </c>
      <c r="E1779" t="s">
        <v>3836</v>
      </c>
      <c r="F1779" t="str">
        <f>HYPERLINK("https://talan.bank.gov.ua/get-user-certificate/45CElQrHEJZGJOJY1sZQ","Завантажити сертифікат")</f>
        <v>Завантажити сертифікат</v>
      </c>
    </row>
    <row r="1780" spans="1:6" x14ac:dyDescent="0.3">
      <c r="A1780" t="s">
        <v>3857</v>
      </c>
      <c r="B1780" t="s">
        <v>6</v>
      </c>
      <c r="C1780" t="s">
        <v>3858</v>
      </c>
      <c r="D1780" t="s">
        <v>3835</v>
      </c>
      <c r="E1780" t="s">
        <v>3836</v>
      </c>
      <c r="F1780" t="str">
        <f>HYPERLINK("https://talan.bank.gov.ua/get-user-certificate/45CElIhlnYWN6b2WlV1z","Завантажити сертифікат")</f>
        <v>Завантажити сертифікат</v>
      </c>
    </row>
    <row r="1781" spans="1:6" x14ac:dyDescent="0.3">
      <c r="A1781" t="s">
        <v>3859</v>
      </c>
      <c r="B1781" t="s">
        <v>6</v>
      </c>
      <c r="C1781" t="s">
        <v>3860</v>
      </c>
      <c r="D1781" t="s">
        <v>3835</v>
      </c>
      <c r="E1781" t="s">
        <v>3836</v>
      </c>
      <c r="F1781" t="str">
        <f>HYPERLINK("https://talan.bank.gov.ua/get-user-certificate/45CElDysOfhlr0Wan6gv","Завантажити сертифікат")</f>
        <v>Завантажити сертифікат</v>
      </c>
    </row>
    <row r="1782" spans="1:6" x14ac:dyDescent="0.3">
      <c r="A1782" t="s">
        <v>3861</v>
      </c>
      <c r="B1782" t="s">
        <v>6</v>
      </c>
      <c r="C1782" t="s">
        <v>3862</v>
      </c>
      <c r="D1782" t="s">
        <v>3835</v>
      </c>
      <c r="E1782" t="s">
        <v>3836</v>
      </c>
      <c r="F1782" t="str">
        <f>HYPERLINK("https://talan.bank.gov.ua/get-user-certificate/45CElayv6zWTWLo9goFA","Завантажити сертифікат")</f>
        <v>Завантажити сертифікат</v>
      </c>
    </row>
    <row r="1783" spans="1:6" x14ac:dyDescent="0.3">
      <c r="A1783" t="s">
        <v>3863</v>
      </c>
      <c r="B1783" t="s">
        <v>6</v>
      </c>
      <c r="C1783" t="s">
        <v>3864</v>
      </c>
      <c r="D1783" t="s">
        <v>3835</v>
      </c>
      <c r="E1783" t="s">
        <v>3836</v>
      </c>
      <c r="F1783" t="str">
        <f>HYPERLINK("https://talan.bank.gov.ua/get-user-certificate/45CElLH08LL0IkS4r9GD","Завантажити сертифікат")</f>
        <v>Завантажити сертифікат</v>
      </c>
    </row>
    <row r="1784" spans="1:6" x14ac:dyDescent="0.3">
      <c r="A1784" t="s">
        <v>3865</v>
      </c>
      <c r="B1784" t="s">
        <v>6</v>
      </c>
      <c r="C1784" t="s">
        <v>3866</v>
      </c>
      <c r="D1784" t="s">
        <v>3835</v>
      </c>
      <c r="E1784" t="s">
        <v>3836</v>
      </c>
      <c r="F1784" t="str">
        <f>HYPERLINK("https://talan.bank.gov.ua/get-user-certificate/45CElhNFjj2VCOuTM_wt","Завантажити сертифікат")</f>
        <v>Завантажити сертифікат</v>
      </c>
    </row>
    <row r="1785" spans="1:6" x14ac:dyDescent="0.3">
      <c r="A1785" t="s">
        <v>3867</v>
      </c>
      <c r="B1785" t="s">
        <v>6</v>
      </c>
      <c r="C1785" t="s">
        <v>3868</v>
      </c>
      <c r="D1785" t="s">
        <v>3869</v>
      </c>
      <c r="E1785" t="s">
        <v>3870</v>
      </c>
      <c r="F1785" t="str">
        <f>HYPERLINK("https://talan.bank.gov.ua/get-user-certificate/45CElNIXauFeF3CjN2Gw","Завантажити сертифікат")</f>
        <v>Завантажити сертифікат</v>
      </c>
    </row>
    <row r="1786" spans="1:6" x14ac:dyDescent="0.3">
      <c r="A1786" t="s">
        <v>3871</v>
      </c>
      <c r="B1786" t="s">
        <v>6</v>
      </c>
      <c r="C1786" t="s">
        <v>3872</v>
      </c>
      <c r="D1786" t="s">
        <v>3869</v>
      </c>
      <c r="E1786" t="s">
        <v>3870</v>
      </c>
      <c r="F1786" t="str">
        <f>HYPERLINK("https://talan.bank.gov.ua/get-user-certificate/45CEl9puKl15zmYDG1D8","Завантажити сертифікат")</f>
        <v>Завантажити сертифікат</v>
      </c>
    </row>
    <row r="1787" spans="1:6" x14ac:dyDescent="0.3">
      <c r="A1787" t="s">
        <v>3873</v>
      </c>
      <c r="B1787" t="s">
        <v>6</v>
      </c>
      <c r="C1787" t="s">
        <v>3874</v>
      </c>
      <c r="D1787" t="s">
        <v>3869</v>
      </c>
      <c r="E1787" t="s">
        <v>3870</v>
      </c>
      <c r="F1787" t="str">
        <f>HYPERLINK("https://talan.bank.gov.ua/get-user-certificate/45CElKLO-Ly-ZXXpSzrh","Завантажити сертифікат")</f>
        <v>Завантажити сертифікат</v>
      </c>
    </row>
    <row r="1788" spans="1:6" x14ac:dyDescent="0.3">
      <c r="A1788" t="s">
        <v>3875</v>
      </c>
      <c r="B1788" t="s">
        <v>6</v>
      </c>
      <c r="C1788" t="s">
        <v>3876</v>
      </c>
      <c r="D1788" t="s">
        <v>3869</v>
      </c>
      <c r="E1788" t="s">
        <v>3870</v>
      </c>
      <c r="F1788" t="str">
        <f>HYPERLINK("https://talan.bank.gov.ua/get-user-certificate/45CElU_Y5hGv9EBByhoa","Завантажити сертифікат")</f>
        <v>Завантажити сертифікат</v>
      </c>
    </row>
    <row r="1789" spans="1:6" x14ac:dyDescent="0.3">
      <c r="A1789" t="s">
        <v>3877</v>
      </c>
      <c r="B1789" t="s">
        <v>6</v>
      </c>
      <c r="C1789" t="s">
        <v>3878</v>
      </c>
      <c r="D1789" t="s">
        <v>3869</v>
      </c>
      <c r="E1789" t="s">
        <v>3870</v>
      </c>
      <c r="F1789" t="str">
        <f>HYPERLINK("https://talan.bank.gov.ua/get-user-certificate/45CElgdRUvOGUy0Whj-B","Завантажити сертифікат")</f>
        <v>Завантажити сертифікат</v>
      </c>
    </row>
    <row r="1790" spans="1:6" x14ac:dyDescent="0.3">
      <c r="A1790" t="s">
        <v>3879</v>
      </c>
      <c r="B1790" t="s">
        <v>6</v>
      </c>
      <c r="C1790" t="s">
        <v>3880</v>
      </c>
      <c r="D1790" t="s">
        <v>3869</v>
      </c>
      <c r="E1790" t="s">
        <v>3870</v>
      </c>
      <c r="F1790" t="str">
        <f>HYPERLINK("https://talan.bank.gov.ua/get-user-certificate/45CElJeXaLAOoy2AAeoB","Завантажити сертифікат")</f>
        <v>Завантажити сертифікат</v>
      </c>
    </row>
    <row r="1791" spans="1:6" x14ac:dyDescent="0.3">
      <c r="A1791" t="s">
        <v>3881</v>
      </c>
      <c r="B1791" t="s">
        <v>6</v>
      </c>
      <c r="C1791" t="s">
        <v>3882</v>
      </c>
      <c r="D1791" t="s">
        <v>3869</v>
      </c>
      <c r="E1791" t="s">
        <v>3870</v>
      </c>
      <c r="F1791" t="str">
        <f>HYPERLINK("https://talan.bank.gov.ua/get-user-certificate/45CElQ44qYscCxAvhtyF","Завантажити сертифікат")</f>
        <v>Завантажити сертифікат</v>
      </c>
    </row>
    <row r="1792" spans="1:6" x14ac:dyDescent="0.3">
      <c r="A1792" t="s">
        <v>3883</v>
      </c>
      <c r="B1792" t="s">
        <v>6</v>
      </c>
      <c r="C1792" t="s">
        <v>3884</v>
      </c>
      <c r="D1792" t="s">
        <v>3869</v>
      </c>
      <c r="E1792" t="s">
        <v>3870</v>
      </c>
      <c r="F1792" t="str">
        <f>HYPERLINK("https://talan.bank.gov.ua/get-user-certificate/45CElVafa5Rr4D_feMSo","Завантажити сертифікат")</f>
        <v>Завантажити сертифікат</v>
      </c>
    </row>
    <row r="1793" spans="1:6" x14ac:dyDescent="0.3">
      <c r="A1793" t="s">
        <v>3885</v>
      </c>
      <c r="B1793" t="s">
        <v>6</v>
      </c>
      <c r="C1793" t="s">
        <v>3886</v>
      </c>
      <c r="D1793" t="s">
        <v>3869</v>
      </c>
      <c r="E1793" t="s">
        <v>3870</v>
      </c>
      <c r="F1793" t="str">
        <f>HYPERLINK("https://talan.bank.gov.ua/get-user-certificate/45CEl8fO9BrZasSoupjT","Завантажити сертифікат")</f>
        <v>Завантажити сертифікат</v>
      </c>
    </row>
    <row r="1794" spans="1:6" x14ac:dyDescent="0.3">
      <c r="A1794" t="s">
        <v>3887</v>
      </c>
      <c r="B1794" t="s">
        <v>6</v>
      </c>
      <c r="C1794" t="s">
        <v>3888</v>
      </c>
      <c r="D1794" t="s">
        <v>3869</v>
      </c>
      <c r="E1794" t="s">
        <v>3870</v>
      </c>
      <c r="F1794" t="str">
        <f>HYPERLINK("https://talan.bank.gov.ua/get-user-certificate/45CElBylVRkAtopdxh1I","Завантажити сертифікат")</f>
        <v>Завантажити сертифікат</v>
      </c>
    </row>
    <row r="1795" spans="1:6" x14ac:dyDescent="0.3">
      <c r="A1795" t="s">
        <v>3889</v>
      </c>
      <c r="B1795" t="s">
        <v>6</v>
      </c>
      <c r="C1795" t="s">
        <v>3890</v>
      </c>
      <c r="D1795" t="s">
        <v>3869</v>
      </c>
      <c r="E1795" t="s">
        <v>3870</v>
      </c>
      <c r="F1795" t="str">
        <f>HYPERLINK("https://talan.bank.gov.ua/get-user-certificate/45CElnxUibHkFdr2EXjZ","Завантажити сертифікат")</f>
        <v>Завантажити сертифікат</v>
      </c>
    </row>
    <row r="1796" spans="1:6" x14ac:dyDescent="0.3">
      <c r="A1796" t="s">
        <v>3891</v>
      </c>
      <c r="B1796" t="s">
        <v>6</v>
      </c>
      <c r="C1796" t="s">
        <v>3892</v>
      </c>
      <c r="D1796" t="s">
        <v>3869</v>
      </c>
      <c r="E1796" t="s">
        <v>3870</v>
      </c>
      <c r="F1796" t="str">
        <f>HYPERLINK("https://talan.bank.gov.ua/get-user-certificate/45CEle6vJT2oniT1zfOo","Завантажити сертифікат")</f>
        <v>Завантажити сертифікат</v>
      </c>
    </row>
    <row r="1797" spans="1:6" x14ac:dyDescent="0.3">
      <c r="A1797" t="s">
        <v>3893</v>
      </c>
      <c r="B1797" t="s">
        <v>6</v>
      </c>
      <c r="C1797" t="s">
        <v>3894</v>
      </c>
      <c r="D1797" t="s">
        <v>3869</v>
      </c>
      <c r="E1797" t="s">
        <v>3870</v>
      </c>
      <c r="F1797" t="str">
        <f>HYPERLINK("https://talan.bank.gov.ua/get-user-certificate/45CEl5GqO4cO4dOz36Eb","Завантажити сертифікат")</f>
        <v>Завантажити сертифікат</v>
      </c>
    </row>
    <row r="1798" spans="1:6" x14ac:dyDescent="0.3">
      <c r="A1798" t="s">
        <v>3895</v>
      </c>
      <c r="B1798" t="s">
        <v>6</v>
      </c>
      <c r="C1798" t="s">
        <v>3896</v>
      </c>
      <c r="D1798" t="s">
        <v>3869</v>
      </c>
      <c r="E1798" t="s">
        <v>3870</v>
      </c>
      <c r="F1798" t="str">
        <f>HYPERLINK("https://talan.bank.gov.ua/get-user-certificate/45CElTa3VisT8YnfJAmu","Завантажити сертифікат")</f>
        <v>Завантажити сертифікат</v>
      </c>
    </row>
    <row r="1799" spans="1:6" x14ac:dyDescent="0.3">
      <c r="A1799" t="s">
        <v>3897</v>
      </c>
      <c r="B1799" t="s">
        <v>6</v>
      </c>
      <c r="C1799" t="s">
        <v>3898</v>
      </c>
      <c r="D1799" t="s">
        <v>3869</v>
      </c>
      <c r="E1799" t="s">
        <v>3870</v>
      </c>
      <c r="F1799" t="str">
        <f>HYPERLINK("https://talan.bank.gov.ua/get-user-certificate/45CElH3e-fZS-I2c1UtI","Завантажити сертифікат")</f>
        <v>Завантажити сертифікат</v>
      </c>
    </row>
    <row r="1800" spans="1:6" x14ac:dyDescent="0.3">
      <c r="A1800" t="s">
        <v>3899</v>
      </c>
      <c r="B1800" t="s">
        <v>6</v>
      </c>
      <c r="C1800" t="s">
        <v>3900</v>
      </c>
      <c r="D1800" t="s">
        <v>3869</v>
      </c>
      <c r="E1800" t="s">
        <v>3870</v>
      </c>
      <c r="F1800" t="str">
        <f>HYPERLINK("https://talan.bank.gov.ua/get-user-certificate/45CEl4_aXBL2LX-hK2Ip","Завантажити сертифікат")</f>
        <v>Завантажити сертифікат</v>
      </c>
    </row>
    <row r="1801" spans="1:6" x14ac:dyDescent="0.3">
      <c r="A1801" t="s">
        <v>3901</v>
      </c>
      <c r="B1801" t="s">
        <v>6</v>
      </c>
      <c r="C1801" t="s">
        <v>3902</v>
      </c>
      <c r="D1801" t="s">
        <v>3869</v>
      </c>
      <c r="E1801" t="s">
        <v>3870</v>
      </c>
      <c r="F1801" t="str">
        <f>HYPERLINK("https://talan.bank.gov.ua/get-user-certificate/45CElY74xijHqSXi1KYC","Завантажити сертифікат")</f>
        <v>Завантажити сертифікат</v>
      </c>
    </row>
    <row r="1802" spans="1:6" x14ac:dyDescent="0.3">
      <c r="A1802" t="s">
        <v>3903</v>
      </c>
      <c r="B1802" t="s">
        <v>6</v>
      </c>
      <c r="C1802" t="s">
        <v>3904</v>
      </c>
      <c r="D1802" t="s">
        <v>3869</v>
      </c>
      <c r="E1802" t="s">
        <v>3870</v>
      </c>
      <c r="F1802" t="str">
        <f>HYPERLINK("https://talan.bank.gov.ua/get-user-certificate/45CElVZk7XwGx-_mViYd","Завантажити сертифікат")</f>
        <v>Завантажити сертифікат</v>
      </c>
    </row>
    <row r="1803" spans="1:6" x14ac:dyDescent="0.3">
      <c r="A1803" t="s">
        <v>3905</v>
      </c>
      <c r="B1803" t="s">
        <v>6</v>
      </c>
      <c r="C1803" t="s">
        <v>3906</v>
      </c>
      <c r="D1803" t="s">
        <v>3869</v>
      </c>
      <c r="E1803" t="s">
        <v>3870</v>
      </c>
      <c r="F1803" t="str">
        <f>HYPERLINK("https://talan.bank.gov.ua/get-user-certificate/45CEli8V9pJpxEvXjZ8r","Завантажити сертифікат")</f>
        <v>Завантажити сертифікат</v>
      </c>
    </row>
    <row r="1804" spans="1:6" x14ac:dyDescent="0.3">
      <c r="A1804" t="s">
        <v>3907</v>
      </c>
      <c r="B1804" t="s">
        <v>6</v>
      </c>
      <c r="C1804" t="s">
        <v>3908</v>
      </c>
      <c r="D1804" t="s">
        <v>3869</v>
      </c>
      <c r="E1804" t="s">
        <v>3870</v>
      </c>
      <c r="F1804" t="str">
        <f>HYPERLINK("https://talan.bank.gov.ua/get-user-certificate/45CEl5evwtWXuWG_8vhg","Завантажити сертифікат")</f>
        <v>Завантажити сертифікат</v>
      </c>
    </row>
    <row r="1805" spans="1:6" x14ac:dyDescent="0.3">
      <c r="A1805" t="s">
        <v>3909</v>
      </c>
      <c r="B1805" t="s">
        <v>6</v>
      </c>
      <c r="C1805" t="s">
        <v>3910</v>
      </c>
      <c r="D1805" t="s">
        <v>3869</v>
      </c>
      <c r="E1805" t="s">
        <v>3870</v>
      </c>
      <c r="F1805" t="str">
        <f>HYPERLINK("https://talan.bank.gov.ua/get-user-certificate/45CElAMeJFfzVcy5QdLU","Завантажити сертифікат")</f>
        <v>Завантажити сертифікат</v>
      </c>
    </row>
    <row r="1806" spans="1:6" x14ac:dyDescent="0.3">
      <c r="A1806" t="s">
        <v>3911</v>
      </c>
      <c r="B1806" t="s">
        <v>6</v>
      </c>
      <c r="C1806" t="s">
        <v>3912</v>
      </c>
      <c r="D1806" t="s">
        <v>3869</v>
      </c>
      <c r="E1806" t="s">
        <v>3870</v>
      </c>
      <c r="F1806" t="str">
        <f>HYPERLINK("https://talan.bank.gov.ua/get-user-certificate/45CElFrhkXZldpEbwMjm","Завантажити сертифікат")</f>
        <v>Завантажити сертифікат</v>
      </c>
    </row>
    <row r="1807" spans="1:6" x14ac:dyDescent="0.3">
      <c r="A1807" t="s">
        <v>3913</v>
      </c>
      <c r="B1807" t="s">
        <v>6</v>
      </c>
      <c r="C1807" t="s">
        <v>3914</v>
      </c>
      <c r="D1807" t="s">
        <v>3869</v>
      </c>
      <c r="E1807" t="s">
        <v>3870</v>
      </c>
      <c r="F1807" t="str">
        <f>HYPERLINK("https://talan.bank.gov.ua/get-user-certificate/45CElD18X3QcUjd2r6t_","Завантажити сертифікат")</f>
        <v>Завантажити сертифікат</v>
      </c>
    </row>
    <row r="1808" spans="1:6" x14ac:dyDescent="0.3">
      <c r="A1808" t="s">
        <v>3915</v>
      </c>
      <c r="B1808" t="s">
        <v>6</v>
      </c>
      <c r="C1808" t="s">
        <v>3916</v>
      </c>
      <c r="D1808" t="s">
        <v>3917</v>
      </c>
      <c r="E1808" t="s">
        <v>3918</v>
      </c>
      <c r="F1808" t="str">
        <f>HYPERLINK("https://talan.bank.gov.ua/get-user-certificate/45CElpt-0UfqNbPK8WRF","Завантажити сертифікат")</f>
        <v>Завантажити сертифікат</v>
      </c>
    </row>
    <row r="1809" spans="1:6" x14ac:dyDescent="0.3">
      <c r="A1809" t="s">
        <v>3919</v>
      </c>
      <c r="B1809" t="s">
        <v>6</v>
      </c>
      <c r="C1809" t="s">
        <v>3920</v>
      </c>
      <c r="D1809" t="s">
        <v>3917</v>
      </c>
      <c r="E1809" t="s">
        <v>3918</v>
      </c>
      <c r="F1809" t="str">
        <f>HYPERLINK("https://talan.bank.gov.ua/get-user-certificate/45CElnk3P6nkMsz3qyJM","Завантажити сертифікат")</f>
        <v>Завантажити сертифікат</v>
      </c>
    </row>
    <row r="1810" spans="1:6" x14ac:dyDescent="0.3">
      <c r="A1810" t="s">
        <v>3921</v>
      </c>
      <c r="B1810" t="s">
        <v>6</v>
      </c>
      <c r="C1810" t="s">
        <v>3922</v>
      </c>
      <c r="D1810" t="s">
        <v>3917</v>
      </c>
      <c r="E1810" t="s">
        <v>3918</v>
      </c>
      <c r="F1810" t="str">
        <f>HYPERLINK("https://talan.bank.gov.ua/get-user-certificate/45CElINPrJUFLc7AOpwC","Завантажити сертифікат")</f>
        <v>Завантажити сертифікат</v>
      </c>
    </row>
    <row r="1811" spans="1:6" x14ac:dyDescent="0.3">
      <c r="A1811" t="s">
        <v>3923</v>
      </c>
      <c r="B1811" t="s">
        <v>6</v>
      </c>
      <c r="C1811" t="s">
        <v>3924</v>
      </c>
      <c r="D1811" t="s">
        <v>3917</v>
      </c>
      <c r="E1811" t="s">
        <v>3918</v>
      </c>
      <c r="F1811" t="str">
        <f>HYPERLINK("https://talan.bank.gov.ua/get-user-certificate/45CEl9xU8KD0uwT4NTCB","Завантажити сертифікат")</f>
        <v>Завантажити сертифікат</v>
      </c>
    </row>
    <row r="1812" spans="1:6" x14ac:dyDescent="0.3">
      <c r="A1812" t="s">
        <v>3925</v>
      </c>
      <c r="B1812" t="s">
        <v>6</v>
      </c>
      <c r="C1812" t="s">
        <v>3926</v>
      </c>
      <c r="D1812" t="s">
        <v>3917</v>
      </c>
      <c r="E1812" t="s">
        <v>3918</v>
      </c>
      <c r="F1812" t="str">
        <f>HYPERLINK("https://talan.bank.gov.ua/get-user-certificate/45CElFKTQtIolWNWvVCa","Завантажити сертифікат")</f>
        <v>Завантажити сертифікат</v>
      </c>
    </row>
    <row r="1813" spans="1:6" x14ac:dyDescent="0.3">
      <c r="A1813" t="s">
        <v>3927</v>
      </c>
      <c r="B1813" t="s">
        <v>6</v>
      </c>
      <c r="C1813" t="s">
        <v>3928</v>
      </c>
      <c r="D1813" t="s">
        <v>3917</v>
      </c>
      <c r="E1813" t="s">
        <v>3918</v>
      </c>
      <c r="F1813" t="str">
        <f>HYPERLINK("https://talan.bank.gov.ua/get-user-certificate/45CElPa5ZdXRKRyEQ7Pt","Завантажити сертифікат")</f>
        <v>Завантажити сертифікат</v>
      </c>
    </row>
    <row r="1814" spans="1:6" x14ac:dyDescent="0.3">
      <c r="A1814" t="s">
        <v>3929</v>
      </c>
      <c r="B1814" t="s">
        <v>6</v>
      </c>
      <c r="C1814" t="s">
        <v>3930</v>
      </c>
      <c r="D1814" t="s">
        <v>3917</v>
      </c>
      <c r="E1814" t="s">
        <v>3918</v>
      </c>
      <c r="F1814" t="str">
        <f>HYPERLINK("https://talan.bank.gov.ua/get-user-certificate/45CElnY4nhmnY_83Cf1J","Завантажити сертифікат")</f>
        <v>Завантажити сертифікат</v>
      </c>
    </row>
    <row r="1815" spans="1:6" x14ac:dyDescent="0.3">
      <c r="A1815" t="s">
        <v>3931</v>
      </c>
      <c r="B1815" t="s">
        <v>6</v>
      </c>
      <c r="C1815" t="s">
        <v>3932</v>
      </c>
      <c r="D1815" t="s">
        <v>3917</v>
      </c>
      <c r="E1815" t="s">
        <v>3918</v>
      </c>
      <c r="F1815" t="str">
        <f>HYPERLINK("https://talan.bank.gov.ua/get-user-certificate/45CElQEPfStvpwOPNqx9","Завантажити сертифікат")</f>
        <v>Завантажити сертифікат</v>
      </c>
    </row>
    <row r="1816" spans="1:6" x14ac:dyDescent="0.3">
      <c r="A1816" t="s">
        <v>3933</v>
      </c>
      <c r="B1816" t="s">
        <v>6</v>
      </c>
      <c r="C1816" t="s">
        <v>3934</v>
      </c>
      <c r="D1816" t="s">
        <v>3917</v>
      </c>
      <c r="E1816" t="s">
        <v>3918</v>
      </c>
      <c r="F1816" t="str">
        <f>HYPERLINK("https://talan.bank.gov.ua/get-user-certificate/45CElAa529wKc0c6rPEJ","Завантажити сертифікат")</f>
        <v>Завантажити сертифікат</v>
      </c>
    </row>
    <row r="1817" spans="1:6" x14ac:dyDescent="0.3">
      <c r="A1817" t="s">
        <v>3935</v>
      </c>
      <c r="B1817" t="s">
        <v>6</v>
      </c>
      <c r="C1817" t="s">
        <v>3936</v>
      </c>
      <c r="D1817" t="s">
        <v>3917</v>
      </c>
      <c r="E1817" t="s">
        <v>3918</v>
      </c>
      <c r="F1817" t="str">
        <f>HYPERLINK("https://talan.bank.gov.ua/get-user-certificate/45CElJ8XVGlK_9SRYgTR","Завантажити сертифікат")</f>
        <v>Завантажити сертифікат</v>
      </c>
    </row>
    <row r="1818" spans="1:6" x14ac:dyDescent="0.3">
      <c r="A1818" t="s">
        <v>3937</v>
      </c>
      <c r="B1818" t="s">
        <v>6</v>
      </c>
      <c r="C1818" t="s">
        <v>3938</v>
      </c>
      <c r="D1818" t="s">
        <v>3917</v>
      </c>
      <c r="E1818" t="s">
        <v>3918</v>
      </c>
      <c r="F1818" t="str">
        <f>HYPERLINK("https://talan.bank.gov.ua/get-user-certificate/45CElaiBzkAgx71Ob2TB","Завантажити сертифікат")</f>
        <v>Завантажити сертифікат</v>
      </c>
    </row>
    <row r="1819" spans="1:6" x14ac:dyDescent="0.3">
      <c r="A1819" t="s">
        <v>3939</v>
      </c>
      <c r="B1819" t="s">
        <v>6</v>
      </c>
      <c r="C1819" t="s">
        <v>3940</v>
      </c>
      <c r="D1819" t="s">
        <v>3917</v>
      </c>
      <c r="E1819" t="s">
        <v>3918</v>
      </c>
      <c r="F1819" t="str">
        <f>HYPERLINK("https://talan.bank.gov.ua/get-user-certificate/45CEl381xKeUYE-p-gTk","Завантажити сертифікат")</f>
        <v>Завантажити сертифікат</v>
      </c>
    </row>
    <row r="1820" spans="1:6" x14ac:dyDescent="0.3">
      <c r="A1820" t="s">
        <v>3941</v>
      </c>
      <c r="B1820" t="s">
        <v>6</v>
      </c>
      <c r="C1820" t="s">
        <v>3942</v>
      </c>
      <c r="D1820" t="s">
        <v>3917</v>
      </c>
      <c r="E1820" t="s">
        <v>3918</v>
      </c>
      <c r="F1820" t="str">
        <f>HYPERLINK("https://talan.bank.gov.ua/get-user-certificate/45CEl7aJx96ZyNqfXrXX","Завантажити сертифікат")</f>
        <v>Завантажити сертифікат</v>
      </c>
    </row>
    <row r="1821" spans="1:6" x14ac:dyDescent="0.3">
      <c r="A1821" t="s">
        <v>3943</v>
      </c>
      <c r="B1821" t="s">
        <v>6</v>
      </c>
      <c r="C1821" t="s">
        <v>3944</v>
      </c>
      <c r="D1821" t="s">
        <v>3917</v>
      </c>
      <c r="E1821" t="s">
        <v>3918</v>
      </c>
      <c r="F1821" t="str">
        <f>HYPERLINK("https://talan.bank.gov.ua/get-user-certificate/45CEl9WFcLxaURsPoWO9","Завантажити сертифікат")</f>
        <v>Завантажити сертифікат</v>
      </c>
    </row>
    <row r="1822" spans="1:6" x14ac:dyDescent="0.3">
      <c r="A1822" t="s">
        <v>3945</v>
      </c>
      <c r="B1822" t="s">
        <v>6</v>
      </c>
      <c r="C1822" t="s">
        <v>3946</v>
      </c>
      <c r="D1822" t="s">
        <v>3917</v>
      </c>
      <c r="E1822" t="s">
        <v>3918</v>
      </c>
      <c r="F1822" t="str">
        <f>HYPERLINK("https://talan.bank.gov.ua/get-user-certificate/45CElOygD20TFriZjW4R","Завантажити сертифікат")</f>
        <v>Завантажити сертифікат</v>
      </c>
    </row>
    <row r="1823" spans="1:6" x14ac:dyDescent="0.3">
      <c r="A1823" t="s">
        <v>3947</v>
      </c>
      <c r="B1823" t="s">
        <v>6</v>
      </c>
      <c r="C1823" t="s">
        <v>3948</v>
      </c>
      <c r="D1823" t="s">
        <v>3917</v>
      </c>
      <c r="E1823" t="s">
        <v>3918</v>
      </c>
      <c r="F1823" t="str">
        <f>HYPERLINK("https://talan.bank.gov.ua/get-user-certificate/45CElI6kSitMx4E91xOK","Завантажити сертифікат")</f>
        <v>Завантажити сертифікат</v>
      </c>
    </row>
    <row r="1824" spans="1:6" x14ac:dyDescent="0.3">
      <c r="A1824" t="s">
        <v>3949</v>
      </c>
      <c r="B1824" t="s">
        <v>6</v>
      </c>
      <c r="C1824" t="s">
        <v>3950</v>
      </c>
      <c r="D1824" t="s">
        <v>3917</v>
      </c>
      <c r="E1824" t="s">
        <v>3918</v>
      </c>
      <c r="F1824" t="str">
        <f>HYPERLINK("https://talan.bank.gov.ua/get-user-certificate/45CElGr5L6DV7__9gv4i","Завантажити сертифікат")</f>
        <v>Завантажити сертифікат</v>
      </c>
    </row>
    <row r="1825" spans="1:6" x14ac:dyDescent="0.3">
      <c r="A1825" t="s">
        <v>3951</v>
      </c>
      <c r="B1825" t="s">
        <v>6</v>
      </c>
      <c r="C1825" t="s">
        <v>3952</v>
      </c>
      <c r="D1825" t="s">
        <v>3917</v>
      </c>
      <c r="E1825" t="s">
        <v>3918</v>
      </c>
      <c r="F1825" t="str">
        <f>HYPERLINK("https://talan.bank.gov.ua/get-user-certificate/45CElEvsMYRhxb-1y_w-","Завантажити сертифікат")</f>
        <v>Завантажити сертифікат</v>
      </c>
    </row>
    <row r="1826" spans="1:6" x14ac:dyDescent="0.3">
      <c r="A1826" t="s">
        <v>3953</v>
      </c>
      <c r="B1826" t="s">
        <v>6</v>
      </c>
      <c r="C1826" t="s">
        <v>3954</v>
      </c>
      <c r="D1826" t="s">
        <v>3917</v>
      </c>
      <c r="E1826" t="s">
        <v>3918</v>
      </c>
      <c r="F1826" t="str">
        <f>HYPERLINK("https://talan.bank.gov.ua/get-user-certificate/45CEl6AYTzQjSjHPmdfX","Завантажити сертифікат")</f>
        <v>Завантажити сертифікат</v>
      </c>
    </row>
    <row r="1827" spans="1:6" x14ac:dyDescent="0.3">
      <c r="A1827" t="s">
        <v>3955</v>
      </c>
      <c r="B1827" t="s">
        <v>6</v>
      </c>
      <c r="C1827" t="s">
        <v>3956</v>
      </c>
      <c r="D1827" t="s">
        <v>3917</v>
      </c>
      <c r="E1827" t="s">
        <v>3918</v>
      </c>
      <c r="F1827" t="str">
        <f>HYPERLINK("https://talan.bank.gov.ua/get-user-certificate/45CElZCAx3XEODojOkxU","Завантажити сертифікат")</f>
        <v>Завантажити сертифікат</v>
      </c>
    </row>
    <row r="1828" spans="1:6" x14ac:dyDescent="0.3">
      <c r="A1828" t="s">
        <v>3957</v>
      </c>
      <c r="B1828" t="s">
        <v>6</v>
      </c>
      <c r="C1828" t="s">
        <v>3958</v>
      </c>
      <c r="D1828" t="s">
        <v>3917</v>
      </c>
      <c r="E1828" t="s">
        <v>3918</v>
      </c>
      <c r="F1828" t="str">
        <f>HYPERLINK("https://talan.bank.gov.ua/get-user-certificate/45CEl0y_dok_07RJPbma","Завантажити сертифікат")</f>
        <v>Завантажити сертифікат</v>
      </c>
    </row>
    <row r="1829" spans="1:6" x14ac:dyDescent="0.3">
      <c r="A1829" t="s">
        <v>3959</v>
      </c>
      <c r="B1829" t="s">
        <v>6</v>
      </c>
      <c r="C1829" t="s">
        <v>3960</v>
      </c>
      <c r="D1829" t="s">
        <v>3917</v>
      </c>
      <c r="E1829" t="s">
        <v>3918</v>
      </c>
      <c r="F1829" t="str">
        <f>HYPERLINK("https://talan.bank.gov.ua/get-user-certificate/45CElPxm3oJwVit5_tnO","Завантажити сертифікат")</f>
        <v>Завантажити сертифікат</v>
      </c>
    </row>
    <row r="1830" spans="1:6" x14ac:dyDescent="0.3">
      <c r="A1830" t="s">
        <v>3961</v>
      </c>
      <c r="B1830" t="s">
        <v>6</v>
      </c>
      <c r="C1830" t="s">
        <v>3962</v>
      </c>
      <c r="D1830" t="s">
        <v>3917</v>
      </c>
      <c r="E1830" t="s">
        <v>3918</v>
      </c>
      <c r="F1830" t="str">
        <f>HYPERLINK("https://talan.bank.gov.ua/get-user-certificate/45CElp1xNJBblia3prsy","Завантажити сертифікат")</f>
        <v>Завантажити сертифікат</v>
      </c>
    </row>
    <row r="1831" spans="1:6" x14ac:dyDescent="0.3">
      <c r="A1831" t="s">
        <v>3963</v>
      </c>
      <c r="B1831" t="s">
        <v>6</v>
      </c>
      <c r="C1831" t="s">
        <v>3964</v>
      </c>
      <c r="D1831" t="s">
        <v>3917</v>
      </c>
      <c r="E1831" t="s">
        <v>3918</v>
      </c>
      <c r="F1831" t="str">
        <f>HYPERLINK("https://talan.bank.gov.ua/get-user-certificate/45CElf0w8eW_0q-f5xZ6","Завантажити сертифікат")</f>
        <v>Завантажити сертифікат</v>
      </c>
    </row>
    <row r="1832" spans="1:6" x14ac:dyDescent="0.3">
      <c r="A1832" t="s">
        <v>3965</v>
      </c>
      <c r="B1832" t="s">
        <v>6</v>
      </c>
      <c r="C1832" t="s">
        <v>3966</v>
      </c>
      <c r="D1832" t="s">
        <v>3917</v>
      </c>
      <c r="E1832" t="s">
        <v>3918</v>
      </c>
      <c r="F1832" t="str">
        <f>HYPERLINK("https://talan.bank.gov.ua/get-user-certificate/45CElBeHdKUHN2afc14x","Завантажити сертифікат")</f>
        <v>Завантажити сертифікат</v>
      </c>
    </row>
    <row r="1833" spans="1:6" x14ac:dyDescent="0.3">
      <c r="A1833" t="s">
        <v>3967</v>
      </c>
      <c r="B1833" t="s">
        <v>6</v>
      </c>
      <c r="C1833" t="s">
        <v>3968</v>
      </c>
      <c r="D1833" t="s">
        <v>3969</v>
      </c>
      <c r="E1833" t="s">
        <v>3970</v>
      </c>
      <c r="F1833" t="str">
        <f>HYPERLINK("https://talan.bank.gov.ua/get-user-certificate/45CElvyyl3lkekDgFb_A","Завантажити сертифікат")</f>
        <v>Завантажити сертифікат</v>
      </c>
    </row>
    <row r="1834" spans="1:6" x14ac:dyDescent="0.3">
      <c r="A1834" t="s">
        <v>3971</v>
      </c>
      <c r="B1834" t="s">
        <v>6</v>
      </c>
      <c r="C1834" t="s">
        <v>3972</v>
      </c>
      <c r="D1834" t="s">
        <v>3969</v>
      </c>
      <c r="E1834" t="s">
        <v>3970</v>
      </c>
      <c r="F1834" t="str">
        <f>HYPERLINK("https://talan.bank.gov.ua/get-user-certificate/45CEltHtgiL5rLnFw63G","Завантажити сертифікат")</f>
        <v>Завантажити сертифікат</v>
      </c>
    </row>
    <row r="1835" spans="1:6" x14ac:dyDescent="0.3">
      <c r="A1835" t="s">
        <v>3973</v>
      </c>
      <c r="B1835" t="s">
        <v>6</v>
      </c>
      <c r="C1835" t="s">
        <v>3974</v>
      </c>
      <c r="D1835" t="s">
        <v>3969</v>
      </c>
      <c r="E1835" t="s">
        <v>3970</v>
      </c>
      <c r="F1835" t="str">
        <f>HYPERLINK("https://talan.bank.gov.ua/get-user-certificate/45CElh4od6_dG7Xef5fy","Завантажити сертифікат")</f>
        <v>Завантажити сертифікат</v>
      </c>
    </row>
    <row r="1836" spans="1:6" x14ac:dyDescent="0.3">
      <c r="A1836" t="s">
        <v>3975</v>
      </c>
      <c r="B1836" t="s">
        <v>6</v>
      </c>
      <c r="C1836" t="s">
        <v>3976</v>
      </c>
      <c r="D1836" t="s">
        <v>3977</v>
      </c>
      <c r="E1836" t="s">
        <v>3978</v>
      </c>
      <c r="F1836" t="str">
        <f>HYPERLINK("https://talan.bank.gov.ua/get-user-certificate/45CEl_Bz9irpRf_HWIAG","Завантажити сертифікат")</f>
        <v>Завантажити сертифікат</v>
      </c>
    </row>
    <row r="1837" spans="1:6" x14ac:dyDescent="0.3">
      <c r="A1837" t="s">
        <v>3979</v>
      </c>
      <c r="B1837" t="s">
        <v>6</v>
      </c>
      <c r="C1837" t="s">
        <v>3980</v>
      </c>
      <c r="D1837" t="s">
        <v>3977</v>
      </c>
      <c r="E1837" t="s">
        <v>3978</v>
      </c>
      <c r="F1837" t="str">
        <f>HYPERLINK("https://talan.bank.gov.ua/get-user-certificate/45CElnCDWjm0dHr0J6A0","Завантажити сертифікат")</f>
        <v>Завантажити сертифікат</v>
      </c>
    </row>
    <row r="1838" spans="1:6" x14ac:dyDescent="0.3">
      <c r="A1838" t="s">
        <v>3981</v>
      </c>
      <c r="B1838" t="s">
        <v>6</v>
      </c>
      <c r="C1838" t="s">
        <v>3982</v>
      </c>
      <c r="D1838" t="s">
        <v>3977</v>
      </c>
      <c r="E1838" t="s">
        <v>3978</v>
      </c>
      <c r="F1838" t="str">
        <f>HYPERLINK("https://talan.bank.gov.ua/get-user-certificate/45CElWAN8W5UHhuJBQ22","Завантажити сертифікат")</f>
        <v>Завантажити сертифікат</v>
      </c>
    </row>
    <row r="1839" spans="1:6" x14ac:dyDescent="0.3">
      <c r="A1839" t="s">
        <v>3983</v>
      </c>
      <c r="B1839" t="s">
        <v>6</v>
      </c>
      <c r="C1839" t="s">
        <v>3984</v>
      </c>
      <c r="D1839" t="s">
        <v>3977</v>
      </c>
      <c r="E1839" t="s">
        <v>3978</v>
      </c>
      <c r="F1839" t="str">
        <f>HYPERLINK("https://talan.bank.gov.ua/get-user-certificate/45CEl8P6JND9eqfAr0sg","Завантажити сертифікат")</f>
        <v>Завантажити сертифікат</v>
      </c>
    </row>
    <row r="1840" spans="1:6" x14ac:dyDescent="0.3">
      <c r="A1840" t="s">
        <v>3985</v>
      </c>
      <c r="B1840" t="s">
        <v>6</v>
      </c>
      <c r="C1840" t="s">
        <v>3986</v>
      </c>
      <c r="D1840" t="s">
        <v>3977</v>
      </c>
      <c r="E1840" t="s">
        <v>3978</v>
      </c>
      <c r="F1840" t="str">
        <f>HYPERLINK("https://talan.bank.gov.ua/get-user-certificate/45CElYr7yY-v4q5-r8DD","Завантажити сертифікат")</f>
        <v>Завантажити сертифікат</v>
      </c>
    </row>
    <row r="1841" spans="1:6" x14ac:dyDescent="0.3">
      <c r="A1841" t="s">
        <v>3987</v>
      </c>
      <c r="B1841" t="s">
        <v>6</v>
      </c>
      <c r="C1841" t="s">
        <v>3988</v>
      </c>
      <c r="D1841" t="s">
        <v>3977</v>
      </c>
      <c r="E1841" t="s">
        <v>3978</v>
      </c>
      <c r="F1841" t="str">
        <f>HYPERLINK("https://talan.bank.gov.ua/get-user-certificate/45CElEa55gpQCrh6uDnr","Завантажити сертифікат")</f>
        <v>Завантажити сертифікат</v>
      </c>
    </row>
    <row r="1842" spans="1:6" x14ac:dyDescent="0.3">
      <c r="A1842" t="s">
        <v>3989</v>
      </c>
      <c r="B1842" t="s">
        <v>6</v>
      </c>
      <c r="C1842" t="s">
        <v>3990</v>
      </c>
      <c r="D1842" t="s">
        <v>3977</v>
      </c>
      <c r="E1842" t="s">
        <v>3978</v>
      </c>
      <c r="F1842" t="str">
        <f>HYPERLINK("https://talan.bank.gov.ua/get-user-certificate/45CElsIxFzTZphI1Oy2d","Завантажити сертифікат")</f>
        <v>Завантажити сертифікат</v>
      </c>
    </row>
    <row r="1843" spans="1:6" x14ac:dyDescent="0.3">
      <c r="A1843" t="s">
        <v>3991</v>
      </c>
      <c r="B1843" t="s">
        <v>6</v>
      </c>
      <c r="C1843" t="s">
        <v>3992</v>
      </c>
      <c r="D1843" t="s">
        <v>3977</v>
      </c>
      <c r="E1843" t="s">
        <v>3978</v>
      </c>
      <c r="F1843" t="str">
        <f>HYPERLINK("https://talan.bank.gov.ua/get-user-certificate/45CEl9CxXwVC3kyAYUVj","Завантажити сертифікат")</f>
        <v>Завантажити сертифікат</v>
      </c>
    </row>
    <row r="1844" spans="1:6" x14ac:dyDescent="0.3">
      <c r="A1844" t="s">
        <v>3993</v>
      </c>
      <c r="B1844" t="s">
        <v>6</v>
      </c>
      <c r="C1844" t="s">
        <v>3994</v>
      </c>
      <c r="D1844" t="s">
        <v>3977</v>
      </c>
      <c r="E1844" t="s">
        <v>3978</v>
      </c>
      <c r="F1844" t="str">
        <f>HYPERLINK("https://talan.bank.gov.ua/get-user-certificate/45CElrF69P1GJtAP0Q5m","Завантажити сертифікат")</f>
        <v>Завантажити сертифікат</v>
      </c>
    </row>
    <row r="1845" spans="1:6" x14ac:dyDescent="0.3">
      <c r="A1845" t="s">
        <v>3995</v>
      </c>
      <c r="B1845" t="s">
        <v>6</v>
      </c>
      <c r="C1845" t="s">
        <v>3996</v>
      </c>
      <c r="D1845" t="s">
        <v>3977</v>
      </c>
      <c r="E1845" t="s">
        <v>3978</v>
      </c>
      <c r="F1845" t="str">
        <f>HYPERLINK("https://talan.bank.gov.ua/get-user-certificate/45CElVURZLiOCufa2huq","Завантажити сертифікат")</f>
        <v>Завантажити сертифікат</v>
      </c>
    </row>
    <row r="1846" spans="1:6" x14ac:dyDescent="0.3">
      <c r="A1846" t="s">
        <v>3997</v>
      </c>
      <c r="B1846" t="s">
        <v>6</v>
      </c>
      <c r="C1846" t="s">
        <v>3998</v>
      </c>
      <c r="D1846" t="s">
        <v>3977</v>
      </c>
      <c r="E1846" t="s">
        <v>3978</v>
      </c>
      <c r="F1846" t="str">
        <f>HYPERLINK("https://talan.bank.gov.ua/get-user-certificate/45CElX7PAjz1akX8XSxw","Завантажити сертифікат")</f>
        <v>Завантажити сертифікат</v>
      </c>
    </row>
    <row r="1847" spans="1:6" x14ac:dyDescent="0.3">
      <c r="A1847" t="s">
        <v>3999</v>
      </c>
      <c r="B1847" t="s">
        <v>6</v>
      </c>
      <c r="C1847" t="s">
        <v>4000</v>
      </c>
      <c r="D1847" t="s">
        <v>3977</v>
      </c>
      <c r="E1847" t="s">
        <v>3978</v>
      </c>
      <c r="F1847" t="str">
        <f>HYPERLINK("https://talan.bank.gov.ua/get-user-certificate/45CElnq3PI1gAU8L5hHo","Завантажити сертифікат")</f>
        <v>Завантажити сертифікат</v>
      </c>
    </row>
    <row r="1848" spans="1:6" x14ac:dyDescent="0.3">
      <c r="A1848" t="s">
        <v>4001</v>
      </c>
      <c r="B1848" t="s">
        <v>6</v>
      </c>
      <c r="C1848" t="s">
        <v>4002</v>
      </c>
      <c r="D1848" t="s">
        <v>3977</v>
      </c>
      <c r="E1848" t="s">
        <v>3978</v>
      </c>
      <c r="F1848" t="str">
        <f>HYPERLINK("https://talan.bank.gov.ua/get-user-certificate/45CElYKgVDCKDYpQ6O50","Завантажити сертифікат")</f>
        <v>Завантажити сертифікат</v>
      </c>
    </row>
    <row r="1849" spans="1:6" x14ac:dyDescent="0.3">
      <c r="A1849" t="s">
        <v>4003</v>
      </c>
      <c r="B1849" t="s">
        <v>6</v>
      </c>
      <c r="C1849" t="s">
        <v>4004</v>
      </c>
      <c r="D1849" t="s">
        <v>3977</v>
      </c>
      <c r="E1849" t="s">
        <v>3978</v>
      </c>
      <c r="F1849" t="str">
        <f>HYPERLINK("https://talan.bank.gov.ua/get-user-certificate/45CElUKlLn7mEYabp8XW","Завантажити сертифікат")</f>
        <v>Завантажити сертифікат</v>
      </c>
    </row>
    <row r="1850" spans="1:6" x14ac:dyDescent="0.3">
      <c r="A1850" t="s">
        <v>4005</v>
      </c>
      <c r="B1850" t="s">
        <v>6</v>
      </c>
      <c r="C1850" t="s">
        <v>4006</v>
      </c>
      <c r="D1850" t="s">
        <v>3977</v>
      </c>
      <c r="E1850" t="s">
        <v>3978</v>
      </c>
      <c r="F1850" t="str">
        <f>HYPERLINK("https://talan.bank.gov.ua/get-user-certificate/45CElAdxMYQcvrf6yXnG","Завантажити сертифікат")</f>
        <v>Завантажити сертифікат</v>
      </c>
    </row>
    <row r="1851" spans="1:6" x14ac:dyDescent="0.3">
      <c r="A1851" t="s">
        <v>4007</v>
      </c>
      <c r="B1851" t="s">
        <v>6</v>
      </c>
      <c r="C1851" t="s">
        <v>4008</v>
      </c>
      <c r="D1851" t="s">
        <v>3977</v>
      </c>
      <c r="E1851" t="s">
        <v>3978</v>
      </c>
      <c r="F1851" t="str">
        <f>HYPERLINK("https://talan.bank.gov.ua/get-user-certificate/45CEl9PnQwAEfKvs0aJI","Завантажити сертифікат")</f>
        <v>Завантажити сертифікат</v>
      </c>
    </row>
    <row r="1852" spans="1:6" x14ac:dyDescent="0.3">
      <c r="A1852" t="s">
        <v>4009</v>
      </c>
      <c r="B1852" t="s">
        <v>6</v>
      </c>
      <c r="C1852" t="s">
        <v>4010</v>
      </c>
      <c r="D1852" t="s">
        <v>3977</v>
      </c>
      <c r="E1852" t="s">
        <v>3978</v>
      </c>
      <c r="F1852" t="str">
        <f>HYPERLINK("https://talan.bank.gov.ua/get-user-certificate/45CElnH9g7FRx1fQJ3J4","Завантажити сертифікат")</f>
        <v>Завантажити сертифікат</v>
      </c>
    </row>
    <row r="1853" spans="1:6" x14ac:dyDescent="0.3">
      <c r="A1853" t="s">
        <v>4011</v>
      </c>
      <c r="B1853" t="s">
        <v>6</v>
      </c>
      <c r="C1853" t="s">
        <v>4012</v>
      </c>
      <c r="D1853" t="s">
        <v>3977</v>
      </c>
      <c r="E1853" t="s">
        <v>3978</v>
      </c>
      <c r="F1853" t="str">
        <f>HYPERLINK("https://talan.bank.gov.ua/get-user-certificate/45CElQp_YLWexFAn6ZbW","Завантажити сертифікат")</f>
        <v>Завантажити сертифікат</v>
      </c>
    </row>
    <row r="1854" spans="1:6" x14ac:dyDescent="0.3">
      <c r="A1854" t="s">
        <v>4013</v>
      </c>
      <c r="B1854" t="s">
        <v>6</v>
      </c>
      <c r="C1854" t="s">
        <v>4014</v>
      </c>
      <c r="D1854" t="s">
        <v>3977</v>
      </c>
      <c r="E1854" t="s">
        <v>3978</v>
      </c>
      <c r="F1854" t="str">
        <f>HYPERLINK("https://talan.bank.gov.ua/get-user-certificate/45CEllqK8PZaFhj7n9c8","Завантажити сертифікат")</f>
        <v>Завантажити сертифікат</v>
      </c>
    </row>
    <row r="1855" spans="1:6" x14ac:dyDescent="0.3">
      <c r="A1855" t="s">
        <v>4015</v>
      </c>
      <c r="B1855" t="s">
        <v>6</v>
      </c>
      <c r="C1855" t="s">
        <v>4016</v>
      </c>
      <c r="D1855" t="s">
        <v>3977</v>
      </c>
      <c r="E1855" t="s">
        <v>3978</v>
      </c>
      <c r="F1855" t="str">
        <f>HYPERLINK("https://talan.bank.gov.ua/get-user-certificate/45CElp4Il2C8eEKQDI3s","Завантажити сертифікат")</f>
        <v>Завантажити сертифікат</v>
      </c>
    </row>
    <row r="1856" spans="1:6" x14ac:dyDescent="0.3">
      <c r="A1856" t="s">
        <v>4017</v>
      </c>
      <c r="B1856" t="s">
        <v>6</v>
      </c>
      <c r="C1856" t="s">
        <v>4018</v>
      </c>
      <c r="D1856" t="s">
        <v>3977</v>
      </c>
      <c r="E1856" t="s">
        <v>3978</v>
      </c>
      <c r="F1856" t="str">
        <f>HYPERLINK("https://talan.bank.gov.ua/get-user-certificate/45CElzvkKaoxsz4KvN-g","Завантажити сертифікат")</f>
        <v>Завантажити сертифікат</v>
      </c>
    </row>
    <row r="1857" spans="1:6" x14ac:dyDescent="0.3">
      <c r="A1857" t="s">
        <v>4019</v>
      </c>
      <c r="B1857" t="s">
        <v>6</v>
      </c>
      <c r="C1857" t="s">
        <v>4020</v>
      </c>
      <c r="D1857" t="s">
        <v>3977</v>
      </c>
      <c r="E1857" t="s">
        <v>3978</v>
      </c>
      <c r="F1857" t="str">
        <f>HYPERLINK("https://talan.bank.gov.ua/get-user-certificate/45CEldQaRV7arhADF3xD","Завантажити сертифікат")</f>
        <v>Завантажити сертифікат</v>
      </c>
    </row>
    <row r="1858" spans="1:6" x14ac:dyDescent="0.3">
      <c r="A1858" t="s">
        <v>4021</v>
      </c>
      <c r="B1858" t="s">
        <v>6</v>
      </c>
      <c r="C1858" t="s">
        <v>4022</v>
      </c>
      <c r="D1858" t="s">
        <v>3977</v>
      </c>
      <c r="E1858" t="s">
        <v>3978</v>
      </c>
      <c r="F1858" t="str">
        <f>HYPERLINK("https://talan.bank.gov.ua/get-user-certificate/45CElXzNOlr1zZjXMM8g","Завантажити сертифікат")</f>
        <v>Завантажити сертифікат</v>
      </c>
    </row>
    <row r="1859" spans="1:6" x14ac:dyDescent="0.3">
      <c r="A1859" t="s">
        <v>4023</v>
      </c>
      <c r="B1859" t="s">
        <v>6</v>
      </c>
      <c r="C1859" t="s">
        <v>4024</v>
      </c>
      <c r="D1859" t="s">
        <v>3977</v>
      </c>
      <c r="E1859" t="s">
        <v>3978</v>
      </c>
      <c r="F1859" t="str">
        <f>HYPERLINK("https://talan.bank.gov.ua/get-user-certificate/45CEl5MBLD3CKqnSu6Nf","Завантажити сертифікат")</f>
        <v>Завантажити сертифікат</v>
      </c>
    </row>
    <row r="1860" spans="1:6" x14ac:dyDescent="0.3">
      <c r="A1860" t="s">
        <v>4025</v>
      </c>
      <c r="B1860" t="s">
        <v>6</v>
      </c>
      <c r="C1860" t="s">
        <v>4026</v>
      </c>
      <c r="D1860" t="s">
        <v>3977</v>
      </c>
      <c r="E1860" t="s">
        <v>3978</v>
      </c>
      <c r="F1860" t="str">
        <f>HYPERLINK("https://talan.bank.gov.ua/get-user-certificate/45CElHx4yoGORpEwIL65","Завантажити сертифікат")</f>
        <v>Завантажити сертифікат</v>
      </c>
    </row>
    <row r="1861" spans="1:6" x14ac:dyDescent="0.3">
      <c r="A1861" t="s">
        <v>4027</v>
      </c>
      <c r="B1861" t="s">
        <v>6</v>
      </c>
      <c r="C1861" t="s">
        <v>4028</v>
      </c>
      <c r="D1861" t="s">
        <v>3977</v>
      </c>
      <c r="E1861" t="s">
        <v>3978</v>
      </c>
      <c r="F1861" t="str">
        <f>HYPERLINK("https://talan.bank.gov.ua/get-user-certificate/45CEl_GM2rtuT5MoFQrP","Завантажити сертифікат")</f>
        <v>Завантажити сертифікат</v>
      </c>
    </row>
    <row r="1862" spans="1:6" x14ac:dyDescent="0.3">
      <c r="A1862" t="s">
        <v>4029</v>
      </c>
      <c r="B1862" t="s">
        <v>6</v>
      </c>
      <c r="C1862" t="s">
        <v>4030</v>
      </c>
      <c r="D1862" t="s">
        <v>3977</v>
      </c>
      <c r="E1862" t="s">
        <v>3978</v>
      </c>
      <c r="F1862" t="str">
        <f>HYPERLINK("https://talan.bank.gov.ua/get-user-certificate/45CElC2ZpxWKVIlJKwsl","Завантажити сертифікат")</f>
        <v>Завантажити сертифікат</v>
      </c>
    </row>
    <row r="1863" spans="1:6" x14ac:dyDescent="0.3">
      <c r="A1863" t="s">
        <v>4031</v>
      </c>
      <c r="B1863" t="s">
        <v>6</v>
      </c>
      <c r="C1863" t="s">
        <v>4032</v>
      </c>
      <c r="D1863" t="s">
        <v>3977</v>
      </c>
      <c r="E1863" t="s">
        <v>3978</v>
      </c>
      <c r="F1863" t="str">
        <f>HYPERLINK("https://talan.bank.gov.ua/get-user-certificate/45CElmuHyLFQhUVpuGQA","Завантажити сертифікат")</f>
        <v>Завантажити сертифікат</v>
      </c>
    </row>
    <row r="1864" spans="1:6" x14ac:dyDescent="0.3">
      <c r="A1864" t="s">
        <v>4033</v>
      </c>
      <c r="B1864" t="s">
        <v>6</v>
      </c>
      <c r="C1864" t="s">
        <v>4034</v>
      </c>
      <c r="D1864" t="s">
        <v>3977</v>
      </c>
      <c r="E1864" t="s">
        <v>3978</v>
      </c>
      <c r="F1864" t="str">
        <f>HYPERLINK("https://talan.bank.gov.ua/get-user-certificate/45CEl698ivVo98XcAOel","Завантажити сертифікат")</f>
        <v>Завантажити сертифікат</v>
      </c>
    </row>
    <row r="1865" spans="1:6" x14ac:dyDescent="0.3">
      <c r="A1865" t="s">
        <v>4035</v>
      </c>
      <c r="B1865" t="s">
        <v>6</v>
      </c>
      <c r="C1865" t="s">
        <v>4036</v>
      </c>
      <c r="D1865" t="s">
        <v>3977</v>
      </c>
      <c r="E1865" t="s">
        <v>3978</v>
      </c>
      <c r="F1865" t="str">
        <f>HYPERLINK("https://talan.bank.gov.ua/get-user-certificate/45CElE5rKDCpaFpwSJbM","Завантажити сертифікат")</f>
        <v>Завантажити сертифікат</v>
      </c>
    </row>
    <row r="1866" spans="1:6" x14ac:dyDescent="0.3">
      <c r="A1866" t="s">
        <v>4037</v>
      </c>
      <c r="B1866" t="s">
        <v>6</v>
      </c>
      <c r="C1866" t="s">
        <v>4038</v>
      </c>
      <c r="D1866" t="s">
        <v>3977</v>
      </c>
      <c r="E1866" t="s">
        <v>3978</v>
      </c>
      <c r="F1866" t="str">
        <f>HYPERLINK("https://talan.bank.gov.ua/get-user-certificate/45CEl3ur-qwcsb0YtrAc","Завантажити сертифікат")</f>
        <v>Завантажити сертифікат</v>
      </c>
    </row>
    <row r="1867" spans="1:6" x14ac:dyDescent="0.3">
      <c r="A1867" t="s">
        <v>4039</v>
      </c>
      <c r="B1867" t="s">
        <v>6</v>
      </c>
      <c r="C1867" t="s">
        <v>4040</v>
      </c>
      <c r="D1867" t="s">
        <v>3977</v>
      </c>
      <c r="E1867" t="s">
        <v>3978</v>
      </c>
      <c r="F1867" t="str">
        <f>HYPERLINK("https://talan.bank.gov.ua/get-user-certificate/45CElfM-hnGv22wjcqHZ","Завантажити сертифікат")</f>
        <v>Завантажити сертифікат</v>
      </c>
    </row>
    <row r="1868" spans="1:6" x14ac:dyDescent="0.3">
      <c r="A1868" t="s">
        <v>4041</v>
      </c>
      <c r="B1868" t="s">
        <v>6</v>
      </c>
      <c r="C1868" t="s">
        <v>4042</v>
      </c>
      <c r="D1868" t="s">
        <v>3977</v>
      </c>
      <c r="E1868" t="s">
        <v>3978</v>
      </c>
      <c r="F1868" t="str">
        <f>HYPERLINK("https://talan.bank.gov.ua/get-user-certificate/45CEl6hFM282PD_vdhJW","Завантажити сертифікат")</f>
        <v>Завантажити сертифікат</v>
      </c>
    </row>
    <row r="1869" spans="1:6" x14ac:dyDescent="0.3">
      <c r="A1869" t="s">
        <v>4043</v>
      </c>
      <c r="B1869" t="s">
        <v>6</v>
      </c>
      <c r="C1869" t="s">
        <v>4044</v>
      </c>
      <c r="D1869" t="s">
        <v>4045</v>
      </c>
      <c r="E1869" t="s">
        <v>4046</v>
      </c>
      <c r="F1869" t="str">
        <f>HYPERLINK("https://talan.bank.gov.ua/get-user-certificate/45CElgex8mMiiAiQCRR7","Завантажити сертифікат")</f>
        <v>Завантажити сертифікат</v>
      </c>
    </row>
    <row r="1870" spans="1:6" x14ac:dyDescent="0.3">
      <c r="A1870" t="s">
        <v>4047</v>
      </c>
      <c r="B1870" t="s">
        <v>6</v>
      </c>
      <c r="C1870" t="s">
        <v>4048</v>
      </c>
      <c r="D1870" t="s">
        <v>4045</v>
      </c>
      <c r="E1870" t="s">
        <v>4046</v>
      </c>
      <c r="F1870" t="str">
        <f>HYPERLINK("https://talan.bank.gov.ua/get-user-certificate/45CElUqr2vFfnDzZiMfr","Завантажити сертифікат")</f>
        <v>Завантажити сертифікат</v>
      </c>
    </row>
    <row r="1871" spans="1:6" x14ac:dyDescent="0.3">
      <c r="A1871" t="s">
        <v>4049</v>
      </c>
      <c r="B1871" t="s">
        <v>6</v>
      </c>
      <c r="C1871" t="s">
        <v>4050</v>
      </c>
      <c r="D1871" t="s">
        <v>4045</v>
      </c>
      <c r="E1871" t="s">
        <v>4046</v>
      </c>
      <c r="F1871" t="str">
        <f>HYPERLINK("https://talan.bank.gov.ua/get-user-certificate/45CElcqOHQeel2d8yjtR","Завантажити сертифікат")</f>
        <v>Завантажити сертифікат</v>
      </c>
    </row>
    <row r="1872" spans="1:6" x14ac:dyDescent="0.3">
      <c r="A1872" t="s">
        <v>4051</v>
      </c>
      <c r="B1872" t="s">
        <v>6</v>
      </c>
      <c r="C1872" t="s">
        <v>4052</v>
      </c>
      <c r="D1872" t="s">
        <v>4045</v>
      </c>
      <c r="E1872" t="s">
        <v>4046</v>
      </c>
      <c r="F1872" t="str">
        <f>HYPERLINK("https://talan.bank.gov.ua/get-user-certificate/45CElvjxLsRm9bxL8b7t","Завантажити сертифікат")</f>
        <v>Завантажити сертифікат</v>
      </c>
    </row>
    <row r="1873" spans="1:6" x14ac:dyDescent="0.3">
      <c r="A1873" t="s">
        <v>4053</v>
      </c>
      <c r="B1873" t="s">
        <v>6</v>
      </c>
      <c r="C1873" t="s">
        <v>4054</v>
      </c>
      <c r="D1873" t="s">
        <v>4045</v>
      </c>
      <c r="E1873" t="s">
        <v>4046</v>
      </c>
      <c r="F1873" t="str">
        <f>HYPERLINK("https://talan.bank.gov.ua/get-user-certificate/45CElAWruywE1n33tvLa","Завантажити сертифікат")</f>
        <v>Завантажити сертифікат</v>
      </c>
    </row>
    <row r="1874" spans="1:6" x14ac:dyDescent="0.3">
      <c r="A1874" t="s">
        <v>4055</v>
      </c>
      <c r="B1874" t="s">
        <v>6</v>
      </c>
      <c r="C1874" t="s">
        <v>4056</v>
      </c>
      <c r="D1874" t="s">
        <v>4045</v>
      </c>
      <c r="E1874" t="s">
        <v>4046</v>
      </c>
      <c r="F1874" t="str">
        <f>HYPERLINK("https://talan.bank.gov.ua/get-user-certificate/45CElgy_X3uiaVu8Wu_-","Завантажити сертифікат")</f>
        <v>Завантажити сертифікат</v>
      </c>
    </row>
    <row r="1875" spans="1:6" x14ac:dyDescent="0.3">
      <c r="A1875" t="s">
        <v>4057</v>
      </c>
      <c r="B1875" t="s">
        <v>6</v>
      </c>
      <c r="C1875" t="s">
        <v>4058</v>
      </c>
      <c r="D1875" t="s">
        <v>4045</v>
      </c>
      <c r="E1875" t="s">
        <v>4046</v>
      </c>
      <c r="F1875" t="str">
        <f>HYPERLINK("https://talan.bank.gov.ua/get-user-certificate/45CElwD4QKv8Zvwi6TOf","Завантажити сертифікат")</f>
        <v>Завантажити сертифікат</v>
      </c>
    </row>
    <row r="1876" spans="1:6" x14ac:dyDescent="0.3">
      <c r="A1876" t="s">
        <v>4059</v>
      </c>
      <c r="B1876" t="s">
        <v>6</v>
      </c>
      <c r="C1876" t="s">
        <v>4060</v>
      </c>
      <c r="D1876" t="s">
        <v>4045</v>
      </c>
      <c r="E1876" t="s">
        <v>4046</v>
      </c>
      <c r="F1876" t="str">
        <f>HYPERLINK("https://talan.bank.gov.ua/get-user-certificate/45CElAH1saTCYVTaE_0a","Завантажити сертифікат")</f>
        <v>Завантажити сертифікат</v>
      </c>
    </row>
    <row r="1877" spans="1:6" x14ac:dyDescent="0.3">
      <c r="A1877" t="s">
        <v>4061</v>
      </c>
      <c r="B1877" t="s">
        <v>6</v>
      </c>
      <c r="C1877" t="s">
        <v>4062</v>
      </c>
      <c r="D1877" t="s">
        <v>4045</v>
      </c>
      <c r="E1877" t="s">
        <v>4046</v>
      </c>
      <c r="F1877" t="str">
        <f>HYPERLINK("https://talan.bank.gov.ua/get-user-certificate/45CEl26VUngEJZgG2LSN","Завантажити сертифікат")</f>
        <v>Завантажити сертифікат</v>
      </c>
    </row>
    <row r="1878" spans="1:6" x14ac:dyDescent="0.3">
      <c r="A1878" t="s">
        <v>4063</v>
      </c>
      <c r="B1878" t="s">
        <v>6</v>
      </c>
      <c r="C1878" t="s">
        <v>4064</v>
      </c>
      <c r="D1878" t="s">
        <v>4045</v>
      </c>
      <c r="E1878" t="s">
        <v>4046</v>
      </c>
      <c r="F1878" t="str">
        <f>HYPERLINK("https://talan.bank.gov.ua/get-user-certificate/45CEl0oBWYfJ_P5ncg5J","Завантажити сертифікат")</f>
        <v>Завантажити сертифікат</v>
      </c>
    </row>
    <row r="1879" spans="1:6" x14ac:dyDescent="0.3">
      <c r="A1879" t="s">
        <v>4065</v>
      </c>
      <c r="B1879" t="s">
        <v>6</v>
      </c>
      <c r="C1879" t="s">
        <v>4066</v>
      </c>
      <c r="D1879" t="s">
        <v>4045</v>
      </c>
      <c r="E1879" t="s">
        <v>4046</v>
      </c>
      <c r="F1879" t="str">
        <f>HYPERLINK("https://talan.bank.gov.ua/get-user-certificate/45CElvnmEmnaI9YsFPWE","Завантажити сертифікат")</f>
        <v>Завантажити сертифікат</v>
      </c>
    </row>
    <row r="1880" spans="1:6" x14ac:dyDescent="0.3">
      <c r="A1880" t="s">
        <v>4067</v>
      </c>
      <c r="B1880" t="s">
        <v>6</v>
      </c>
      <c r="C1880" t="s">
        <v>4068</v>
      </c>
      <c r="D1880" t="s">
        <v>4045</v>
      </c>
      <c r="E1880" t="s">
        <v>4046</v>
      </c>
      <c r="F1880" t="str">
        <f>HYPERLINK("https://talan.bank.gov.ua/get-user-certificate/45CElfJ9fAOyswovYLIb","Завантажити сертифікат")</f>
        <v>Завантажити сертифікат</v>
      </c>
    </row>
    <row r="1881" spans="1:6" x14ac:dyDescent="0.3">
      <c r="A1881" t="s">
        <v>4069</v>
      </c>
      <c r="B1881" t="s">
        <v>6</v>
      </c>
      <c r="C1881" t="s">
        <v>4070</v>
      </c>
      <c r="D1881" t="s">
        <v>4045</v>
      </c>
      <c r="E1881" t="s">
        <v>4046</v>
      </c>
      <c r="F1881" t="str">
        <f>HYPERLINK("https://talan.bank.gov.ua/get-user-certificate/45CElktkG2RWzGmVRdna","Завантажити сертифікат")</f>
        <v>Завантажити сертифікат</v>
      </c>
    </row>
    <row r="1882" spans="1:6" x14ac:dyDescent="0.3">
      <c r="A1882" t="s">
        <v>4071</v>
      </c>
      <c r="B1882" t="s">
        <v>6</v>
      </c>
      <c r="C1882" t="s">
        <v>4072</v>
      </c>
      <c r="D1882" t="s">
        <v>4045</v>
      </c>
      <c r="E1882" t="s">
        <v>4046</v>
      </c>
      <c r="F1882" t="str">
        <f>HYPERLINK("https://talan.bank.gov.ua/get-user-certificate/45CElfWr9qn2JR-mDsOY","Завантажити сертифікат")</f>
        <v>Завантажити сертифікат</v>
      </c>
    </row>
    <row r="1883" spans="1:6" x14ac:dyDescent="0.3">
      <c r="A1883" t="s">
        <v>4073</v>
      </c>
      <c r="B1883" t="s">
        <v>6</v>
      </c>
      <c r="C1883" t="s">
        <v>4074</v>
      </c>
      <c r="D1883" t="s">
        <v>4045</v>
      </c>
      <c r="E1883" t="s">
        <v>4046</v>
      </c>
      <c r="F1883" t="str">
        <f>HYPERLINK("https://talan.bank.gov.ua/get-user-certificate/45CEl2MKAFCJC9aTs2oQ","Завантажити сертифікат")</f>
        <v>Завантажити сертифікат</v>
      </c>
    </row>
    <row r="1884" spans="1:6" x14ac:dyDescent="0.3">
      <c r="A1884" t="s">
        <v>4075</v>
      </c>
      <c r="B1884" t="s">
        <v>6</v>
      </c>
      <c r="C1884" t="s">
        <v>4076</v>
      </c>
      <c r="D1884" t="s">
        <v>4045</v>
      </c>
      <c r="E1884" t="s">
        <v>4046</v>
      </c>
      <c r="F1884" t="str">
        <f>HYPERLINK("https://talan.bank.gov.ua/get-user-certificate/45CElCwfv506HorDi6uZ","Завантажити сертифікат")</f>
        <v>Завантажити сертифікат</v>
      </c>
    </row>
    <row r="1885" spans="1:6" x14ac:dyDescent="0.3">
      <c r="A1885" t="s">
        <v>4077</v>
      </c>
      <c r="B1885" t="s">
        <v>6</v>
      </c>
      <c r="C1885" t="s">
        <v>4078</v>
      </c>
      <c r="D1885" t="s">
        <v>4079</v>
      </c>
      <c r="E1885" t="s">
        <v>4080</v>
      </c>
      <c r="F1885" t="str">
        <f>HYPERLINK("https://talan.bank.gov.ua/get-user-certificate/45CElgtgM6n6BxXerUMI","Завантажити сертифікат")</f>
        <v>Завантажити сертифікат</v>
      </c>
    </row>
    <row r="1886" spans="1:6" x14ac:dyDescent="0.3">
      <c r="A1886" t="s">
        <v>4081</v>
      </c>
      <c r="B1886" t="s">
        <v>6</v>
      </c>
      <c r="C1886" t="s">
        <v>4082</v>
      </c>
      <c r="D1886" t="s">
        <v>4079</v>
      </c>
      <c r="E1886" t="s">
        <v>4080</v>
      </c>
      <c r="F1886" t="str">
        <f>HYPERLINK("https://talan.bank.gov.ua/get-user-certificate/45CElnkgBqxHsRDYlZr8","Завантажити сертифікат")</f>
        <v>Завантажити сертифікат</v>
      </c>
    </row>
    <row r="1887" spans="1:6" x14ac:dyDescent="0.3">
      <c r="A1887" t="s">
        <v>4083</v>
      </c>
      <c r="B1887" t="s">
        <v>6</v>
      </c>
      <c r="C1887" t="s">
        <v>4084</v>
      </c>
      <c r="D1887" t="s">
        <v>4079</v>
      </c>
      <c r="E1887" t="s">
        <v>4080</v>
      </c>
      <c r="F1887" t="str">
        <f>HYPERLINK("https://talan.bank.gov.ua/get-user-certificate/45CElaabA8EiCG0JtK32","Завантажити сертифікат")</f>
        <v>Завантажити сертифікат</v>
      </c>
    </row>
    <row r="1888" spans="1:6" x14ac:dyDescent="0.3">
      <c r="A1888" t="s">
        <v>4085</v>
      </c>
      <c r="B1888" t="s">
        <v>6</v>
      </c>
      <c r="C1888" t="s">
        <v>4086</v>
      </c>
      <c r="D1888" t="s">
        <v>4079</v>
      </c>
      <c r="E1888" t="s">
        <v>4080</v>
      </c>
      <c r="F1888" t="str">
        <f>HYPERLINK("https://talan.bank.gov.ua/get-user-certificate/45CElKb8N_5gMCPOPf6m","Завантажити сертифікат")</f>
        <v>Завантажити сертифікат</v>
      </c>
    </row>
    <row r="1889" spans="1:6" x14ac:dyDescent="0.3">
      <c r="A1889" t="s">
        <v>4087</v>
      </c>
      <c r="B1889" t="s">
        <v>6</v>
      </c>
      <c r="C1889" t="s">
        <v>4088</v>
      </c>
      <c r="D1889" t="s">
        <v>4079</v>
      </c>
      <c r="E1889" t="s">
        <v>4080</v>
      </c>
      <c r="F1889" t="str">
        <f>HYPERLINK("https://talan.bank.gov.ua/get-user-certificate/45CElmFpeFOT01q8FuRe","Завантажити сертифікат")</f>
        <v>Завантажити сертифікат</v>
      </c>
    </row>
    <row r="1890" spans="1:6" x14ac:dyDescent="0.3">
      <c r="A1890" t="s">
        <v>4089</v>
      </c>
      <c r="B1890" t="s">
        <v>6</v>
      </c>
      <c r="C1890" t="s">
        <v>4090</v>
      </c>
      <c r="D1890" t="s">
        <v>4079</v>
      </c>
      <c r="E1890" t="s">
        <v>4080</v>
      </c>
      <c r="F1890" t="str">
        <f>HYPERLINK("https://talan.bank.gov.ua/get-user-certificate/45CElRSF08Fu1ia0LnVd","Завантажити сертифікат")</f>
        <v>Завантажити сертифікат</v>
      </c>
    </row>
    <row r="1891" spans="1:6" x14ac:dyDescent="0.3">
      <c r="A1891" t="s">
        <v>4091</v>
      </c>
      <c r="B1891" t="s">
        <v>6</v>
      </c>
      <c r="C1891" t="s">
        <v>4092</v>
      </c>
      <c r="D1891" t="s">
        <v>4079</v>
      </c>
      <c r="E1891" t="s">
        <v>4080</v>
      </c>
      <c r="F1891" t="str">
        <f>HYPERLINK("https://talan.bank.gov.ua/get-user-certificate/45CElcsAEGhU6ju1xmQ5","Завантажити сертифікат")</f>
        <v>Завантажити сертифікат</v>
      </c>
    </row>
    <row r="1892" spans="1:6" x14ac:dyDescent="0.3">
      <c r="A1892" t="s">
        <v>4093</v>
      </c>
      <c r="B1892" t="s">
        <v>6</v>
      </c>
      <c r="C1892" t="s">
        <v>4094</v>
      </c>
      <c r="D1892" t="s">
        <v>4079</v>
      </c>
      <c r="E1892" t="s">
        <v>4080</v>
      </c>
      <c r="F1892" t="str">
        <f>HYPERLINK("https://talan.bank.gov.ua/get-user-certificate/45CElZZY-W0qysPw10bQ","Завантажити сертифікат")</f>
        <v>Завантажити сертифікат</v>
      </c>
    </row>
    <row r="1893" spans="1:6" x14ac:dyDescent="0.3">
      <c r="A1893" t="s">
        <v>4095</v>
      </c>
      <c r="B1893" t="s">
        <v>6</v>
      </c>
      <c r="C1893" t="s">
        <v>4096</v>
      </c>
      <c r="D1893" t="s">
        <v>4079</v>
      </c>
      <c r="E1893" t="s">
        <v>4080</v>
      </c>
      <c r="F1893" t="str">
        <f>HYPERLINK("https://talan.bank.gov.ua/get-user-certificate/45CEl_-yIVd3o3t8RU3Q","Завантажити сертифікат")</f>
        <v>Завантажити сертифікат</v>
      </c>
    </row>
    <row r="1894" spans="1:6" x14ac:dyDescent="0.3">
      <c r="A1894" t="s">
        <v>4097</v>
      </c>
      <c r="B1894" t="s">
        <v>6</v>
      </c>
      <c r="C1894" t="s">
        <v>4098</v>
      </c>
      <c r="D1894" t="s">
        <v>4079</v>
      </c>
      <c r="E1894" t="s">
        <v>4080</v>
      </c>
      <c r="F1894" t="str">
        <f>HYPERLINK("https://talan.bank.gov.ua/get-user-certificate/45CEl5dB4ptdw1uvfmsC","Завантажити сертифікат")</f>
        <v>Завантажити сертифікат</v>
      </c>
    </row>
    <row r="1895" spans="1:6" x14ac:dyDescent="0.3">
      <c r="A1895" t="s">
        <v>4099</v>
      </c>
      <c r="B1895" t="s">
        <v>6</v>
      </c>
      <c r="C1895" t="s">
        <v>4100</v>
      </c>
      <c r="D1895" t="s">
        <v>4079</v>
      </c>
      <c r="E1895" t="s">
        <v>4080</v>
      </c>
      <c r="F1895" t="str">
        <f>HYPERLINK("https://talan.bank.gov.ua/get-user-certificate/45CElGb6m58n6DWRKe_1","Завантажити сертифікат")</f>
        <v>Завантажити сертифікат</v>
      </c>
    </row>
    <row r="1896" spans="1:6" x14ac:dyDescent="0.3">
      <c r="A1896" t="s">
        <v>4101</v>
      </c>
      <c r="B1896" t="s">
        <v>6</v>
      </c>
      <c r="C1896" t="s">
        <v>4102</v>
      </c>
      <c r="D1896" t="s">
        <v>4103</v>
      </c>
      <c r="E1896" t="s">
        <v>4104</v>
      </c>
      <c r="F1896" t="str">
        <f>HYPERLINK("https://talan.bank.gov.ua/get-user-certificate/45CEl5ks9MNi7X2J88vq","Завантажити сертифікат")</f>
        <v>Завантажити сертифікат</v>
      </c>
    </row>
    <row r="1897" spans="1:6" x14ac:dyDescent="0.3">
      <c r="A1897" t="s">
        <v>4105</v>
      </c>
      <c r="B1897" t="s">
        <v>6</v>
      </c>
      <c r="C1897" t="s">
        <v>4106</v>
      </c>
      <c r="D1897" t="s">
        <v>4103</v>
      </c>
      <c r="F1897" t="str">
        <f>HYPERLINK("https://talan.bank.gov.ua/get-user-certificate/45CEl9EBnsYsqY8NOZBl","Завантажити сертифікат")</f>
        <v>Завантажити сертифікат</v>
      </c>
    </row>
    <row r="1898" spans="1:6" x14ac:dyDescent="0.3">
      <c r="A1898" t="s">
        <v>4107</v>
      </c>
      <c r="B1898" t="s">
        <v>6</v>
      </c>
      <c r="C1898" t="s">
        <v>4108</v>
      </c>
      <c r="D1898" t="s">
        <v>4103</v>
      </c>
      <c r="F1898" t="str">
        <f>HYPERLINK("https://talan.bank.gov.ua/get-user-certificate/45CElgcezgVs8x4SRSoH","Завантажити сертифікат")</f>
        <v>Завантажити сертифікат</v>
      </c>
    </row>
    <row r="1899" spans="1:6" x14ac:dyDescent="0.3">
      <c r="A1899" t="s">
        <v>4109</v>
      </c>
      <c r="B1899" t="s">
        <v>6</v>
      </c>
      <c r="C1899" t="s">
        <v>4110</v>
      </c>
      <c r="D1899" t="s">
        <v>4103</v>
      </c>
      <c r="F1899" t="str">
        <f>HYPERLINK("https://talan.bank.gov.ua/get-user-certificate/45CElmafo9U_pQYoOD13","Завантажити сертифікат")</f>
        <v>Завантажити сертифікат</v>
      </c>
    </row>
    <row r="1900" spans="1:6" x14ac:dyDescent="0.3">
      <c r="A1900" t="s">
        <v>4111</v>
      </c>
      <c r="B1900" t="s">
        <v>6</v>
      </c>
      <c r="C1900" t="s">
        <v>4112</v>
      </c>
      <c r="D1900" t="s">
        <v>4103</v>
      </c>
      <c r="F1900" t="str">
        <f>HYPERLINK("https://talan.bank.gov.ua/get-user-certificate/45CElD6cP7CVCwrI7-kz","Завантажити сертифікат")</f>
        <v>Завантажити сертифікат</v>
      </c>
    </row>
    <row r="1901" spans="1:6" x14ac:dyDescent="0.3">
      <c r="A1901" t="s">
        <v>4113</v>
      </c>
      <c r="B1901" t="s">
        <v>6</v>
      </c>
      <c r="C1901" t="s">
        <v>4114</v>
      </c>
      <c r="D1901" t="s">
        <v>4103</v>
      </c>
      <c r="F1901" t="str">
        <f>HYPERLINK("https://talan.bank.gov.ua/get-user-certificate/45CEleFqrC3JS1-3wBSl","Завантажити сертифікат")</f>
        <v>Завантажити сертифікат</v>
      </c>
    </row>
    <row r="1902" spans="1:6" x14ac:dyDescent="0.3">
      <c r="A1902" t="s">
        <v>4115</v>
      </c>
      <c r="B1902" t="s">
        <v>6</v>
      </c>
      <c r="C1902" t="s">
        <v>4116</v>
      </c>
      <c r="D1902" t="s">
        <v>4103</v>
      </c>
      <c r="F1902" t="str">
        <f>HYPERLINK("https://talan.bank.gov.ua/get-user-certificate/45CEluPbNHesDZVpVSrz","Завантажити сертифікат")</f>
        <v>Завантажити сертифікат</v>
      </c>
    </row>
    <row r="1903" spans="1:6" x14ac:dyDescent="0.3">
      <c r="A1903" t="s">
        <v>4117</v>
      </c>
      <c r="B1903" t="s">
        <v>6</v>
      </c>
      <c r="C1903" t="s">
        <v>4118</v>
      </c>
      <c r="D1903" t="s">
        <v>4103</v>
      </c>
      <c r="F1903" t="str">
        <f>HYPERLINK("https://talan.bank.gov.ua/get-user-certificate/45CElj1743ltw5KNCdyW","Завантажити сертифікат")</f>
        <v>Завантажити сертифікат</v>
      </c>
    </row>
    <row r="1904" spans="1:6" x14ac:dyDescent="0.3">
      <c r="A1904" t="s">
        <v>4119</v>
      </c>
      <c r="B1904" t="s">
        <v>6</v>
      </c>
      <c r="C1904" t="s">
        <v>4120</v>
      </c>
      <c r="D1904" t="s">
        <v>4103</v>
      </c>
      <c r="F1904" t="str">
        <f>HYPERLINK("https://talan.bank.gov.ua/get-user-certificate/45CElQdIQumtvGvgxMeP","Завантажити сертифікат")</f>
        <v>Завантажити сертифікат</v>
      </c>
    </row>
    <row r="1905" spans="1:6" x14ac:dyDescent="0.3">
      <c r="A1905" t="s">
        <v>4121</v>
      </c>
      <c r="B1905" t="s">
        <v>6</v>
      </c>
      <c r="C1905" t="s">
        <v>4122</v>
      </c>
      <c r="D1905" t="s">
        <v>4103</v>
      </c>
      <c r="F1905" t="str">
        <f>HYPERLINK("https://talan.bank.gov.ua/get-user-certificate/45CElAtttuv-vLlu_ysK","Завантажити сертифікат")</f>
        <v>Завантажити сертифікат</v>
      </c>
    </row>
    <row r="1906" spans="1:6" x14ac:dyDescent="0.3">
      <c r="A1906" t="s">
        <v>4123</v>
      </c>
      <c r="B1906" t="s">
        <v>6</v>
      </c>
      <c r="C1906" t="s">
        <v>4124</v>
      </c>
      <c r="D1906" t="s">
        <v>4103</v>
      </c>
      <c r="F1906" t="str">
        <f>HYPERLINK("https://talan.bank.gov.ua/get-user-certificate/45CElOdYF4ygoIC2-duo","Завантажити сертифікат")</f>
        <v>Завантажити сертифікат</v>
      </c>
    </row>
    <row r="1907" spans="1:6" x14ac:dyDescent="0.3">
      <c r="A1907" t="s">
        <v>4125</v>
      </c>
      <c r="B1907" t="s">
        <v>6</v>
      </c>
      <c r="C1907" t="s">
        <v>4126</v>
      </c>
      <c r="D1907" t="s">
        <v>4103</v>
      </c>
      <c r="F1907" t="str">
        <f>HYPERLINK("https://talan.bank.gov.ua/get-user-certificate/45CEl9e9KmjNdM-2H0-P","Завантажити сертифікат")</f>
        <v>Завантажити сертифікат</v>
      </c>
    </row>
    <row r="1908" spans="1:6" x14ac:dyDescent="0.3">
      <c r="A1908" t="s">
        <v>4127</v>
      </c>
      <c r="B1908" t="s">
        <v>6</v>
      </c>
      <c r="C1908" t="s">
        <v>4128</v>
      </c>
      <c r="D1908" t="s">
        <v>4103</v>
      </c>
      <c r="F1908" t="str">
        <f>HYPERLINK("https://talan.bank.gov.ua/get-user-certificate/45CElB8T2Y9WuDmch_ph","Завантажити сертифікат")</f>
        <v>Завантажити сертифікат</v>
      </c>
    </row>
    <row r="1909" spans="1:6" x14ac:dyDescent="0.3">
      <c r="A1909" t="s">
        <v>4129</v>
      </c>
      <c r="B1909" t="s">
        <v>6</v>
      </c>
      <c r="C1909" t="s">
        <v>4130</v>
      </c>
      <c r="D1909" t="s">
        <v>4103</v>
      </c>
      <c r="F1909" t="str">
        <f>HYPERLINK("https://talan.bank.gov.ua/get-user-certificate/45CEl0eFfauqrTqfpWJ5","Завантажити сертифікат")</f>
        <v>Завантажити сертифікат</v>
      </c>
    </row>
    <row r="1910" spans="1:6" x14ac:dyDescent="0.3">
      <c r="A1910" t="s">
        <v>4131</v>
      </c>
      <c r="B1910" t="s">
        <v>6</v>
      </c>
      <c r="C1910" t="s">
        <v>4132</v>
      </c>
      <c r="D1910" t="s">
        <v>4103</v>
      </c>
      <c r="F1910" t="str">
        <f>HYPERLINK("https://talan.bank.gov.ua/get-user-certificate/45CEl-IIuhPOVJCYGD3t","Завантажити сертифікат")</f>
        <v>Завантажити сертифікат</v>
      </c>
    </row>
    <row r="1911" spans="1:6" x14ac:dyDescent="0.3">
      <c r="A1911" t="s">
        <v>4133</v>
      </c>
      <c r="B1911" t="s">
        <v>6</v>
      </c>
      <c r="C1911" t="s">
        <v>4134</v>
      </c>
      <c r="D1911" t="s">
        <v>4103</v>
      </c>
      <c r="F1911" t="str">
        <f>HYPERLINK("https://talan.bank.gov.ua/get-user-certificate/45CElq5DZqoRWbFbNTlQ","Завантажити сертифікат")</f>
        <v>Завантажити сертифікат</v>
      </c>
    </row>
    <row r="1912" spans="1:6" x14ac:dyDescent="0.3">
      <c r="A1912" t="s">
        <v>4135</v>
      </c>
      <c r="B1912" t="s">
        <v>6</v>
      </c>
      <c r="C1912" t="s">
        <v>4136</v>
      </c>
      <c r="D1912" t="s">
        <v>4103</v>
      </c>
      <c r="F1912" t="str">
        <f>HYPERLINK("https://talan.bank.gov.ua/get-user-certificate/45CElOWZbE143HShDkDl","Завантажити сертифікат")</f>
        <v>Завантажити сертифікат</v>
      </c>
    </row>
    <row r="1913" spans="1:6" x14ac:dyDescent="0.3">
      <c r="A1913" t="s">
        <v>4137</v>
      </c>
      <c r="B1913" t="s">
        <v>6</v>
      </c>
      <c r="C1913" t="s">
        <v>4138</v>
      </c>
      <c r="D1913" t="s">
        <v>4103</v>
      </c>
      <c r="F1913" t="str">
        <f>HYPERLINK("https://talan.bank.gov.ua/get-user-certificate/45CElbijeClNyN2SQowu","Завантажити сертифікат")</f>
        <v>Завантажити сертифікат</v>
      </c>
    </row>
    <row r="1914" spans="1:6" x14ac:dyDescent="0.3">
      <c r="A1914" t="s">
        <v>4139</v>
      </c>
      <c r="B1914" t="s">
        <v>6</v>
      </c>
      <c r="C1914" t="s">
        <v>4140</v>
      </c>
      <c r="D1914" t="s">
        <v>4103</v>
      </c>
      <c r="F1914" t="str">
        <f>HYPERLINK("https://talan.bank.gov.ua/get-user-certificate/45CElAOYxuCKKkeFuoO7","Завантажити сертифікат")</f>
        <v>Завантажити сертифікат</v>
      </c>
    </row>
    <row r="1915" spans="1:6" x14ac:dyDescent="0.3">
      <c r="A1915" t="s">
        <v>4141</v>
      </c>
      <c r="B1915" t="s">
        <v>6</v>
      </c>
      <c r="C1915" t="s">
        <v>4142</v>
      </c>
      <c r="D1915" t="s">
        <v>4103</v>
      </c>
      <c r="F1915" t="str">
        <f>HYPERLINK("https://talan.bank.gov.ua/get-user-certificate/45CElr4JuASflWhDDA6T","Завантажити сертифікат")</f>
        <v>Завантажити сертифікат</v>
      </c>
    </row>
    <row r="1916" spans="1:6" x14ac:dyDescent="0.3">
      <c r="A1916" t="s">
        <v>4143</v>
      </c>
      <c r="B1916" t="s">
        <v>6</v>
      </c>
      <c r="C1916" t="s">
        <v>4144</v>
      </c>
      <c r="D1916" t="s">
        <v>4103</v>
      </c>
      <c r="F1916" t="str">
        <f>HYPERLINK("https://talan.bank.gov.ua/get-user-certificate/45CElRVgyI2pdtxNYGMp","Завантажити сертифікат")</f>
        <v>Завантажити сертифікат</v>
      </c>
    </row>
    <row r="1917" spans="1:6" x14ac:dyDescent="0.3">
      <c r="A1917" t="s">
        <v>4145</v>
      </c>
      <c r="B1917" t="s">
        <v>6</v>
      </c>
      <c r="C1917" t="s">
        <v>4146</v>
      </c>
      <c r="D1917" t="s">
        <v>4103</v>
      </c>
      <c r="F1917" t="str">
        <f>HYPERLINK("https://talan.bank.gov.ua/get-user-certificate/45CElw_HmbPpE6Va5kTY","Завантажити сертифікат")</f>
        <v>Завантажити сертифікат</v>
      </c>
    </row>
    <row r="1918" spans="1:6" x14ac:dyDescent="0.3">
      <c r="A1918" t="s">
        <v>4147</v>
      </c>
      <c r="B1918" t="s">
        <v>6</v>
      </c>
      <c r="C1918" t="s">
        <v>4148</v>
      </c>
      <c r="D1918" t="s">
        <v>4103</v>
      </c>
      <c r="F1918" t="str">
        <f>HYPERLINK("https://talan.bank.gov.ua/get-user-certificate/45CElcjxf8nBan9EiVCE","Завантажити сертифікат")</f>
        <v>Завантажити сертифікат</v>
      </c>
    </row>
    <row r="1919" spans="1:6" x14ac:dyDescent="0.3">
      <c r="A1919" t="s">
        <v>4149</v>
      </c>
      <c r="B1919" t="s">
        <v>6</v>
      </c>
      <c r="C1919" t="s">
        <v>4150</v>
      </c>
      <c r="D1919" t="s">
        <v>4103</v>
      </c>
      <c r="F1919" t="str">
        <f>HYPERLINK("https://talan.bank.gov.ua/get-user-certificate/45CEloh7jRBo3ZbTmBBu","Завантажити сертифікат")</f>
        <v>Завантажити сертифікат</v>
      </c>
    </row>
    <row r="1920" spans="1:6" x14ac:dyDescent="0.3">
      <c r="A1920" t="s">
        <v>4151</v>
      </c>
      <c r="B1920" t="s">
        <v>6</v>
      </c>
      <c r="C1920" t="s">
        <v>4152</v>
      </c>
      <c r="D1920" t="s">
        <v>4103</v>
      </c>
      <c r="F1920" t="str">
        <f>HYPERLINK("https://talan.bank.gov.ua/get-user-certificate/45CElcR2CuPSxX4kItyP","Завантажити сертифікат")</f>
        <v>Завантажити сертифікат</v>
      </c>
    </row>
    <row r="1921" spans="1:6" x14ac:dyDescent="0.3">
      <c r="A1921" t="s">
        <v>4153</v>
      </c>
      <c r="B1921" t="s">
        <v>6</v>
      </c>
      <c r="C1921" t="s">
        <v>4154</v>
      </c>
      <c r="D1921" t="s">
        <v>4103</v>
      </c>
      <c r="F1921" t="str">
        <f>HYPERLINK("https://talan.bank.gov.ua/get-user-certificate/45CEldnMGO03Gy2zVXDw","Завантажити сертифікат")</f>
        <v>Завантажити сертифікат</v>
      </c>
    </row>
    <row r="1922" spans="1:6" x14ac:dyDescent="0.3">
      <c r="A1922" t="s">
        <v>4155</v>
      </c>
      <c r="B1922" t="s">
        <v>6</v>
      </c>
      <c r="C1922" t="s">
        <v>4156</v>
      </c>
      <c r="D1922" t="s">
        <v>4103</v>
      </c>
      <c r="F1922" t="str">
        <f>HYPERLINK("https://talan.bank.gov.ua/get-user-certificate/45CElPwxAwlxvmj1GX6n","Завантажити сертифікат")</f>
        <v>Завантажити сертифікат</v>
      </c>
    </row>
    <row r="1923" spans="1:6" x14ac:dyDescent="0.3">
      <c r="A1923" t="s">
        <v>4157</v>
      </c>
      <c r="B1923" t="s">
        <v>6</v>
      </c>
      <c r="C1923" t="s">
        <v>4158</v>
      </c>
      <c r="D1923" t="s">
        <v>4103</v>
      </c>
      <c r="F1923" t="str">
        <f>HYPERLINK("https://talan.bank.gov.ua/get-user-certificate/45CElvHlx0JOqEdVF6D-","Завантажити сертифікат")</f>
        <v>Завантажити сертифікат</v>
      </c>
    </row>
    <row r="1924" spans="1:6" x14ac:dyDescent="0.3">
      <c r="A1924" t="s">
        <v>4159</v>
      </c>
      <c r="B1924" t="s">
        <v>6</v>
      </c>
      <c r="C1924" t="s">
        <v>4160</v>
      </c>
      <c r="D1924" t="s">
        <v>4103</v>
      </c>
      <c r="F1924" t="str">
        <f>HYPERLINK("https://talan.bank.gov.ua/get-user-certificate/45CEl2KoYbLb3hcycKEC","Завантажити сертифікат")</f>
        <v>Завантажити сертифікат</v>
      </c>
    </row>
    <row r="1925" spans="1:6" x14ac:dyDescent="0.3">
      <c r="A1925" t="s">
        <v>4161</v>
      </c>
      <c r="B1925" t="s">
        <v>6</v>
      </c>
      <c r="C1925" t="s">
        <v>4162</v>
      </c>
      <c r="D1925" t="s">
        <v>4103</v>
      </c>
      <c r="F1925" t="str">
        <f>HYPERLINK("https://talan.bank.gov.ua/get-user-certificate/45CElj3DUEL_vwUc37Hk","Завантажити сертифікат")</f>
        <v>Завантажити сертифікат</v>
      </c>
    </row>
    <row r="1926" spans="1:6" x14ac:dyDescent="0.3">
      <c r="A1926" t="s">
        <v>4163</v>
      </c>
      <c r="B1926" t="s">
        <v>6</v>
      </c>
      <c r="C1926" t="s">
        <v>4164</v>
      </c>
      <c r="D1926" t="s">
        <v>4103</v>
      </c>
      <c r="F1926" t="str">
        <f>HYPERLINK("https://talan.bank.gov.ua/get-user-certificate/45CEljvzl-6Y4dxDd8VR","Завантажити сертифікат")</f>
        <v>Завантажити сертифікат</v>
      </c>
    </row>
    <row r="1927" spans="1:6" x14ac:dyDescent="0.3">
      <c r="A1927" t="s">
        <v>4165</v>
      </c>
      <c r="B1927" t="s">
        <v>6</v>
      </c>
      <c r="C1927" t="s">
        <v>4166</v>
      </c>
      <c r="D1927" t="s">
        <v>4103</v>
      </c>
      <c r="F1927" t="str">
        <f>HYPERLINK("https://talan.bank.gov.ua/get-user-certificate/45CElPc86ZYN2JmBV14v","Завантажити сертифікат")</f>
        <v>Завантажити сертифікат</v>
      </c>
    </row>
    <row r="1928" spans="1:6" x14ac:dyDescent="0.3">
      <c r="A1928" t="s">
        <v>4167</v>
      </c>
      <c r="B1928" t="s">
        <v>6</v>
      </c>
      <c r="C1928" t="s">
        <v>4168</v>
      </c>
      <c r="D1928" t="s">
        <v>4103</v>
      </c>
      <c r="F1928" t="str">
        <f>HYPERLINK("https://talan.bank.gov.ua/get-user-certificate/45CElJ7Whxo3a2r48RQA","Завантажити сертифікат")</f>
        <v>Завантажити сертифікат</v>
      </c>
    </row>
    <row r="1929" spans="1:6" x14ac:dyDescent="0.3">
      <c r="A1929" t="s">
        <v>4169</v>
      </c>
      <c r="B1929" t="s">
        <v>6</v>
      </c>
      <c r="C1929" t="s">
        <v>4170</v>
      </c>
      <c r="D1929" t="s">
        <v>4103</v>
      </c>
      <c r="F1929" t="str">
        <f>HYPERLINK("https://talan.bank.gov.ua/get-user-certificate/45CEl4oCSVffi0NkfmPT","Завантажити сертифікат")</f>
        <v>Завантажити сертифікат</v>
      </c>
    </row>
    <row r="1930" spans="1:6" x14ac:dyDescent="0.3">
      <c r="A1930" t="s">
        <v>4171</v>
      </c>
      <c r="B1930" t="s">
        <v>6</v>
      </c>
      <c r="C1930" t="s">
        <v>4172</v>
      </c>
      <c r="D1930" t="s">
        <v>4103</v>
      </c>
      <c r="F1930" t="str">
        <f>HYPERLINK("https://talan.bank.gov.ua/get-user-certificate/45CEl6zJgsLIfnXeUjsK","Завантажити сертифікат")</f>
        <v>Завантажити сертифікат</v>
      </c>
    </row>
    <row r="1931" spans="1:6" x14ac:dyDescent="0.3">
      <c r="A1931" t="s">
        <v>4173</v>
      </c>
      <c r="B1931" t="s">
        <v>6</v>
      </c>
      <c r="C1931" t="s">
        <v>4174</v>
      </c>
      <c r="D1931" t="s">
        <v>4103</v>
      </c>
      <c r="F1931" t="str">
        <f>HYPERLINK("https://talan.bank.gov.ua/get-user-certificate/45CEl-Q2dj0o9IHKMm2v","Завантажити сертифікат")</f>
        <v>Завантажити сертифікат</v>
      </c>
    </row>
    <row r="1932" spans="1:6" x14ac:dyDescent="0.3">
      <c r="A1932" t="s">
        <v>4175</v>
      </c>
      <c r="B1932" t="s">
        <v>6</v>
      </c>
      <c r="C1932" t="s">
        <v>4176</v>
      </c>
      <c r="D1932" t="s">
        <v>4103</v>
      </c>
      <c r="F1932" t="str">
        <f>HYPERLINK("https://talan.bank.gov.ua/get-user-certificate/45CEl65KX2JIeDTS_Mju","Завантажити сертифікат")</f>
        <v>Завантажити сертифікат</v>
      </c>
    </row>
    <row r="1933" spans="1:6" x14ac:dyDescent="0.3">
      <c r="A1933" t="s">
        <v>4177</v>
      </c>
      <c r="B1933" t="s">
        <v>6</v>
      </c>
      <c r="C1933" t="s">
        <v>4178</v>
      </c>
      <c r="D1933" t="s">
        <v>4103</v>
      </c>
      <c r="F1933" t="str">
        <f>HYPERLINK("https://talan.bank.gov.ua/get-user-certificate/45CElawNHo77T-0532cS","Завантажити сертифікат")</f>
        <v>Завантажити сертифікат</v>
      </c>
    </row>
    <row r="1934" spans="1:6" x14ac:dyDescent="0.3">
      <c r="A1934" t="s">
        <v>4179</v>
      </c>
      <c r="B1934" t="s">
        <v>6</v>
      </c>
      <c r="C1934" t="s">
        <v>4180</v>
      </c>
      <c r="D1934" t="s">
        <v>4103</v>
      </c>
      <c r="F1934" t="str">
        <f>HYPERLINK("https://talan.bank.gov.ua/get-user-certificate/45CElRf84zqEn2T0cW7K","Завантажити сертифікат")</f>
        <v>Завантажити сертифікат</v>
      </c>
    </row>
    <row r="1935" spans="1:6" x14ac:dyDescent="0.3">
      <c r="A1935" t="s">
        <v>4181</v>
      </c>
      <c r="B1935" t="s">
        <v>6</v>
      </c>
      <c r="C1935" t="s">
        <v>4182</v>
      </c>
      <c r="D1935" t="s">
        <v>4103</v>
      </c>
      <c r="F1935" t="str">
        <f>HYPERLINK("https://talan.bank.gov.ua/get-user-certificate/45CEleHQY4bVc1fftnJ-","Завантажити сертифікат")</f>
        <v>Завантажити сертифікат</v>
      </c>
    </row>
    <row r="1936" spans="1:6" x14ac:dyDescent="0.3">
      <c r="A1936" t="s">
        <v>4183</v>
      </c>
      <c r="B1936" t="s">
        <v>6</v>
      </c>
      <c r="C1936" t="s">
        <v>4184</v>
      </c>
      <c r="D1936" t="s">
        <v>4103</v>
      </c>
      <c r="F1936" t="str">
        <f>HYPERLINK("https://talan.bank.gov.ua/get-user-certificate/45CElCf105E5dngPCPw2","Завантажити сертифікат")</f>
        <v>Завантажити сертифікат</v>
      </c>
    </row>
    <row r="1937" spans="1:6" x14ac:dyDescent="0.3">
      <c r="A1937" t="s">
        <v>4185</v>
      </c>
      <c r="B1937" t="s">
        <v>6</v>
      </c>
      <c r="C1937" t="s">
        <v>4186</v>
      </c>
      <c r="D1937" t="s">
        <v>4103</v>
      </c>
      <c r="F1937" t="str">
        <f>HYPERLINK("https://talan.bank.gov.ua/get-user-certificate/45CElaY3RfWdsgHsBzUG","Завантажити сертифікат")</f>
        <v>Завантажити сертифікат</v>
      </c>
    </row>
    <row r="1938" spans="1:6" x14ac:dyDescent="0.3">
      <c r="A1938" t="s">
        <v>4187</v>
      </c>
      <c r="B1938" t="s">
        <v>6</v>
      </c>
      <c r="C1938" t="s">
        <v>4188</v>
      </c>
      <c r="D1938" t="s">
        <v>4103</v>
      </c>
      <c r="F1938" t="str">
        <f>HYPERLINK("https://talan.bank.gov.ua/get-user-certificate/45CElufrqL2Fv4OsVWRZ","Завантажити сертифікат")</f>
        <v>Завантажити сертифікат</v>
      </c>
    </row>
    <row r="1939" spans="1:6" x14ac:dyDescent="0.3">
      <c r="A1939" t="s">
        <v>4189</v>
      </c>
      <c r="B1939" t="s">
        <v>6</v>
      </c>
      <c r="C1939" t="s">
        <v>4190</v>
      </c>
      <c r="D1939" t="s">
        <v>4103</v>
      </c>
      <c r="F1939" t="str">
        <f>HYPERLINK("https://talan.bank.gov.ua/get-user-certificate/45CElXfi5jAA8ecI7M6U","Завантажити сертифікат")</f>
        <v>Завантажити сертифікат</v>
      </c>
    </row>
    <row r="1940" spans="1:6" x14ac:dyDescent="0.3">
      <c r="A1940" t="s">
        <v>4191</v>
      </c>
      <c r="B1940" t="s">
        <v>6</v>
      </c>
      <c r="C1940" t="s">
        <v>4192</v>
      </c>
      <c r="D1940" t="s">
        <v>4103</v>
      </c>
      <c r="F1940" t="str">
        <f>HYPERLINK("https://talan.bank.gov.ua/get-user-certificate/45CElkgTt_TkmgUGXZEC","Завантажити сертифікат")</f>
        <v>Завантажити сертифікат</v>
      </c>
    </row>
    <row r="1941" spans="1:6" x14ac:dyDescent="0.3">
      <c r="A1941" t="s">
        <v>4193</v>
      </c>
      <c r="B1941" t="s">
        <v>6</v>
      </c>
      <c r="C1941" t="s">
        <v>4194</v>
      </c>
      <c r="D1941" t="s">
        <v>4103</v>
      </c>
      <c r="F1941" t="str">
        <f>HYPERLINK("https://talan.bank.gov.ua/get-user-certificate/45CElJvHfN2Id_36g3WJ","Завантажити сертифікат")</f>
        <v>Завантажити сертифікат</v>
      </c>
    </row>
    <row r="1942" spans="1:6" x14ac:dyDescent="0.3">
      <c r="A1942" t="s">
        <v>4195</v>
      </c>
      <c r="B1942" t="s">
        <v>6</v>
      </c>
      <c r="C1942" t="s">
        <v>4196</v>
      </c>
      <c r="D1942" t="s">
        <v>4197</v>
      </c>
      <c r="E1942" t="s">
        <v>4198</v>
      </c>
      <c r="F1942" t="str">
        <f>HYPERLINK("https://talan.bank.gov.ua/get-user-certificate/45CEld3Fmz6VYBUZVEHg","Завантажити сертифікат")</f>
        <v>Завантажити сертифікат</v>
      </c>
    </row>
    <row r="1943" spans="1:6" x14ac:dyDescent="0.3">
      <c r="A1943" t="s">
        <v>4199</v>
      </c>
      <c r="B1943" t="s">
        <v>6</v>
      </c>
      <c r="C1943" t="s">
        <v>4200</v>
      </c>
      <c r="D1943" t="s">
        <v>4197</v>
      </c>
      <c r="E1943" t="s">
        <v>4198</v>
      </c>
      <c r="F1943" t="str">
        <f>HYPERLINK("https://talan.bank.gov.ua/get-user-certificate/45CEl3LFre7RFXbXeAxt","Завантажити сертифікат")</f>
        <v>Завантажити сертифікат</v>
      </c>
    </row>
    <row r="1944" spans="1:6" x14ac:dyDescent="0.3">
      <c r="A1944" t="s">
        <v>4201</v>
      </c>
      <c r="B1944" t="s">
        <v>6</v>
      </c>
      <c r="C1944" t="s">
        <v>4202</v>
      </c>
      <c r="D1944" t="s">
        <v>4197</v>
      </c>
      <c r="E1944" t="s">
        <v>4198</v>
      </c>
      <c r="F1944" t="str">
        <f>HYPERLINK("https://talan.bank.gov.ua/get-user-certificate/45CEl6DOpg7QVsNNehyz","Завантажити сертифікат")</f>
        <v>Завантажити сертифікат</v>
      </c>
    </row>
    <row r="1945" spans="1:6" x14ac:dyDescent="0.3">
      <c r="A1945" t="s">
        <v>4203</v>
      </c>
      <c r="B1945" t="s">
        <v>6</v>
      </c>
      <c r="C1945" t="s">
        <v>4204</v>
      </c>
      <c r="D1945" t="s">
        <v>4197</v>
      </c>
      <c r="E1945" t="s">
        <v>4198</v>
      </c>
      <c r="F1945" t="str">
        <f>HYPERLINK("https://talan.bank.gov.ua/get-user-certificate/45CElq7znTB5dWRJhvOx","Завантажити сертифікат")</f>
        <v>Завантажити сертифікат</v>
      </c>
    </row>
    <row r="1946" spans="1:6" x14ac:dyDescent="0.3">
      <c r="A1946" t="s">
        <v>4205</v>
      </c>
      <c r="B1946" t="s">
        <v>6</v>
      </c>
      <c r="C1946" t="s">
        <v>4206</v>
      </c>
      <c r="D1946" t="s">
        <v>4197</v>
      </c>
      <c r="E1946" t="s">
        <v>4198</v>
      </c>
      <c r="F1946" t="str">
        <f>HYPERLINK("https://talan.bank.gov.ua/get-user-certificate/45CElIMaRW9fGPiQfPOB","Завантажити сертифікат")</f>
        <v>Завантажити сертифікат</v>
      </c>
    </row>
    <row r="1947" spans="1:6" x14ac:dyDescent="0.3">
      <c r="A1947" t="s">
        <v>4207</v>
      </c>
      <c r="B1947" t="s">
        <v>6</v>
      </c>
      <c r="C1947" t="s">
        <v>4208</v>
      </c>
      <c r="D1947" t="s">
        <v>4197</v>
      </c>
      <c r="E1947" t="s">
        <v>4198</v>
      </c>
      <c r="F1947" t="str">
        <f>HYPERLINK("https://talan.bank.gov.ua/get-user-certificate/45CEllhjvLXFNnSMiawZ","Завантажити сертифікат")</f>
        <v>Завантажити сертифікат</v>
      </c>
    </row>
    <row r="1948" spans="1:6" x14ac:dyDescent="0.3">
      <c r="A1948" t="s">
        <v>4209</v>
      </c>
      <c r="B1948" t="s">
        <v>6</v>
      </c>
      <c r="C1948" t="s">
        <v>4210</v>
      </c>
      <c r="D1948" t="s">
        <v>4197</v>
      </c>
      <c r="E1948" t="s">
        <v>4198</v>
      </c>
      <c r="F1948" t="str">
        <f>HYPERLINK("https://talan.bank.gov.ua/get-user-certificate/45CElzz3R6voCvQMjTHy","Завантажити сертифікат")</f>
        <v>Завантажити сертифікат</v>
      </c>
    </row>
    <row r="1949" spans="1:6" x14ac:dyDescent="0.3">
      <c r="A1949" t="s">
        <v>4211</v>
      </c>
      <c r="B1949" t="s">
        <v>6</v>
      </c>
      <c r="C1949" t="s">
        <v>4212</v>
      </c>
      <c r="D1949" t="s">
        <v>4197</v>
      </c>
      <c r="E1949" t="s">
        <v>4198</v>
      </c>
      <c r="F1949" t="str">
        <f>HYPERLINK("https://talan.bank.gov.ua/get-user-certificate/45CElC9rhAf0Y2Ym5Zwa","Завантажити сертифікат")</f>
        <v>Завантажити сертифікат</v>
      </c>
    </row>
    <row r="1950" spans="1:6" x14ac:dyDescent="0.3">
      <c r="A1950" t="s">
        <v>4213</v>
      </c>
      <c r="B1950" t="s">
        <v>6</v>
      </c>
      <c r="C1950" t="s">
        <v>4214</v>
      </c>
      <c r="D1950" t="s">
        <v>4197</v>
      </c>
      <c r="E1950" t="s">
        <v>4198</v>
      </c>
      <c r="F1950" t="str">
        <f>HYPERLINK("https://talan.bank.gov.ua/get-user-certificate/45CElUUqmY9_4VhASWi1","Завантажити сертифікат")</f>
        <v>Завантажити сертифікат</v>
      </c>
    </row>
    <row r="1951" spans="1:6" x14ac:dyDescent="0.3">
      <c r="A1951" t="s">
        <v>4215</v>
      </c>
      <c r="B1951" t="s">
        <v>6</v>
      </c>
      <c r="C1951" t="s">
        <v>4216</v>
      </c>
      <c r="D1951" t="s">
        <v>4197</v>
      </c>
      <c r="E1951" t="s">
        <v>4198</v>
      </c>
      <c r="F1951" t="str">
        <f>HYPERLINK("https://talan.bank.gov.ua/get-user-certificate/45CElsOHFBNUcZqIA_Ox","Завантажити сертифікат")</f>
        <v>Завантажити сертифікат</v>
      </c>
    </row>
    <row r="1952" spans="1:6" x14ac:dyDescent="0.3">
      <c r="A1952" t="s">
        <v>4217</v>
      </c>
      <c r="B1952" t="s">
        <v>6</v>
      </c>
      <c r="C1952" t="s">
        <v>4218</v>
      </c>
      <c r="D1952" t="s">
        <v>4197</v>
      </c>
      <c r="E1952" t="s">
        <v>4198</v>
      </c>
      <c r="F1952" t="str">
        <f>HYPERLINK("https://talan.bank.gov.ua/get-user-certificate/45CEl5c78ccfAlOm9usa","Завантажити сертифікат")</f>
        <v>Завантажити сертифікат</v>
      </c>
    </row>
    <row r="1953" spans="1:6" x14ac:dyDescent="0.3">
      <c r="A1953" t="s">
        <v>4219</v>
      </c>
      <c r="B1953" t="s">
        <v>6</v>
      </c>
      <c r="C1953" t="s">
        <v>4220</v>
      </c>
      <c r="D1953" t="s">
        <v>4197</v>
      </c>
      <c r="E1953" t="s">
        <v>4198</v>
      </c>
      <c r="F1953" t="str">
        <f>HYPERLINK("https://talan.bank.gov.ua/get-user-certificate/45CEl4shpeCZBcGrZ6LE","Завантажити сертифікат")</f>
        <v>Завантажити сертифікат</v>
      </c>
    </row>
    <row r="1954" spans="1:6" x14ac:dyDescent="0.3">
      <c r="A1954" t="s">
        <v>4221</v>
      </c>
      <c r="B1954" t="s">
        <v>6</v>
      </c>
      <c r="C1954" t="s">
        <v>4222</v>
      </c>
      <c r="D1954" t="s">
        <v>4197</v>
      </c>
      <c r="E1954" t="s">
        <v>4198</v>
      </c>
      <c r="F1954" t="str">
        <f>HYPERLINK("https://talan.bank.gov.ua/get-user-certificate/45CEld1krQSDgbkPgNtJ","Завантажити сертифікат")</f>
        <v>Завантажити сертифікат</v>
      </c>
    </row>
    <row r="1955" spans="1:6" x14ac:dyDescent="0.3">
      <c r="A1955" t="s">
        <v>4223</v>
      </c>
      <c r="B1955" t="s">
        <v>6</v>
      </c>
      <c r="C1955" t="s">
        <v>4224</v>
      </c>
      <c r="D1955" t="s">
        <v>4197</v>
      </c>
      <c r="E1955" t="s">
        <v>4198</v>
      </c>
      <c r="F1955" t="str">
        <f>HYPERLINK("https://talan.bank.gov.ua/get-user-certificate/45CElfwEhvUgieskPZi_","Завантажити сертифікат")</f>
        <v>Завантажити сертифікат</v>
      </c>
    </row>
    <row r="1956" spans="1:6" x14ac:dyDescent="0.3">
      <c r="A1956" t="s">
        <v>4225</v>
      </c>
      <c r="B1956" t="s">
        <v>6</v>
      </c>
      <c r="C1956" t="s">
        <v>4226</v>
      </c>
      <c r="D1956" t="s">
        <v>4197</v>
      </c>
      <c r="E1956" t="s">
        <v>4198</v>
      </c>
      <c r="F1956" t="str">
        <f>HYPERLINK("https://talan.bank.gov.ua/get-user-certificate/45CElFvGjQ3mugQ8xVNu","Завантажити сертифікат")</f>
        <v>Завантажити сертифікат</v>
      </c>
    </row>
    <row r="1957" spans="1:6" x14ac:dyDescent="0.3">
      <c r="A1957" t="s">
        <v>4227</v>
      </c>
      <c r="B1957" t="s">
        <v>6</v>
      </c>
      <c r="C1957" t="s">
        <v>4228</v>
      </c>
      <c r="D1957" t="s">
        <v>4197</v>
      </c>
      <c r="E1957" t="s">
        <v>4198</v>
      </c>
      <c r="F1957" t="str">
        <f>HYPERLINK("https://talan.bank.gov.ua/get-user-certificate/45CElFrTf7BhUnchZZwh","Завантажити сертифікат")</f>
        <v>Завантажити сертифікат</v>
      </c>
    </row>
    <row r="1958" spans="1:6" x14ac:dyDescent="0.3">
      <c r="A1958" t="s">
        <v>4229</v>
      </c>
      <c r="B1958" t="s">
        <v>6</v>
      </c>
      <c r="C1958" t="s">
        <v>4230</v>
      </c>
      <c r="D1958" t="s">
        <v>4197</v>
      </c>
      <c r="E1958" t="s">
        <v>4198</v>
      </c>
      <c r="F1958" t="str">
        <f>HYPERLINK("https://talan.bank.gov.ua/get-user-certificate/45CElvoSHJcQqJm4zl2U","Завантажити сертифікат")</f>
        <v>Завантажити сертифікат</v>
      </c>
    </row>
    <row r="1959" spans="1:6" x14ac:dyDescent="0.3">
      <c r="A1959" t="s">
        <v>4231</v>
      </c>
      <c r="B1959" t="s">
        <v>6</v>
      </c>
      <c r="C1959" t="s">
        <v>4232</v>
      </c>
      <c r="D1959" t="s">
        <v>4197</v>
      </c>
      <c r="E1959" t="s">
        <v>4198</v>
      </c>
      <c r="F1959" t="str">
        <f>HYPERLINK("https://talan.bank.gov.ua/get-user-certificate/45CElcWTXrOANdAAl-jg","Завантажити сертифікат")</f>
        <v>Завантажити сертифікат</v>
      </c>
    </row>
    <row r="1960" spans="1:6" x14ac:dyDescent="0.3">
      <c r="A1960" t="s">
        <v>4233</v>
      </c>
      <c r="B1960" t="s">
        <v>6</v>
      </c>
      <c r="C1960" t="s">
        <v>4234</v>
      </c>
      <c r="D1960" t="s">
        <v>4197</v>
      </c>
      <c r="E1960" t="s">
        <v>4198</v>
      </c>
      <c r="F1960" t="str">
        <f>HYPERLINK("https://talan.bank.gov.ua/get-user-certificate/45CElBFElzPvagbxQhZe","Завантажити сертифікат")</f>
        <v>Завантажити сертифікат</v>
      </c>
    </row>
    <row r="1961" spans="1:6" x14ac:dyDescent="0.3">
      <c r="A1961" t="s">
        <v>4235</v>
      </c>
      <c r="B1961" t="s">
        <v>6</v>
      </c>
      <c r="C1961" t="s">
        <v>4236</v>
      </c>
      <c r="D1961" t="s">
        <v>4197</v>
      </c>
      <c r="E1961" t="s">
        <v>4198</v>
      </c>
      <c r="F1961" t="str">
        <f>HYPERLINK("https://talan.bank.gov.ua/get-user-certificate/45CElV_eX291lHvbhagT","Завантажити сертифікат")</f>
        <v>Завантажити сертифікат</v>
      </c>
    </row>
    <row r="1962" spans="1:6" x14ac:dyDescent="0.3">
      <c r="A1962" t="s">
        <v>4237</v>
      </c>
      <c r="B1962" t="s">
        <v>6</v>
      </c>
      <c r="C1962" t="s">
        <v>4238</v>
      </c>
      <c r="D1962" t="s">
        <v>4197</v>
      </c>
      <c r="E1962" t="s">
        <v>4198</v>
      </c>
      <c r="F1962" t="str">
        <f>HYPERLINK("https://talan.bank.gov.ua/get-user-certificate/45CEllpQcD_h0limH9PG","Завантажити сертифікат")</f>
        <v>Завантажити сертифікат</v>
      </c>
    </row>
    <row r="1963" spans="1:6" x14ac:dyDescent="0.3">
      <c r="A1963" t="s">
        <v>4239</v>
      </c>
      <c r="B1963" t="s">
        <v>6</v>
      </c>
      <c r="C1963" t="s">
        <v>4240</v>
      </c>
      <c r="D1963" t="s">
        <v>4197</v>
      </c>
      <c r="E1963" t="s">
        <v>4198</v>
      </c>
      <c r="F1963" t="str">
        <f>HYPERLINK("https://talan.bank.gov.ua/get-user-certificate/45CEliG-3RZ0bxnTrfwd","Завантажити сертифікат")</f>
        <v>Завантажити сертифікат</v>
      </c>
    </row>
    <row r="1964" spans="1:6" x14ac:dyDescent="0.3">
      <c r="A1964" t="s">
        <v>4241</v>
      </c>
      <c r="B1964" t="s">
        <v>6</v>
      </c>
      <c r="C1964" t="s">
        <v>4242</v>
      </c>
      <c r="D1964" t="s">
        <v>4197</v>
      </c>
      <c r="E1964" t="s">
        <v>4198</v>
      </c>
      <c r="F1964" t="str">
        <f>HYPERLINK("https://talan.bank.gov.ua/get-user-certificate/45CEl3jhTrCbjxbEVIcS","Завантажити сертифікат")</f>
        <v>Завантажити сертифікат</v>
      </c>
    </row>
    <row r="1965" spans="1:6" x14ac:dyDescent="0.3">
      <c r="A1965" t="s">
        <v>4243</v>
      </c>
      <c r="B1965" t="s">
        <v>6</v>
      </c>
      <c r="C1965" t="s">
        <v>4244</v>
      </c>
      <c r="D1965" t="s">
        <v>4197</v>
      </c>
      <c r="E1965" t="s">
        <v>4198</v>
      </c>
      <c r="F1965" t="str">
        <f>HYPERLINK("https://talan.bank.gov.ua/get-user-certificate/45CEltfVtDtW1HG82vdK","Завантажити сертифікат")</f>
        <v>Завантажити сертифікат</v>
      </c>
    </row>
    <row r="1966" spans="1:6" x14ac:dyDescent="0.3">
      <c r="A1966" t="s">
        <v>4245</v>
      </c>
      <c r="B1966" t="s">
        <v>6</v>
      </c>
      <c r="C1966" t="s">
        <v>4246</v>
      </c>
      <c r="D1966" t="s">
        <v>4197</v>
      </c>
      <c r="E1966" t="s">
        <v>4198</v>
      </c>
      <c r="F1966" t="str">
        <f>HYPERLINK("https://talan.bank.gov.ua/get-user-certificate/45CElMHKLxJ05tP2JuuG","Завантажити сертифікат")</f>
        <v>Завантажити сертифікат</v>
      </c>
    </row>
    <row r="1967" spans="1:6" x14ac:dyDescent="0.3">
      <c r="A1967" t="s">
        <v>4247</v>
      </c>
      <c r="B1967" t="s">
        <v>6</v>
      </c>
      <c r="C1967" t="s">
        <v>4248</v>
      </c>
      <c r="D1967" t="s">
        <v>4249</v>
      </c>
      <c r="E1967" t="s">
        <v>4250</v>
      </c>
      <c r="F1967" t="str">
        <f>HYPERLINK("https://talan.bank.gov.ua/get-user-certificate/45CEltHlUOGBQuL_s99I","Завантажити сертифікат")</f>
        <v>Завантажити сертифікат</v>
      </c>
    </row>
    <row r="1968" spans="1:6" x14ac:dyDescent="0.3">
      <c r="A1968" t="s">
        <v>4251</v>
      </c>
      <c r="B1968" t="s">
        <v>6</v>
      </c>
      <c r="C1968" t="s">
        <v>4252</v>
      </c>
      <c r="D1968" t="s">
        <v>4249</v>
      </c>
      <c r="E1968" t="s">
        <v>4250</v>
      </c>
      <c r="F1968" t="str">
        <f>HYPERLINK("https://talan.bank.gov.ua/get-user-certificate/45CElm_R5T3MEI0squAH","Завантажити сертифікат")</f>
        <v>Завантажити сертифікат</v>
      </c>
    </row>
    <row r="1969" spans="1:6" x14ac:dyDescent="0.3">
      <c r="A1969" t="s">
        <v>4253</v>
      </c>
      <c r="B1969" t="s">
        <v>6</v>
      </c>
      <c r="C1969" t="s">
        <v>4254</v>
      </c>
      <c r="D1969" t="s">
        <v>4249</v>
      </c>
      <c r="E1969" t="s">
        <v>4250</v>
      </c>
      <c r="F1969" t="str">
        <f>HYPERLINK("https://talan.bank.gov.ua/get-user-certificate/45CElKOP1xvt1wG0c2mD","Завантажити сертифікат")</f>
        <v>Завантажити сертифікат</v>
      </c>
    </row>
    <row r="1970" spans="1:6" x14ac:dyDescent="0.3">
      <c r="A1970" t="s">
        <v>4255</v>
      </c>
      <c r="B1970" t="s">
        <v>6</v>
      </c>
      <c r="C1970" t="s">
        <v>4256</v>
      </c>
      <c r="D1970" t="s">
        <v>4249</v>
      </c>
      <c r="E1970" t="s">
        <v>4250</v>
      </c>
      <c r="F1970" t="str">
        <f>HYPERLINK("https://talan.bank.gov.ua/get-user-certificate/45CElMBGVvxnmZg0V1gL","Завантажити сертифікат")</f>
        <v>Завантажити сертифікат</v>
      </c>
    </row>
    <row r="1971" spans="1:6" x14ac:dyDescent="0.3">
      <c r="A1971" t="s">
        <v>4257</v>
      </c>
      <c r="B1971" t="s">
        <v>6</v>
      </c>
      <c r="C1971" t="s">
        <v>4258</v>
      </c>
      <c r="D1971" t="s">
        <v>4249</v>
      </c>
      <c r="E1971" t="s">
        <v>4250</v>
      </c>
      <c r="F1971" t="str">
        <f>HYPERLINK("https://talan.bank.gov.ua/get-user-certificate/45CElFu1vPcplCvUX3vm","Завантажити сертифікат")</f>
        <v>Завантажити сертифікат</v>
      </c>
    </row>
    <row r="1972" spans="1:6" x14ac:dyDescent="0.3">
      <c r="A1972" t="s">
        <v>4259</v>
      </c>
      <c r="B1972" t="s">
        <v>6</v>
      </c>
      <c r="C1972" t="s">
        <v>4260</v>
      </c>
      <c r="D1972" t="s">
        <v>4249</v>
      </c>
      <c r="E1972" t="s">
        <v>4250</v>
      </c>
      <c r="F1972" t="str">
        <f>HYPERLINK("https://talan.bank.gov.ua/get-user-certificate/45CElh1dKOwg-AOoks5Q","Завантажити сертифікат")</f>
        <v>Завантажити сертифікат</v>
      </c>
    </row>
    <row r="1973" spans="1:6" x14ac:dyDescent="0.3">
      <c r="A1973" t="s">
        <v>4261</v>
      </c>
      <c r="B1973" t="s">
        <v>6</v>
      </c>
      <c r="C1973" t="s">
        <v>4262</v>
      </c>
      <c r="D1973" t="s">
        <v>4249</v>
      </c>
      <c r="E1973" t="s">
        <v>4250</v>
      </c>
      <c r="F1973" t="str">
        <f>HYPERLINK("https://talan.bank.gov.ua/get-user-certificate/45CElJhCz6LBIGRNesUi","Завантажити сертифікат")</f>
        <v>Завантажити сертифікат</v>
      </c>
    </row>
    <row r="1974" spans="1:6" x14ac:dyDescent="0.3">
      <c r="A1974" t="s">
        <v>4263</v>
      </c>
      <c r="B1974" t="s">
        <v>6</v>
      </c>
      <c r="C1974" t="s">
        <v>4264</v>
      </c>
      <c r="D1974" t="s">
        <v>4249</v>
      </c>
      <c r="E1974" t="s">
        <v>4250</v>
      </c>
      <c r="F1974" t="str">
        <f>HYPERLINK("https://talan.bank.gov.ua/get-user-certificate/45CEllG3oPPLo8roF3q4","Завантажити сертифікат")</f>
        <v>Завантажити сертифікат</v>
      </c>
    </row>
    <row r="1975" spans="1:6" x14ac:dyDescent="0.3">
      <c r="A1975" t="s">
        <v>4265</v>
      </c>
      <c r="B1975" t="s">
        <v>6</v>
      </c>
      <c r="C1975" t="s">
        <v>4266</v>
      </c>
      <c r="D1975" t="s">
        <v>4267</v>
      </c>
      <c r="E1975" t="s">
        <v>4268</v>
      </c>
      <c r="F1975" t="str">
        <f>HYPERLINK("https://talan.bank.gov.ua/get-user-certificate/45CElAr8-8FDeJ8ys_bb","Завантажити сертифікат")</f>
        <v>Завантажити сертифікат</v>
      </c>
    </row>
    <row r="1976" spans="1:6" x14ac:dyDescent="0.3">
      <c r="A1976" t="s">
        <v>4269</v>
      </c>
      <c r="B1976" t="s">
        <v>6</v>
      </c>
      <c r="C1976" t="s">
        <v>4270</v>
      </c>
      <c r="D1976" t="s">
        <v>4267</v>
      </c>
      <c r="E1976" t="s">
        <v>4268</v>
      </c>
      <c r="F1976" t="str">
        <f>HYPERLINK("https://talan.bank.gov.ua/get-user-certificate/45CEllS46ECHnQz9-vSK","Завантажити сертифікат")</f>
        <v>Завантажити сертифікат</v>
      </c>
    </row>
    <row r="1977" spans="1:6" x14ac:dyDescent="0.3">
      <c r="A1977" t="s">
        <v>4271</v>
      </c>
      <c r="B1977" t="s">
        <v>6</v>
      </c>
      <c r="C1977" t="s">
        <v>4272</v>
      </c>
      <c r="D1977" t="s">
        <v>4267</v>
      </c>
      <c r="E1977" t="s">
        <v>4268</v>
      </c>
      <c r="F1977" t="str">
        <f>HYPERLINK("https://talan.bank.gov.ua/get-user-certificate/45CElpckfb0VGuMu8cQm","Завантажити сертифікат")</f>
        <v>Завантажити сертифікат</v>
      </c>
    </row>
    <row r="1978" spans="1:6" x14ac:dyDescent="0.3">
      <c r="A1978" t="s">
        <v>4273</v>
      </c>
      <c r="B1978" t="s">
        <v>6</v>
      </c>
      <c r="C1978" t="s">
        <v>4274</v>
      </c>
      <c r="D1978" t="s">
        <v>4267</v>
      </c>
      <c r="E1978" t="s">
        <v>4268</v>
      </c>
      <c r="F1978" t="str">
        <f>HYPERLINK("https://talan.bank.gov.ua/get-user-certificate/45CElWLlQD7FKy9dgz5G","Завантажити сертифікат")</f>
        <v>Завантажити сертифікат</v>
      </c>
    </row>
    <row r="1979" spans="1:6" x14ac:dyDescent="0.3">
      <c r="A1979" t="s">
        <v>4275</v>
      </c>
      <c r="B1979" t="s">
        <v>6</v>
      </c>
      <c r="C1979" t="s">
        <v>4276</v>
      </c>
      <c r="D1979" t="s">
        <v>4267</v>
      </c>
      <c r="E1979" t="s">
        <v>4268</v>
      </c>
      <c r="F1979" t="str">
        <f>HYPERLINK("https://talan.bank.gov.ua/get-user-certificate/45CEloREqaqn6QYdaOFT","Завантажити сертифікат")</f>
        <v>Завантажити сертифікат</v>
      </c>
    </row>
    <row r="1980" spans="1:6" x14ac:dyDescent="0.3">
      <c r="A1980" t="s">
        <v>4277</v>
      </c>
      <c r="B1980" t="s">
        <v>6</v>
      </c>
      <c r="C1980" t="s">
        <v>4278</v>
      </c>
      <c r="D1980" t="s">
        <v>4279</v>
      </c>
      <c r="E1980" t="s">
        <v>4280</v>
      </c>
      <c r="F1980" t="str">
        <f>HYPERLINK("https://talan.bank.gov.ua/get-user-certificate/45CElcir1k_FFx3D2UHo","Завантажити сертифікат")</f>
        <v>Завантажити сертифікат</v>
      </c>
    </row>
    <row r="1981" spans="1:6" x14ac:dyDescent="0.3">
      <c r="A1981" t="s">
        <v>4281</v>
      </c>
      <c r="B1981" t="s">
        <v>6</v>
      </c>
      <c r="C1981" t="s">
        <v>4282</v>
      </c>
      <c r="D1981" t="s">
        <v>4279</v>
      </c>
      <c r="E1981" t="s">
        <v>4280</v>
      </c>
      <c r="F1981" t="str">
        <f>HYPERLINK("https://talan.bank.gov.ua/get-user-certificate/45CElhVgRefqGNKuL0Ff","Завантажити сертифікат")</f>
        <v>Завантажити сертифікат</v>
      </c>
    </row>
    <row r="1982" spans="1:6" x14ac:dyDescent="0.3">
      <c r="A1982" t="s">
        <v>4283</v>
      </c>
      <c r="B1982" t="s">
        <v>6</v>
      </c>
      <c r="C1982" t="s">
        <v>4284</v>
      </c>
      <c r="D1982" t="s">
        <v>4279</v>
      </c>
      <c r="E1982" t="s">
        <v>4280</v>
      </c>
      <c r="F1982" t="str">
        <f>HYPERLINK("https://talan.bank.gov.ua/get-user-certificate/45CEl6WpdPR1YBb9p74g","Завантажити сертифікат")</f>
        <v>Завантажити сертифікат</v>
      </c>
    </row>
    <row r="1983" spans="1:6" x14ac:dyDescent="0.3">
      <c r="A1983" t="s">
        <v>4285</v>
      </c>
      <c r="B1983" t="s">
        <v>6</v>
      </c>
      <c r="C1983" t="s">
        <v>4286</v>
      </c>
      <c r="D1983" t="s">
        <v>4279</v>
      </c>
      <c r="E1983" t="s">
        <v>4280</v>
      </c>
      <c r="F1983" t="str">
        <f>HYPERLINK("https://talan.bank.gov.ua/get-user-certificate/45CEl0BaY43NXxfsZs80","Завантажити сертифікат")</f>
        <v>Завантажити сертифікат</v>
      </c>
    </row>
    <row r="1984" spans="1:6" x14ac:dyDescent="0.3">
      <c r="A1984" t="s">
        <v>4287</v>
      </c>
      <c r="B1984" t="s">
        <v>6</v>
      </c>
      <c r="C1984" t="s">
        <v>4288</v>
      </c>
      <c r="D1984" t="s">
        <v>4279</v>
      </c>
      <c r="E1984" t="s">
        <v>4280</v>
      </c>
      <c r="F1984" t="str">
        <f>HYPERLINK("https://talan.bank.gov.ua/get-user-certificate/45CEln8HmMdA6GKiusFc","Завантажити сертифікат")</f>
        <v>Завантажити сертифікат</v>
      </c>
    </row>
    <row r="1985" spans="1:6" x14ac:dyDescent="0.3">
      <c r="A1985" t="s">
        <v>4289</v>
      </c>
      <c r="B1985" t="s">
        <v>6</v>
      </c>
      <c r="C1985" t="s">
        <v>4290</v>
      </c>
      <c r="D1985" t="s">
        <v>4279</v>
      </c>
      <c r="E1985" t="s">
        <v>4280</v>
      </c>
      <c r="F1985" t="str">
        <f>HYPERLINK("https://talan.bank.gov.ua/get-user-certificate/45CEl0BisEfRQw9Tq3F_","Завантажити сертифікат")</f>
        <v>Завантажити сертифікат</v>
      </c>
    </row>
    <row r="1986" spans="1:6" x14ac:dyDescent="0.3">
      <c r="A1986" t="s">
        <v>4291</v>
      </c>
      <c r="B1986" t="s">
        <v>6</v>
      </c>
      <c r="C1986" t="s">
        <v>4292</v>
      </c>
      <c r="D1986" t="s">
        <v>4279</v>
      </c>
      <c r="E1986" t="s">
        <v>4280</v>
      </c>
      <c r="F1986" t="str">
        <f>HYPERLINK("https://talan.bank.gov.ua/get-user-certificate/45CEl6RXpefZqI5YgMCw","Завантажити сертифікат")</f>
        <v>Завантажити сертифікат</v>
      </c>
    </row>
    <row r="1987" spans="1:6" x14ac:dyDescent="0.3">
      <c r="A1987" t="s">
        <v>4293</v>
      </c>
      <c r="B1987" t="s">
        <v>6</v>
      </c>
      <c r="C1987" t="s">
        <v>4294</v>
      </c>
      <c r="D1987" t="s">
        <v>4279</v>
      </c>
      <c r="E1987" t="s">
        <v>4280</v>
      </c>
      <c r="F1987" t="str">
        <f>HYPERLINK("https://talan.bank.gov.ua/get-user-certificate/45CElA1d0yAcj2D9Rk1x","Завантажити сертифікат")</f>
        <v>Завантажити сертифікат</v>
      </c>
    </row>
    <row r="1988" spans="1:6" x14ac:dyDescent="0.3">
      <c r="A1988" t="s">
        <v>4295</v>
      </c>
      <c r="B1988" t="s">
        <v>6</v>
      </c>
      <c r="C1988" t="s">
        <v>4296</v>
      </c>
      <c r="D1988" t="s">
        <v>4279</v>
      </c>
      <c r="E1988" t="s">
        <v>4280</v>
      </c>
      <c r="F1988" t="str">
        <f>HYPERLINK("https://talan.bank.gov.ua/get-user-certificate/45CEl3GmR0JINi6v7N3i","Завантажити сертифікат")</f>
        <v>Завантажити сертифікат</v>
      </c>
    </row>
    <row r="1989" spans="1:6" x14ac:dyDescent="0.3">
      <c r="A1989" t="s">
        <v>4297</v>
      </c>
      <c r="B1989" t="s">
        <v>6</v>
      </c>
      <c r="C1989" t="s">
        <v>4298</v>
      </c>
      <c r="D1989" t="s">
        <v>4279</v>
      </c>
      <c r="E1989" t="s">
        <v>4280</v>
      </c>
      <c r="F1989" t="str">
        <f>HYPERLINK("https://talan.bank.gov.ua/get-user-certificate/45CElZdakDB4rwJ--1x3","Завантажити сертифікат")</f>
        <v>Завантажити сертифікат</v>
      </c>
    </row>
    <row r="1990" spans="1:6" x14ac:dyDescent="0.3">
      <c r="A1990" t="s">
        <v>4299</v>
      </c>
      <c r="B1990" t="s">
        <v>6</v>
      </c>
      <c r="C1990" t="s">
        <v>4300</v>
      </c>
      <c r="D1990" t="s">
        <v>4279</v>
      </c>
      <c r="E1990" t="s">
        <v>4280</v>
      </c>
      <c r="F1990" t="str">
        <f>HYPERLINK("https://talan.bank.gov.ua/get-user-certificate/45CElWrHlu10lSVZovTs","Завантажити сертифікат")</f>
        <v>Завантажити сертифікат</v>
      </c>
    </row>
    <row r="1991" spans="1:6" x14ac:dyDescent="0.3">
      <c r="A1991" t="s">
        <v>4301</v>
      </c>
      <c r="B1991" t="s">
        <v>6</v>
      </c>
      <c r="C1991" t="s">
        <v>4302</v>
      </c>
      <c r="D1991" t="s">
        <v>4303</v>
      </c>
      <c r="E1991" t="s">
        <v>4304</v>
      </c>
      <c r="F1991" t="str">
        <f>HYPERLINK("https://talan.bank.gov.ua/get-user-certificate/45CElzyusVh-M_IjLtwj","Завантажити сертифікат")</f>
        <v>Завантажити сертифікат</v>
      </c>
    </row>
    <row r="1992" spans="1:6" x14ac:dyDescent="0.3">
      <c r="A1992" t="s">
        <v>4305</v>
      </c>
      <c r="B1992" t="s">
        <v>6</v>
      </c>
      <c r="C1992" t="s">
        <v>4306</v>
      </c>
      <c r="D1992" t="s">
        <v>4303</v>
      </c>
      <c r="E1992" t="s">
        <v>4304</v>
      </c>
      <c r="F1992" t="str">
        <f>HYPERLINK("https://talan.bank.gov.ua/get-user-certificate/45CElVYETZBCXsOXmnMj","Завантажити сертифікат")</f>
        <v>Завантажити сертифікат</v>
      </c>
    </row>
    <row r="1993" spans="1:6" x14ac:dyDescent="0.3">
      <c r="A1993" t="s">
        <v>4307</v>
      </c>
      <c r="B1993" t="s">
        <v>6</v>
      </c>
      <c r="C1993" t="s">
        <v>4308</v>
      </c>
      <c r="D1993" t="s">
        <v>4303</v>
      </c>
      <c r="E1993" t="s">
        <v>4304</v>
      </c>
      <c r="F1993" t="str">
        <f>HYPERLINK("https://talan.bank.gov.ua/get-user-certificate/45CElwEp08sZMiijz53U","Завантажити сертифікат")</f>
        <v>Завантажити сертифікат</v>
      </c>
    </row>
    <row r="1994" spans="1:6" x14ac:dyDescent="0.3">
      <c r="A1994" t="s">
        <v>4309</v>
      </c>
      <c r="B1994" t="s">
        <v>6</v>
      </c>
      <c r="C1994" t="s">
        <v>4310</v>
      </c>
      <c r="D1994" t="s">
        <v>4303</v>
      </c>
      <c r="E1994" t="s">
        <v>4304</v>
      </c>
      <c r="F1994" t="str">
        <f>HYPERLINK("https://talan.bank.gov.ua/get-user-certificate/45CElyn71nDYgx0Cogf7","Завантажити сертифікат")</f>
        <v>Завантажити сертифікат</v>
      </c>
    </row>
    <row r="1995" spans="1:6" x14ac:dyDescent="0.3">
      <c r="A1995" t="s">
        <v>4311</v>
      </c>
      <c r="B1995" t="s">
        <v>6</v>
      </c>
      <c r="C1995" t="s">
        <v>4312</v>
      </c>
      <c r="D1995" t="s">
        <v>4303</v>
      </c>
      <c r="E1995" t="s">
        <v>4304</v>
      </c>
      <c r="F1995" t="str">
        <f>HYPERLINK("https://talan.bank.gov.ua/get-user-certificate/45CElP8hnK4A-GjEvcZZ","Завантажити сертифікат")</f>
        <v>Завантажити сертифікат</v>
      </c>
    </row>
    <row r="1996" spans="1:6" x14ac:dyDescent="0.3">
      <c r="A1996" t="s">
        <v>4313</v>
      </c>
      <c r="B1996" t="s">
        <v>6</v>
      </c>
      <c r="C1996" t="s">
        <v>4314</v>
      </c>
      <c r="D1996" t="s">
        <v>4303</v>
      </c>
      <c r="E1996" t="s">
        <v>4304</v>
      </c>
      <c r="F1996" t="str">
        <f>HYPERLINK("https://talan.bank.gov.ua/get-user-certificate/45CElefdUmWBvz6Cba0D","Завантажити сертифікат")</f>
        <v>Завантажити сертифікат</v>
      </c>
    </row>
    <row r="1997" spans="1:6" x14ac:dyDescent="0.3">
      <c r="A1997" t="s">
        <v>4315</v>
      </c>
      <c r="B1997" t="s">
        <v>6</v>
      </c>
      <c r="C1997" t="s">
        <v>4316</v>
      </c>
      <c r="D1997" t="s">
        <v>4303</v>
      </c>
      <c r="E1997" t="s">
        <v>4304</v>
      </c>
      <c r="F1997" t="str">
        <f>HYPERLINK("https://talan.bank.gov.ua/get-user-certificate/45CEl39ilA29-M-SWGFD","Завантажити сертифікат")</f>
        <v>Завантажити сертифікат</v>
      </c>
    </row>
    <row r="1998" spans="1:6" x14ac:dyDescent="0.3">
      <c r="A1998" t="s">
        <v>4317</v>
      </c>
      <c r="B1998" t="s">
        <v>6</v>
      </c>
      <c r="C1998" t="s">
        <v>4318</v>
      </c>
      <c r="D1998" t="s">
        <v>4319</v>
      </c>
      <c r="E1998" t="s">
        <v>4320</v>
      </c>
      <c r="F1998" t="str">
        <f>HYPERLINK("https://talan.bank.gov.ua/get-user-certificate/45CElkmD53bF1tAMgXOr","Завантажити сертифікат")</f>
        <v>Завантажити сертифікат</v>
      </c>
    </row>
    <row r="1999" spans="1:6" x14ac:dyDescent="0.3">
      <c r="A1999" t="s">
        <v>4321</v>
      </c>
      <c r="B1999" t="s">
        <v>6</v>
      </c>
      <c r="C1999" t="s">
        <v>4322</v>
      </c>
      <c r="D1999" t="s">
        <v>4323</v>
      </c>
      <c r="E1999" t="s">
        <v>4324</v>
      </c>
      <c r="F1999" t="str">
        <f>HYPERLINK("https://talan.bank.gov.ua/get-user-certificate/45CElAjsyqtB2-HzCiab","Завантажити сертифікат")</f>
        <v>Завантажити сертифікат</v>
      </c>
    </row>
    <row r="2000" spans="1:6" x14ac:dyDescent="0.3">
      <c r="A2000" t="s">
        <v>4325</v>
      </c>
      <c r="B2000" t="s">
        <v>6</v>
      </c>
      <c r="C2000" t="s">
        <v>4326</v>
      </c>
      <c r="D2000" t="s">
        <v>4323</v>
      </c>
      <c r="E2000" t="s">
        <v>4324</v>
      </c>
      <c r="F2000" t="str">
        <f>HYPERLINK("https://talan.bank.gov.ua/get-user-certificate/45CElACpPvit9YlaO7t7","Завантажити сертифікат")</f>
        <v>Завантажити сертифікат</v>
      </c>
    </row>
    <row r="2001" spans="1:6" x14ac:dyDescent="0.3">
      <c r="A2001" t="s">
        <v>4327</v>
      </c>
      <c r="B2001" t="s">
        <v>6</v>
      </c>
      <c r="C2001" t="s">
        <v>4328</v>
      </c>
      <c r="D2001" t="s">
        <v>4323</v>
      </c>
      <c r="E2001" t="s">
        <v>4324</v>
      </c>
      <c r="F2001" t="str">
        <f>HYPERLINK("https://talan.bank.gov.ua/get-user-certificate/45CElPGpmdubH-9YejqO","Завантажити сертифікат")</f>
        <v>Завантажити сертифікат</v>
      </c>
    </row>
    <row r="2002" spans="1:6" x14ac:dyDescent="0.3">
      <c r="A2002" t="s">
        <v>4329</v>
      </c>
      <c r="B2002" t="s">
        <v>6</v>
      </c>
      <c r="C2002" t="s">
        <v>4330</v>
      </c>
      <c r="D2002" t="s">
        <v>4323</v>
      </c>
      <c r="E2002" t="s">
        <v>4324</v>
      </c>
      <c r="F2002" t="str">
        <f>HYPERLINK("https://talan.bank.gov.ua/get-user-certificate/45CElVSzJRC6o_g7v8RS","Завантажити сертифікат")</f>
        <v>Завантажити сертифікат</v>
      </c>
    </row>
    <row r="2003" spans="1:6" x14ac:dyDescent="0.3">
      <c r="A2003" t="s">
        <v>4331</v>
      </c>
      <c r="B2003" t="s">
        <v>6</v>
      </c>
      <c r="C2003" t="s">
        <v>4332</v>
      </c>
      <c r="D2003" t="s">
        <v>4323</v>
      </c>
      <c r="E2003" t="s">
        <v>4324</v>
      </c>
      <c r="F2003" t="str">
        <f>HYPERLINK("https://talan.bank.gov.ua/get-user-certificate/45CElVgnobCWc7K4qQJo","Завантажити сертифікат")</f>
        <v>Завантажити сертифікат</v>
      </c>
    </row>
    <row r="2004" spans="1:6" x14ac:dyDescent="0.3">
      <c r="A2004" t="s">
        <v>4333</v>
      </c>
      <c r="B2004" t="s">
        <v>6</v>
      </c>
      <c r="C2004" t="s">
        <v>4334</v>
      </c>
      <c r="D2004" t="s">
        <v>4323</v>
      </c>
      <c r="E2004" t="s">
        <v>4324</v>
      </c>
      <c r="F2004" t="str">
        <f>HYPERLINK("https://talan.bank.gov.ua/get-user-certificate/45CEleULe4ajnjLqo_Dg","Завантажити сертифікат")</f>
        <v>Завантажити сертифікат</v>
      </c>
    </row>
    <row r="2005" spans="1:6" x14ac:dyDescent="0.3">
      <c r="A2005" t="s">
        <v>4335</v>
      </c>
      <c r="B2005" t="s">
        <v>6</v>
      </c>
      <c r="C2005" t="s">
        <v>4336</v>
      </c>
      <c r="D2005" t="s">
        <v>4323</v>
      </c>
      <c r="E2005" t="s">
        <v>4324</v>
      </c>
      <c r="F2005" t="str">
        <f>HYPERLINK("https://talan.bank.gov.ua/get-user-certificate/45CEl8se9LMkIKpjbG0D","Завантажити сертифікат")</f>
        <v>Завантажити сертифікат</v>
      </c>
    </row>
    <row r="2006" spans="1:6" x14ac:dyDescent="0.3">
      <c r="A2006" t="s">
        <v>4337</v>
      </c>
      <c r="B2006" t="s">
        <v>6</v>
      </c>
      <c r="C2006" t="s">
        <v>4338</v>
      </c>
      <c r="D2006" t="s">
        <v>4323</v>
      </c>
      <c r="E2006" t="s">
        <v>4324</v>
      </c>
      <c r="F2006" t="str">
        <f>HYPERLINK("https://talan.bank.gov.ua/get-user-certificate/45CElkT9gu16O5T3WnAj","Завантажити сертифікат")</f>
        <v>Завантажити сертифікат</v>
      </c>
    </row>
    <row r="2007" spans="1:6" x14ac:dyDescent="0.3">
      <c r="A2007" t="s">
        <v>4339</v>
      </c>
      <c r="B2007" t="s">
        <v>6</v>
      </c>
      <c r="C2007" t="s">
        <v>4340</v>
      </c>
      <c r="D2007" t="s">
        <v>4323</v>
      </c>
      <c r="E2007" t="s">
        <v>4324</v>
      </c>
      <c r="F2007" t="str">
        <f>HYPERLINK("https://talan.bank.gov.ua/get-user-certificate/45CEllqs2ep0uQblSJHy","Завантажити сертифікат")</f>
        <v>Завантажити сертифікат</v>
      </c>
    </row>
    <row r="2008" spans="1:6" x14ac:dyDescent="0.3">
      <c r="A2008" t="s">
        <v>4341</v>
      </c>
      <c r="B2008" t="s">
        <v>6</v>
      </c>
      <c r="C2008" t="s">
        <v>4342</v>
      </c>
      <c r="D2008" t="s">
        <v>4323</v>
      </c>
      <c r="E2008" t="s">
        <v>4324</v>
      </c>
      <c r="F2008" t="str">
        <f>HYPERLINK("https://talan.bank.gov.ua/get-user-certificate/45CElKjzhVNNo2_NG1ri","Завантажити сертифікат")</f>
        <v>Завантажити сертифікат</v>
      </c>
    </row>
    <row r="2009" spans="1:6" x14ac:dyDescent="0.3">
      <c r="A2009" t="s">
        <v>4343</v>
      </c>
      <c r="B2009" t="s">
        <v>6</v>
      </c>
      <c r="C2009" t="s">
        <v>4344</v>
      </c>
      <c r="D2009" t="s">
        <v>4323</v>
      </c>
      <c r="E2009" t="s">
        <v>4324</v>
      </c>
      <c r="F2009" t="str">
        <f>HYPERLINK("https://talan.bank.gov.ua/get-user-certificate/45CEl4lKBU1RsuzoXNXS","Завантажити сертифікат")</f>
        <v>Завантажити сертифікат</v>
      </c>
    </row>
    <row r="2010" spans="1:6" x14ac:dyDescent="0.3">
      <c r="A2010" t="s">
        <v>4345</v>
      </c>
      <c r="B2010" t="s">
        <v>6</v>
      </c>
      <c r="C2010" t="s">
        <v>4346</v>
      </c>
      <c r="D2010" t="s">
        <v>4323</v>
      </c>
      <c r="E2010" t="s">
        <v>4324</v>
      </c>
      <c r="F2010" t="str">
        <f>HYPERLINK("https://talan.bank.gov.ua/get-user-certificate/45CElqYnOjE4xvVfO-K8","Завантажити сертифікат")</f>
        <v>Завантажити сертифікат</v>
      </c>
    </row>
    <row r="2011" spans="1:6" x14ac:dyDescent="0.3">
      <c r="A2011" t="s">
        <v>4347</v>
      </c>
      <c r="B2011" t="s">
        <v>6</v>
      </c>
      <c r="C2011" t="s">
        <v>4348</v>
      </c>
      <c r="D2011" t="s">
        <v>4323</v>
      </c>
      <c r="E2011" t="s">
        <v>4324</v>
      </c>
      <c r="F2011" t="str">
        <f>HYPERLINK("https://talan.bank.gov.ua/get-user-certificate/45CEl3pttwKNy_5Zh0Fi","Завантажити сертифікат")</f>
        <v>Завантажити сертифікат</v>
      </c>
    </row>
    <row r="2012" spans="1:6" x14ac:dyDescent="0.3">
      <c r="A2012" t="s">
        <v>4349</v>
      </c>
      <c r="B2012" t="s">
        <v>6</v>
      </c>
      <c r="C2012" t="s">
        <v>4350</v>
      </c>
      <c r="D2012" t="s">
        <v>4323</v>
      </c>
      <c r="E2012" t="s">
        <v>4324</v>
      </c>
      <c r="F2012" t="str">
        <f>HYPERLINK("https://talan.bank.gov.ua/get-user-certificate/45CElTbBLtemyVH4Qnu5","Завантажити сертифікат")</f>
        <v>Завантажити сертифікат</v>
      </c>
    </row>
    <row r="2013" spans="1:6" x14ac:dyDescent="0.3">
      <c r="A2013" t="s">
        <v>4351</v>
      </c>
      <c r="B2013" t="s">
        <v>6</v>
      </c>
      <c r="C2013" t="s">
        <v>4352</v>
      </c>
      <c r="D2013" t="s">
        <v>4323</v>
      </c>
      <c r="E2013" t="s">
        <v>4324</v>
      </c>
      <c r="F2013" t="str">
        <f>HYPERLINK("https://talan.bank.gov.ua/get-user-certificate/45CEl4z1qiwT60J97MTn","Завантажити сертифікат")</f>
        <v>Завантажити сертифікат</v>
      </c>
    </row>
    <row r="2014" spans="1:6" x14ac:dyDescent="0.3">
      <c r="A2014" t="s">
        <v>4353</v>
      </c>
      <c r="B2014" t="s">
        <v>6</v>
      </c>
      <c r="C2014" t="s">
        <v>4354</v>
      </c>
      <c r="D2014" t="s">
        <v>4323</v>
      </c>
      <c r="E2014" t="s">
        <v>4324</v>
      </c>
      <c r="F2014" t="str">
        <f>HYPERLINK("https://talan.bank.gov.ua/get-user-certificate/45CEll-E_inVXKSqH9iD","Завантажити сертифікат")</f>
        <v>Завантажити сертифікат</v>
      </c>
    </row>
    <row r="2015" spans="1:6" x14ac:dyDescent="0.3">
      <c r="A2015" t="s">
        <v>4355</v>
      </c>
      <c r="B2015" t="s">
        <v>6</v>
      </c>
      <c r="C2015" t="s">
        <v>4356</v>
      </c>
      <c r="D2015" t="s">
        <v>4323</v>
      </c>
      <c r="E2015" t="s">
        <v>4324</v>
      </c>
      <c r="F2015" t="str">
        <f>HYPERLINK("https://talan.bank.gov.ua/get-user-certificate/45CEl6MMvOcM1IV9ylfx","Завантажити сертифікат")</f>
        <v>Завантажити сертифікат</v>
      </c>
    </row>
    <row r="2016" spans="1:6" x14ac:dyDescent="0.3">
      <c r="A2016" t="s">
        <v>4357</v>
      </c>
      <c r="B2016" t="s">
        <v>6</v>
      </c>
      <c r="C2016" t="s">
        <v>4358</v>
      </c>
      <c r="D2016" t="s">
        <v>4323</v>
      </c>
      <c r="E2016" t="s">
        <v>4324</v>
      </c>
      <c r="F2016" t="str">
        <f>HYPERLINK("https://talan.bank.gov.ua/get-user-certificate/45CElBBCf2vfNRFTBNTj","Завантажити сертифікат")</f>
        <v>Завантажити сертифікат</v>
      </c>
    </row>
    <row r="2017" spans="1:6" x14ac:dyDescent="0.3">
      <c r="A2017" t="s">
        <v>4359</v>
      </c>
      <c r="B2017" t="s">
        <v>6</v>
      </c>
      <c r="C2017" t="s">
        <v>4360</v>
      </c>
      <c r="D2017" t="s">
        <v>4323</v>
      </c>
      <c r="E2017" t="s">
        <v>4324</v>
      </c>
      <c r="F2017" t="str">
        <f>HYPERLINK("https://talan.bank.gov.ua/get-user-certificate/45CEl8QnM8y52X2jMcxq","Завантажити сертифікат")</f>
        <v>Завантажити сертифікат</v>
      </c>
    </row>
    <row r="2018" spans="1:6" x14ac:dyDescent="0.3">
      <c r="A2018" t="s">
        <v>4361</v>
      </c>
      <c r="B2018" t="s">
        <v>6</v>
      </c>
      <c r="C2018" t="s">
        <v>4362</v>
      </c>
      <c r="D2018" t="s">
        <v>4323</v>
      </c>
      <c r="E2018" t="s">
        <v>4324</v>
      </c>
      <c r="F2018" t="str">
        <f>HYPERLINK("https://talan.bank.gov.ua/get-user-certificate/45CElNtfbyRuZ4obiEiG","Завантажити сертифікат")</f>
        <v>Завантажити сертифікат</v>
      </c>
    </row>
    <row r="2019" spans="1:6" x14ac:dyDescent="0.3">
      <c r="A2019" t="s">
        <v>4363</v>
      </c>
      <c r="B2019" t="s">
        <v>6</v>
      </c>
      <c r="C2019" t="s">
        <v>4364</v>
      </c>
      <c r="D2019" t="s">
        <v>4323</v>
      </c>
      <c r="E2019" t="s">
        <v>4324</v>
      </c>
      <c r="F2019" t="str">
        <f>HYPERLINK("https://talan.bank.gov.ua/get-user-certificate/45CElvPNG2smIFhjeXkT","Завантажити сертифікат")</f>
        <v>Завантажити сертифікат</v>
      </c>
    </row>
    <row r="2020" spans="1:6" x14ac:dyDescent="0.3">
      <c r="A2020" t="s">
        <v>4365</v>
      </c>
      <c r="B2020" t="s">
        <v>6</v>
      </c>
      <c r="C2020" t="s">
        <v>4366</v>
      </c>
      <c r="D2020" t="s">
        <v>4323</v>
      </c>
      <c r="E2020" t="s">
        <v>4324</v>
      </c>
      <c r="F2020" t="str">
        <f>HYPERLINK("https://talan.bank.gov.ua/get-user-certificate/45CElrt-7y668PoP-_aV","Завантажити сертифікат")</f>
        <v>Завантажити сертифікат</v>
      </c>
    </row>
    <row r="2021" spans="1:6" x14ac:dyDescent="0.3">
      <c r="A2021" t="s">
        <v>4367</v>
      </c>
      <c r="B2021" t="s">
        <v>6</v>
      </c>
      <c r="C2021" t="s">
        <v>4368</v>
      </c>
      <c r="D2021" t="s">
        <v>4323</v>
      </c>
      <c r="E2021" t="s">
        <v>4324</v>
      </c>
      <c r="F2021" t="str">
        <f>HYPERLINK("https://talan.bank.gov.ua/get-user-certificate/45CEl9BlGPH1YlzOl32y","Завантажити сертифікат")</f>
        <v>Завантажити сертифікат</v>
      </c>
    </row>
    <row r="2022" spans="1:6" x14ac:dyDescent="0.3">
      <c r="A2022" t="s">
        <v>4369</v>
      </c>
      <c r="B2022" t="s">
        <v>6</v>
      </c>
      <c r="C2022" t="s">
        <v>4370</v>
      </c>
      <c r="D2022" t="s">
        <v>4323</v>
      </c>
      <c r="E2022" t="s">
        <v>4324</v>
      </c>
      <c r="F2022" t="str">
        <f>HYPERLINK("https://talan.bank.gov.ua/get-user-certificate/45CElA5dOFMGxlJV_Prk","Завантажити сертифікат")</f>
        <v>Завантажити сертифікат</v>
      </c>
    </row>
    <row r="2023" spans="1:6" x14ac:dyDescent="0.3">
      <c r="A2023" t="s">
        <v>4371</v>
      </c>
      <c r="B2023" t="s">
        <v>6</v>
      </c>
      <c r="C2023" t="s">
        <v>4372</v>
      </c>
      <c r="D2023" t="s">
        <v>4323</v>
      </c>
      <c r="E2023" t="s">
        <v>4324</v>
      </c>
      <c r="F2023" t="str">
        <f>HYPERLINK("https://talan.bank.gov.ua/get-user-certificate/45CEl-u2eK30sYIABDog","Завантажити сертифікат")</f>
        <v>Завантажити сертифікат</v>
      </c>
    </row>
    <row r="2024" spans="1:6" x14ac:dyDescent="0.3">
      <c r="A2024" t="s">
        <v>4373</v>
      </c>
      <c r="B2024" t="s">
        <v>6</v>
      </c>
      <c r="C2024" t="s">
        <v>4374</v>
      </c>
      <c r="D2024" t="s">
        <v>4375</v>
      </c>
      <c r="E2024" t="s">
        <v>4376</v>
      </c>
      <c r="F2024" t="str">
        <f>HYPERLINK("https://talan.bank.gov.ua/get-user-certificate/45CEl1JYNpn8N9l7dXeB","Завантажити сертифікат")</f>
        <v>Завантажити сертифікат</v>
      </c>
    </row>
    <row r="2025" spans="1:6" x14ac:dyDescent="0.3">
      <c r="A2025" t="s">
        <v>4377</v>
      </c>
      <c r="B2025" t="s">
        <v>6</v>
      </c>
      <c r="C2025" t="s">
        <v>4378</v>
      </c>
      <c r="D2025" t="s">
        <v>4375</v>
      </c>
      <c r="E2025" t="s">
        <v>4376</v>
      </c>
      <c r="F2025" t="str">
        <f>HYPERLINK("https://talan.bank.gov.ua/get-user-certificate/45CElVP_tbk-kdLx173y","Завантажити сертифікат")</f>
        <v>Завантажити сертифікат</v>
      </c>
    </row>
    <row r="2026" spans="1:6" x14ac:dyDescent="0.3">
      <c r="A2026" t="s">
        <v>4379</v>
      </c>
      <c r="B2026" t="s">
        <v>6</v>
      </c>
      <c r="C2026" t="s">
        <v>4380</v>
      </c>
      <c r="D2026" t="s">
        <v>4375</v>
      </c>
      <c r="E2026" t="s">
        <v>4376</v>
      </c>
      <c r="F2026" t="str">
        <f>HYPERLINK("https://talan.bank.gov.ua/get-user-certificate/45CElYh5bUQ29DGL_t2l","Завантажити сертифікат")</f>
        <v>Завантажити сертифікат</v>
      </c>
    </row>
    <row r="2027" spans="1:6" x14ac:dyDescent="0.3">
      <c r="A2027" t="s">
        <v>4381</v>
      </c>
      <c r="B2027" t="s">
        <v>6</v>
      </c>
      <c r="C2027" t="s">
        <v>4382</v>
      </c>
      <c r="D2027" t="s">
        <v>4375</v>
      </c>
      <c r="E2027" t="s">
        <v>4376</v>
      </c>
      <c r="F2027" t="str">
        <f>HYPERLINK("https://talan.bank.gov.ua/get-user-certificate/45CElg3IfLSW4ALGg3mz","Завантажити сертифікат")</f>
        <v>Завантажити сертифікат</v>
      </c>
    </row>
    <row r="2028" spans="1:6" x14ac:dyDescent="0.3">
      <c r="A2028" t="s">
        <v>4383</v>
      </c>
      <c r="B2028" t="s">
        <v>6</v>
      </c>
      <c r="C2028" t="s">
        <v>4384</v>
      </c>
      <c r="D2028" t="s">
        <v>4375</v>
      </c>
      <c r="E2028" t="s">
        <v>4376</v>
      </c>
      <c r="F2028" t="str">
        <f>HYPERLINK("https://talan.bank.gov.ua/get-user-certificate/45CElEReijXJo_Npkykq","Завантажити сертифікат")</f>
        <v>Завантажити сертифікат</v>
      </c>
    </row>
    <row r="2029" spans="1:6" x14ac:dyDescent="0.3">
      <c r="A2029" t="s">
        <v>4385</v>
      </c>
      <c r="B2029" t="s">
        <v>6</v>
      </c>
      <c r="C2029" t="s">
        <v>4386</v>
      </c>
      <c r="D2029" t="s">
        <v>4375</v>
      </c>
      <c r="E2029" t="s">
        <v>4376</v>
      </c>
      <c r="F2029" t="str">
        <f>HYPERLINK("https://talan.bank.gov.ua/get-user-certificate/45CEljDlNemt6XKs9-uC","Завантажити сертифікат")</f>
        <v>Завантажити сертифікат</v>
      </c>
    </row>
    <row r="2030" spans="1:6" x14ac:dyDescent="0.3">
      <c r="A2030" t="s">
        <v>4387</v>
      </c>
      <c r="B2030" t="s">
        <v>6</v>
      </c>
      <c r="C2030" t="s">
        <v>4388</v>
      </c>
      <c r="D2030" t="s">
        <v>4375</v>
      </c>
      <c r="E2030" t="s">
        <v>4376</v>
      </c>
      <c r="F2030" t="str">
        <f>HYPERLINK("https://talan.bank.gov.ua/get-user-certificate/45CElO4N38RdoY9ybmQO","Завантажити сертифікат")</f>
        <v>Завантажити сертифікат</v>
      </c>
    </row>
    <row r="2031" spans="1:6" x14ac:dyDescent="0.3">
      <c r="A2031" t="s">
        <v>4389</v>
      </c>
      <c r="B2031" t="s">
        <v>6</v>
      </c>
      <c r="C2031" t="s">
        <v>4390</v>
      </c>
      <c r="D2031" t="s">
        <v>4375</v>
      </c>
      <c r="E2031" t="s">
        <v>4376</v>
      </c>
      <c r="F2031" t="str">
        <f>HYPERLINK("https://talan.bank.gov.ua/get-user-certificate/45CElaMUecIP-txiVkMT","Завантажити сертифікат")</f>
        <v>Завантажити сертифікат</v>
      </c>
    </row>
    <row r="2032" spans="1:6" x14ac:dyDescent="0.3">
      <c r="A2032" t="s">
        <v>4391</v>
      </c>
      <c r="B2032" t="s">
        <v>6</v>
      </c>
      <c r="C2032" t="s">
        <v>4392</v>
      </c>
      <c r="D2032" t="s">
        <v>4375</v>
      </c>
      <c r="E2032" t="s">
        <v>4376</v>
      </c>
      <c r="F2032" t="str">
        <f>HYPERLINK("https://talan.bank.gov.ua/get-user-certificate/45CEl8UOMSdoFGI5J6yS","Завантажити сертифікат")</f>
        <v>Завантажити сертифікат</v>
      </c>
    </row>
    <row r="2033" spans="1:6" x14ac:dyDescent="0.3">
      <c r="A2033" t="s">
        <v>4393</v>
      </c>
      <c r="B2033" t="s">
        <v>6</v>
      </c>
      <c r="C2033" t="s">
        <v>4394</v>
      </c>
      <c r="D2033" t="s">
        <v>4375</v>
      </c>
      <c r="E2033" t="s">
        <v>4376</v>
      </c>
      <c r="F2033" t="str">
        <f>HYPERLINK("https://talan.bank.gov.ua/get-user-certificate/45CElj8aJkhmpB2PYT1F","Завантажити сертифікат")</f>
        <v>Завантажити сертифікат</v>
      </c>
    </row>
    <row r="2034" spans="1:6" x14ac:dyDescent="0.3">
      <c r="A2034" t="s">
        <v>4395</v>
      </c>
      <c r="B2034" t="s">
        <v>6</v>
      </c>
      <c r="C2034" t="s">
        <v>4396</v>
      </c>
      <c r="D2034" t="s">
        <v>4375</v>
      </c>
      <c r="E2034" t="s">
        <v>4376</v>
      </c>
      <c r="F2034" t="str">
        <f>HYPERLINK("https://talan.bank.gov.ua/get-user-certificate/45CElye39YWPiSGXL60d","Завантажити сертифікат")</f>
        <v>Завантажити сертифікат</v>
      </c>
    </row>
    <row r="2035" spans="1:6" x14ac:dyDescent="0.3">
      <c r="A2035" t="s">
        <v>4397</v>
      </c>
      <c r="B2035" t="s">
        <v>6</v>
      </c>
      <c r="C2035" t="s">
        <v>4398</v>
      </c>
      <c r="D2035" t="s">
        <v>4375</v>
      </c>
      <c r="E2035" t="s">
        <v>4376</v>
      </c>
      <c r="F2035" t="str">
        <f>HYPERLINK("https://talan.bank.gov.ua/get-user-certificate/45CEla9Uic1aYfB987ER","Завантажити сертифікат")</f>
        <v>Завантажити сертифікат</v>
      </c>
    </row>
    <row r="2036" spans="1:6" x14ac:dyDescent="0.3">
      <c r="A2036" t="s">
        <v>4399</v>
      </c>
      <c r="B2036" t="s">
        <v>6</v>
      </c>
      <c r="C2036" t="s">
        <v>4400</v>
      </c>
      <c r="D2036" t="s">
        <v>4375</v>
      </c>
      <c r="E2036" t="s">
        <v>4376</v>
      </c>
      <c r="F2036" t="str">
        <f>HYPERLINK("https://talan.bank.gov.ua/get-user-certificate/45CEl2IRjygbelZsz3u6","Завантажити сертифікат")</f>
        <v>Завантажити сертифікат</v>
      </c>
    </row>
    <row r="2037" spans="1:6" x14ac:dyDescent="0.3">
      <c r="A2037" t="s">
        <v>4401</v>
      </c>
      <c r="B2037" t="s">
        <v>6</v>
      </c>
      <c r="C2037" t="s">
        <v>4402</v>
      </c>
      <c r="D2037" t="s">
        <v>4375</v>
      </c>
      <c r="E2037" t="s">
        <v>4376</v>
      </c>
      <c r="F2037" t="str">
        <f>HYPERLINK("https://talan.bank.gov.ua/get-user-certificate/45CElvfdCt6TzH1H-2BD","Завантажити сертифікат")</f>
        <v>Завантажити сертифікат</v>
      </c>
    </row>
    <row r="2038" spans="1:6" x14ac:dyDescent="0.3">
      <c r="A2038" t="s">
        <v>4403</v>
      </c>
      <c r="B2038" t="s">
        <v>6</v>
      </c>
      <c r="C2038" t="s">
        <v>4404</v>
      </c>
      <c r="D2038" t="s">
        <v>4375</v>
      </c>
      <c r="E2038" t="s">
        <v>4376</v>
      </c>
      <c r="F2038" t="str">
        <f>HYPERLINK("https://talan.bank.gov.ua/get-user-certificate/45CEl6oymgjaGc2ER8Oo","Завантажити сертифікат")</f>
        <v>Завантажити сертифікат</v>
      </c>
    </row>
    <row r="2039" spans="1:6" x14ac:dyDescent="0.3">
      <c r="A2039" t="s">
        <v>4405</v>
      </c>
      <c r="B2039" t="s">
        <v>6</v>
      </c>
      <c r="C2039" t="s">
        <v>4406</v>
      </c>
      <c r="D2039" t="s">
        <v>4375</v>
      </c>
      <c r="E2039" t="s">
        <v>4376</v>
      </c>
      <c r="F2039" t="str">
        <f>HYPERLINK("https://talan.bank.gov.ua/get-user-certificate/45CEl8aET33M47r7CA7M","Завантажити сертифікат")</f>
        <v>Завантажити сертифікат</v>
      </c>
    </row>
    <row r="2040" spans="1:6" x14ac:dyDescent="0.3">
      <c r="A2040" t="s">
        <v>4407</v>
      </c>
      <c r="B2040" t="s">
        <v>6</v>
      </c>
      <c r="C2040" t="s">
        <v>4408</v>
      </c>
      <c r="D2040" t="s">
        <v>4375</v>
      </c>
      <c r="E2040" t="s">
        <v>4376</v>
      </c>
      <c r="F2040" t="str">
        <f>HYPERLINK("https://talan.bank.gov.ua/get-user-certificate/45CElWtO_qbrGjb6e3r3","Завантажити сертифікат")</f>
        <v>Завантажити сертифікат</v>
      </c>
    </row>
    <row r="2041" spans="1:6" x14ac:dyDescent="0.3">
      <c r="A2041" t="s">
        <v>4409</v>
      </c>
      <c r="B2041" t="s">
        <v>6</v>
      </c>
      <c r="C2041" t="s">
        <v>4410</v>
      </c>
      <c r="D2041" t="s">
        <v>4411</v>
      </c>
      <c r="E2041" t="s">
        <v>4412</v>
      </c>
      <c r="F2041" t="str">
        <f>HYPERLINK("https://talan.bank.gov.ua/get-user-certificate/45CEl-uNhhFwFGzi-wGr","Завантажити сертифікат")</f>
        <v>Завантажити сертифікат</v>
      </c>
    </row>
    <row r="2042" spans="1:6" x14ac:dyDescent="0.3">
      <c r="A2042" t="s">
        <v>4413</v>
      </c>
      <c r="B2042" t="s">
        <v>6</v>
      </c>
      <c r="C2042" t="s">
        <v>4414</v>
      </c>
      <c r="D2042" t="s">
        <v>4411</v>
      </c>
      <c r="E2042" t="s">
        <v>4412</v>
      </c>
      <c r="F2042" t="str">
        <f>HYPERLINK("https://talan.bank.gov.ua/get-user-certificate/45CEl8r3Fi-5sDwtbsMx","Завантажити сертифікат")</f>
        <v>Завантажити сертифікат</v>
      </c>
    </row>
    <row r="2043" spans="1:6" x14ac:dyDescent="0.3">
      <c r="A2043" t="s">
        <v>4415</v>
      </c>
      <c r="B2043" t="s">
        <v>6</v>
      </c>
      <c r="C2043" t="s">
        <v>4416</v>
      </c>
      <c r="D2043" t="s">
        <v>4411</v>
      </c>
      <c r="E2043" t="s">
        <v>4412</v>
      </c>
      <c r="F2043" t="str">
        <f>HYPERLINK("https://talan.bank.gov.ua/get-user-certificate/45CElfBuDWO5yFxQpnQi","Завантажити сертифікат")</f>
        <v>Завантажити сертифікат</v>
      </c>
    </row>
    <row r="2044" spans="1:6" x14ac:dyDescent="0.3">
      <c r="A2044" t="s">
        <v>4417</v>
      </c>
      <c r="B2044" t="s">
        <v>6</v>
      </c>
      <c r="C2044" t="s">
        <v>4418</v>
      </c>
      <c r="D2044" t="s">
        <v>4411</v>
      </c>
      <c r="E2044" t="s">
        <v>4412</v>
      </c>
      <c r="F2044" t="str">
        <f>HYPERLINK("https://talan.bank.gov.ua/get-user-certificate/45CElQ2Wu8hlKtdmT6kA","Завантажити сертифікат")</f>
        <v>Завантажити сертифікат</v>
      </c>
    </row>
    <row r="2045" spans="1:6" x14ac:dyDescent="0.3">
      <c r="A2045" t="s">
        <v>4419</v>
      </c>
      <c r="B2045" t="s">
        <v>6</v>
      </c>
      <c r="C2045" t="s">
        <v>4420</v>
      </c>
      <c r="D2045" t="s">
        <v>4421</v>
      </c>
      <c r="E2045" t="s">
        <v>4422</v>
      </c>
      <c r="F2045" t="str">
        <f>HYPERLINK("https://talan.bank.gov.ua/get-user-certificate/45CElagMeCt0iT893nJU","Завантажити сертифікат")</f>
        <v>Завантажити сертифікат</v>
      </c>
    </row>
    <row r="2046" spans="1:6" x14ac:dyDescent="0.3">
      <c r="A2046" t="s">
        <v>4423</v>
      </c>
      <c r="B2046" t="s">
        <v>6</v>
      </c>
      <c r="C2046" t="s">
        <v>4424</v>
      </c>
      <c r="D2046" t="s">
        <v>4421</v>
      </c>
      <c r="E2046" t="s">
        <v>4422</v>
      </c>
      <c r="F2046" t="str">
        <f>HYPERLINK("https://talan.bank.gov.ua/get-user-certificate/45CElXqHVQ-jvLO9yMC2","Завантажити сертифікат")</f>
        <v>Завантажити сертифікат</v>
      </c>
    </row>
    <row r="2047" spans="1:6" x14ac:dyDescent="0.3">
      <c r="A2047" t="s">
        <v>4425</v>
      </c>
      <c r="B2047" t="s">
        <v>6</v>
      </c>
      <c r="C2047" t="s">
        <v>4426</v>
      </c>
      <c r="D2047" t="s">
        <v>4421</v>
      </c>
      <c r="E2047" t="s">
        <v>4422</v>
      </c>
      <c r="F2047" t="str">
        <f>HYPERLINK("https://talan.bank.gov.ua/get-user-certificate/45CEllbMVR_mDLn0mdo0","Завантажити сертифікат")</f>
        <v>Завантажити сертифікат</v>
      </c>
    </row>
    <row r="2048" spans="1:6" x14ac:dyDescent="0.3">
      <c r="A2048" t="s">
        <v>4427</v>
      </c>
      <c r="B2048" t="s">
        <v>6</v>
      </c>
      <c r="C2048" t="s">
        <v>4428</v>
      </c>
      <c r="D2048" t="s">
        <v>4421</v>
      </c>
      <c r="E2048" t="s">
        <v>4422</v>
      </c>
      <c r="F2048" t="str">
        <f>HYPERLINK("https://talan.bank.gov.ua/get-user-certificate/45CElwAm8fDIWEPyZHix","Завантажити сертифікат")</f>
        <v>Завантажити сертифікат</v>
      </c>
    </row>
    <row r="2049" spans="1:6" x14ac:dyDescent="0.3">
      <c r="A2049" t="s">
        <v>4429</v>
      </c>
      <c r="B2049" t="s">
        <v>6</v>
      </c>
      <c r="C2049" t="s">
        <v>4430</v>
      </c>
      <c r="D2049" t="s">
        <v>4421</v>
      </c>
      <c r="E2049" t="s">
        <v>4422</v>
      </c>
      <c r="F2049" t="str">
        <f>HYPERLINK("https://talan.bank.gov.ua/get-user-certificate/45CElGCXCCaCOHmo9sI5","Завантажити сертифікат")</f>
        <v>Завантажити сертифікат</v>
      </c>
    </row>
    <row r="2050" spans="1:6" x14ac:dyDescent="0.3">
      <c r="A2050" t="s">
        <v>4431</v>
      </c>
      <c r="B2050" t="s">
        <v>6</v>
      </c>
      <c r="C2050" t="s">
        <v>4432</v>
      </c>
      <c r="D2050" t="s">
        <v>4421</v>
      </c>
      <c r="E2050" t="s">
        <v>4422</v>
      </c>
      <c r="F2050" t="str">
        <f>HYPERLINK("https://talan.bank.gov.ua/get-user-certificate/45CElIFYM9EBFtNWng6v","Завантажити сертифікат")</f>
        <v>Завантажити сертифікат</v>
      </c>
    </row>
    <row r="2051" spans="1:6" x14ac:dyDescent="0.3">
      <c r="A2051" t="s">
        <v>4433</v>
      </c>
      <c r="B2051" t="s">
        <v>6</v>
      </c>
      <c r="C2051" t="s">
        <v>4434</v>
      </c>
      <c r="D2051" t="s">
        <v>4421</v>
      </c>
      <c r="E2051" t="s">
        <v>4422</v>
      </c>
      <c r="F2051" t="str">
        <f>HYPERLINK("https://talan.bank.gov.ua/get-user-certificate/45CElPFKmUcFPrWzj-u5","Завантажити сертифікат")</f>
        <v>Завантажити сертифікат</v>
      </c>
    </row>
    <row r="2052" spans="1:6" x14ac:dyDescent="0.3">
      <c r="A2052" t="s">
        <v>4435</v>
      </c>
      <c r="B2052" t="s">
        <v>6</v>
      </c>
      <c r="C2052" t="s">
        <v>4436</v>
      </c>
      <c r="D2052" t="s">
        <v>4421</v>
      </c>
      <c r="E2052" t="s">
        <v>4422</v>
      </c>
      <c r="F2052" t="str">
        <f>HYPERLINK("https://talan.bank.gov.ua/get-user-certificate/45CElHJS-GHWmi-v_Xrr","Завантажити сертифікат")</f>
        <v>Завантажити сертифікат</v>
      </c>
    </row>
    <row r="2053" spans="1:6" x14ac:dyDescent="0.3">
      <c r="A2053" t="s">
        <v>4437</v>
      </c>
      <c r="B2053" t="s">
        <v>6</v>
      </c>
      <c r="C2053" t="s">
        <v>4438</v>
      </c>
      <c r="D2053" t="s">
        <v>4421</v>
      </c>
      <c r="E2053" t="s">
        <v>4422</v>
      </c>
      <c r="F2053" t="str">
        <f>HYPERLINK("https://talan.bank.gov.ua/get-user-certificate/45CElQaVXrnI-b_ibBJ2","Завантажити сертифікат")</f>
        <v>Завантажити сертифікат</v>
      </c>
    </row>
    <row r="2054" spans="1:6" x14ac:dyDescent="0.3">
      <c r="A2054" t="s">
        <v>4439</v>
      </c>
      <c r="B2054" t="s">
        <v>6</v>
      </c>
      <c r="C2054" t="s">
        <v>4440</v>
      </c>
      <c r="D2054" t="s">
        <v>4441</v>
      </c>
      <c r="E2054" t="s">
        <v>4442</v>
      </c>
      <c r="F2054" t="str">
        <f>HYPERLINK("https://talan.bank.gov.ua/get-user-certificate/45CEl9Cz09-cfQc3J5Bj","Завантажити сертифікат")</f>
        <v>Завантажити сертифікат</v>
      </c>
    </row>
    <row r="2055" spans="1:6" x14ac:dyDescent="0.3">
      <c r="A2055" t="s">
        <v>4443</v>
      </c>
      <c r="B2055" t="s">
        <v>6</v>
      </c>
      <c r="C2055" t="s">
        <v>4444</v>
      </c>
      <c r="D2055" t="s">
        <v>4441</v>
      </c>
      <c r="E2055" t="s">
        <v>4442</v>
      </c>
      <c r="F2055" t="str">
        <f>HYPERLINK("https://talan.bank.gov.ua/get-user-certificate/45CEls54Jo1I1ZlFt5_5","Завантажити сертифікат")</f>
        <v>Завантажити сертифікат</v>
      </c>
    </row>
    <row r="2056" spans="1:6" x14ac:dyDescent="0.3">
      <c r="A2056" t="s">
        <v>4445</v>
      </c>
      <c r="B2056" t="s">
        <v>6</v>
      </c>
      <c r="C2056" t="s">
        <v>4446</v>
      </c>
      <c r="D2056" t="s">
        <v>4441</v>
      </c>
      <c r="E2056" t="s">
        <v>4442</v>
      </c>
      <c r="F2056" t="str">
        <f>HYPERLINK("https://talan.bank.gov.ua/get-user-certificate/45CElMw_sc2SPgrPAMeV","Завантажити сертифікат")</f>
        <v>Завантажити сертифікат</v>
      </c>
    </row>
    <row r="2057" spans="1:6" x14ac:dyDescent="0.3">
      <c r="A2057" t="s">
        <v>4447</v>
      </c>
      <c r="B2057" t="s">
        <v>6</v>
      </c>
      <c r="C2057" t="s">
        <v>4448</v>
      </c>
      <c r="D2057" t="s">
        <v>4441</v>
      </c>
      <c r="E2057" t="s">
        <v>4442</v>
      </c>
      <c r="F2057" t="str">
        <f>HYPERLINK("https://talan.bank.gov.ua/get-user-certificate/45CElswapbbC2KB-Kdho","Завантажити сертифікат")</f>
        <v>Завантажити сертифікат</v>
      </c>
    </row>
    <row r="2058" spans="1:6" x14ac:dyDescent="0.3">
      <c r="A2058" t="s">
        <v>4449</v>
      </c>
      <c r="B2058" t="s">
        <v>6</v>
      </c>
      <c r="C2058" t="s">
        <v>4450</v>
      </c>
      <c r="D2058" t="s">
        <v>4441</v>
      </c>
      <c r="E2058" t="s">
        <v>4442</v>
      </c>
      <c r="F2058" t="str">
        <f>HYPERLINK("https://talan.bank.gov.ua/get-user-certificate/45CElRoWRUztws85BRb5","Завантажити сертифікат")</f>
        <v>Завантажити сертифікат</v>
      </c>
    </row>
    <row r="2059" spans="1:6" x14ac:dyDescent="0.3">
      <c r="A2059" t="s">
        <v>4451</v>
      </c>
      <c r="B2059" t="s">
        <v>6</v>
      </c>
      <c r="C2059" t="s">
        <v>4452</v>
      </c>
      <c r="D2059" t="s">
        <v>4453</v>
      </c>
      <c r="E2059" t="s">
        <v>4454</v>
      </c>
      <c r="F2059" t="str">
        <f>HYPERLINK("https://talan.bank.gov.ua/get-user-certificate/45CElA-24WlPrw7wX2rl","Завантажити сертифікат")</f>
        <v>Завантажити сертифікат</v>
      </c>
    </row>
    <row r="2060" spans="1:6" x14ac:dyDescent="0.3">
      <c r="A2060" t="s">
        <v>4455</v>
      </c>
      <c r="B2060" t="s">
        <v>6</v>
      </c>
      <c r="C2060" t="s">
        <v>4456</v>
      </c>
      <c r="D2060" t="s">
        <v>4453</v>
      </c>
      <c r="E2060" t="s">
        <v>4454</v>
      </c>
      <c r="F2060" t="str">
        <f>HYPERLINK("https://talan.bank.gov.ua/get-user-certificate/45CElmYng-rXhAq_361S","Завантажити сертифікат")</f>
        <v>Завантажити сертифікат</v>
      </c>
    </row>
    <row r="2061" spans="1:6" x14ac:dyDescent="0.3">
      <c r="A2061" t="s">
        <v>4457</v>
      </c>
      <c r="B2061" t="s">
        <v>6</v>
      </c>
      <c r="C2061" t="s">
        <v>4458</v>
      </c>
      <c r="D2061" t="s">
        <v>4453</v>
      </c>
      <c r="E2061" t="s">
        <v>4454</v>
      </c>
      <c r="F2061" t="str">
        <f>HYPERLINK("https://talan.bank.gov.ua/get-user-certificate/45CElJc_xPeonEoL2fqd","Завантажити сертифікат")</f>
        <v>Завантажити сертифікат</v>
      </c>
    </row>
    <row r="2062" spans="1:6" x14ac:dyDescent="0.3">
      <c r="A2062" t="s">
        <v>4459</v>
      </c>
      <c r="B2062" t="s">
        <v>6</v>
      </c>
      <c r="C2062" t="s">
        <v>4460</v>
      </c>
      <c r="D2062" t="s">
        <v>4453</v>
      </c>
      <c r="E2062" t="s">
        <v>4454</v>
      </c>
      <c r="F2062" t="str">
        <f>HYPERLINK("https://talan.bank.gov.ua/get-user-certificate/45CElUM7ucKhVM55jbvt","Завантажити сертифікат")</f>
        <v>Завантажити сертифікат</v>
      </c>
    </row>
    <row r="2063" spans="1:6" x14ac:dyDescent="0.3">
      <c r="A2063" t="s">
        <v>4461</v>
      </c>
      <c r="B2063" t="s">
        <v>6</v>
      </c>
      <c r="C2063" t="s">
        <v>4462</v>
      </c>
      <c r="D2063" t="s">
        <v>4463</v>
      </c>
      <c r="E2063" t="s">
        <v>4464</v>
      </c>
      <c r="F2063" t="str">
        <f>HYPERLINK("https://talan.bank.gov.ua/get-user-certificate/45CElH3oHrkUrHw5gwER","Завантажити сертифікат")</f>
        <v>Завантажити сертифікат</v>
      </c>
    </row>
    <row r="2064" spans="1:6" x14ac:dyDescent="0.3">
      <c r="A2064" t="s">
        <v>4465</v>
      </c>
      <c r="B2064" t="s">
        <v>6</v>
      </c>
      <c r="C2064" t="s">
        <v>4466</v>
      </c>
      <c r="D2064" t="s">
        <v>4463</v>
      </c>
      <c r="E2064" t="s">
        <v>4464</v>
      </c>
      <c r="F2064" t="str">
        <f>HYPERLINK("https://talan.bank.gov.ua/get-user-certificate/45CElCmB2b63IUTSZt70","Завантажити сертифікат")</f>
        <v>Завантажити сертифікат</v>
      </c>
    </row>
    <row r="2065" spans="1:6" x14ac:dyDescent="0.3">
      <c r="A2065" t="s">
        <v>4467</v>
      </c>
      <c r="B2065" t="s">
        <v>6</v>
      </c>
      <c r="C2065" t="s">
        <v>4468</v>
      </c>
      <c r="D2065" t="s">
        <v>4463</v>
      </c>
      <c r="E2065" t="s">
        <v>4464</v>
      </c>
      <c r="F2065" t="str">
        <f>HYPERLINK("https://talan.bank.gov.ua/get-user-certificate/45CEl8cfgZG0A8u1wNFc","Завантажити сертифікат")</f>
        <v>Завантажити сертифікат</v>
      </c>
    </row>
    <row r="2066" spans="1:6" x14ac:dyDescent="0.3">
      <c r="A2066" t="s">
        <v>4469</v>
      </c>
      <c r="B2066" t="s">
        <v>6</v>
      </c>
      <c r="C2066" t="s">
        <v>4470</v>
      </c>
      <c r="D2066" t="s">
        <v>4463</v>
      </c>
      <c r="E2066" t="s">
        <v>4464</v>
      </c>
      <c r="F2066" t="str">
        <f>HYPERLINK("https://talan.bank.gov.ua/get-user-certificate/45CElo3lc3H88e0UccQn","Завантажити сертифікат")</f>
        <v>Завантажити сертифікат</v>
      </c>
    </row>
    <row r="2067" spans="1:6" x14ac:dyDescent="0.3">
      <c r="A2067" t="s">
        <v>4471</v>
      </c>
      <c r="B2067" t="s">
        <v>6</v>
      </c>
      <c r="C2067" t="s">
        <v>4472</v>
      </c>
      <c r="D2067" t="s">
        <v>4463</v>
      </c>
      <c r="E2067" t="s">
        <v>4464</v>
      </c>
      <c r="F2067" t="str">
        <f>HYPERLINK("https://talan.bank.gov.ua/get-user-certificate/45CElgWp8opdNvZ0MLEV","Завантажити сертифікат")</f>
        <v>Завантажити сертифікат</v>
      </c>
    </row>
    <row r="2068" spans="1:6" x14ac:dyDescent="0.3">
      <c r="A2068" t="s">
        <v>4473</v>
      </c>
      <c r="B2068" t="s">
        <v>6</v>
      </c>
      <c r="C2068" t="s">
        <v>4474</v>
      </c>
      <c r="D2068" t="s">
        <v>4463</v>
      </c>
      <c r="E2068" t="s">
        <v>4464</v>
      </c>
      <c r="F2068" t="str">
        <f>HYPERLINK("https://talan.bank.gov.ua/get-user-certificate/45CElNfHdPYptpB0ZUte","Завантажити сертифікат")</f>
        <v>Завантажити сертифікат</v>
      </c>
    </row>
    <row r="2069" spans="1:6" x14ac:dyDescent="0.3">
      <c r="A2069" t="s">
        <v>4475</v>
      </c>
      <c r="B2069" t="s">
        <v>6</v>
      </c>
      <c r="C2069" t="s">
        <v>4476</v>
      </c>
      <c r="D2069" t="s">
        <v>4463</v>
      </c>
      <c r="E2069" t="s">
        <v>4464</v>
      </c>
      <c r="F2069" t="str">
        <f>HYPERLINK("https://talan.bank.gov.ua/get-user-certificate/45CElZieB4vMc93mF0TW","Завантажити сертифікат")</f>
        <v>Завантажити сертифікат</v>
      </c>
    </row>
    <row r="2070" spans="1:6" x14ac:dyDescent="0.3">
      <c r="A2070" t="s">
        <v>4477</v>
      </c>
      <c r="B2070" t="s">
        <v>6</v>
      </c>
      <c r="C2070" t="s">
        <v>4478</v>
      </c>
      <c r="D2070" t="s">
        <v>4463</v>
      </c>
      <c r="E2070" t="s">
        <v>4464</v>
      </c>
      <c r="F2070" t="str">
        <f>HYPERLINK("https://talan.bank.gov.ua/get-user-certificate/45CElIGAaClZ2Fc7oJwA","Завантажити сертифікат")</f>
        <v>Завантажити сертифікат</v>
      </c>
    </row>
    <row r="2071" spans="1:6" x14ac:dyDescent="0.3">
      <c r="A2071" t="s">
        <v>4479</v>
      </c>
      <c r="B2071" t="s">
        <v>6</v>
      </c>
      <c r="C2071" t="s">
        <v>4480</v>
      </c>
      <c r="D2071" t="s">
        <v>4463</v>
      </c>
      <c r="E2071" t="s">
        <v>4464</v>
      </c>
      <c r="F2071" t="str">
        <f>HYPERLINK("https://talan.bank.gov.ua/get-user-certificate/45CElxmEM9f-FsunZREa","Завантажити сертифікат")</f>
        <v>Завантажити сертифікат</v>
      </c>
    </row>
    <row r="2072" spans="1:6" x14ac:dyDescent="0.3">
      <c r="A2072" t="s">
        <v>4481</v>
      </c>
      <c r="B2072" t="s">
        <v>6</v>
      </c>
      <c r="C2072" t="s">
        <v>4482</v>
      </c>
      <c r="D2072" t="s">
        <v>4463</v>
      </c>
      <c r="E2072" t="s">
        <v>4464</v>
      </c>
      <c r="F2072" t="str">
        <f>HYPERLINK("https://talan.bank.gov.ua/get-user-certificate/45CElhqFvt6DM-OdFSrp","Завантажити сертифікат")</f>
        <v>Завантажити сертифікат</v>
      </c>
    </row>
    <row r="2073" spans="1:6" x14ac:dyDescent="0.3">
      <c r="A2073" t="s">
        <v>4483</v>
      </c>
      <c r="B2073" t="s">
        <v>6</v>
      </c>
      <c r="C2073" t="s">
        <v>4484</v>
      </c>
      <c r="D2073" t="s">
        <v>4463</v>
      </c>
      <c r="E2073" t="s">
        <v>4464</v>
      </c>
      <c r="F2073" t="str">
        <f>HYPERLINK("https://talan.bank.gov.ua/get-user-certificate/45CElHWoWjJ6iYPVLpfo","Завантажити сертифікат")</f>
        <v>Завантажити сертифікат</v>
      </c>
    </row>
    <row r="2074" spans="1:6" x14ac:dyDescent="0.3">
      <c r="A2074" t="s">
        <v>4485</v>
      </c>
      <c r="B2074" t="s">
        <v>6</v>
      </c>
      <c r="C2074" t="s">
        <v>4486</v>
      </c>
      <c r="D2074" t="s">
        <v>4463</v>
      </c>
      <c r="E2074" t="s">
        <v>4464</v>
      </c>
      <c r="F2074" t="str">
        <f>HYPERLINK("https://talan.bank.gov.ua/get-user-certificate/45CElOtygGX_4irKtMy4","Завантажити сертифікат")</f>
        <v>Завантажити сертифікат</v>
      </c>
    </row>
    <row r="2075" spans="1:6" x14ac:dyDescent="0.3">
      <c r="A2075" t="s">
        <v>4487</v>
      </c>
      <c r="B2075" t="s">
        <v>6</v>
      </c>
      <c r="C2075" t="s">
        <v>4488</v>
      </c>
      <c r="D2075" t="s">
        <v>4463</v>
      </c>
      <c r="E2075" t="s">
        <v>4464</v>
      </c>
      <c r="F2075" t="str">
        <f>HYPERLINK("https://talan.bank.gov.ua/get-user-certificate/45CElgqverh8QPbJqxIx","Завантажити сертифікат")</f>
        <v>Завантажити сертифікат</v>
      </c>
    </row>
    <row r="2076" spans="1:6" x14ac:dyDescent="0.3">
      <c r="A2076" t="s">
        <v>4489</v>
      </c>
      <c r="B2076" t="s">
        <v>6</v>
      </c>
      <c r="C2076" t="s">
        <v>4490</v>
      </c>
      <c r="D2076" t="s">
        <v>4463</v>
      </c>
      <c r="E2076" t="s">
        <v>4464</v>
      </c>
      <c r="F2076" t="str">
        <f>HYPERLINK("https://talan.bank.gov.ua/get-user-certificate/45CElZZ88AYWxMVfnChJ","Завантажити сертифікат")</f>
        <v>Завантажити сертифікат</v>
      </c>
    </row>
    <row r="2077" spans="1:6" x14ac:dyDescent="0.3">
      <c r="A2077" t="s">
        <v>4491</v>
      </c>
      <c r="B2077" t="s">
        <v>6</v>
      </c>
      <c r="C2077" t="s">
        <v>4492</v>
      </c>
      <c r="D2077" t="s">
        <v>4463</v>
      </c>
      <c r="E2077" t="s">
        <v>4464</v>
      </c>
      <c r="F2077" t="str">
        <f>HYPERLINK("https://talan.bank.gov.ua/get-user-certificate/45CElORIkXvsOtt1silk","Завантажити сертифікат")</f>
        <v>Завантажити сертифікат</v>
      </c>
    </row>
    <row r="2078" spans="1:6" x14ac:dyDescent="0.3">
      <c r="A2078" t="s">
        <v>4493</v>
      </c>
      <c r="B2078" t="s">
        <v>6</v>
      </c>
      <c r="C2078" t="s">
        <v>4494</v>
      </c>
      <c r="D2078" t="s">
        <v>4463</v>
      </c>
      <c r="E2078" t="s">
        <v>4464</v>
      </c>
      <c r="F2078" t="str">
        <f>HYPERLINK("https://talan.bank.gov.ua/get-user-certificate/45CElw5btJlk_UGrlP8Y","Завантажити сертифікат")</f>
        <v>Завантажити сертифікат</v>
      </c>
    </row>
    <row r="2079" spans="1:6" x14ac:dyDescent="0.3">
      <c r="A2079" t="s">
        <v>4495</v>
      </c>
      <c r="B2079" t="s">
        <v>6</v>
      </c>
      <c r="C2079" t="s">
        <v>4496</v>
      </c>
      <c r="D2079" t="s">
        <v>4463</v>
      </c>
      <c r="E2079" t="s">
        <v>4464</v>
      </c>
      <c r="F2079" t="str">
        <f>HYPERLINK("https://talan.bank.gov.ua/get-user-certificate/45CElFeLyYpTgrA3VKEz","Завантажити сертифікат")</f>
        <v>Завантажити сертифікат</v>
      </c>
    </row>
    <row r="2080" spans="1:6" x14ac:dyDescent="0.3">
      <c r="A2080" t="s">
        <v>4497</v>
      </c>
      <c r="B2080" t="s">
        <v>6</v>
      </c>
      <c r="C2080" t="s">
        <v>4498</v>
      </c>
      <c r="D2080" t="s">
        <v>4463</v>
      </c>
      <c r="E2080" t="s">
        <v>4464</v>
      </c>
      <c r="F2080" t="str">
        <f>HYPERLINK("https://talan.bank.gov.ua/get-user-certificate/45CEl6luCPyawbay8Aa7","Завантажити сертифікат")</f>
        <v>Завантажити сертифікат</v>
      </c>
    </row>
    <row r="2081" spans="1:6" x14ac:dyDescent="0.3">
      <c r="A2081" t="s">
        <v>4499</v>
      </c>
      <c r="B2081" t="s">
        <v>6</v>
      </c>
      <c r="C2081" t="s">
        <v>4500</v>
      </c>
      <c r="D2081" t="s">
        <v>4463</v>
      </c>
      <c r="E2081" t="s">
        <v>4464</v>
      </c>
      <c r="F2081" t="str">
        <f>HYPERLINK("https://talan.bank.gov.ua/get-user-certificate/45CElPgTNt3p57yU7V8-","Завантажити сертифікат")</f>
        <v>Завантажити сертифікат</v>
      </c>
    </row>
    <row r="2082" spans="1:6" x14ac:dyDescent="0.3">
      <c r="A2082" t="s">
        <v>4501</v>
      </c>
      <c r="B2082" t="s">
        <v>6</v>
      </c>
      <c r="C2082" t="s">
        <v>4502</v>
      </c>
      <c r="D2082" t="s">
        <v>4463</v>
      </c>
      <c r="E2082" t="s">
        <v>4464</v>
      </c>
      <c r="F2082" t="str">
        <f>HYPERLINK("https://talan.bank.gov.ua/get-user-certificate/45CElv6VnQsyvp_5zIdt","Завантажити сертифікат")</f>
        <v>Завантажити сертифікат</v>
      </c>
    </row>
    <row r="2083" spans="1:6" x14ac:dyDescent="0.3">
      <c r="A2083" t="s">
        <v>4503</v>
      </c>
      <c r="B2083" t="s">
        <v>6</v>
      </c>
      <c r="C2083" t="s">
        <v>4504</v>
      </c>
      <c r="D2083" t="s">
        <v>4463</v>
      </c>
      <c r="E2083" t="s">
        <v>4464</v>
      </c>
      <c r="F2083" t="str">
        <f>HYPERLINK("https://talan.bank.gov.ua/get-user-certificate/45CElcPzPnIXhZ3O5Bty","Завантажити сертифікат")</f>
        <v>Завантажити сертифікат</v>
      </c>
    </row>
    <row r="2084" spans="1:6" x14ac:dyDescent="0.3">
      <c r="A2084" t="s">
        <v>4505</v>
      </c>
      <c r="B2084" t="s">
        <v>6</v>
      </c>
      <c r="C2084" t="s">
        <v>4506</v>
      </c>
      <c r="D2084" t="s">
        <v>4463</v>
      </c>
      <c r="E2084" t="s">
        <v>4464</v>
      </c>
      <c r="F2084" t="str">
        <f>HYPERLINK("https://talan.bank.gov.ua/get-user-certificate/45CElG3D15RC3WgW1_Za","Завантажити сертифікат")</f>
        <v>Завантажити сертифікат</v>
      </c>
    </row>
    <row r="2085" spans="1:6" x14ac:dyDescent="0.3">
      <c r="A2085" t="s">
        <v>4507</v>
      </c>
      <c r="B2085" t="s">
        <v>6</v>
      </c>
      <c r="C2085" t="s">
        <v>4508</v>
      </c>
      <c r="D2085" t="s">
        <v>4463</v>
      </c>
      <c r="E2085" t="s">
        <v>4464</v>
      </c>
      <c r="F2085" t="str">
        <f>HYPERLINK("https://talan.bank.gov.ua/get-user-certificate/45CElC-FT-gOeS2tL0qz","Завантажити сертифікат")</f>
        <v>Завантажити сертифікат</v>
      </c>
    </row>
    <row r="2086" spans="1:6" x14ac:dyDescent="0.3">
      <c r="A2086" t="s">
        <v>4509</v>
      </c>
      <c r="B2086" t="s">
        <v>6</v>
      </c>
      <c r="C2086" t="s">
        <v>4510</v>
      </c>
      <c r="D2086" t="s">
        <v>4463</v>
      </c>
      <c r="E2086" t="s">
        <v>4464</v>
      </c>
      <c r="F2086" t="str">
        <f>HYPERLINK("https://talan.bank.gov.ua/get-user-certificate/45CEll0MdBfigbj9cBP5","Завантажити сертифікат")</f>
        <v>Завантажити сертифікат</v>
      </c>
    </row>
    <row r="2087" spans="1:6" x14ac:dyDescent="0.3">
      <c r="A2087" t="s">
        <v>4511</v>
      </c>
      <c r="B2087" t="s">
        <v>6</v>
      </c>
      <c r="C2087" t="s">
        <v>4512</v>
      </c>
      <c r="D2087" t="s">
        <v>4463</v>
      </c>
      <c r="E2087" t="s">
        <v>4464</v>
      </c>
      <c r="F2087" t="str">
        <f>HYPERLINK("https://talan.bank.gov.ua/get-user-certificate/45CElTzYdqkCXMPoVn-e","Завантажити сертифікат")</f>
        <v>Завантажити сертифікат</v>
      </c>
    </row>
    <row r="2088" spans="1:6" x14ac:dyDescent="0.3">
      <c r="A2088" t="s">
        <v>4513</v>
      </c>
      <c r="B2088" t="s">
        <v>6</v>
      </c>
      <c r="C2088" t="s">
        <v>4514</v>
      </c>
      <c r="D2088" t="s">
        <v>4463</v>
      </c>
      <c r="E2088" t="s">
        <v>4464</v>
      </c>
      <c r="F2088" t="str">
        <f>HYPERLINK("https://talan.bank.gov.ua/get-user-certificate/45CElRQnjRC_fqRv6G6K","Завантажити сертифікат")</f>
        <v>Завантажити сертифікат</v>
      </c>
    </row>
    <row r="2089" spans="1:6" x14ac:dyDescent="0.3">
      <c r="A2089" t="s">
        <v>4515</v>
      </c>
      <c r="B2089" t="s">
        <v>6</v>
      </c>
      <c r="C2089" t="s">
        <v>4516</v>
      </c>
      <c r="D2089" t="s">
        <v>4463</v>
      </c>
      <c r="E2089" t="s">
        <v>4464</v>
      </c>
      <c r="F2089" t="str">
        <f>HYPERLINK("https://talan.bank.gov.ua/get-user-certificate/45CEljjJVgIrOpYU0QvX","Завантажити сертифікат")</f>
        <v>Завантажити сертифікат</v>
      </c>
    </row>
    <row r="2090" spans="1:6" x14ac:dyDescent="0.3">
      <c r="A2090" t="s">
        <v>4517</v>
      </c>
      <c r="B2090" t="s">
        <v>6</v>
      </c>
      <c r="C2090" t="s">
        <v>4518</v>
      </c>
      <c r="D2090" t="s">
        <v>4463</v>
      </c>
      <c r="E2090" t="s">
        <v>4464</v>
      </c>
      <c r="F2090" t="str">
        <f>HYPERLINK("https://talan.bank.gov.ua/get-user-certificate/45CElG14iyZy54ZGdvd0","Завантажити сертифікат")</f>
        <v>Завантажити сертифікат</v>
      </c>
    </row>
    <row r="2091" spans="1:6" x14ac:dyDescent="0.3">
      <c r="A2091" t="s">
        <v>4519</v>
      </c>
      <c r="B2091" t="s">
        <v>6</v>
      </c>
      <c r="C2091" t="s">
        <v>4520</v>
      </c>
      <c r="D2091" t="s">
        <v>4463</v>
      </c>
      <c r="E2091" t="s">
        <v>4464</v>
      </c>
      <c r="F2091" t="str">
        <f>HYPERLINK("https://talan.bank.gov.ua/get-user-certificate/45CEl-QOL10q_Vf-d9zI","Завантажити сертифікат")</f>
        <v>Завантажити сертифікат</v>
      </c>
    </row>
    <row r="2092" spans="1:6" x14ac:dyDescent="0.3">
      <c r="A2092" t="s">
        <v>4521</v>
      </c>
      <c r="B2092" t="s">
        <v>6</v>
      </c>
      <c r="C2092" t="s">
        <v>4522</v>
      </c>
      <c r="D2092" t="s">
        <v>4463</v>
      </c>
      <c r="E2092" t="s">
        <v>4464</v>
      </c>
      <c r="F2092" t="str">
        <f>HYPERLINK("https://talan.bank.gov.ua/get-user-certificate/45CEl_3XZ2qSbpFHahQA","Завантажити сертифікат")</f>
        <v>Завантажити сертифікат</v>
      </c>
    </row>
    <row r="2093" spans="1:6" x14ac:dyDescent="0.3">
      <c r="A2093" t="s">
        <v>4523</v>
      </c>
      <c r="B2093" t="s">
        <v>6</v>
      </c>
      <c r="C2093" t="s">
        <v>4524</v>
      </c>
      <c r="D2093" t="s">
        <v>4463</v>
      </c>
      <c r="E2093" t="s">
        <v>4464</v>
      </c>
      <c r="F2093" t="str">
        <f>HYPERLINK("https://talan.bank.gov.ua/get-user-certificate/45CElqXPYjVfP_OKniao","Завантажити сертифікат")</f>
        <v>Завантажити сертифікат</v>
      </c>
    </row>
    <row r="2094" spans="1:6" x14ac:dyDescent="0.3">
      <c r="A2094" t="s">
        <v>4525</v>
      </c>
      <c r="B2094" t="s">
        <v>6</v>
      </c>
      <c r="C2094" t="s">
        <v>4526</v>
      </c>
      <c r="D2094" t="s">
        <v>4463</v>
      </c>
      <c r="E2094" t="s">
        <v>4464</v>
      </c>
      <c r="F2094" t="str">
        <f>HYPERLINK("https://talan.bank.gov.ua/get-user-certificate/45CEl9LL30VZbCPWR-BJ","Завантажити сертифікат")</f>
        <v>Завантажити сертифікат</v>
      </c>
    </row>
    <row r="2095" spans="1:6" x14ac:dyDescent="0.3">
      <c r="A2095" t="s">
        <v>4527</v>
      </c>
      <c r="B2095" t="s">
        <v>6</v>
      </c>
      <c r="C2095" t="s">
        <v>4528</v>
      </c>
      <c r="D2095" t="s">
        <v>4463</v>
      </c>
      <c r="E2095" t="s">
        <v>4464</v>
      </c>
      <c r="F2095" t="str">
        <f>HYPERLINK("https://talan.bank.gov.ua/get-user-certificate/45CElORsuFeoTj5Qh4Zq","Завантажити сертифікат")</f>
        <v>Завантажити сертифікат</v>
      </c>
    </row>
    <row r="2096" spans="1:6" x14ac:dyDescent="0.3">
      <c r="A2096" t="s">
        <v>4529</v>
      </c>
      <c r="B2096" t="s">
        <v>6</v>
      </c>
      <c r="C2096" t="s">
        <v>4530</v>
      </c>
      <c r="D2096" t="s">
        <v>4463</v>
      </c>
      <c r="E2096" t="s">
        <v>4464</v>
      </c>
      <c r="F2096" t="str">
        <f>HYPERLINK("https://talan.bank.gov.ua/get-user-certificate/45CElqPg3qHI7kD6MsfZ","Завантажити сертифікат")</f>
        <v>Завантажити сертифікат</v>
      </c>
    </row>
    <row r="2097" spans="1:6" x14ac:dyDescent="0.3">
      <c r="A2097" t="s">
        <v>4531</v>
      </c>
      <c r="B2097" t="s">
        <v>6</v>
      </c>
      <c r="C2097" t="s">
        <v>4532</v>
      </c>
      <c r="D2097" t="s">
        <v>4463</v>
      </c>
      <c r="E2097" t="s">
        <v>4464</v>
      </c>
      <c r="F2097" t="str">
        <f>HYPERLINK("https://talan.bank.gov.ua/get-user-certificate/45CElD1LTdedhVF46YRA","Завантажити сертифікат")</f>
        <v>Завантажити сертифікат</v>
      </c>
    </row>
    <row r="2098" spans="1:6" x14ac:dyDescent="0.3">
      <c r="A2098" t="s">
        <v>4533</v>
      </c>
      <c r="B2098" t="s">
        <v>6</v>
      </c>
      <c r="C2098" t="s">
        <v>4534</v>
      </c>
      <c r="D2098" t="s">
        <v>4463</v>
      </c>
      <c r="E2098" t="s">
        <v>4464</v>
      </c>
      <c r="F2098" t="str">
        <f>HYPERLINK("https://talan.bank.gov.ua/get-user-certificate/45CEliE1U7xANwNxKifs","Завантажити сертифікат")</f>
        <v>Завантажити сертифікат</v>
      </c>
    </row>
    <row r="2099" spans="1:6" x14ac:dyDescent="0.3">
      <c r="A2099" t="s">
        <v>4535</v>
      </c>
      <c r="B2099" t="s">
        <v>6</v>
      </c>
      <c r="C2099" t="s">
        <v>4536</v>
      </c>
      <c r="D2099" t="s">
        <v>4463</v>
      </c>
      <c r="E2099" t="s">
        <v>4464</v>
      </c>
      <c r="F2099" t="str">
        <f>HYPERLINK("https://talan.bank.gov.ua/get-user-certificate/45CElgcCpx0OthJfvHtS","Завантажити сертифікат")</f>
        <v>Завантажити сертифікат</v>
      </c>
    </row>
    <row r="2100" spans="1:6" x14ac:dyDescent="0.3">
      <c r="A2100" t="s">
        <v>4537</v>
      </c>
      <c r="B2100" t="s">
        <v>6</v>
      </c>
      <c r="C2100" t="s">
        <v>4538</v>
      </c>
      <c r="D2100" t="s">
        <v>4463</v>
      </c>
      <c r="E2100" t="s">
        <v>4464</v>
      </c>
      <c r="F2100" t="str">
        <f>HYPERLINK("https://talan.bank.gov.ua/get-user-certificate/45CEl85iQ1doXqQvgBdH","Завантажити сертифікат")</f>
        <v>Завантажити сертифікат</v>
      </c>
    </row>
    <row r="2101" spans="1:6" x14ac:dyDescent="0.3">
      <c r="A2101" t="s">
        <v>4539</v>
      </c>
      <c r="B2101" t="s">
        <v>6</v>
      </c>
      <c r="C2101" t="s">
        <v>4540</v>
      </c>
      <c r="D2101" t="s">
        <v>4463</v>
      </c>
      <c r="E2101" t="s">
        <v>4464</v>
      </c>
      <c r="F2101" t="str">
        <f>HYPERLINK("https://talan.bank.gov.ua/get-user-certificate/45CElZRkG8L0FjDRorIy","Завантажити сертифікат")</f>
        <v>Завантажити сертифікат</v>
      </c>
    </row>
    <row r="2102" spans="1:6" x14ac:dyDescent="0.3">
      <c r="A2102" t="s">
        <v>4541</v>
      </c>
      <c r="B2102" t="s">
        <v>6</v>
      </c>
      <c r="C2102" t="s">
        <v>4542</v>
      </c>
      <c r="D2102" t="s">
        <v>4463</v>
      </c>
      <c r="E2102" t="s">
        <v>4464</v>
      </c>
      <c r="F2102" t="str">
        <f>HYPERLINK("https://talan.bank.gov.ua/get-user-certificate/45CEln6lnSmprGVTd1Bj","Завантажити сертифікат")</f>
        <v>Завантажити сертифікат</v>
      </c>
    </row>
    <row r="2103" spans="1:6" x14ac:dyDescent="0.3">
      <c r="A2103" t="s">
        <v>4543</v>
      </c>
      <c r="B2103" t="s">
        <v>6</v>
      </c>
      <c r="C2103" t="s">
        <v>4544</v>
      </c>
      <c r="D2103" t="s">
        <v>4463</v>
      </c>
      <c r="E2103" t="s">
        <v>4464</v>
      </c>
      <c r="F2103" t="str">
        <f>HYPERLINK("https://talan.bank.gov.ua/get-user-certificate/45CElpuXqTsCne4SAM5Y","Завантажити сертифікат")</f>
        <v>Завантажити сертифікат</v>
      </c>
    </row>
    <row r="2104" spans="1:6" x14ac:dyDescent="0.3">
      <c r="A2104" t="s">
        <v>4545</v>
      </c>
      <c r="B2104" t="s">
        <v>6</v>
      </c>
      <c r="C2104" t="s">
        <v>4546</v>
      </c>
      <c r="D2104" t="s">
        <v>4463</v>
      </c>
      <c r="E2104" t="s">
        <v>4464</v>
      </c>
      <c r="F2104" t="str">
        <f>HYPERLINK("https://talan.bank.gov.ua/get-user-certificate/45CElsoFYBW43th1Nae7","Завантажити сертифікат")</f>
        <v>Завантажити сертифікат</v>
      </c>
    </row>
    <row r="2105" spans="1:6" x14ac:dyDescent="0.3">
      <c r="A2105" t="s">
        <v>4547</v>
      </c>
      <c r="B2105" t="s">
        <v>6</v>
      </c>
      <c r="C2105" t="s">
        <v>4548</v>
      </c>
      <c r="D2105" t="s">
        <v>4463</v>
      </c>
      <c r="E2105" t="s">
        <v>4464</v>
      </c>
      <c r="F2105" t="str">
        <f>HYPERLINK("https://talan.bank.gov.ua/get-user-certificate/45CElaqokw5aK8rlahk9","Завантажити сертифікат")</f>
        <v>Завантажити сертифікат</v>
      </c>
    </row>
    <row r="2106" spans="1:6" x14ac:dyDescent="0.3">
      <c r="A2106" t="s">
        <v>4549</v>
      </c>
      <c r="B2106" t="s">
        <v>6</v>
      </c>
      <c r="C2106" t="s">
        <v>4550</v>
      </c>
      <c r="D2106" t="s">
        <v>4463</v>
      </c>
      <c r="E2106" t="s">
        <v>4464</v>
      </c>
      <c r="F2106" t="str">
        <f>HYPERLINK("https://talan.bank.gov.ua/get-user-certificate/45CElAGkhfIptzKIj9dV","Завантажити сертифікат")</f>
        <v>Завантажити сертифікат</v>
      </c>
    </row>
    <row r="2107" spans="1:6" x14ac:dyDescent="0.3">
      <c r="A2107" t="s">
        <v>4551</v>
      </c>
      <c r="B2107" t="s">
        <v>6</v>
      </c>
      <c r="C2107" t="s">
        <v>4552</v>
      </c>
      <c r="D2107" t="s">
        <v>4463</v>
      </c>
      <c r="E2107" t="s">
        <v>4464</v>
      </c>
      <c r="F2107" t="str">
        <f>HYPERLINK("https://talan.bank.gov.ua/get-user-certificate/45CElejKBE1sYF4eiivH","Завантажити сертифікат")</f>
        <v>Завантажити сертифікат</v>
      </c>
    </row>
    <row r="2108" spans="1:6" x14ac:dyDescent="0.3">
      <c r="A2108" t="s">
        <v>4553</v>
      </c>
      <c r="B2108" t="s">
        <v>6</v>
      </c>
      <c r="C2108" t="s">
        <v>4554</v>
      </c>
      <c r="D2108" t="s">
        <v>4463</v>
      </c>
      <c r="E2108" t="s">
        <v>4464</v>
      </c>
      <c r="F2108" t="str">
        <f>HYPERLINK("https://talan.bank.gov.ua/get-user-certificate/45CElUvZCNVr-p-7BgG6","Завантажити сертифікат")</f>
        <v>Завантажити сертифікат</v>
      </c>
    </row>
    <row r="2109" spans="1:6" x14ac:dyDescent="0.3">
      <c r="A2109" t="s">
        <v>4555</v>
      </c>
      <c r="B2109" t="s">
        <v>6</v>
      </c>
      <c r="C2109" t="s">
        <v>4556</v>
      </c>
      <c r="D2109" t="s">
        <v>4463</v>
      </c>
      <c r="E2109" t="s">
        <v>4464</v>
      </c>
      <c r="F2109" t="str">
        <f>HYPERLINK("https://talan.bank.gov.ua/get-user-certificate/45CElSGNArjrT5WxXwjL","Завантажити сертифікат")</f>
        <v>Завантажити сертифікат</v>
      </c>
    </row>
    <row r="2110" spans="1:6" x14ac:dyDescent="0.3">
      <c r="A2110" t="s">
        <v>4557</v>
      </c>
      <c r="B2110" t="s">
        <v>6</v>
      </c>
      <c r="C2110" t="s">
        <v>4558</v>
      </c>
      <c r="D2110" t="s">
        <v>4463</v>
      </c>
      <c r="E2110" t="s">
        <v>4464</v>
      </c>
      <c r="F2110" t="str">
        <f>HYPERLINK("https://talan.bank.gov.ua/get-user-certificate/45CElb-4YcjH_HnWNACM","Завантажити сертифікат")</f>
        <v>Завантажити сертифікат</v>
      </c>
    </row>
    <row r="2111" spans="1:6" x14ac:dyDescent="0.3">
      <c r="A2111" t="s">
        <v>4559</v>
      </c>
      <c r="B2111" t="s">
        <v>6</v>
      </c>
      <c r="C2111" t="s">
        <v>4560</v>
      </c>
      <c r="D2111" t="s">
        <v>4463</v>
      </c>
      <c r="E2111" t="s">
        <v>4464</v>
      </c>
      <c r="F2111" t="str">
        <f>HYPERLINK("https://talan.bank.gov.ua/get-user-certificate/45CElV0OtU4AgaTMmnup","Завантажити сертифікат")</f>
        <v>Завантажити сертифікат</v>
      </c>
    </row>
    <row r="2112" spans="1:6" x14ac:dyDescent="0.3">
      <c r="A2112" t="s">
        <v>4561</v>
      </c>
      <c r="B2112" t="s">
        <v>6</v>
      </c>
      <c r="C2112" t="s">
        <v>4562</v>
      </c>
      <c r="D2112" t="s">
        <v>4463</v>
      </c>
      <c r="E2112" t="s">
        <v>4464</v>
      </c>
      <c r="F2112" t="str">
        <f>HYPERLINK("https://talan.bank.gov.ua/get-user-certificate/45CElRvlvMqdiSwEOMXP","Завантажити сертифікат")</f>
        <v>Завантажити сертифікат</v>
      </c>
    </row>
    <row r="2113" spans="1:6" x14ac:dyDescent="0.3">
      <c r="A2113" t="s">
        <v>4563</v>
      </c>
      <c r="B2113" t="s">
        <v>6</v>
      </c>
      <c r="C2113" t="s">
        <v>4564</v>
      </c>
      <c r="D2113" t="s">
        <v>4463</v>
      </c>
      <c r="E2113" t="s">
        <v>4464</v>
      </c>
      <c r="F2113" t="str">
        <f>HYPERLINK("https://talan.bank.gov.ua/get-user-certificate/45CElkWNrNztsYXt6lzS","Завантажити сертифікат")</f>
        <v>Завантажити сертифікат</v>
      </c>
    </row>
    <row r="2114" spans="1:6" x14ac:dyDescent="0.3">
      <c r="A2114" t="s">
        <v>4565</v>
      </c>
      <c r="B2114" t="s">
        <v>6</v>
      </c>
      <c r="C2114" t="s">
        <v>4566</v>
      </c>
      <c r="D2114" t="s">
        <v>4463</v>
      </c>
      <c r="E2114" t="s">
        <v>4464</v>
      </c>
      <c r="F2114" t="str">
        <f>HYPERLINK("https://talan.bank.gov.ua/get-user-certificate/45CEl1X6TdTcDlNHt1dK","Завантажити сертифікат")</f>
        <v>Завантажити сертифікат</v>
      </c>
    </row>
    <row r="2115" spans="1:6" x14ac:dyDescent="0.3">
      <c r="A2115" t="s">
        <v>4567</v>
      </c>
      <c r="B2115" t="s">
        <v>6</v>
      </c>
      <c r="C2115" t="s">
        <v>4568</v>
      </c>
      <c r="D2115" t="s">
        <v>4463</v>
      </c>
      <c r="E2115" t="s">
        <v>4464</v>
      </c>
      <c r="F2115" t="str">
        <f>HYPERLINK("https://talan.bank.gov.ua/get-user-certificate/45CElFfyoc4dy1aUuCQm","Завантажити сертифікат")</f>
        <v>Завантажити сертифікат</v>
      </c>
    </row>
    <row r="2116" spans="1:6" x14ac:dyDescent="0.3">
      <c r="A2116" t="s">
        <v>4569</v>
      </c>
      <c r="B2116" t="s">
        <v>6</v>
      </c>
      <c r="C2116" t="s">
        <v>4570</v>
      </c>
      <c r="D2116" t="s">
        <v>4463</v>
      </c>
      <c r="E2116" t="s">
        <v>4464</v>
      </c>
      <c r="F2116" t="str">
        <f>HYPERLINK("https://talan.bank.gov.ua/get-user-certificate/45CElr4lrCATWiQ97ovU","Завантажити сертифікат")</f>
        <v>Завантажити сертифікат</v>
      </c>
    </row>
    <row r="2117" spans="1:6" x14ac:dyDescent="0.3">
      <c r="A2117" t="s">
        <v>4571</v>
      </c>
      <c r="B2117" t="s">
        <v>6</v>
      </c>
      <c r="C2117" t="s">
        <v>4572</v>
      </c>
      <c r="D2117" t="s">
        <v>4463</v>
      </c>
      <c r="E2117" t="s">
        <v>4464</v>
      </c>
      <c r="F2117" t="str">
        <f>HYPERLINK("https://talan.bank.gov.ua/get-user-certificate/45CElhAtwwdjFHwO7dvR","Завантажити сертифікат")</f>
        <v>Завантажити сертифікат</v>
      </c>
    </row>
    <row r="2118" spans="1:6" x14ac:dyDescent="0.3">
      <c r="A2118" t="s">
        <v>4573</v>
      </c>
      <c r="B2118" t="s">
        <v>6</v>
      </c>
      <c r="C2118" t="s">
        <v>4574</v>
      </c>
      <c r="D2118" t="s">
        <v>4463</v>
      </c>
      <c r="E2118" t="s">
        <v>4464</v>
      </c>
      <c r="F2118" t="str">
        <f>HYPERLINK("https://talan.bank.gov.ua/get-user-certificate/45CEl7z1h_Ae01u6QiNh","Завантажити сертифікат")</f>
        <v>Завантажити сертифікат</v>
      </c>
    </row>
    <row r="2119" spans="1:6" x14ac:dyDescent="0.3">
      <c r="A2119" t="s">
        <v>4575</v>
      </c>
      <c r="B2119" t="s">
        <v>6</v>
      </c>
      <c r="C2119" t="s">
        <v>4576</v>
      </c>
      <c r="D2119" t="s">
        <v>4463</v>
      </c>
      <c r="E2119" t="s">
        <v>4464</v>
      </c>
      <c r="F2119" t="str">
        <f>HYPERLINK("https://talan.bank.gov.ua/get-user-certificate/45CElIlf05MI2yuR_KJh","Завантажити сертифікат")</f>
        <v>Завантажити сертифікат</v>
      </c>
    </row>
    <row r="2120" spans="1:6" x14ac:dyDescent="0.3">
      <c r="A2120" t="s">
        <v>4577</v>
      </c>
      <c r="B2120" t="s">
        <v>6</v>
      </c>
      <c r="C2120" t="s">
        <v>4578</v>
      </c>
      <c r="D2120" t="s">
        <v>4463</v>
      </c>
      <c r="E2120" t="s">
        <v>4464</v>
      </c>
      <c r="F2120" t="str">
        <f>HYPERLINK("https://talan.bank.gov.ua/get-user-certificate/45CElSOWk1OFbb9gtpac","Завантажити сертифікат")</f>
        <v>Завантажити сертифікат</v>
      </c>
    </row>
    <row r="2121" spans="1:6" x14ac:dyDescent="0.3">
      <c r="A2121" t="s">
        <v>4579</v>
      </c>
      <c r="B2121" t="s">
        <v>6</v>
      </c>
      <c r="C2121" t="s">
        <v>4580</v>
      </c>
      <c r="D2121" t="s">
        <v>4463</v>
      </c>
      <c r="E2121" t="s">
        <v>4464</v>
      </c>
      <c r="F2121" t="str">
        <f>HYPERLINK("https://talan.bank.gov.ua/get-user-certificate/45CElxsVYJg8l4LICaID","Завантажити сертифікат")</f>
        <v>Завантажити сертифікат</v>
      </c>
    </row>
    <row r="2122" spans="1:6" x14ac:dyDescent="0.3">
      <c r="A2122" t="s">
        <v>4581</v>
      </c>
      <c r="B2122" t="s">
        <v>6</v>
      </c>
      <c r="C2122" t="s">
        <v>4582</v>
      </c>
      <c r="D2122" t="s">
        <v>4463</v>
      </c>
      <c r="E2122" t="s">
        <v>4464</v>
      </c>
      <c r="F2122" t="str">
        <f>HYPERLINK("https://talan.bank.gov.ua/get-user-certificate/45CEldcrz7zzHoci4-NH","Завантажити сертифікат")</f>
        <v>Завантажити сертифікат</v>
      </c>
    </row>
    <row r="2123" spans="1:6" x14ac:dyDescent="0.3">
      <c r="A2123" t="s">
        <v>4583</v>
      </c>
      <c r="B2123" t="s">
        <v>6</v>
      </c>
      <c r="C2123" t="s">
        <v>4584</v>
      </c>
      <c r="D2123" t="s">
        <v>4585</v>
      </c>
      <c r="E2123" t="s">
        <v>4586</v>
      </c>
      <c r="F2123" t="str">
        <f>HYPERLINK("https://talan.bank.gov.ua/get-user-certificate/45CElXT_-B16MAf248nV","Завантажити сертифікат")</f>
        <v>Завантажити сертифікат</v>
      </c>
    </row>
    <row r="2124" spans="1:6" x14ac:dyDescent="0.3">
      <c r="A2124" t="s">
        <v>4587</v>
      </c>
      <c r="B2124" t="s">
        <v>6</v>
      </c>
      <c r="C2124" t="s">
        <v>4588</v>
      </c>
      <c r="D2124" t="s">
        <v>4585</v>
      </c>
      <c r="F2124" t="str">
        <f>HYPERLINK("https://talan.bank.gov.ua/get-user-certificate/45CEl8zHl0iB002ZAWkk","Завантажити сертифікат")</f>
        <v>Завантажити сертифікат</v>
      </c>
    </row>
    <row r="2125" spans="1:6" x14ac:dyDescent="0.3">
      <c r="A2125" t="s">
        <v>4589</v>
      </c>
      <c r="B2125" t="s">
        <v>6</v>
      </c>
      <c r="C2125" t="s">
        <v>4590</v>
      </c>
      <c r="D2125" t="s">
        <v>4585</v>
      </c>
      <c r="F2125" t="str">
        <f>HYPERLINK("https://talan.bank.gov.ua/get-user-certificate/45CEltLU1fOCfXR0yB5K","Завантажити сертифікат")</f>
        <v>Завантажити сертифікат</v>
      </c>
    </row>
    <row r="2126" spans="1:6" x14ac:dyDescent="0.3">
      <c r="A2126" t="s">
        <v>4591</v>
      </c>
      <c r="B2126" t="s">
        <v>6</v>
      </c>
      <c r="C2126" t="s">
        <v>4592</v>
      </c>
      <c r="D2126" t="s">
        <v>4585</v>
      </c>
      <c r="F2126" t="str">
        <f>HYPERLINK("https://talan.bank.gov.ua/get-user-certificate/45CElfQQBIf2Ftr50-ml","Завантажити сертифікат")</f>
        <v>Завантажити сертифікат</v>
      </c>
    </row>
    <row r="2127" spans="1:6" x14ac:dyDescent="0.3">
      <c r="A2127" t="s">
        <v>4593</v>
      </c>
      <c r="B2127" t="s">
        <v>6</v>
      </c>
      <c r="C2127" t="s">
        <v>4594</v>
      </c>
      <c r="D2127" t="s">
        <v>4585</v>
      </c>
      <c r="F2127" t="str">
        <f>HYPERLINK("https://talan.bank.gov.ua/get-user-certificate/45CElUglO6XvTtE8VX4f","Завантажити сертифікат")</f>
        <v>Завантажити сертифікат</v>
      </c>
    </row>
    <row r="2128" spans="1:6" x14ac:dyDescent="0.3">
      <c r="A2128" t="s">
        <v>4595</v>
      </c>
      <c r="B2128" t="s">
        <v>6</v>
      </c>
      <c r="C2128" t="s">
        <v>4596</v>
      </c>
      <c r="D2128" t="s">
        <v>4585</v>
      </c>
      <c r="F2128" t="str">
        <f>HYPERLINK("https://talan.bank.gov.ua/get-user-certificate/45CEl4I03Z3insTL2iaW","Завантажити сертифікат")</f>
        <v>Завантажити сертифікат</v>
      </c>
    </row>
    <row r="2129" spans="1:6" x14ac:dyDescent="0.3">
      <c r="A2129" t="s">
        <v>4597</v>
      </c>
      <c r="B2129" t="s">
        <v>6</v>
      </c>
      <c r="C2129" t="s">
        <v>4598</v>
      </c>
      <c r="D2129" t="s">
        <v>4585</v>
      </c>
      <c r="F2129" t="str">
        <f>HYPERLINK("https://talan.bank.gov.ua/get-user-certificate/45CElQCJLbbLYaq-OB2J","Завантажити сертифікат")</f>
        <v>Завантажити сертифікат</v>
      </c>
    </row>
    <row r="2130" spans="1:6" x14ac:dyDescent="0.3">
      <c r="A2130" t="s">
        <v>4599</v>
      </c>
      <c r="B2130" t="s">
        <v>6</v>
      </c>
      <c r="C2130" t="s">
        <v>4600</v>
      </c>
      <c r="D2130" t="s">
        <v>4585</v>
      </c>
      <c r="F2130" t="str">
        <f>HYPERLINK("https://talan.bank.gov.ua/get-user-certificate/45CEl7sDUuybMJg9VbP_","Завантажити сертифікат")</f>
        <v>Завантажити сертифікат</v>
      </c>
    </row>
    <row r="2131" spans="1:6" x14ac:dyDescent="0.3">
      <c r="A2131" t="s">
        <v>4601</v>
      </c>
      <c r="B2131" t="s">
        <v>6</v>
      </c>
      <c r="C2131" t="s">
        <v>4602</v>
      </c>
      <c r="D2131" t="s">
        <v>4585</v>
      </c>
      <c r="F2131" t="str">
        <f>HYPERLINK("https://talan.bank.gov.ua/get-user-certificate/45CEl37n6ICyFLILnLvE","Завантажити сертифікат")</f>
        <v>Завантажити сертифікат</v>
      </c>
    </row>
    <row r="2132" spans="1:6" x14ac:dyDescent="0.3">
      <c r="A2132" t="s">
        <v>4603</v>
      </c>
      <c r="B2132" t="s">
        <v>6</v>
      </c>
      <c r="C2132" t="s">
        <v>4604</v>
      </c>
      <c r="D2132" t="s">
        <v>4605</v>
      </c>
      <c r="E2132" t="s">
        <v>4606</v>
      </c>
      <c r="F2132" t="str">
        <f>HYPERLINK("https://talan.bank.gov.ua/get-user-certificate/45CElwJ480LV6JmCmT19","Завантажити сертифікат")</f>
        <v>Завантажити сертифікат</v>
      </c>
    </row>
    <row r="2133" spans="1:6" x14ac:dyDescent="0.3">
      <c r="A2133" t="s">
        <v>4607</v>
      </c>
      <c r="B2133" t="s">
        <v>6</v>
      </c>
      <c r="C2133" t="s">
        <v>4608</v>
      </c>
      <c r="D2133" t="s">
        <v>4605</v>
      </c>
      <c r="E2133" t="s">
        <v>4606</v>
      </c>
      <c r="F2133" t="str">
        <f>HYPERLINK("https://talan.bank.gov.ua/get-user-certificate/45CElizFEwGknN9NMucr","Завантажити сертифікат")</f>
        <v>Завантажити сертифікат</v>
      </c>
    </row>
    <row r="2134" spans="1:6" x14ac:dyDescent="0.3">
      <c r="A2134" t="s">
        <v>4609</v>
      </c>
      <c r="B2134" t="s">
        <v>6</v>
      </c>
      <c r="C2134" t="s">
        <v>4610</v>
      </c>
      <c r="D2134" t="s">
        <v>4605</v>
      </c>
      <c r="E2134" t="s">
        <v>4606</v>
      </c>
      <c r="F2134" t="str">
        <f>HYPERLINK("https://talan.bank.gov.ua/get-user-certificate/45CElvXNoT25HwjfgEfL","Завантажити сертифікат")</f>
        <v>Завантажити сертифікат</v>
      </c>
    </row>
    <row r="2135" spans="1:6" x14ac:dyDescent="0.3">
      <c r="A2135" t="s">
        <v>4611</v>
      </c>
      <c r="B2135" t="s">
        <v>6</v>
      </c>
      <c r="C2135" t="s">
        <v>4612</v>
      </c>
      <c r="D2135" t="s">
        <v>4605</v>
      </c>
      <c r="E2135" t="s">
        <v>4606</v>
      </c>
      <c r="F2135" t="str">
        <f>HYPERLINK("https://talan.bank.gov.ua/get-user-certificate/45CElpvcueWn3UivzT1u","Завантажити сертифікат")</f>
        <v>Завантажити сертифікат</v>
      </c>
    </row>
    <row r="2136" spans="1:6" x14ac:dyDescent="0.3">
      <c r="A2136" t="s">
        <v>4613</v>
      </c>
      <c r="B2136" t="s">
        <v>6</v>
      </c>
      <c r="C2136" t="s">
        <v>4614</v>
      </c>
      <c r="D2136" t="s">
        <v>4605</v>
      </c>
      <c r="E2136" t="s">
        <v>4606</v>
      </c>
      <c r="F2136" t="str">
        <f>HYPERLINK("https://talan.bank.gov.ua/get-user-certificate/45CElewOa7804xZP6bCU","Завантажити сертифікат")</f>
        <v>Завантажити сертифікат</v>
      </c>
    </row>
    <row r="2137" spans="1:6" x14ac:dyDescent="0.3">
      <c r="A2137" t="s">
        <v>4615</v>
      </c>
      <c r="B2137" t="s">
        <v>6</v>
      </c>
      <c r="C2137" t="s">
        <v>4616</v>
      </c>
      <c r="D2137" t="s">
        <v>4605</v>
      </c>
      <c r="E2137" t="s">
        <v>4606</v>
      </c>
      <c r="F2137" t="str">
        <f>HYPERLINK("https://talan.bank.gov.ua/get-user-certificate/45CElOHpLvvo1J_nRvle","Завантажити сертифікат")</f>
        <v>Завантажити сертифікат</v>
      </c>
    </row>
    <row r="2138" spans="1:6" x14ac:dyDescent="0.3">
      <c r="A2138" t="s">
        <v>4617</v>
      </c>
      <c r="B2138" t="s">
        <v>6</v>
      </c>
      <c r="C2138" t="s">
        <v>4618</v>
      </c>
      <c r="D2138" t="s">
        <v>4605</v>
      </c>
      <c r="E2138" t="s">
        <v>4606</v>
      </c>
      <c r="F2138" t="str">
        <f>HYPERLINK("https://talan.bank.gov.ua/get-user-certificate/45CElw4CiSYJLvN9rvwl","Завантажити сертифікат")</f>
        <v>Завантажити сертифікат</v>
      </c>
    </row>
    <row r="2139" spans="1:6" x14ac:dyDescent="0.3">
      <c r="A2139" t="s">
        <v>4619</v>
      </c>
      <c r="B2139" t="s">
        <v>6</v>
      </c>
      <c r="C2139" t="s">
        <v>4620</v>
      </c>
      <c r="D2139" t="s">
        <v>4605</v>
      </c>
      <c r="E2139" t="s">
        <v>4606</v>
      </c>
      <c r="F2139" t="str">
        <f>HYPERLINK("https://talan.bank.gov.ua/get-user-certificate/45CElyCN9HXf2K141ayv","Завантажити сертифікат")</f>
        <v>Завантажити сертифікат</v>
      </c>
    </row>
    <row r="2140" spans="1:6" x14ac:dyDescent="0.3">
      <c r="A2140" t="s">
        <v>4621</v>
      </c>
      <c r="B2140" t="s">
        <v>6</v>
      </c>
      <c r="C2140" t="s">
        <v>4622</v>
      </c>
      <c r="D2140" t="s">
        <v>4605</v>
      </c>
      <c r="E2140" t="s">
        <v>4606</v>
      </c>
      <c r="F2140" t="str">
        <f>HYPERLINK("https://talan.bank.gov.ua/get-user-certificate/45CElX20N7X_mDU33dP3","Завантажити сертифікат")</f>
        <v>Завантажити сертифікат</v>
      </c>
    </row>
    <row r="2141" spans="1:6" x14ac:dyDescent="0.3">
      <c r="A2141" t="s">
        <v>4623</v>
      </c>
      <c r="B2141" t="s">
        <v>6</v>
      </c>
      <c r="C2141" t="s">
        <v>4624</v>
      </c>
      <c r="D2141" t="s">
        <v>4605</v>
      </c>
      <c r="E2141" t="s">
        <v>4606</v>
      </c>
      <c r="F2141" t="str">
        <f>HYPERLINK("https://talan.bank.gov.ua/get-user-certificate/45CElZaykLJmlEw1raYw","Завантажити сертифікат")</f>
        <v>Завантажити сертифікат</v>
      </c>
    </row>
    <row r="2142" spans="1:6" x14ac:dyDescent="0.3">
      <c r="A2142" t="s">
        <v>4625</v>
      </c>
      <c r="B2142" t="s">
        <v>6</v>
      </c>
      <c r="C2142" t="s">
        <v>4626</v>
      </c>
      <c r="D2142" t="s">
        <v>4605</v>
      </c>
      <c r="E2142" t="s">
        <v>4606</v>
      </c>
      <c r="F2142" t="str">
        <f>HYPERLINK("https://talan.bank.gov.ua/get-user-certificate/45CEl8IddioZAM6FkJNZ","Завантажити сертифікат")</f>
        <v>Завантажити сертифікат</v>
      </c>
    </row>
    <row r="2143" spans="1:6" x14ac:dyDescent="0.3">
      <c r="A2143" t="s">
        <v>4627</v>
      </c>
      <c r="B2143" t="s">
        <v>6</v>
      </c>
      <c r="C2143" t="s">
        <v>4628</v>
      </c>
      <c r="D2143" t="s">
        <v>4605</v>
      </c>
      <c r="E2143" t="s">
        <v>4606</v>
      </c>
      <c r="F2143" t="str">
        <f>HYPERLINK("https://talan.bank.gov.ua/get-user-certificate/45CEll4XdMdrFvWE-OfU","Завантажити сертифікат")</f>
        <v>Завантажити сертифікат</v>
      </c>
    </row>
    <row r="2144" spans="1:6" x14ac:dyDescent="0.3">
      <c r="A2144" t="s">
        <v>4629</v>
      </c>
      <c r="B2144" t="s">
        <v>6</v>
      </c>
      <c r="C2144" t="s">
        <v>4630</v>
      </c>
      <c r="D2144" t="s">
        <v>4605</v>
      </c>
      <c r="E2144" t="s">
        <v>4606</v>
      </c>
      <c r="F2144" t="str">
        <f>HYPERLINK("https://talan.bank.gov.ua/get-user-certificate/45CElOtRnCxtGIBAvM_9","Завантажити сертифікат")</f>
        <v>Завантажити сертифікат</v>
      </c>
    </row>
    <row r="2145" spans="1:6" x14ac:dyDescent="0.3">
      <c r="A2145" t="s">
        <v>4631</v>
      </c>
      <c r="B2145" t="s">
        <v>6</v>
      </c>
      <c r="C2145" t="s">
        <v>4632</v>
      </c>
      <c r="D2145" t="s">
        <v>4605</v>
      </c>
      <c r="E2145" t="s">
        <v>4606</v>
      </c>
      <c r="F2145" t="str">
        <f>HYPERLINK("https://talan.bank.gov.ua/get-user-certificate/45CElsgRYMVvdOrxu87T","Завантажити сертифікат")</f>
        <v>Завантажити сертифікат</v>
      </c>
    </row>
    <row r="2146" spans="1:6" x14ac:dyDescent="0.3">
      <c r="A2146" t="s">
        <v>4633</v>
      </c>
      <c r="B2146" t="s">
        <v>6</v>
      </c>
      <c r="C2146" t="s">
        <v>4634</v>
      </c>
      <c r="D2146" t="s">
        <v>4605</v>
      </c>
      <c r="E2146" t="s">
        <v>4606</v>
      </c>
      <c r="F2146" t="str">
        <f>HYPERLINK("https://talan.bank.gov.ua/get-user-certificate/45CElbdy8Le6Qif7pSno","Завантажити сертифікат")</f>
        <v>Завантажити сертифікат</v>
      </c>
    </row>
    <row r="2147" spans="1:6" x14ac:dyDescent="0.3">
      <c r="A2147" t="s">
        <v>4635</v>
      </c>
      <c r="B2147" t="s">
        <v>6</v>
      </c>
      <c r="C2147" t="s">
        <v>4636</v>
      </c>
      <c r="D2147" t="s">
        <v>4605</v>
      </c>
      <c r="E2147" t="s">
        <v>4606</v>
      </c>
      <c r="F2147" t="str">
        <f>HYPERLINK("https://talan.bank.gov.ua/get-user-certificate/45CElhAjOI3tld9aFciA","Завантажити сертифікат")</f>
        <v>Завантажити сертифікат</v>
      </c>
    </row>
    <row r="2148" spans="1:6" x14ac:dyDescent="0.3">
      <c r="A2148" t="s">
        <v>4637</v>
      </c>
      <c r="B2148" t="s">
        <v>6</v>
      </c>
      <c r="C2148" t="s">
        <v>4638</v>
      </c>
      <c r="D2148" t="s">
        <v>4605</v>
      </c>
      <c r="E2148" t="s">
        <v>4606</v>
      </c>
      <c r="F2148" t="str">
        <f>HYPERLINK("https://talan.bank.gov.ua/get-user-certificate/45CElXRwdpm3Cu9kJSR2","Завантажити сертифікат")</f>
        <v>Завантажити сертифікат</v>
      </c>
    </row>
    <row r="2149" spans="1:6" x14ac:dyDescent="0.3">
      <c r="A2149" t="s">
        <v>4639</v>
      </c>
      <c r="B2149" t="s">
        <v>6</v>
      </c>
      <c r="C2149" t="s">
        <v>4640</v>
      </c>
      <c r="D2149" t="s">
        <v>4605</v>
      </c>
      <c r="E2149" t="s">
        <v>4606</v>
      </c>
      <c r="F2149" t="str">
        <f>HYPERLINK("https://talan.bank.gov.ua/get-user-certificate/45CElDHSBmgmpYTcGS7n","Завантажити сертифікат")</f>
        <v>Завантажити сертифікат</v>
      </c>
    </row>
    <row r="2150" spans="1:6" x14ac:dyDescent="0.3">
      <c r="A2150" t="s">
        <v>4641</v>
      </c>
      <c r="B2150" t="s">
        <v>6</v>
      </c>
      <c r="C2150" t="s">
        <v>4642</v>
      </c>
      <c r="D2150" t="s">
        <v>4605</v>
      </c>
      <c r="E2150" t="s">
        <v>4606</v>
      </c>
      <c r="F2150" t="str">
        <f>HYPERLINK("https://talan.bank.gov.ua/get-user-certificate/45CEleKop-kIJ09HHQNx","Завантажити сертифікат")</f>
        <v>Завантажити сертифікат</v>
      </c>
    </row>
    <row r="2151" spans="1:6" x14ac:dyDescent="0.3">
      <c r="A2151" t="s">
        <v>4643</v>
      </c>
      <c r="B2151" t="s">
        <v>6</v>
      </c>
      <c r="C2151" t="s">
        <v>4644</v>
      </c>
      <c r="D2151" t="s">
        <v>4605</v>
      </c>
      <c r="E2151" t="s">
        <v>4606</v>
      </c>
      <c r="F2151" t="str">
        <f>HYPERLINK("https://talan.bank.gov.ua/get-user-certificate/45CEl2bUygbuF_ijkDy7","Завантажити сертифікат")</f>
        <v>Завантажити сертифікат</v>
      </c>
    </row>
    <row r="2152" spans="1:6" x14ac:dyDescent="0.3">
      <c r="A2152" t="s">
        <v>4645</v>
      </c>
      <c r="B2152" t="s">
        <v>6</v>
      </c>
      <c r="C2152" t="s">
        <v>4646</v>
      </c>
      <c r="D2152" t="s">
        <v>4605</v>
      </c>
      <c r="E2152" t="s">
        <v>4606</v>
      </c>
      <c r="F2152" t="str">
        <f>HYPERLINK("https://talan.bank.gov.ua/get-user-certificate/45CElVFQjhTb-o2t9IWC","Завантажити сертифікат")</f>
        <v>Завантажити сертифікат</v>
      </c>
    </row>
    <row r="2153" spans="1:6" x14ac:dyDescent="0.3">
      <c r="A2153" t="s">
        <v>4647</v>
      </c>
      <c r="B2153" t="s">
        <v>6</v>
      </c>
      <c r="C2153" t="s">
        <v>4648</v>
      </c>
      <c r="D2153" t="s">
        <v>4649</v>
      </c>
      <c r="E2153" t="s">
        <v>4650</v>
      </c>
      <c r="F2153" t="str">
        <f>HYPERLINK("https://talan.bank.gov.ua/get-user-certificate/45CElORP_SsafgyUCz_x","Завантажити сертифікат")</f>
        <v>Завантажити сертифікат</v>
      </c>
    </row>
    <row r="2154" spans="1:6" x14ac:dyDescent="0.3">
      <c r="A2154" t="s">
        <v>4651</v>
      </c>
      <c r="B2154" t="s">
        <v>6</v>
      </c>
      <c r="C2154" t="s">
        <v>4652</v>
      </c>
      <c r="D2154" t="s">
        <v>4649</v>
      </c>
      <c r="E2154" t="s">
        <v>4650</v>
      </c>
      <c r="F2154" t="str">
        <f>HYPERLINK("https://talan.bank.gov.ua/get-user-certificate/45CElWaUXdnw2g4aan0T","Завантажити сертифікат")</f>
        <v>Завантажити сертифікат</v>
      </c>
    </row>
    <row r="2155" spans="1:6" x14ac:dyDescent="0.3">
      <c r="A2155" t="s">
        <v>4653</v>
      </c>
      <c r="B2155" t="s">
        <v>6</v>
      </c>
      <c r="C2155" t="s">
        <v>4654</v>
      </c>
      <c r="D2155" t="s">
        <v>4649</v>
      </c>
      <c r="E2155" t="s">
        <v>4650</v>
      </c>
      <c r="F2155" t="str">
        <f>HYPERLINK("https://talan.bank.gov.ua/get-user-certificate/45CElIEM-hyBCL_xq6-E","Завантажити сертифікат")</f>
        <v>Завантажити сертифікат</v>
      </c>
    </row>
    <row r="2156" spans="1:6" x14ac:dyDescent="0.3">
      <c r="A2156" t="s">
        <v>4655</v>
      </c>
      <c r="B2156" t="s">
        <v>6</v>
      </c>
      <c r="C2156" t="s">
        <v>4656</v>
      </c>
      <c r="D2156" t="s">
        <v>4657</v>
      </c>
      <c r="E2156" t="s">
        <v>4658</v>
      </c>
      <c r="F2156" t="str">
        <f>HYPERLINK("https://talan.bank.gov.ua/get-user-certificate/45CElQKjIMA8MZ058k1a","Завантажити сертифікат")</f>
        <v>Завантажити сертифікат</v>
      </c>
    </row>
    <row r="2157" spans="1:6" x14ac:dyDescent="0.3">
      <c r="A2157" t="s">
        <v>4659</v>
      </c>
      <c r="B2157" t="s">
        <v>6</v>
      </c>
      <c r="C2157" t="s">
        <v>4660</v>
      </c>
      <c r="D2157" t="s">
        <v>4657</v>
      </c>
      <c r="E2157" t="s">
        <v>4658</v>
      </c>
      <c r="F2157" t="str">
        <f>HYPERLINK("https://talan.bank.gov.ua/get-user-certificate/45CElM3VLv6qX-yR1oM0","Завантажити сертифікат")</f>
        <v>Завантажити сертифікат</v>
      </c>
    </row>
    <row r="2158" spans="1:6" x14ac:dyDescent="0.3">
      <c r="A2158" t="s">
        <v>4661</v>
      </c>
      <c r="B2158" t="s">
        <v>6</v>
      </c>
      <c r="C2158" t="s">
        <v>4662</v>
      </c>
      <c r="D2158" t="s">
        <v>4657</v>
      </c>
      <c r="E2158" t="s">
        <v>4658</v>
      </c>
      <c r="F2158" t="str">
        <f>HYPERLINK("https://talan.bank.gov.ua/get-user-certificate/45CEln2pd3zlF-iF0tvW","Завантажити сертифікат")</f>
        <v>Завантажити сертифікат</v>
      </c>
    </row>
    <row r="2159" spans="1:6" x14ac:dyDescent="0.3">
      <c r="A2159" t="s">
        <v>4663</v>
      </c>
      <c r="B2159" t="s">
        <v>6</v>
      </c>
      <c r="C2159" t="s">
        <v>4664</v>
      </c>
      <c r="D2159" t="s">
        <v>4657</v>
      </c>
      <c r="E2159" t="s">
        <v>4658</v>
      </c>
      <c r="F2159" t="str">
        <f>HYPERLINK("https://talan.bank.gov.ua/get-user-certificate/45CElnLXPejS6cQzURWe","Завантажити сертифікат")</f>
        <v>Завантажити сертифікат</v>
      </c>
    </row>
    <row r="2160" spans="1:6" x14ac:dyDescent="0.3">
      <c r="A2160" t="s">
        <v>4665</v>
      </c>
      <c r="B2160" t="s">
        <v>6</v>
      </c>
      <c r="C2160" t="s">
        <v>4666</v>
      </c>
      <c r="D2160" t="s">
        <v>4657</v>
      </c>
      <c r="E2160" t="s">
        <v>4658</v>
      </c>
      <c r="F2160" t="str">
        <f>HYPERLINK("https://talan.bank.gov.ua/get-user-certificate/45CElNovTOyhNBTEbJGJ","Завантажити сертифікат")</f>
        <v>Завантажити сертифікат</v>
      </c>
    </row>
    <row r="2161" spans="1:6" x14ac:dyDescent="0.3">
      <c r="A2161" t="s">
        <v>4667</v>
      </c>
      <c r="B2161" t="s">
        <v>6</v>
      </c>
      <c r="C2161" t="s">
        <v>4668</v>
      </c>
      <c r="D2161" t="s">
        <v>4657</v>
      </c>
      <c r="E2161" t="s">
        <v>4658</v>
      </c>
      <c r="F2161" t="str">
        <f>HYPERLINK("https://talan.bank.gov.ua/get-user-certificate/45CElPT4SsP_ok2LCDy_","Завантажити сертифікат")</f>
        <v>Завантажити сертифікат</v>
      </c>
    </row>
    <row r="2162" spans="1:6" x14ac:dyDescent="0.3">
      <c r="A2162" t="s">
        <v>4669</v>
      </c>
      <c r="B2162" t="s">
        <v>6</v>
      </c>
      <c r="C2162" t="s">
        <v>4670</v>
      </c>
      <c r="D2162" t="s">
        <v>4657</v>
      </c>
      <c r="E2162" t="s">
        <v>4658</v>
      </c>
      <c r="F2162" t="str">
        <f>HYPERLINK("https://talan.bank.gov.ua/get-user-certificate/45CElc2lsjq9tOLDaj65","Завантажити сертифікат")</f>
        <v>Завантажити сертифікат</v>
      </c>
    </row>
    <row r="2163" spans="1:6" x14ac:dyDescent="0.3">
      <c r="A2163" t="s">
        <v>4671</v>
      </c>
      <c r="B2163" t="s">
        <v>6</v>
      </c>
      <c r="C2163" t="s">
        <v>4672</v>
      </c>
      <c r="D2163" t="s">
        <v>4673</v>
      </c>
      <c r="E2163" t="s">
        <v>4674</v>
      </c>
      <c r="F2163" t="str">
        <f>HYPERLINK("https://talan.bank.gov.ua/get-user-certificate/45CEl7O3_iRcsJalTfZn","Завантажити сертифікат")</f>
        <v>Завантажити сертифікат</v>
      </c>
    </row>
    <row r="2164" spans="1:6" x14ac:dyDescent="0.3">
      <c r="A2164" t="s">
        <v>4675</v>
      </c>
      <c r="B2164" t="s">
        <v>6</v>
      </c>
      <c r="C2164" t="s">
        <v>4676</v>
      </c>
      <c r="D2164" t="s">
        <v>4673</v>
      </c>
      <c r="E2164" t="s">
        <v>4674</v>
      </c>
      <c r="F2164" t="str">
        <f>HYPERLINK("https://talan.bank.gov.ua/get-user-certificate/45CElDCFEJ5ypq_xgq_U","Завантажити сертифікат")</f>
        <v>Завантажити сертифікат</v>
      </c>
    </row>
    <row r="2165" spans="1:6" x14ac:dyDescent="0.3">
      <c r="A2165" t="s">
        <v>4677</v>
      </c>
      <c r="B2165" t="s">
        <v>6</v>
      </c>
      <c r="C2165" t="s">
        <v>4678</v>
      </c>
      <c r="D2165" t="s">
        <v>4673</v>
      </c>
      <c r="E2165" t="s">
        <v>4674</v>
      </c>
      <c r="F2165" t="str">
        <f>HYPERLINK("https://talan.bank.gov.ua/get-user-certificate/45CElySYNNVQ5A7Bhzzr","Завантажити сертифікат")</f>
        <v>Завантажити сертифікат</v>
      </c>
    </row>
    <row r="2166" spans="1:6" x14ac:dyDescent="0.3">
      <c r="A2166" t="s">
        <v>4679</v>
      </c>
      <c r="B2166" t="s">
        <v>6</v>
      </c>
      <c r="C2166" t="s">
        <v>4680</v>
      </c>
      <c r="D2166" t="s">
        <v>4673</v>
      </c>
      <c r="E2166" t="s">
        <v>4674</v>
      </c>
      <c r="F2166" t="str">
        <f>HYPERLINK("https://talan.bank.gov.ua/get-user-certificate/45CElXFQK15aoNK8Z9kS","Завантажити сертифікат")</f>
        <v>Завантажити сертифікат</v>
      </c>
    </row>
    <row r="2167" spans="1:6" x14ac:dyDescent="0.3">
      <c r="A2167" t="s">
        <v>4681</v>
      </c>
      <c r="B2167" t="s">
        <v>6</v>
      </c>
      <c r="C2167" t="s">
        <v>4682</v>
      </c>
      <c r="D2167" t="s">
        <v>4673</v>
      </c>
      <c r="E2167" t="s">
        <v>4674</v>
      </c>
      <c r="F2167" t="str">
        <f>HYPERLINK("https://talan.bank.gov.ua/get-user-certificate/45CEltOdZgCKI8W78EcZ","Завантажити сертифікат")</f>
        <v>Завантажити сертифікат</v>
      </c>
    </row>
    <row r="2168" spans="1:6" x14ac:dyDescent="0.3">
      <c r="A2168" t="s">
        <v>4683</v>
      </c>
      <c r="B2168" t="s">
        <v>6</v>
      </c>
      <c r="C2168" t="s">
        <v>4684</v>
      </c>
      <c r="D2168" t="s">
        <v>4673</v>
      </c>
      <c r="E2168" t="s">
        <v>4674</v>
      </c>
      <c r="F2168" t="str">
        <f>HYPERLINK("https://talan.bank.gov.ua/get-user-certificate/45CEl9OzIZLwPQSua6NJ","Завантажити сертифікат")</f>
        <v>Завантажити сертифікат</v>
      </c>
    </row>
    <row r="2169" spans="1:6" x14ac:dyDescent="0.3">
      <c r="A2169" t="s">
        <v>4685</v>
      </c>
      <c r="B2169" t="s">
        <v>6</v>
      </c>
      <c r="C2169" t="s">
        <v>4686</v>
      </c>
      <c r="D2169" t="s">
        <v>4673</v>
      </c>
      <c r="E2169" t="s">
        <v>4674</v>
      </c>
      <c r="F2169" t="str">
        <f>HYPERLINK("https://talan.bank.gov.ua/get-user-certificate/45CElh91MQrJNHulNcBw","Завантажити сертифікат")</f>
        <v>Завантажити сертифікат</v>
      </c>
    </row>
    <row r="2170" spans="1:6" x14ac:dyDescent="0.3">
      <c r="A2170" t="s">
        <v>4687</v>
      </c>
      <c r="B2170" t="s">
        <v>6</v>
      </c>
      <c r="C2170" t="s">
        <v>4688</v>
      </c>
      <c r="D2170" t="s">
        <v>4673</v>
      </c>
      <c r="E2170" t="s">
        <v>4674</v>
      </c>
      <c r="F2170" t="str">
        <f>HYPERLINK("https://talan.bank.gov.ua/get-user-certificate/45CElUPg_vgvg3GdHkob","Завантажити сертифікат")</f>
        <v>Завантажити сертифікат</v>
      </c>
    </row>
    <row r="2171" spans="1:6" x14ac:dyDescent="0.3">
      <c r="A2171" t="s">
        <v>4689</v>
      </c>
      <c r="B2171" t="s">
        <v>6</v>
      </c>
      <c r="C2171" t="s">
        <v>4690</v>
      </c>
      <c r="D2171" t="s">
        <v>4673</v>
      </c>
      <c r="E2171" t="s">
        <v>4674</v>
      </c>
      <c r="F2171" t="str">
        <f>HYPERLINK("https://talan.bank.gov.ua/get-user-certificate/45CEl5JZVb9WDRkaupB3","Завантажити сертифікат")</f>
        <v>Завантажити сертифікат</v>
      </c>
    </row>
    <row r="2172" spans="1:6" x14ac:dyDescent="0.3">
      <c r="A2172" t="s">
        <v>4691</v>
      </c>
      <c r="B2172" t="s">
        <v>6</v>
      </c>
      <c r="C2172" t="s">
        <v>4692</v>
      </c>
      <c r="D2172" t="s">
        <v>4673</v>
      </c>
      <c r="E2172" t="s">
        <v>4674</v>
      </c>
      <c r="F2172" t="str">
        <f>HYPERLINK("https://talan.bank.gov.ua/get-user-certificate/45CEllJgUq3-PTrIyajd","Завантажити сертифікат")</f>
        <v>Завантажити сертифікат</v>
      </c>
    </row>
    <row r="2173" spans="1:6" x14ac:dyDescent="0.3">
      <c r="A2173" t="s">
        <v>4693</v>
      </c>
      <c r="B2173" t="s">
        <v>6</v>
      </c>
      <c r="C2173" t="s">
        <v>4694</v>
      </c>
      <c r="D2173" t="s">
        <v>4673</v>
      </c>
      <c r="E2173" t="s">
        <v>4674</v>
      </c>
      <c r="F2173" t="str">
        <f>HYPERLINK("https://talan.bank.gov.ua/get-user-certificate/45CEl98NtTX810nW0yXC","Завантажити сертифікат")</f>
        <v>Завантажити сертифікат</v>
      </c>
    </row>
    <row r="2174" spans="1:6" x14ac:dyDescent="0.3">
      <c r="A2174" t="s">
        <v>4695</v>
      </c>
      <c r="B2174" t="s">
        <v>6</v>
      </c>
      <c r="C2174" t="s">
        <v>4696</v>
      </c>
      <c r="D2174" t="s">
        <v>4673</v>
      </c>
      <c r="E2174" t="s">
        <v>4674</v>
      </c>
      <c r="F2174" t="str">
        <f>HYPERLINK("https://talan.bank.gov.ua/get-user-certificate/45CElgE5ltPUU5hl3M-V","Завантажити сертифікат")</f>
        <v>Завантажити сертифікат</v>
      </c>
    </row>
    <row r="2175" spans="1:6" x14ac:dyDescent="0.3">
      <c r="A2175" t="s">
        <v>4697</v>
      </c>
      <c r="B2175" t="s">
        <v>6</v>
      </c>
      <c r="C2175" t="s">
        <v>4698</v>
      </c>
      <c r="D2175" t="s">
        <v>4673</v>
      </c>
      <c r="E2175" t="s">
        <v>4674</v>
      </c>
      <c r="F2175" t="str">
        <f>HYPERLINK("https://talan.bank.gov.ua/get-user-certificate/45CElT-eL3V1uROBmlrO","Завантажити сертифікат")</f>
        <v>Завантажити сертифікат</v>
      </c>
    </row>
    <row r="2176" spans="1:6" x14ac:dyDescent="0.3">
      <c r="A2176" t="s">
        <v>4699</v>
      </c>
      <c r="B2176" t="s">
        <v>6</v>
      </c>
      <c r="C2176" t="s">
        <v>4700</v>
      </c>
      <c r="D2176" t="s">
        <v>4673</v>
      </c>
      <c r="E2176" t="s">
        <v>4674</v>
      </c>
      <c r="F2176" t="str">
        <f>HYPERLINK("https://talan.bank.gov.ua/get-user-certificate/45CElMS7X1Qok4TE4IKj","Завантажити сертифікат")</f>
        <v>Завантажити сертифікат</v>
      </c>
    </row>
    <row r="2177" spans="1:6" x14ac:dyDescent="0.3">
      <c r="A2177" t="s">
        <v>4701</v>
      </c>
      <c r="B2177" t="s">
        <v>6</v>
      </c>
      <c r="C2177" t="s">
        <v>4702</v>
      </c>
      <c r="D2177" t="s">
        <v>4673</v>
      </c>
      <c r="E2177" t="s">
        <v>4674</v>
      </c>
      <c r="F2177" t="str">
        <f>HYPERLINK("https://talan.bank.gov.ua/get-user-certificate/45CEl5YIMb65bcprxA2z","Завантажити сертифікат")</f>
        <v>Завантажити сертифікат</v>
      </c>
    </row>
    <row r="2178" spans="1:6" x14ac:dyDescent="0.3">
      <c r="A2178" t="s">
        <v>4703</v>
      </c>
      <c r="B2178" t="s">
        <v>6</v>
      </c>
      <c r="C2178" t="s">
        <v>4704</v>
      </c>
      <c r="D2178" t="s">
        <v>4673</v>
      </c>
      <c r="E2178" t="s">
        <v>4674</v>
      </c>
      <c r="F2178" t="str">
        <f>HYPERLINK("https://talan.bank.gov.ua/get-user-certificate/45CEl2VDOFt0LdLIeqKU","Завантажити сертифікат")</f>
        <v>Завантажити сертифікат</v>
      </c>
    </row>
    <row r="2179" spans="1:6" x14ac:dyDescent="0.3">
      <c r="A2179" t="s">
        <v>4705</v>
      </c>
      <c r="B2179" t="s">
        <v>6</v>
      </c>
      <c r="C2179" t="s">
        <v>4706</v>
      </c>
      <c r="D2179" t="s">
        <v>4673</v>
      </c>
      <c r="E2179" t="s">
        <v>4674</v>
      </c>
      <c r="F2179" t="str">
        <f>HYPERLINK("https://talan.bank.gov.ua/get-user-certificate/45CElmKPURK9W6uAKnhs","Завантажити сертифікат")</f>
        <v>Завантажити сертифікат</v>
      </c>
    </row>
    <row r="2180" spans="1:6" x14ac:dyDescent="0.3">
      <c r="A2180" t="s">
        <v>4707</v>
      </c>
      <c r="B2180" t="s">
        <v>6</v>
      </c>
      <c r="C2180" t="s">
        <v>4708</v>
      </c>
      <c r="D2180" t="s">
        <v>4673</v>
      </c>
      <c r="E2180" t="s">
        <v>4674</v>
      </c>
      <c r="F2180" t="str">
        <f>HYPERLINK("https://talan.bank.gov.ua/get-user-certificate/45CElMRITG8HVO0oU4HT","Завантажити сертифікат")</f>
        <v>Завантажити сертифікат</v>
      </c>
    </row>
    <row r="2181" spans="1:6" x14ac:dyDescent="0.3">
      <c r="A2181" t="s">
        <v>4709</v>
      </c>
      <c r="B2181" t="s">
        <v>6</v>
      </c>
      <c r="C2181" t="s">
        <v>4710</v>
      </c>
      <c r="D2181" t="s">
        <v>4673</v>
      </c>
      <c r="E2181" t="s">
        <v>4674</v>
      </c>
      <c r="F2181" t="str">
        <f>HYPERLINK("https://talan.bank.gov.ua/get-user-certificate/45CEl7cjgpwb07NW9AGi","Завантажити сертифікат")</f>
        <v>Завантажити сертифікат</v>
      </c>
    </row>
    <row r="2182" spans="1:6" x14ac:dyDescent="0.3">
      <c r="A2182" t="s">
        <v>4711</v>
      </c>
      <c r="B2182" t="s">
        <v>6</v>
      </c>
      <c r="C2182" t="s">
        <v>4712</v>
      </c>
      <c r="D2182" t="s">
        <v>4713</v>
      </c>
      <c r="E2182" t="s">
        <v>4714</v>
      </c>
      <c r="F2182" t="str">
        <f>HYPERLINK("https://talan.bank.gov.ua/get-user-certificate/45CEl9F5Yph7dd7rA601","Завантажити сертифікат")</f>
        <v>Завантажити сертифікат</v>
      </c>
    </row>
    <row r="2183" spans="1:6" x14ac:dyDescent="0.3">
      <c r="A2183" t="s">
        <v>4715</v>
      </c>
      <c r="B2183" t="s">
        <v>6</v>
      </c>
      <c r="C2183" t="s">
        <v>4716</v>
      </c>
      <c r="D2183" t="s">
        <v>4713</v>
      </c>
      <c r="E2183" t="s">
        <v>4714</v>
      </c>
      <c r="F2183" t="str">
        <f>HYPERLINK("https://talan.bank.gov.ua/get-user-certificate/45CElYIomicbLmiofg52","Завантажити сертифікат")</f>
        <v>Завантажити сертифікат</v>
      </c>
    </row>
    <row r="2184" spans="1:6" x14ac:dyDescent="0.3">
      <c r="A2184" t="s">
        <v>4717</v>
      </c>
      <c r="B2184" t="s">
        <v>6</v>
      </c>
      <c r="C2184" t="s">
        <v>4718</v>
      </c>
      <c r="D2184" t="s">
        <v>4713</v>
      </c>
      <c r="E2184" t="s">
        <v>4714</v>
      </c>
      <c r="F2184" t="str">
        <f>HYPERLINK("https://talan.bank.gov.ua/get-user-certificate/45CElRQbRU34AtGol1dl","Завантажити сертифікат")</f>
        <v>Завантажити сертифікат</v>
      </c>
    </row>
    <row r="2185" spans="1:6" x14ac:dyDescent="0.3">
      <c r="A2185" t="s">
        <v>4719</v>
      </c>
      <c r="B2185" t="s">
        <v>6</v>
      </c>
      <c r="C2185" t="s">
        <v>4720</v>
      </c>
      <c r="D2185" t="s">
        <v>4721</v>
      </c>
      <c r="E2185" t="s">
        <v>4722</v>
      </c>
      <c r="F2185" t="str">
        <f>HYPERLINK("https://talan.bank.gov.ua/get-user-certificate/45CEl7izoMJWl41Q3rZo","Завантажити сертифікат")</f>
        <v>Завантажити сертифікат</v>
      </c>
    </row>
    <row r="2186" spans="1:6" x14ac:dyDescent="0.3">
      <c r="A2186" t="s">
        <v>4723</v>
      </c>
      <c r="B2186" t="s">
        <v>6</v>
      </c>
      <c r="C2186" t="s">
        <v>4724</v>
      </c>
      <c r="D2186" t="s">
        <v>4721</v>
      </c>
      <c r="E2186" t="s">
        <v>4722</v>
      </c>
      <c r="F2186" t="str">
        <f>HYPERLINK("https://talan.bank.gov.ua/get-user-certificate/45CElqTL6bWTVZfrZ0aP","Завантажити сертифікат")</f>
        <v>Завантажити сертифікат</v>
      </c>
    </row>
    <row r="2187" spans="1:6" x14ac:dyDescent="0.3">
      <c r="A2187" t="s">
        <v>4725</v>
      </c>
      <c r="B2187" t="s">
        <v>6</v>
      </c>
      <c r="C2187" t="s">
        <v>4726</v>
      </c>
      <c r="D2187" t="s">
        <v>4721</v>
      </c>
      <c r="E2187" t="s">
        <v>4722</v>
      </c>
      <c r="F2187" t="str">
        <f>HYPERLINK("https://talan.bank.gov.ua/get-user-certificate/45CEldJSQWSghNl61Dnw","Завантажити сертифікат")</f>
        <v>Завантажити сертифікат</v>
      </c>
    </row>
    <row r="2188" spans="1:6" x14ac:dyDescent="0.3">
      <c r="A2188" t="s">
        <v>4727</v>
      </c>
      <c r="B2188" t="s">
        <v>6</v>
      </c>
      <c r="C2188" t="s">
        <v>4728</v>
      </c>
      <c r="D2188" t="s">
        <v>4721</v>
      </c>
      <c r="E2188" t="s">
        <v>4722</v>
      </c>
      <c r="F2188" t="str">
        <f>HYPERLINK("https://talan.bank.gov.ua/get-user-certificate/45CEl0ZAlUXGeRxmyU67","Завантажити сертифікат")</f>
        <v>Завантажити сертифікат</v>
      </c>
    </row>
    <row r="2189" spans="1:6" x14ac:dyDescent="0.3">
      <c r="A2189" t="s">
        <v>4729</v>
      </c>
      <c r="B2189" t="s">
        <v>6</v>
      </c>
      <c r="C2189" t="s">
        <v>4730</v>
      </c>
      <c r="D2189" t="s">
        <v>4721</v>
      </c>
      <c r="E2189" t="s">
        <v>4722</v>
      </c>
      <c r="F2189" t="str">
        <f>HYPERLINK("https://talan.bank.gov.ua/get-user-certificate/45CEliqTQM57koL8W-UB","Завантажити сертифікат")</f>
        <v>Завантажити сертифікат</v>
      </c>
    </row>
    <row r="2190" spans="1:6" x14ac:dyDescent="0.3">
      <c r="A2190" t="s">
        <v>4731</v>
      </c>
      <c r="B2190" t="s">
        <v>6</v>
      </c>
      <c r="C2190" t="s">
        <v>4732</v>
      </c>
      <c r="D2190" t="s">
        <v>4721</v>
      </c>
      <c r="E2190" t="s">
        <v>4722</v>
      </c>
      <c r="F2190" t="str">
        <f>HYPERLINK("https://talan.bank.gov.ua/get-user-certificate/45CElYLy442822wORqvC","Завантажити сертифікат")</f>
        <v>Завантажити сертифікат</v>
      </c>
    </row>
    <row r="2191" spans="1:6" x14ac:dyDescent="0.3">
      <c r="A2191" t="s">
        <v>4733</v>
      </c>
      <c r="B2191" t="s">
        <v>6</v>
      </c>
      <c r="C2191" t="s">
        <v>4734</v>
      </c>
      <c r="D2191" t="s">
        <v>4721</v>
      </c>
      <c r="E2191" t="s">
        <v>4722</v>
      </c>
      <c r="F2191" t="str">
        <f>HYPERLINK("https://talan.bank.gov.ua/get-user-certificate/45CElctH-x0xPprnE309","Завантажити сертифікат")</f>
        <v>Завантажити сертифікат</v>
      </c>
    </row>
    <row r="2192" spans="1:6" x14ac:dyDescent="0.3">
      <c r="A2192" t="s">
        <v>4735</v>
      </c>
      <c r="B2192" t="s">
        <v>6</v>
      </c>
      <c r="C2192" t="s">
        <v>4736</v>
      </c>
      <c r="D2192" t="s">
        <v>4721</v>
      </c>
      <c r="E2192" t="s">
        <v>4722</v>
      </c>
      <c r="F2192" t="str">
        <f>HYPERLINK("https://talan.bank.gov.ua/get-user-certificate/45CElHU0IJzMDvisf_5J","Завантажити сертифікат")</f>
        <v>Завантажити сертифікат</v>
      </c>
    </row>
    <row r="2193" spans="1:6" x14ac:dyDescent="0.3">
      <c r="A2193" t="s">
        <v>4737</v>
      </c>
      <c r="B2193" t="s">
        <v>6</v>
      </c>
      <c r="C2193" t="s">
        <v>4738</v>
      </c>
      <c r="D2193" t="s">
        <v>4721</v>
      </c>
      <c r="E2193" t="s">
        <v>4722</v>
      </c>
      <c r="F2193" t="str">
        <f>HYPERLINK("https://talan.bank.gov.ua/get-user-certificate/45CEl7Jg2VRuAmTYKwk6","Завантажити сертифікат")</f>
        <v>Завантажити сертифікат</v>
      </c>
    </row>
    <row r="2194" spans="1:6" x14ac:dyDescent="0.3">
      <c r="A2194" t="s">
        <v>4739</v>
      </c>
      <c r="B2194" t="s">
        <v>6</v>
      </c>
      <c r="C2194" t="s">
        <v>4740</v>
      </c>
      <c r="D2194" t="s">
        <v>4721</v>
      </c>
      <c r="E2194" t="s">
        <v>4722</v>
      </c>
      <c r="F2194" t="str">
        <f>HYPERLINK("https://talan.bank.gov.ua/get-user-certificate/45CElUFl0svbIl1g2aiz","Завантажити сертифікат")</f>
        <v>Завантажити сертифікат</v>
      </c>
    </row>
    <row r="2195" spans="1:6" x14ac:dyDescent="0.3">
      <c r="A2195" t="s">
        <v>4741</v>
      </c>
      <c r="B2195" t="s">
        <v>6</v>
      </c>
      <c r="C2195" t="s">
        <v>4742</v>
      </c>
      <c r="D2195" t="s">
        <v>4721</v>
      </c>
      <c r="E2195" t="s">
        <v>4722</v>
      </c>
      <c r="F2195" t="str">
        <f>HYPERLINK("https://talan.bank.gov.ua/get-user-certificate/45CElc_Aj6-tUBmbOEpp","Завантажити сертифікат")</f>
        <v>Завантажити сертифікат</v>
      </c>
    </row>
    <row r="2196" spans="1:6" x14ac:dyDescent="0.3">
      <c r="A2196" t="s">
        <v>4743</v>
      </c>
      <c r="B2196" t="s">
        <v>6</v>
      </c>
      <c r="C2196" t="s">
        <v>4744</v>
      </c>
      <c r="D2196" t="s">
        <v>4721</v>
      </c>
      <c r="E2196" t="s">
        <v>4722</v>
      </c>
      <c r="F2196" t="str">
        <f>HYPERLINK("https://talan.bank.gov.ua/get-user-certificate/45CEl0MN9pMYg8NPMZx3","Завантажити сертифікат")</f>
        <v>Завантажити сертифікат</v>
      </c>
    </row>
    <row r="2197" spans="1:6" x14ac:dyDescent="0.3">
      <c r="A2197" t="s">
        <v>4745</v>
      </c>
      <c r="B2197" t="s">
        <v>6</v>
      </c>
      <c r="C2197" t="s">
        <v>4746</v>
      </c>
      <c r="D2197" t="s">
        <v>4721</v>
      </c>
      <c r="E2197" t="s">
        <v>4722</v>
      </c>
      <c r="F2197" t="str">
        <f>HYPERLINK("https://talan.bank.gov.ua/get-user-certificate/45CElOM2H3h46UkqWwNC","Завантажити сертифікат")</f>
        <v>Завантажити сертифікат</v>
      </c>
    </row>
    <row r="2198" spans="1:6" x14ac:dyDescent="0.3">
      <c r="A2198" t="s">
        <v>4747</v>
      </c>
      <c r="B2198" t="s">
        <v>6</v>
      </c>
      <c r="C2198" t="s">
        <v>4748</v>
      </c>
      <c r="D2198" t="s">
        <v>4721</v>
      </c>
      <c r="E2198" t="s">
        <v>4722</v>
      </c>
      <c r="F2198" t="str">
        <f>HYPERLINK("https://talan.bank.gov.ua/get-user-certificate/45CEljm6VWAv487Vn0yS","Завантажити сертифікат")</f>
        <v>Завантажити сертифікат</v>
      </c>
    </row>
    <row r="2199" spans="1:6" x14ac:dyDescent="0.3">
      <c r="A2199" t="s">
        <v>4749</v>
      </c>
      <c r="B2199" t="s">
        <v>6</v>
      </c>
      <c r="C2199" t="s">
        <v>4750</v>
      </c>
      <c r="D2199" t="s">
        <v>4721</v>
      </c>
      <c r="E2199" t="s">
        <v>4722</v>
      </c>
      <c r="F2199" t="str">
        <f>HYPERLINK("https://talan.bank.gov.ua/get-user-certificate/45CElvDt03M0foxukBA-","Завантажити сертифікат")</f>
        <v>Завантажити сертифікат</v>
      </c>
    </row>
    <row r="2200" spans="1:6" x14ac:dyDescent="0.3">
      <c r="A2200" t="s">
        <v>4751</v>
      </c>
      <c r="B2200" t="s">
        <v>6</v>
      </c>
      <c r="C2200" t="s">
        <v>4752</v>
      </c>
      <c r="D2200" t="s">
        <v>4721</v>
      </c>
      <c r="E2200" t="s">
        <v>4722</v>
      </c>
      <c r="F2200" t="str">
        <f>HYPERLINK("https://talan.bank.gov.ua/get-user-certificate/45CElGlBBQUByeo0YONk","Завантажити сертифікат")</f>
        <v>Завантажити сертифікат</v>
      </c>
    </row>
    <row r="2201" spans="1:6" x14ac:dyDescent="0.3">
      <c r="A2201" t="s">
        <v>4753</v>
      </c>
      <c r="B2201" t="s">
        <v>6</v>
      </c>
      <c r="C2201" t="s">
        <v>4754</v>
      </c>
      <c r="D2201" t="s">
        <v>4721</v>
      </c>
      <c r="E2201" t="s">
        <v>4722</v>
      </c>
      <c r="F2201" t="str">
        <f>HYPERLINK("https://talan.bank.gov.ua/get-user-certificate/45CElxsSiLfF-IhS9Igb","Завантажити сертифікат")</f>
        <v>Завантажити сертифікат</v>
      </c>
    </row>
    <row r="2202" spans="1:6" x14ac:dyDescent="0.3">
      <c r="A2202" t="s">
        <v>4755</v>
      </c>
      <c r="B2202" t="s">
        <v>6</v>
      </c>
      <c r="C2202" t="s">
        <v>4756</v>
      </c>
      <c r="D2202" t="s">
        <v>4721</v>
      </c>
      <c r="E2202" t="s">
        <v>4722</v>
      </c>
      <c r="F2202" t="str">
        <f>HYPERLINK("https://talan.bank.gov.ua/get-user-certificate/45CElchqHVnoQPR5d95V","Завантажити сертифікат")</f>
        <v>Завантажити сертифікат</v>
      </c>
    </row>
    <row r="2203" spans="1:6" x14ac:dyDescent="0.3">
      <c r="A2203" t="s">
        <v>4757</v>
      </c>
      <c r="B2203" t="s">
        <v>6</v>
      </c>
      <c r="C2203" t="s">
        <v>4758</v>
      </c>
      <c r="D2203" t="s">
        <v>4721</v>
      </c>
      <c r="E2203" t="s">
        <v>4722</v>
      </c>
      <c r="F2203" t="str">
        <f>HYPERLINK("https://talan.bank.gov.ua/get-user-certificate/45CEly5HCkQFZz2WKWHL","Завантажити сертифікат")</f>
        <v>Завантажити сертифікат</v>
      </c>
    </row>
    <row r="2204" spans="1:6" x14ac:dyDescent="0.3">
      <c r="A2204" t="s">
        <v>4759</v>
      </c>
      <c r="B2204" t="s">
        <v>6</v>
      </c>
      <c r="C2204" t="s">
        <v>4760</v>
      </c>
      <c r="D2204" t="s">
        <v>4721</v>
      </c>
      <c r="E2204" t="s">
        <v>4722</v>
      </c>
      <c r="F2204" t="str">
        <f>HYPERLINK("https://talan.bank.gov.ua/get-user-certificate/45CElcuQ-aHEGZNY1v5i","Завантажити сертифікат")</f>
        <v>Завантажити сертифікат</v>
      </c>
    </row>
    <row r="2205" spans="1:6" x14ac:dyDescent="0.3">
      <c r="A2205" t="s">
        <v>4761</v>
      </c>
      <c r="B2205" t="s">
        <v>6</v>
      </c>
      <c r="C2205" t="s">
        <v>4762</v>
      </c>
      <c r="D2205" t="s">
        <v>4721</v>
      </c>
      <c r="E2205" t="s">
        <v>4722</v>
      </c>
      <c r="F2205" t="str">
        <f>HYPERLINK("https://talan.bank.gov.ua/get-user-certificate/45CElugfG2LMF5Dozlpu","Завантажити сертифікат")</f>
        <v>Завантажити сертифікат</v>
      </c>
    </row>
    <row r="2206" spans="1:6" x14ac:dyDescent="0.3">
      <c r="A2206" t="s">
        <v>4763</v>
      </c>
      <c r="B2206" t="s">
        <v>6</v>
      </c>
      <c r="C2206" t="s">
        <v>4764</v>
      </c>
      <c r="D2206" t="s">
        <v>4721</v>
      </c>
      <c r="E2206" t="s">
        <v>4722</v>
      </c>
      <c r="F2206" t="str">
        <f>HYPERLINK("https://talan.bank.gov.ua/get-user-certificate/45CEl4CUd5nBNhIXTbOD","Завантажити сертифікат")</f>
        <v>Завантажити сертифікат</v>
      </c>
    </row>
    <row r="2207" spans="1:6" x14ac:dyDescent="0.3">
      <c r="A2207" t="s">
        <v>4765</v>
      </c>
      <c r="B2207" t="s">
        <v>6</v>
      </c>
      <c r="C2207" t="s">
        <v>4766</v>
      </c>
      <c r="D2207" t="s">
        <v>4721</v>
      </c>
      <c r="E2207" t="s">
        <v>4722</v>
      </c>
      <c r="F2207" t="str">
        <f>HYPERLINK("https://talan.bank.gov.ua/get-user-certificate/45CElOcmATcLl5lvBPke","Завантажити сертифікат")</f>
        <v>Завантажити сертифікат</v>
      </c>
    </row>
    <row r="2208" spans="1:6" x14ac:dyDescent="0.3">
      <c r="A2208" t="s">
        <v>4767</v>
      </c>
      <c r="B2208" t="s">
        <v>6</v>
      </c>
      <c r="C2208" t="s">
        <v>4768</v>
      </c>
      <c r="D2208" t="s">
        <v>4721</v>
      </c>
      <c r="E2208" t="s">
        <v>4722</v>
      </c>
      <c r="F2208" t="str">
        <f>HYPERLINK("https://talan.bank.gov.ua/get-user-certificate/45CEl27dHKvrmF4BgExB","Завантажити сертифікат")</f>
        <v>Завантажити сертифікат</v>
      </c>
    </row>
    <row r="2209" spans="1:6" x14ac:dyDescent="0.3">
      <c r="A2209" t="s">
        <v>4769</v>
      </c>
      <c r="B2209" t="s">
        <v>6</v>
      </c>
      <c r="C2209" t="s">
        <v>4770</v>
      </c>
      <c r="D2209" t="s">
        <v>4721</v>
      </c>
      <c r="E2209" t="s">
        <v>4722</v>
      </c>
      <c r="F2209" t="str">
        <f>HYPERLINK("https://talan.bank.gov.ua/get-user-certificate/45CElHYDiWPX20F7ybk4","Завантажити сертифікат")</f>
        <v>Завантажити сертифікат</v>
      </c>
    </row>
    <row r="2210" spans="1:6" x14ac:dyDescent="0.3">
      <c r="A2210" t="s">
        <v>4771</v>
      </c>
      <c r="B2210" t="s">
        <v>6</v>
      </c>
      <c r="C2210" t="s">
        <v>4772</v>
      </c>
      <c r="D2210" t="s">
        <v>4721</v>
      </c>
      <c r="E2210" t="s">
        <v>4722</v>
      </c>
      <c r="F2210" t="str">
        <f>HYPERLINK("https://talan.bank.gov.ua/get-user-certificate/45CEl3jo_x-0k8UHPrPf","Завантажити сертифікат")</f>
        <v>Завантажити сертифікат</v>
      </c>
    </row>
    <row r="2211" spans="1:6" x14ac:dyDescent="0.3">
      <c r="A2211" t="s">
        <v>4773</v>
      </c>
      <c r="B2211" t="s">
        <v>6</v>
      </c>
      <c r="C2211" t="s">
        <v>4774</v>
      </c>
      <c r="D2211" t="s">
        <v>4721</v>
      </c>
      <c r="E2211" t="s">
        <v>4722</v>
      </c>
      <c r="F2211" t="str">
        <f>HYPERLINK("https://talan.bank.gov.ua/get-user-certificate/45CElwj_K9NXJSM-ABqN","Завантажити сертифікат")</f>
        <v>Завантажити сертифікат</v>
      </c>
    </row>
    <row r="2212" spans="1:6" x14ac:dyDescent="0.3">
      <c r="A2212" t="s">
        <v>4775</v>
      </c>
      <c r="B2212" t="s">
        <v>6</v>
      </c>
      <c r="C2212" t="s">
        <v>4776</v>
      </c>
      <c r="D2212" t="s">
        <v>4721</v>
      </c>
      <c r="E2212" t="s">
        <v>4722</v>
      </c>
      <c r="F2212" t="str">
        <f>HYPERLINK("https://talan.bank.gov.ua/get-user-certificate/45CElJkhkyYbY2vuU2XI","Завантажити сертифікат")</f>
        <v>Завантажити сертифікат</v>
      </c>
    </row>
    <row r="2213" spans="1:6" x14ac:dyDescent="0.3">
      <c r="A2213" t="s">
        <v>4777</v>
      </c>
      <c r="B2213" t="s">
        <v>6</v>
      </c>
      <c r="C2213" t="s">
        <v>4778</v>
      </c>
      <c r="D2213" t="s">
        <v>4721</v>
      </c>
      <c r="E2213" t="s">
        <v>4722</v>
      </c>
      <c r="F2213" t="str">
        <f>HYPERLINK("https://talan.bank.gov.ua/get-user-certificate/45CElamadyiEkyLKII6g","Завантажити сертифікат")</f>
        <v>Завантажити сертифікат</v>
      </c>
    </row>
    <row r="2214" spans="1:6" x14ac:dyDescent="0.3">
      <c r="A2214" t="s">
        <v>4779</v>
      </c>
      <c r="B2214" t="s">
        <v>6</v>
      </c>
      <c r="C2214" t="s">
        <v>4780</v>
      </c>
      <c r="D2214" t="s">
        <v>4721</v>
      </c>
      <c r="E2214" t="s">
        <v>4722</v>
      </c>
      <c r="F2214" t="str">
        <f>HYPERLINK("https://talan.bank.gov.ua/get-user-certificate/45CEl_Rp808NMov08jPr","Завантажити сертифікат")</f>
        <v>Завантажити сертифікат</v>
      </c>
    </row>
    <row r="2215" spans="1:6" x14ac:dyDescent="0.3">
      <c r="A2215" t="s">
        <v>4781</v>
      </c>
      <c r="B2215" t="s">
        <v>6</v>
      </c>
      <c r="C2215" t="s">
        <v>4782</v>
      </c>
      <c r="D2215" t="s">
        <v>4721</v>
      </c>
      <c r="E2215" t="s">
        <v>4722</v>
      </c>
      <c r="F2215" t="str">
        <f>HYPERLINK("https://talan.bank.gov.ua/get-user-certificate/45CEleovjjO1wVzd7xBx","Завантажити сертифікат")</f>
        <v>Завантажити сертифікат</v>
      </c>
    </row>
    <row r="2216" spans="1:6" x14ac:dyDescent="0.3">
      <c r="A2216" t="s">
        <v>4783</v>
      </c>
      <c r="B2216" t="s">
        <v>6</v>
      </c>
      <c r="C2216" t="s">
        <v>4784</v>
      </c>
      <c r="D2216" t="s">
        <v>4721</v>
      </c>
      <c r="E2216" t="s">
        <v>4722</v>
      </c>
      <c r="F2216" t="str">
        <f>HYPERLINK("https://talan.bank.gov.ua/get-user-certificate/45CEl_oXOBAKgPE3dnX4","Завантажити сертифікат")</f>
        <v>Завантажити сертифікат</v>
      </c>
    </row>
    <row r="2217" spans="1:6" x14ac:dyDescent="0.3">
      <c r="A2217" t="s">
        <v>4785</v>
      </c>
      <c r="B2217" t="s">
        <v>6</v>
      </c>
      <c r="C2217" t="s">
        <v>4786</v>
      </c>
      <c r="D2217" t="s">
        <v>4721</v>
      </c>
      <c r="E2217" t="s">
        <v>4722</v>
      </c>
      <c r="F2217" t="str">
        <f>HYPERLINK("https://talan.bank.gov.ua/get-user-certificate/45CElkqrvl6BR17VpNYe","Завантажити сертифікат")</f>
        <v>Завантажити сертифікат</v>
      </c>
    </row>
    <row r="2218" spans="1:6" x14ac:dyDescent="0.3">
      <c r="A2218" t="s">
        <v>4787</v>
      </c>
      <c r="B2218" t="s">
        <v>6</v>
      </c>
      <c r="C2218" t="s">
        <v>4788</v>
      </c>
      <c r="D2218" t="s">
        <v>4721</v>
      </c>
      <c r="E2218" t="s">
        <v>4722</v>
      </c>
      <c r="F2218" t="str">
        <f>HYPERLINK("https://talan.bank.gov.ua/get-user-certificate/45CElEx_MDxBgABS7e3p","Завантажити сертифікат")</f>
        <v>Завантажити сертифікат</v>
      </c>
    </row>
    <row r="2219" spans="1:6" x14ac:dyDescent="0.3">
      <c r="A2219" t="s">
        <v>4789</v>
      </c>
      <c r="B2219" t="s">
        <v>6</v>
      </c>
      <c r="C2219" t="s">
        <v>4790</v>
      </c>
      <c r="D2219" t="s">
        <v>4791</v>
      </c>
      <c r="E2219" t="s">
        <v>4792</v>
      </c>
      <c r="F2219" t="str">
        <f>HYPERLINK("https://talan.bank.gov.ua/get-user-certificate/45CEl5Az-Ksw8tELjhIu","Завантажити сертифікат")</f>
        <v>Завантажити сертифікат</v>
      </c>
    </row>
    <row r="2220" spans="1:6" x14ac:dyDescent="0.3">
      <c r="A2220" t="s">
        <v>4793</v>
      </c>
      <c r="B2220" t="s">
        <v>6</v>
      </c>
      <c r="C2220" t="s">
        <v>4794</v>
      </c>
      <c r="D2220" t="s">
        <v>4791</v>
      </c>
      <c r="E2220" t="s">
        <v>4792</v>
      </c>
      <c r="F2220" t="str">
        <f>HYPERLINK("https://talan.bank.gov.ua/get-user-certificate/45CElA-gTRuuyAsXKEwD","Завантажити сертифікат")</f>
        <v>Завантажити сертифікат</v>
      </c>
    </row>
    <row r="2221" spans="1:6" x14ac:dyDescent="0.3">
      <c r="A2221" t="s">
        <v>4795</v>
      </c>
      <c r="B2221" t="s">
        <v>6</v>
      </c>
      <c r="C2221" t="s">
        <v>4796</v>
      </c>
      <c r="D2221" t="s">
        <v>4791</v>
      </c>
      <c r="E2221" t="s">
        <v>4792</v>
      </c>
      <c r="F2221" t="str">
        <f>HYPERLINK("https://talan.bank.gov.ua/get-user-certificate/45CElyTx3kwlFnKAscd0","Завантажити сертифікат")</f>
        <v>Завантажити сертифікат</v>
      </c>
    </row>
    <row r="2222" spans="1:6" x14ac:dyDescent="0.3">
      <c r="A2222" t="s">
        <v>4797</v>
      </c>
      <c r="B2222" t="s">
        <v>6</v>
      </c>
      <c r="C2222" t="s">
        <v>4798</v>
      </c>
      <c r="D2222" t="s">
        <v>4791</v>
      </c>
      <c r="E2222" t="s">
        <v>4792</v>
      </c>
      <c r="F2222" t="str">
        <f>HYPERLINK("https://talan.bank.gov.ua/get-user-certificate/45CElWYGg_qFRaiwL3LL","Завантажити сертифікат")</f>
        <v>Завантажити сертифікат</v>
      </c>
    </row>
    <row r="2223" spans="1:6" x14ac:dyDescent="0.3">
      <c r="A2223" t="s">
        <v>4799</v>
      </c>
      <c r="B2223" t="s">
        <v>6</v>
      </c>
      <c r="C2223" t="s">
        <v>4800</v>
      </c>
      <c r="D2223" t="s">
        <v>4791</v>
      </c>
      <c r="E2223" t="s">
        <v>4792</v>
      </c>
      <c r="F2223" t="str">
        <f>HYPERLINK("https://talan.bank.gov.ua/get-user-certificate/45CElgo_Na5weOoxRA_m","Завантажити сертифікат")</f>
        <v>Завантажити сертифікат</v>
      </c>
    </row>
    <row r="2224" spans="1:6" x14ac:dyDescent="0.3">
      <c r="A2224" t="s">
        <v>4801</v>
      </c>
      <c r="B2224" t="s">
        <v>6</v>
      </c>
      <c r="C2224" t="s">
        <v>4802</v>
      </c>
      <c r="D2224" t="s">
        <v>4791</v>
      </c>
      <c r="E2224" t="s">
        <v>4792</v>
      </c>
      <c r="F2224" t="str">
        <f>HYPERLINK("https://talan.bank.gov.ua/get-user-certificate/45CElYzEP2n_63p6OOPq","Завантажити сертифікат")</f>
        <v>Завантажити сертифікат</v>
      </c>
    </row>
    <row r="2225" spans="1:6" x14ac:dyDescent="0.3">
      <c r="A2225" t="s">
        <v>4803</v>
      </c>
      <c r="B2225" t="s">
        <v>6</v>
      </c>
      <c r="C2225" t="s">
        <v>4804</v>
      </c>
      <c r="D2225" t="s">
        <v>4791</v>
      </c>
      <c r="E2225" t="s">
        <v>4792</v>
      </c>
      <c r="F2225" t="str">
        <f>HYPERLINK("https://talan.bank.gov.ua/get-user-certificate/45CElNNQOQzPvkS1mQHC","Завантажити сертифікат")</f>
        <v>Завантажити сертифікат</v>
      </c>
    </row>
    <row r="2226" spans="1:6" x14ac:dyDescent="0.3">
      <c r="A2226" t="s">
        <v>4805</v>
      </c>
      <c r="B2226" t="s">
        <v>6</v>
      </c>
      <c r="C2226" t="s">
        <v>4806</v>
      </c>
      <c r="D2226" t="s">
        <v>4791</v>
      </c>
      <c r="E2226" t="s">
        <v>4792</v>
      </c>
      <c r="F2226" t="str">
        <f>HYPERLINK("https://talan.bank.gov.ua/get-user-certificate/45CEl6dfHx0mLjq9Enyt","Завантажити сертифікат")</f>
        <v>Завантажити сертифікат</v>
      </c>
    </row>
    <row r="2227" spans="1:6" x14ac:dyDescent="0.3">
      <c r="A2227" t="s">
        <v>4807</v>
      </c>
      <c r="B2227" t="s">
        <v>6</v>
      </c>
      <c r="C2227" t="s">
        <v>4808</v>
      </c>
      <c r="D2227" t="s">
        <v>4791</v>
      </c>
      <c r="E2227" t="s">
        <v>4792</v>
      </c>
      <c r="F2227" t="str">
        <f>HYPERLINK("https://talan.bank.gov.ua/get-user-certificate/45CElFw0sCCGOftpsZvV","Завантажити сертифікат")</f>
        <v>Завантажити сертифікат</v>
      </c>
    </row>
    <row r="2228" spans="1:6" x14ac:dyDescent="0.3">
      <c r="A2228" t="s">
        <v>4809</v>
      </c>
      <c r="B2228" t="s">
        <v>6</v>
      </c>
      <c r="C2228" t="s">
        <v>4810</v>
      </c>
      <c r="D2228" t="s">
        <v>4791</v>
      </c>
      <c r="E2228" t="s">
        <v>4792</v>
      </c>
      <c r="F2228" t="str">
        <f>HYPERLINK("https://talan.bank.gov.ua/get-user-certificate/45CEl_9KiHNLqGwULOPt","Завантажити сертифікат")</f>
        <v>Завантажити сертифікат</v>
      </c>
    </row>
    <row r="2229" spans="1:6" x14ac:dyDescent="0.3">
      <c r="A2229" t="s">
        <v>4811</v>
      </c>
      <c r="B2229" t="s">
        <v>6</v>
      </c>
      <c r="C2229" t="s">
        <v>4812</v>
      </c>
      <c r="D2229" t="s">
        <v>4791</v>
      </c>
      <c r="E2229" t="s">
        <v>4792</v>
      </c>
      <c r="F2229" t="str">
        <f>HYPERLINK("https://talan.bank.gov.ua/get-user-certificate/45CEltRA04dvm1VnF00a","Завантажити сертифікат")</f>
        <v>Завантажити сертифікат</v>
      </c>
    </row>
    <row r="2230" spans="1:6" x14ac:dyDescent="0.3">
      <c r="A2230" t="s">
        <v>4813</v>
      </c>
      <c r="B2230" t="s">
        <v>6</v>
      </c>
      <c r="C2230" t="s">
        <v>4814</v>
      </c>
      <c r="D2230" t="s">
        <v>4791</v>
      </c>
      <c r="E2230" t="s">
        <v>4792</v>
      </c>
      <c r="F2230" t="str">
        <f>HYPERLINK("https://talan.bank.gov.ua/get-user-certificate/45CElKxLwQdOXvIDp-JQ","Завантажити сертифікат")</f>
        <v>Завантажити сертифікат</v>
      </c>
    </row>
    <row r="2231" spans="1:6" x14ac:dyDescent="0.3">
      <c r="A2231" t="s">
        <v>4815</v>
      </c>
      <c r="B2231" t="s">
        <v>6</v>
      </c>
      <c r="C2231" t="s">
        <v>4816</v>
      </c>
      <c r="D2231" t="s">
        <v>4791</v>
      </c>
      <c r="E2231" t="s">
        <v>4792</v>
      </c>
      <c r="F2231" t="str">
        <f>HYPERLINK("https://talan.bank.gov.ua/get-user-certificate/45CEl0pqvXa_xsXvQ02U","Завантажити сертифікат")</f>
        <v>Завантажити сертифікат</v>
      </c>
    </row>
    <row r="2232" spans="1:6" x14ac:dyDescent="0.3">
      <c r="A2232" t="s">
        <v>4817</v>
      </c>
      <c r="B2232" t="s">
        <v>6</v>
      </c>
      <c r="C2232" t="s">
        <v>4818</v>
      </c>
      <c r="D2232" t="s">
        <v>4791</v>
      </c>
      <c r="E2232" t="s">
        <v>4792</v>
      </c>
      <c r="F2232" t="str">
        <f>HYPERLINK("https://talan.bank.gov.ua/get-user-certificate/45CElP0aL4WnpeDPWM-l","Завантажити сертифікат")</f>
        <v>Завантажити сертифікат</v>
      </c>
    </row>
    <row r="2233" spans="1:6" x14ac:dyDescent="0.3">
      <c r="A2233" t="s">
        <v>4819</v>
      </c>
      <c r="B2233" t="s">
        <v>6</v>
      </c>
      <c r="C2233" t="s">
        <v>4820</v>
      </c>
      <c r="D2233" t="s">
        <v>4791</v>
      </c>
      <c r="E2233" t="s">
        <v>4792</v>
      </c>
      <c r="F2233" t="str">
        <f>HYPERLINK("https://talan.bank.gov.ua/get-user-certificate/45CElHEI3Vzrux1jtsyP","Завантажити сертифікат")</f>
        <v>Завантажити сертифікат</v>
      </c>
    </row>
    <row r="2234" spans="1:6" x14ac:dyDescent="0.3">
      <c r="A2234" t="s">
        <v>4821</v>
      </c>
      <c r="B2234" t="s">
        <v>6</v>
      </c>
      <c r="C2234" t="s">
        <v>4822</v>
      </c>
      <c r="D2234" t="s">
        <v>4791</v>
      </c>
      <c r="E2234" t="s">
        <v>4792</v>
      </c>
      <c r="F2234" t="str">
        <f>HYPERLINK("https://talan.bank.gov.ua/get-user-certificate/45CEl6S0v2DO7VEQE2v_","Завантажити сертифікат")</f>
        <v>Завантажити сертифікат</v>
      </c>
    </row>
    <row r="2235" spans="1:6" x14ac:dyDescent="0.3">
      <c r="A2235" t="s">
        <v>4823</v>
      </c>
      <c r="B2235" t="s">
        <v>6</v>
      </c>
      <c r="C2235" t="s">
        <v>4824</v>
      </c>
      <c r="D2235" t="s">
        <v>4791</v>
      </c>
      <c r="E2235" t="s">
        <v>4792</v>
      </c>
      <c r="F2235" t="str">
        <f>HYPERLINK("https://talan.bank.gov.ua/get-user-certificate/45CEl5ypTV3As4RNurlx","Завантажити сертифікат")</f>
        <v>Завантажити сертифікат</v>
      </c>
    </row>
    <row r="2236" spans="1:6" x14ac:dyDescent="0.3">
      <c r="A2236" t="s">
        <v>4825</v>
      </c>
      <c r="B2236" t="s">
        <v>6</v>
      </c>
      <c r="C2236" t="s">
        <v>4826</v>
      </c>
      <c r="D2236" t="s">
        <v>4791</v>
      </c>
      <c r="E2236" t="s">
        <v>4792</v>
      </c>
      <c r="F2236" t="str">
        <f>HYPERLINK("https://talan.bank.gov.ua/get-user-certificate/45CElIiQp06isn8k3ZfL","Завантажити сертифікат")</f>
        <v>Завантажити сертифікат</v>
      </c>
    </row>
    <row r="2237" spans="1:6" x14ac:dyDescent="0.3">
      <c r="A2237" t="s">
        <v>4827</v>
      </c>
      <c r="B2237" t="s">
        <v>6</v>
      </c>
      <c r="C2237" t="s">
        <v>4828</v>
      </c>
      <c r="D2237" t="s">
        <v>4791</v>
      </c>
      <c r="E2237" t="s">
        <v>4792</v>
      </c>
      <c r="F2237" t="str">
        <f>HYPERLINK("https://talan.bank.gov.ua/get-user-certificate/45CElfcQitC6jRXHUujp","Завантажити сертифікат")</f>
        <v>Завантажити сертифікат</v>
      </c>
    </row>
    <row r="2238" spans="1:6" x14ac:dyDescent="0.3">
      <c r="A2238" t="s">
        <v>4829</v>
      </c>
      <c r="B2238" t="s">
        <v>6</v>
      </c>
      <c r="C2238" t="s">
        <v>4830</v>
      </c>
      <c r="D2238" t="s">
        <v>4791</v>
      </c>
      <c r="E2238" t="s">
        <v>4792</v>
      </c>
      <c r="F2238" t="str">
        <f>HYPERLINK("https://talan.bank.gov.ua/get-user-certificate/45CEld5F47kc1D-PgkaJ","Завантажити сертифікат")</f>
        <v>Завантажити сертифікат</v>
      </c>
    </row>
    <row r="2239" spans="1:6" x14ac:dyDescent="0.3">
      <c r="A2239" t="s">
        <v>4831</v>
      </c>
      <c r="B2239" t="s">
        <v>6</v>
      </c>
      <c r="C2239" t="s">
        <v>4832</v>
      </c>
      <c r="D2239" t="s">
        <v>4791</v>
      </c>
      <c r="E2239" t="s">
        <v>4792</v>
      </c>
      <c r="F2239" t="str">
        <f>HYPERLINK("https://talan.bank.gov.ua/get-user-certificate/45CElOZUzAiFX_ml6DWb","Завантажити сертифікат")</f>
        <v>Завантажити сертифікат</v>
      </c>
    </row>
    <row r="2240" spans="1:6" x14ac:dyDescent="0.3">
      <c r="A2240" t="s">
        <v>4833</v>
      </c>
      <c r="B2240" t="s">
        <v>6</v>
      </c>
      <c r="C2240" t="s">
        <v>4834</v>
      </c>
      <c r="D2240" t="s">
        <v>4791</v>
      </c>
      <c r="E2240" t="s">
        <v>4792</v>
      </c>
      <c r="F2240" t="str">
        <f>HYPERLINK("https://talan.bank.gov.ua/get-user-certificate/45CElYzMiQyA7bj6LpN5","Завантажити сертифікат")</f>
        <v>Завантажити сертифікат</v>
      </c>
    </row>
    <row r="2241" spans="1:6" x14ac:dyDescent="0.3">
      <c r="A2241" t="s">
        <v>4835</v>
      </c>
      <c r="B2241" t="s">
        <v>6</v>
      </c>
      <c r="C2241" t="s">
        <v>4836</v>
      </c>
      <c r="D2241" t="s">
        <v>4791</v>
      </c>
      <c r="E2241" t="s">
        <v>4792</v>
      </c>
      <c r="F2241" t="str">
        <f>HYPERLINK("https://talan.bank.gov.ua/get-user-certificate/45CElCZEpFNC9cSNGuVL","Завантажити сертифікат")</f>
        <v>Завантажити сертифікат</v>
      </c>
    </row>
    <row r="2242" spans="1:6" x14ac:dyDescent="0.3">
      <c r="A2242" t="s">
        <v>4837</v>
      </c>
      <c r="B2242" t="s">
        <v>6</v>
      </c>
      <c r="C2242" t="s">
        <v>4838</v>
      </c>
      <c r="D2242" t="s">
        <v>4791</v>
      </c>
      <c r="E2242" t="s">
        <v>4792</v>
      </c>
      <c r="F2242" t="str">
        <f>HYPERLINK("https://talan.bank.gov.ua/get-user-certificate/45CElG6H3Upm_49LtA1Q","Завантажити сертифікат")</f>
        <v>Завантажити сертифікат</v>
      </c>
    </row>
    <row r="2243" spans="1:6" x14ac:dyDescent="0.3">
      <c r="A2243" t="s">
        <v>4839</v>
      </c>
      <c r="B2243" t="s">
        <v>6</v>
      </c>
      <c r="C2243" t="s">
        <v>4840</v>
      </c>
      <c r="D2243" t="s">
        <v>4791</v>
      </c>
      <c r="E2243" t="s">
        <v>4792</v>
      </c>
      <c r="F2243" t="str">
        <f>HYPERLINK("https://talan.bank.gov.ua/get-user-certificate/45CElrGJY-oFVQfrxvYA","Завантажити сертифікат")</f>
        <v>Завантажити сертифікат</v>
      </c>
    </row>
    <row r="2244" spans="1:6" x14ac:dyDescent="0.3">
      <c r="A2244" t="s">
        <v>4841</v>
      </c>
      <c r="B2244" t="s">
        <v>6</v>
      </c>
      <c r="C2244" t="s">
        <v>4842</v>
      </c>
      <c r="D2244" t="s">
        <v>4791</v>
      </c>
      <c r="E2244" t="s">
        <v>4792</v>
      </c>
      <c r="F2244" t="str">
        <f>HYPERLINK("https://talan.bank.gov.ua/get-user-certificate/45CEljczkQWVNRA-2gMZ","Завантажити сертифікат")</f>
        <v>Завантажити сертифікат</v>
      </c>
    </row>
    <row r="2245" spans="1:6" x14ac:dyDescent="0.3">
      <c r="A2245" t="s">
        <v>4843</v>
      </c>
      <c r="B2245" t="s">
        <v>6</v>
      </c>
      <c r="C2245" t="s">
        <v>4844</v>
      </c>
      <c r="D2245" t="s">
        <v>4845</v>
      </c>
      <c r="E2245" t="s">
        <v>4846</v>
      </c>
      <c r="F2245" t="str">
        <f>HYPERLINK("https://talan.bank.gov.ua/get-user-certificate/45CElD8VTJseRNW3339t","Завантажити сертифікат")</f>
        <v>Завантажити сертифікат</v>
      </c>
    </row>
    <row r="2246" spans="1:6" x14ac:dyDescent="0.3">
      <c r="A2246" t="s">
        <v>4847</v>
      </c>
      <c r="B2246" t="s">
        <v>6</v>
      </c>
      <c r="C2246" t="s">
        <v>4848</v>
      </c>
      <c r="D2246" t="s">
        <v>4845</v>
      </c>
      <c r="E2246" t="s">
        <v>4846</v>
      </c>
      <c r="F2246" t="str">
        <f>HYPERLINK("https://talan.bank.gov.ua/get-user-certificate/45CElTzKlev6kwvF1lhW","Завантажити сертифікат")</f>
        <v>Завантажити сертифікат</v>
      </c>
    </row>
    <row r="2247" spans="1:6" x14ac:dyDescent="0.3">
      <c r="A2247" t="s">
        <v>4849</v>
      </c>
      <c r="B2247" t="s">
        <v>6</v>
      </c>
      <c r="C2247" t="s">
        <v>4850</v>
      </c>
      <c r="D2247" t="s">
        <v>4845</v>
      </c>
      <c r="E2247" t="s">
        <v>4846</v>
      </c>
      <c r="F2247" t="str">
        <f>HYPERLINK("https://talan.bank.gov.ua/get-user-certificate/45CEllXKgO0-6yP-LSmI","Завантажити сертифікат")</f>
        <v>Завантажити сертифікат</v>
      </c>
    </row>
    <row r="2248" spans="1:6" x14ac:dyDescent="0.3">
      <c r="A2248" t="s">
        <v>4851</v>
      </c>
      <c r="B2248" t="s">
        <v>6</v>
      </c>
      <c r="C2248" t="s">
        <v>4852</v>
      </c>
      <c r="D2248" t="s">
        <v>4845</v>
      </c>
      <c r="E2248" t="s">
        <v>4846</v>
      </c>
      <c r="F2248" t="str">
        <f>HYPERLINK("https://talan.bank.gov.ua/get-user-certificate/45CElD244jmbBw6h8AMI","Завантажити сертифікат")</f>
        <v>Завантажити сертифікат</v>
      </c>
    </row>
    <row r="2249" spans="1:6" x14ac:dyDescent="0.3">
      <c r="A2249" t="s">
        <v>4853</v>
      </c>
      <c r="B2249" t="s">
        <v>6</v>
      </c>
      <c r="C2249" t="s">
        <v>4854</v>
      </c>
      <c r="D2249" t="s">
        <v>4845</v>
      </c>
      <c r="E2249" t="s">
        <v>4846</v>
      </c>
      <c r="F2249" t="str">
        <f>HYPERLINK("https://talan.bank.gov.ua/get-user-certificate/45CElg3VEiV-HUMXhe67","Завантажити сертифікат")</f>
        <v>Завантажити сертифікат</v>
      </c>
    </row>
    <row r="2250" spans="1:6" x14ac:dyDescent="0.3">
      <c r="A2250" t="s">
        <v>4855</v>
      </c>
      <c r="B2250" t="s">
        <v>6</v>
      </c>
      <c r="C2250" t="s">
        <v>4856</v>
      </c>
      <c r="D2250" t="s">
        <v>4845</v>
      </c>
      <c r="E2250" t="s">
        <v>4846</v>
      </c>
      <c r="F2250" t="str">
        <f>HYPERLINK("https://talan.bank.gov.ua/get-user-certificate/45CElurjI7T_euBpQc8w","Завантажити сертифікат")</f>
        <v>Завантажити сертифікат</v>
      </c>
    </row>
    <row r="2251" spans="1:6" x14ac:dyDescent="0.3">
      <c r="A2251" t="s">
        <v>4857</v>
      </c>
      <c r="B2251" t="s">
        <v>6</v>
      </c>
      <c r="C2251" t="s">
        <v>4858</v>
      </c>
      <c r="D2251" t="s">
        <v>4845</v>
      </c>
      <c r="E2251" t="s">
        <v>4846</v>
      </c>
      <c r="F2251" t="str">
        <f>HYPERLINK("https://talan.bank.gov.ua/get-user-certificate/45CEljwVJqqScZMph8QK","Завантажити сертифікат")</f>
        <v>Завантажити сертифікат</v>
      </c>
    </row>
    <row r="2252" spans="1:6" x14ac:dyDescent="0.3">
      <c r="A2252" t="s">
        <v>4859</v>
      </c>
      <c r="B2252" t="s">
        <v>6</v>
      </c>
      <c r="C2252" t="s">
        <v>4860</v>
      </c>
      <c r="D2252" t="s">
        <v>4845</v>
      </c>
      <c r="E2252" t="s">
        <v>4846</v>
      </c>
      <c r="F2252" t="str">
        <f>HYPERLINK("https://talan.bank.gov.ua/get-user-certificate/45CElxW91aOybgGj9syf","Завантажити сертифікат")</f>
        <v>Завантажити сертифікат</v>
      </c>
    </row>
    <row r="2253" spans="1:6" x14ac:dyDescent="0.3">
      <c r="A2253" t="s">
        <v>4861</v>
      </c>
      <c r="B2253" t="s">
        <v>6</v>
      </c>
      <c r="C2253" t="s">
        <v>4862</v>
      </c>
      <c r="D2253" t="s">
        <v>4845</v>
      </c>
      <c r="E2253" t="s">
        <v>4846</v>
      </c>
      <c r="F2253" t="str">
        <f>HYPERLINK("https://talan.bank.gov.ua/get-user-certificate/45CEl7mGyDADAAhR8Nfn","Завантажити сертифікат")</f>
        <v>Завантажити сертифікат</v>
      </c>
    </row>
    <row r="2254" spans="1:6" x14ac:dyDescent="0.3">
      <c r="A2254" t="s">
        <v>4863</v>
      </c>
      <c r="B2254" t="s">
        <v>6</v>
      </c>
      <c r="C2254" t="s">
        <v>4864</v>
      </c>
      <c r="D2254" t="s">
        <v>4845</v>
      </c>
      <c r="E2254" t="s">
        <v>4846</v>
      </c>
      <c r="F2254" t="str">
        <f>HYPERLINK("https://talan.bank.gov.ua/get-user-certificate/45CEl7ZqIffV9fZq6YVT","Завантажити сертифікат")</f>
        <v>Завантажити сертифікат</v>
      </c>
    </row>
    <row r="2255" spans="1:6" x14ac:dyDescent="0.3">
      <c r="A2255" t="s">
        <v>4865</v>
      </c>
      <c r="B2255" t="s">
        <v>6</v>
      </c>
      <c r="C2255" t="s">
        <v>4866</v>
      </c>
      <c r="D2255" t="s">
        <v>4845</v>
      </c>
      <c r="E2255" t="s">
        <v>4846</v>
      </c>
      <c r="F2255" t="str">
        <f>HYPERLINK("https://talan.bank.gov.ua/get-user-certificate/45CEl-YvRSv9Gnu62JyK","Завантажити сертифікат")</f>
        <v>Завантажити сертифікат</v>
      </c>
    </row>
    <row r="2256" spans="1:6" x14ac:dyDescent="0.3">
      <c r="A2256" t="s">
        <v>4867</v>
      </c>
      <c r="B2256" t="s">
        <v>6</v>
      </c>
      <c r="C2256" t="s">
        <v>4868</v>
      </c>
      <c r="D2256" t="s">
        <v>4845</v>
      </c>
      <c r="E2256" t="s">
        <v>4846</v>
      </c>
      <c r="F2256" t="str">
        <f>HYPERLINK("https://talan.bank.gov.ua/get-user-certificate/45CElJoqqUudTwAlD30E","Завантажити сертифікат")</f>
        <v>Завантажити сертифікат</v>
      </c>
    </row>
    <row r="2257" spans="1:6" x14ac:dyDescent="0.3">
      <c r="A2257" t="s">
        <v>4869</v>
      </c>
      <c r="B2257" t="s">
        <v>6</v>
      </c>
      <c r="C2257" t="s">
        <v>4870</v>
      </c>
      <c r="D2257" t="s">
        <v>4845</v>
      </c>
      <c r="E2257" t="s">
        <v>4846</v>
      </c>
      <c r="F2257" t="str">
        <f>HYPERLINK("https://talan.bank.gov.ua/get-user-certificate/45CElFMX5g28sVwvRnSR","Завантажити сертифікат")</f>
        <v>Завантажити сертифікат</v>
      </c>
    </row>
    <row r="2258" spans="1:6" x14ac:dyDescent="0.3">
      <c r="A2258" t="s">
        <v>4871</v>
      </c>
      <c r="B2258" t="s">
        <v>6</v>
      </c>
      <c r="C2258" t="s">
        <v>4872</v>
      </c>
      <c r="D2258" t="s">
        <v>4845</v>
      </c>
      <c r="E2258" t="s">
        <v>4846</v>
      </c>
      <c r="F2258" t="str">
        <f>HYPERLINK("https://talan.bank.gov.ua/get-user-certificate/45CElokG7i_jtabwIfFk","Завантажити сертифікат")</f>
        <v>Завантажити сертифікат</v>
      </c>
    </row>
    <row r="2259" spans="1:6" x14ac:dyDescent="0.3">
      <c r="A2259" t="s">
        <v>4873</v>
      </c>
      <c r="B2259" t="s">
        <v>6</v>
      </c>
      <c r="C2259" t="s">
        <v>4874</v>
      </c>
      <c r="D2259" t="s">
        <v>4845</v>
      </c>
      <c r="E2259" t="s">
        <v>4846</v>
      </c>
      <c r="F2259" t="str">
        <f>HYPERLINK("https://talan.bank.gov.ua/get-user-certificate/45CEldt_D6zV0tmiZCRG","Завантажити сертифікат")</f>
        <v>Завантажити сертифікат</v>
      </c>
    </row>
    <row r="2260" spans="1:6" x14ac:dyDescent="0.3">
      <c r="A2260" t="s">
        <v>4875</v>
      </c>
      <c r="B2260" t="s">
        <v>6</v>
      </c>
      <c r="C2260" t="s">
        <v>4876</v>
      </c>
      <c r="D2260" t="s">
        <v>4845</v>
      </c>
      <c r="E2260" t="s">
        <v>4846</v>
      </c>
      <c r="F2260" t="str">
        <f>HYPERLINK("https://talan.bank.gov.ua/get-user-certificate/45CElOUgmLjPVBC5jEf8","Завантажити сертифікат")</f>
        <v>Завантажити сертифікат</v>
      </c>
    </row>
    <row r="2261" spans="1:6" x14ac:dyDescent="0.3">
      <c r="A2261" t="s">
        <v>4877</v>
      </c>
      <c r="B2261" t="s">
        <v>6</v>
      </c>
      <c r="C2261" t="s">
        <v>4878</v>
      </c>
      <c r="D2261" t="s">
        <v>4845</v>
      </c>
      <c r="E2261" t="s">
        <v>4846</v>
      </c>
      <c r="F2261" t="str">
        <f>HYPERLINK("https://talan.bank.gov.ua/get-user-certificate/45CElGeR6XhHqBHxsgSo","Завантажити сертифікат")</f>
        <v>Завантажити сертифікат</v>
      </c>
    </row>
    <row r="2262" spans="1:6" x14ac:dyDescent="0.3">
      <c r="A2262" t="s">
        <v>4879</v>
      </c>
      <c r="B2262" t="s">
        <v>6</v>
      </c>
      <c r="C2262" t="s">
        <v>4880</v>
      </c>
      <c r="D2262" t="s">
        <v>4845</v>
      </c>
      <c r="E2262" t="s">
        <v>4846</v>
      </c>
      <c r="F2262" t="str">
        <f>HYPERLINK("https://talan.bank.gov.ua/get-user-certificate/45CEl2bwdXULCfoH0oe-","Завантажити сертифікат")</f>
        <v>Завантажити сертифікат</v>
      </c>
    </row>
    <row r="2263" spans="1:6" x14ac:dyDescent="0.3">
      <c r="A2263" t="s">
        <v>4881</v>
      </c>
      <c r="B2263" t="s">
        <v>6</v>
      </c>
      <c r="C2263" t="s">
        <v>4882</v>
      </c>
      <c r="D2263" t="s">
        <v>4845</v>
      </c>
      <c r="E2263" t="s">
        <v>4846</v>
      </c>
      <c r="F2263" t="str">
        <f>HYPERLINK("https://talan.bank.gov.ua/get-user-certificate/45CElelqgiQ0Od12JX1y","Завантажити сертифікат")</f>
        <v>Завантажити сертифікат</v>
      </c>
    </row>
    <row r="2264" spans="1:6" x14ac:dyDescent="0.3">
      <c r="A2264" t="s">
        <v>4883</v>
      </c>
      <c r="B2264" t="s">
        <v>6</v>
      </c>
      <c r="C2264" t="s">
        <v>4884</v>
      </c>
      <c r="D2264" t="s">
        <v>4845</v>
      </c>
      <c r="E2264" t="s">
        <v>4846</v>
      </c>
      <c r="F2264" t="str">
        <f>HYPERLINK("https://talan.bank.gov.ua/get-user-certificate/45CElTNczqi2dvRiHZFY","Завантажити сертифікат")</f>
        <v>Завантажити сертифікат</v>
      </c>
    </row>
    <row r="2265" spans="1:6" x14ac:dyDescent="0.3">
      <c r="A2265" t="s">
        <v>4885</v>
      </c>
      <c r="B2265" t="s">
        <v>6</v>
      </c>
      <c r="C2265" t="s">
        <v>4886</v>
      </c>
      <c r="D2265" t="s">
        <v>4845</v>
      </c>
      <c r="E2265" t="s">
        <v>4846</v>
      </c>
      <c r="F2265" t="str">
        <f>HYPERLINK("https://talan.bank.gov.ua/get-user-certificate/45CElnI1kJ1XAUxIKvLD","Завантажити сертифікат")</f>
        <v>Завантажити сертифікат</v>
      </c>
    </row>
    <row r="2266" spans="1:6" x14ac:dyDescent="0.3">
      <c r="A2266" t="s">
        <v>4887</v>
      </c>
      <c r="B2266" t="s">
        <v>6</v>
      </c>
      <c r="C2266" t="s">
        <v>4888</v>
      </c>
      <c r="D2266" t="s">
        <v>4845</v>
      </c>
      <c r="E2266" t="s">
        <v>4846</v>
      </c>
      <c r="F2266" t="str">
        <f>HYPERLINK("https://talan.bank.gov.ua/get-user-certificate/45CElybdpeD9PX0lhAJ8","Завантажити сертифікат")</f>
        <v>Завантажити сертифікат</v>
      </c>
    </row>
    <row r="2267" spans="1:6" x14ac:dyDescent="0.3">
      <c r="A2267" t="s">
        <v>4889</v>
      </c>
      <c r="B2267" t="s">
        <v>6</v>
      </c>
      <c r="C2267" t="s">
        <v>4890</v>
      </c>
      <c r="D2267" t="s">
        <v>4845</v>
      </c>
      <c r="E2267" t="s">
        <v>4846</v>
      </c>
      <c r="F2267" t="str">
        <f>HYPERLINK("https://talan.bank.gov.ua/get-user-certificate/45CElMpRXwund3kq6UjV","Завантажити сертифікат")</f>
        <v>Завантажити сертифікат</v>
      </c>
    </row>
    <row r="2268" spans="1:6" x14ac:dyDescent="0.3">
      <c r="A2268" t="s">
        <v>4891</v>
      </c>
      <c r="B2268" t="s">
        <v>6</v>
      </c>
      <c r="C2268" t="s">
        <v>4892</v>
      </c>
      <c r="D2268" t="s">
        <v>4845</v>
      </c>
      <c r="E2268" t="s">
        <v>4846</v>
      </c>
      <c r="F2268" t="str">
        <f>HYPERLINK("https://talan.bank.gov.ua/get-user-certificate/45CElPK-Cvq27BPhnteT","Завантажити сертифікат")</f>
        <v>Завантажити сертифікат</v>
      </c>
    </row>
    <row r="2269" spans="1:6" x14ac:dyDescent="0.3">
      <c r="A2269" t="s">
        <v>4893</v>
      </c>
      <c r="B2269" t="s">
        <v>6</v>
      </c>
      <c r="C2269" t="s">
        <v>4894</v>
      </c>
      <c r="D2269" t="s">
        <v>4845</v>
      </c>
      <c r="E2269" t="s">
        <v>4846</v>
      </c>
      <c r="F2269" t="str">
        <f>HYPERLINK("https://talan.bank.gov.ua/get-user-certificate/45CEl0uXIXY2BaNuUBYw","Завантажити сертифікат")</f>
        <v>Завантажити сертифікат</v>
      </c>
    </row>
    <row r="2270" spans="1:6" x14ac:dyDescent="0.3">
      <c r="A2270" t="s">
        <v>4895</v>
      </c>
      <c r="B2270" t="s">
        <v>6</v>
      </c>
      <c r="C2270" t="s">
        <v>4896</v>
      </c>
      <c r="D2270" t="s">
        <v>4845</v>
      </c>
      <c r="E2270" t="s">
        <v>4846</v>
      </c>
      <c r="F2270" t="str">
        <f>HYPERLINK("https://talan.bank.gov.ua/get-user-certificate/45CElEoj17dH3fJRC9hp","Завантажити сертифікат")</f>
        <v>Завантажити сертифікат</v>
      </c>
    </row>
    <row r="2271" spans="1:6" x14ac:dyDescent="0.3">
      <c r="A2271" t="s">
        <v>4897</v>
      </c>
      <c r="B2271" t="s">
        <v>6</v>
      </c>
      <c r="C2271" t="s">
        <v>4898</v>
      </c>
      <c r="D2271" t="s">
        <v>4845</v>
      </c>
      <c r="E2271" t="s">
        <v>4846</v>
      </c>
      <c r="F2271" t="str">
        <f>HYPERLINK("https://talan.bank.gov.ua/get-user-certificate/45CEl7-YOihQE0EeaNvu","Завантажити сертифікат")</f>
        <v>Завантажити сертифікат</v>
      </c>
    </row>
    <row r="2272" spans="1:6" x14ac:dyDescent="0.3">
      <c r="A2272" t="s">
        <v>4899</v>
      </c>
      <c r="B2272" t="s">
        <v>6</v>
      </c>
      <c r="C2272" t="s">
        <v>4900</v>
      </c>
      <c r="D2272" t="s">
        <v>4845</v>
      </c>
      <c r="E2272" t="s">
        <v>4846</v>
      </c>
      <c r="F2272" t="str">
        <f>HYPERLINK("https://talan.bank.gov.ua/get-user-certificate/45CEl8NZ0ejmqcv-WQ9P","Завантажити сертифікат")</f>
        <v>Завантажити сертифікат</v>
      </c>
    </row>
    <row r="2273" spans="1:6" x14ac:dyDescent="0.3">
      <c r="A2273" t="s">
        <v>4901</v>
      </c>
      <c r="B2273" t="s">
        <v>6</v>
      </c>
      <c r="C2273" t="s">
        <v>4902</v>
      </c>
      <c r="D2273" t="s">
        <v>4845</v>
      </c>
      <c r="E2273" t="s">
        <v>4846</v>
      </c>
      <c r="F2273" t="str">
        <f>HYPERLINK("https://talan.bank.gov.ua/get-user-certificate/45CElr-PepYunNYzKOuy","Завантажити сертифікат")</f>
        <v>Завантажити сертифікат</v>
      </c>
    </row>
    <row r="2274" spans="1:6" x14ac:dyDescent="0.3">
      <c r="A2274" t="s">
        <v>4903</v>
      </c>
      <c r="B2274" t="s">
        <v>6</v>
      </c>
      <c r="C2274" t="s">
        <v>4904</v>
      </c>
      <c r="D2274" t="s">
        <v>4845</v>
      </c>
      <c r="E2274" t="s">
        <v>4846</v>
      </c>
      <c r="F2274" t="str">
        <f>HYPERLINK("https://talan.bank.gov.ua/get-user-certificate/45CElvuNqAny3UB8jccC","Завантажити сертифікат")</f>
        <v>Завантажити сертифікат</v>
      </c>
    </row>
    <row r="2275" spans="1:6" x14ac:dyDescent="0.3">
      <c r="A2275" t="s">
        <v>4905</v>
      </c>
      <c r="B2275" t="s">
        <v>6</v>
      </c>
      <c r="C2275" t="s">
        <v>4906</v>
      </c>
      <c r="D2275" t="s">
        <v>4845</v>
      </c>
      <c r="E2275" t="s">
        <v>4846</v>
      </c>
      <c r="F2275" t="str">
        <f>HYPERLINK("https://talan.bank.gov.ua/get-user-certificate/45CElhQAixG48-dvhf2R","Завантажити сертифікат")</f>
        <v>Завантажити сертифікат</v>
      </c>
    </row>
    <row r="2276" spans="1:6" x14ac:dyDescent="0.3">
      <c r="A2276" t="s">
        <v>4907</v>
      </c>
      <c r="B2276" t="s">
        <v>6</v>
      </c>
      <c r="C2276" t="s">
        <v>4908</v>
      </c>
      <c r="D2276" t="s">
        <v>4845</v>
      </c>
      <c r="E2276" t="s">
        <v>4846</v>
      </c>
      <c r="F2276" t="str">
        <f>HYPERLINK("https://talan.bank.gov.ua/get-user-certificate/45CElx3yNrLDIuU-j7bW","Завантажити сертифікат")</f>
        <v>Завантажити сертифікат</v>
      </c>
    </row>
    <row r="2277" spans="1:6" x14ac:dyDescent="0.3">
      <c r="A2277" t="s">
        <v>4909</v>
      </c>
      <c r="B2277" t="s">
        <v>6</v>
      </c>
      <c r="C2277" t="s">
        <v>4910</v>
      </c>
      <c r="D2277" t="s">
        <v>4845</v>
      </c>
      <c r="E2277" t="s">
        <v>4846</v>
      </c>
      <c r="F2277" t="str">
        <f>HYPERLINK("https://talan.bank.gov.ua/get-user-certificate/45CEl8eiyP3gwzFldg_P","Завантажити сертифікат")</f>
        <v>Завантажити сертифікат</v>
      </c>
    </row>
    <row r="2278" spans="1:6" x14ac:dyDescent="0.3">
      <c r="A2278" t="s">
        <v>4911</v>
      </c>
      <c r="B2278" t="s">
        <v>6</v>
      </c>
      <c r="C2278" t="s">
        <v>4912</v>
      </c>
      <c r="D2278" t="s">
        <v>4845</v>
      </c>
      <c r="E2278" t="s">
        <v>4846</v>
      </c>
      <c r="F2278" t="str">
        <f>HYPERLINK("https://talan.bank.gov.ua/get-user-certificate/45CElOci1jiO0dX-Ma8p","Завантажити сертифікат")</f>
        <v>Завантажити сертифікат</v>
      </c>
    </row>
    <row r="2279" spans="1:6" x14ac:dyDescent="0.3">
      <c r="A2279" t="s">
        <v>4913</v>
      </c>
      <c r="B2279" t="s">
        <v>6</v>
      </c>
      <c r="C2279" t="s">
        <v>4914</v>
      </c>
      <c r="D2279" t="s">
        <v>4845</v>
      </c>
      <c r="E2279" t="s">
        <v>4846</v>
      </c>
      <c r="F2279" t="str">
        <f>HYPERLINK("https://talan.bank.gov.ua/get-user-certificate/45CElI3H-xmIYTWcR-nj","Завантажити сертифікат")</f>
        <v>Завантажити сертифікат</v>
      </c>
    </row>
    <row r="2280" spans="1:6" x14ac:dyDescent="0.3">
      <c r="A2280" t="s">
        <v>4915</v>
      </c>
      <c r="B2280" t="s">
        <v>6</v>
      </c>
      <c r="C2280" t="s">
        <v>4916</v>
      </c>
      <c r="D2280" t="s">
        <v>4845</v>
      </c>
      <c r="E2280" t="s">
        <v>4846</v>
      </c>
      <c r="F2280" t="str">
        <f>HYPERLINK("https://talan.bank.gov.ua/get-user-certificate/45CElTe2uHbQQ5yTjr7O","Завантажити сертифікат")</f>
        <v>Завантажити сертифікат</v>
      </c>
    </row>
    <row r="2281" spans="1:6" x14ac:dyDescent="0.3">
      <c r="A2281" t="s">
        <v>4917</v>
      </c>
      <c r="B2281" t="s">
        <v>6</v>
      </c>
      <c r="C2281" t="s">
        <v>4918</v>
      </c>
      <c r="D2281" t="s">
        <v>4845</v>
      </c>
      <c r="E2281" t="s">
        <v>4846</v>
      </c>
      <c r="F2281" t="str">
        <f>HYPERLINK("https://talan.bank.gov.ua/get-user-certificate/45CEl-pqoBgQq3ASYO3l","Завантажити сертифікат")</f>
        <v>Завантажити сертифікат</v>
      </c>
    </row>
    <row r="2282" spans="1:6" x14ac:dyDescent="0.3">
      <c r="A2282" t="s">
        <v>4919</v>
      </c>
      <c r="B2282" t="s">
        <v>6</v>
      </c>
      <c r="C2282" t="s">
        <v>4920</v>
      </c>
      <c r="D2282" t="s">
        <v>4921</v>
      </c>
      <c r="E2282" t="s">
        <v>4922</v>
      </c>
      <c r="F2282" t="str">
        <f>HYPERLINK("https://talan.bank.gov.ua/get-user-certificate/45CElrBMNmQOV9gDUxaL","Завантажити сертифікат")</f>
        <v>Завантажити сертифікат</v>
      </c>
    </row>
    <row r="2283" spans="1:6" x14ac:dyDescent="0.3">
      <c r="A2283" t="s">
        <v>4923</v>
      </c>
      <c r="B2283" t="s">
        <v>6</v>
      </c>
      <c r="C2283" t="s">
        <v>4924</v>
      </c>
      <c r="D2283" t="s">
        <v>4921</v>
      </c>
      <c r="E2283" t="s">
        <v>4922</v>
      </c>
      <c r="F2283" t="str">
        <f>HYPERLINK("https://talan.bank.gov.ua/get-user-certificate/45CElWb4OAdJtNoyAjrE","Завантажити сертифікат")</f>
        <v>Завантажити сертифікат</v>
      </c>
    </row>
    <row r="2284" spans="1:6" x14ac:dyDescent="0.3">
      <c r="A2284" t="s">
        <v>4925</v>
      </c>
      <c r="B2284" t="s">
        <v>6</v>
      </c>
      <c r="C2284" t="s">
        <v>4926</v>
      </c>
      <c r="D2284" t="s">
        <v>4921</v>
      </c>
      <c r="E2284" t="s">
        <v>4922</v>
      </c>
      <c r="F2284" t="str">
        <f>HYPERLINK("https://talan.bank.gov.ua/get-user-certificate/45CElfM877nTMiwgDuFj","Завантажити сертифікат")</f>
        <v>Завантажити сертифікат</v>
      </c>
    </row>
    <row r="2285" spans="1:6" x14ac:dyDescent="0.3">
      <c r="A2285" t="s">
        <v>4927</v>
      </c>
      <c r="B2285" t="s">
        <v>6</v>
      </c>
      <c r="C2285" t="s">
        <v>4928</v>
      </c>
      <c r="D2285" t="s">
        <v>4921</v>
      </c>
      <c r="E2285" t="s">
        <v>4922</v>
      </c>
      <c r="F2285" t="str">
        <f>HYPERLINK("https://talan.bank.gov.ua/get-user-certificate/45CEl_fIEX7VrNezM9C1","Завантажити сертифікат")</f>
        <v>Завантажити сертифікат</v>
      </c>
    </row>
    <row r="2286" spans="1:6" x14ac:dyDescent="0.3">
      <c r="A2286" t="s">
        <v>4929</v>
      </c>
      <c r="B2286" t="s">
        <v>6</v>
      </c>
      <c r="C2286" t="s">
        <v>4930</v>
      </c>
      <c r="D2286" t="s">
        <v>4921</v>
      </c>
      <c r="E2286" t="s">
        <v>4922</v>
      </c>
      <c r="F2286" t="str">
        <f>HYPERLINK("https://talan.bank.gov.ua/get-user-certificate/45CEleHarGgeUBc2ZPem","Завантажити сертифікат")</f>
        <v>Завантажити сертифікат</v>
      </c>
    </row>
    <row r="2287" spans="1:6" x14ac:dyDescent="0.3">
      <c r="A2287" t="s">
        <v>4931</v>
      </c>
      <c r="B2287" t="s">
        <v>6</v>
      </c>
      <c r="C2287" t="s">
        <v>4932</v>
      </c>
      <c r="D2287" t="s">
        <v>4921</v>
      </c>
      <c r="E2287" t="s">
        <v>4922</v>
      </c>
      <c r="F2287" t="str">
        <f>HYPERLINK("https://talan.bank.gov.ua/get-user-certificate/45CElxFb1mvPs-x278IF","Завантажити сертифікат")</f>
        <v>Завантажити сертифікат</v>
      </c>
    </row>
    <row r="2288" spans="1:6" x14ac:dyDescent="0.3">
      <c r="A2288" t="s">
        <v>4933</v>
      </c>
      <c r="B2288" t="s">
        <v>6</v>
      </c>
      <c r="C2288" t="s">
        <v>4934</v>
      </c>
      <c r="D2288" t="s">
        <v>4921</v>
      </c>
      <c r="E2288" t="s">
        <v>4922</v>
      </c>
      <c r="F2288" t="str">
        <f>HYPERLINK("https://talan.bank.gov.ua/get-user-certificate/45CElkdWgRfY0FSbOfUs","Завантажити сертифікат")</f>
        <v>Завантажити сертифікат</v>
      </c>
    </row>
    <row r="2289" spans="1:6" x14ac:dyDescent="0.3">
      <c r="A2289" t="s">
        <v>4935</v>
      </c>
      <c r="B2289" t="s">
        <v>6</v>
      </c>
      <c r="C2289" t="s">
        <v>4936</v>
      </c>
      <c r="D2289" t="s">
        <v>4921</v>
      </c>
      <c r="E2289" t="s">
        <v>4922</v>
      </c>
      <c r="F2289" t="str">
        <f>HYPERLINK("https://talan.bank.gov.ua/get-user-certificate/45CElf3b2Jr3GY8RE4g_","Завантажити сертифікат")</f>
        <v>Завантажити сертифікат</v>
      </c>
    </row>
    <row r="2290" spans="1:6" x14ac:dyDescent="0.3">
      <c r="A2290" t="s">
        <v>4937</v>
      </c>
      <c r="B2290" t="s">
        <v>6</v>
      </c>
      <c r="C2290" t="s">
        <v>4938</v>
      </c>
      <c r="D2290" t="s">
        <v>4921</v>
      </c>
      <c r="E2290" t="s">
        <v>4922</v>
      </c>
      <c r="F2290" t="str">
        <f>HYPERLINK("https://talan.bank.gov.ua/get-user-certificate/45CElLJjCNarq0xF2qTl","Завантажити сертифікат")</f>
        <v>Завантажити сертифікат</v>
      </c>
    </row>
    <row r="2291" spans="1:6" x14ac:dyDescent="0.3">
      <c r="A2291" t="s">
        <v>4939</v>
      </c>
      <c r="B2291" t="s">
        <v>6</v>
      </c>
      <c r="C2291" t="s">
        <v>4940</v>
      </c>
      <c r="D2291" t="s">
        <v>4921</v>
      </c>
      <c r="E2291" t="s">
        <v>4922</v>
      </c>
      <c r="F2291" t="str">
        <f>HYPERLINK("https://talan.bank.gov.ua/get-user-certificate/45CElXJ9irWSPQCpy_vE","Завантажити сертифікат")</f>
        <v>Завантажити сертифікат</v>
      </c>
    </row>
    <row r="2292" spans="1:6" x14ac:dyDescent="0.3">
      <c r="A2292" t="s">
        <v>4941</v>
      </c>
      <c r="B2292" t="s">
        <v>6</v>
      </c>
      <c r="C2292" t="s">
        <v>4942</v>
      </c>
      <c r="D2292" t="s">
        <v>4921</v>
      </c>
      <c r="E2292" t="s">
        <v>4922</v>
      </c>
      <c r="F2292" t="str">
        <f>HYPERLINK("https://talan.bank.gov.ua/get-user-certificate/45CEl6e0yGNJODHq44nw","Завантажити сертифікат")</f>
        <v>Завантажити сертифікат</v>
      </c>
    </row>
    <row r="2293" spans="1:6" x14ac:dyDescent="0.3">
      <c r="A2293" t="s">
        <v>4943</v>
      </c>
      <c r="B2293" t="s">
        <v>6</v>
      </c>
      <c r="C2293" t="s">
        <v>4944</v>
      </c>
      <c r="D2293" t="s">
        <v>4921</v>
      </c>
      <c r="E2293" t="s">
        <v>4922</v>
      </c>
      <c r="F2293" t="str">
        <f>HYPERLINK("https://talan.bank.gov.ua/get-user-certificate/45CElhdu1hqdfi4OANhY","Завантажити сертифікат")</f>
        <v>Завантажити сертифікат</v>
      </c>
    </row>
    <row r="2294" spans="1:6" x14ac:dyDescent="0.3">
      <c r="A2294" t="s">
        <v>4945</v>
      </c>
      <c r="B2294" t="s">
        <v>6</v>
      </c>
      <c r="C2294" t="s">
        <v>4946</v>
      </c>
      <c r="D2294" t="s">
        <v>4921</v>
      </c>
      <c r="E2294" t="s">
        <v>4922</v>
      </c>
      <c r="F2294" t="str">
        <f>HYPERLINK("https://talan.bank.gov.ua/get-user-certificate/45CEloDW4LbQGZLdf-qQ","Завантажити сертифікат")</f>
        <v>Завантажити сертифікат</v>
      </c>
    </row>
    <row r="2295" spans="1:6" x14ac:dyDescent="0.3">
      <c r="A2295" t="s">
        <v>4947</v>
      </c>
      <c r="B2295" t="s">
        <v>6</v>
      </c>
      <c r="C2295" t="s">
        <v>4948</v>
      </c>
      <c r="D2295" t="s">
        <v>4921</v>
      </c>
      <c r="E2295" t="s">
        <v>4922</v>
      </c>
      <c r="F2295" t="str">
        <f>HYPERLINK("https://talan.bank.gov.ua/get-user-certificate/45CElTqugqobd73nvzG_","Завантажити сертифікат")</f>
        <v>Завантажити сертифікат</v>
      </c>
    </row>
    <row r="2296" spans="1:6" x14ac:dyDescent="0.3">
      <c r="A2296" t="s">
        <v>4949</v>
      </c>
      <c r="B2296" t="s">
        <v>6</v>
      </c>
      <c r="C2296" t="s">
        <v>4950</v>
      </c>
      <c r="D2296" t="s">
        <v>4921</v>
      </c>
      <c r="E2296" t="s">
        <v>4922</v>
      </c>
      <c r="F2296" t="str">
        <f>HYPERLINK("https://talan.bank.gov.ua/get-user-certificate/45CElFQ8rKY9mtRd_Bsv","Завантажити сертифікат")</f>
        <v>Завантажити сертифікат</v>
      </c>
    </row>
    <row r="2297" spans="1:6" x14ac:dyDescent="0.3">
      <c r="A2297" t="s">
        <v>4951</v>
      </c>
      <c r="B2297" t="s">
        <v>6</v>
      </c>
      <c r="C2297" t="s">
        <v>4952</v>
      </c>
      <c r="D2297" t="s">
        <v>4921</v>
      </c>
      <c r="E2297" t="s">
        <v>4922</v>
      </c>
      <c r="F2297" t="str">
        <f>HYPERLINK("https://talan.bank.gov.ua/get-user-certificate/45CElVKLXJgoJ2c7iNso","Завантажити сертифікат")</f>
        <v>Завантажити сертифікат</v>
      </c>
    </row>
    <row r="2298" spans="1:6" x14ac:dyDescent="0.3">
      <c r="A2298" t="s">
        <v>4953</v>
      </c>
      <c r="B2298" t="s">
        <v>6</v>
      </c>
      <c r="C2298" t="s">
        <v>4954</v>
      </c>
      <c r="D2298" t="s">
        <v>4921</v>
      </c>
      <c r="E2298" t="s">
        <v>4922</v>
      </c>
      <c r="F2298" t="str">
        <f>HYPERLINK("https://talan.bank.gov.ua/get-user-certificate/45CElajHLabrzXy-unp4","Завантажити сертифікат")</f>
        <v>Завантажити сертифікат</v>
      </c>
    </row>
    <row r="2299" spans="1:6" x14ac:dyDescent="0.3">
      <c r="A2299" t="s">
        <v>4955</v>
      </c>
      <c r="B2299" t="s">
        <v>6</v>
      </c>
      <c r="C2299" t="s">
        <v>4956</v>
      </c>
      <c r="D2299" t="s">
        <v>4921</v>
      </c>
      <c r="E2299" t="s">
        <v>4922</v>
      </c>
      <c r="F2299" t="str">
        <f>HYPERLINK("https://talan.bank.gov.ua/get-user-certificate/45CEl56HaOeTPVuqv9nO","Завантажити сертифікат")</f>
        <v>Завантажити сертифікат</v>
      </c>
    </row>
    <row r="2300" spans="1:6" x14ac:dyDescent="0.3">
      <c r="A2300" t="s">
        <v>4957</v>
      </c>
      <c r="B2300" t="s">
        <v>6</v>
      </c>
      <c r="C2300" t="s">
        <v>4958</v>
      </c>
      <c r="D2300" t="s">
        <v>4921</v>
      </c>
      <c r="E2300" t="s">
        <v>4922</v>
      </c>
      <c r="F2300" t="str">
        <f>HYPERLINK("https://talan.bank.gov.ua/get-user-certificate/45CElnReJNdjq27OEE-V","Завантажити сертифікат")</f>
        <v>Завантажити сертифікат</v>
      </c>
    </row>
    <row r="2301" spans="1:6" x14ac:dyDescent="0.3">
      <c r="A2301" t="s">
        <v>4959</v>
      </c>
      <c r="B2301" t="s">
        <v>6</v>
      </c>
      <c r="C2301" t="s">
        <v>4960</v>
      </c>
      <c r="D2301" t="s">
        <v>4921</v>
      </c>
      <c r="E2301" t="s">
        <v>4922</v>
      </c>
      <c r="F2301" t="str">
        <f>HYPERLINK("https://talan.bank.gov.ua/get-user-certificate/45CElqrU1fEYQRSAUT8h","Завантажити сертифікат")</f>
        <v>Завантажити сертифікат</v>
      </c>
    </row>
    <row r="2302" spans="1:6" x14ac:dyDescent="0.3">
      <c r="A2302" t="s">
        <v>4961</v>
      </c>
      <c r="B2302" t="s">
        <v>6</v>
      </c>
      <c r="C2302" t="s">
        <v>4962</v>
      </c>
      <c r="D2302" t="s">
        <v>4921</v>
      </c>
      <c r="E2302" t="s">
        <v>4922</v>
      </c>
      <c r="F2302" t="str">
        <f>HYPERLINK("https://talan.bank.gov.ua/get-user-certificate/45CElHGu-RIZi9ojpufn","Завантажити сертифікат")</f>
        <v>Завантажити сертифікат</v>
      </c>
    </row>
    <row r="2303" spans="1:6" x14ac:dyDescent="0.3">
      <c r="A2303" t="s">
        <v>4963</v>
      </c>
      <c r="B2303" t="s">
        <v>6</v>
      </c>
      <c r="C2303" t="s">
        <v>4964</v>
      </c>
      <c r="D2303" t="s">
        <v>4921</v>
      </c>
      <c r="E2303" t="s">
        <v>4922</v>
      </c>
      <c r="F2303" t="str">
        <f>HYPERLINK("https://talan.bank.gov.ua/get-user-certificate/45CElJzPBcXYYu5duNpH","Завантажити сертифікат")</f>
        <v>Завантажити сертифікат</v>
      </c>
    </row>
    <row r="2304" spans="1:6" x14ac:dyDescent="0.3">
      <c r="A2304" t="s">
        <v>4965</v>
      </c>
      <c r="B2304" t="s">
        <v>6</v>
      </c>
      <c r="C2304" t="s">
        <v>4966</v>
      </c>
      <c r="D2304" t="s">
        <v>4921</v>
      </c>
      <c r="E2304" t="s">
        <v>4922</v>
      </c>
      <c r="F2304" t="str">
        <f>HYPERLINK("https://talan.bank.gov.ua/get-user-certificate/45CEl66aiGR_ZIhkY6wp","Завантажити сертифікат")</f>
        <v>Завантажити сертифікат</v>
      </c>
    </row>
    <row r="2305" spans="1:6" x14ac:dyDescent="0.3">
      <c r="A2305" t="s">
        <v>4967</v>
      </c>
      <c r="B2305" t="s">
        <v>6</v>
      </c>
      <c r="C2305" t="s">
        <v>4968</v>
      </c>
      <c r="D2305" t="s">
        <v>4921</v>
      </c>
      <c r="E2305" t="s">
        <v>4922</v>
      </c>
      <c r="F2305" t="str">
        <f>HYPERLINK("https://talan.bank.gov.ua/get-user-certificate/45CEl-uXr5lKp-6G9Wkb","Завантажити сертифікат")</f>
        <v>Завантажити сертифікат</v>
      </c>
    </row>
    <row r="2306" spans="1:6" x14ac:dyDescent="0.3">
      <c r="A2306" t="s">
        <v>4969</v>
      </c>
      <c r="B2306" t="s">
        <v>6</v>
      </c>
      <c r="C2306" t="s">
        <v>4970</v>
      </c>
      <c r="D2306" t="s">
        <v>4921</v>
      </c>
      <c r="E2306" t="s">
        <v>4922</v>
      </c>
      <c r="F2306" t="str">
        <f>HYPERLINK("https://talan.bank.gov.ua/get-user-certificate/45CElmUg_Z6nC-HvHjNI","Завантажити сертифікат")</f>
        <v>Завантажити сертифікат</v>
      </c>
    </row>
    <row r="2307" spans="1:6" x14ac:dyDescent="0.3">
      <c r="A2307" t="s">
        <v>4971</v>
      </c>
      <c r="B2307" t="s">
        <v>6</v>
      </c>
      <c r="C2307" t="s">
        <v>4972</v>
      </c>
      <c r="D2307" t="s">
        <v>4921</v>
      </c>
      <c r="E2307" t="s">
        <v>4922</v>
      </c>
      <c r="F2307" t="str">
        <f>HYPERLINK("https://talan.bank.gov.ua/get-user-certificate/45CElTErdLnOQxtx9oVw","Завантажити сертифікат")</f>
        <v>Завантажити сертифікат</v>
      </c>
    </row>
    <row r="2308" spans="1:6" x14ac:dyDescent="0.3">
      <c r="A2308" t="s">
        <v>4973</v>
      </c>
      <c r="B2308" t="s">
        <v>6</v>
      </c>
      <c r="C2308" t="s">
        <v>4974</v>
      </c>
      <c r="D2308" t="s">
        <v>4975</v>
      </c>
      <c r="E2308" t="s">
        <v>4976</v>
      </c>
      <c r="F2308" t="str">
        <f>HYPERLINK("https://talan.bank.gov.ua/get-user-certificate/45CElWOjUSb00_2gv8ti","Завантажити сертифікат")</f>
        <v>Завантажити сертифікат</v>
      </c>
    </row>
    <row r="2309" spans="1:6" x14ac:dyDescent="0.3">
      <c r="A2309" t="s">
        <v>4977</v>
      </c>
      <c r="B2309" t="s">
        <v>6</v>
      </c>
      <c r="C2309" t="s">
        <v>4978</v>
      </c>
      <c r="D2309" t="s">
        <v>4975</v>
      </c>
      <c r="E2309" t="s">
        <v>4976</v>
      </c>
      <c r="F2309" t="str">
        <f>HYPERLINK("https://talan.bank.gov.ua/get-user-certificate/45CElnY2tV-OXY4pmI1c","Завантажити сертифікат")</f>
        <v>Завантажити сертифікат</v>
      </c>
    </row>
    <row r="2310" spans="1:6" x14ac:dyDescent="0.3">
      <c r="A2310" t="s">
        <v>4979</v>
      </c>
      <c r="B2310" t="s">
        <v>6</v>
      </c>
      <c r="C2310" t="s">
        <v>4980</v>
      </c>
      <c r="D2310" t="s">
        <v>4975</v>
      </c>
      <c r="E2310" t="s">
        <v>4976</v>
      </c>
      <c r="F2310" t="str">
        <f>HYPERLINK("https://talan.bank.gov.ua/get-user-certificate/45CElbHWnosK5GRXAYhV","Завантажити сертифікат")</f>
        <v>Завантажити сертифікат</v>
      </c>
    </row>
    <row r="2311" spans="1:6" x14ac:dyDescent="0.3">
      <c r="A2311" t="s">
        <v>4981</v>
      </c>
      <c r="B2311" t="s">
        <v>6</v>
      </c>
      <c r="C2311" t="s">
        <v>4982</v>
      </c>
      <c r="D2311" t="s">
        <v>4975</v>
      </c>
      <c r="E2311" t="s">
        <v>4976</v>
      </c>
      <c r="F2311" t="str">
        <f>HYPERLINK("https://talan.bank.gov.ua/get-user-certificate/45CElSIdFVAuROmtQD3-","Завантажити сертифікат")</f>
        <v>Завантажити сертифікат</v>
      </c>
    </row>
    <row r="2312" spans="1:6" x14ac:dyDescent="0.3">
      <c r="A2312" t="s">
        <v>4983</v>
      </c>
      <c r="B2312" t="s">
        <v>6</v>
      </c>
      <c r="C2312" t="s">
        <v>4984</v>
      </c>
      <c r="D2312" t="s">
        <v>4975</v>
      </c>
      <c r="E2312" t="s">
        <v>4976</v>
      </c>
      <c r="F2312" t="str">
        <f>HYPERLINK("https://talan.bank.gov.ua/get-user-certificate/45CElNgF8lgZQJWZOQLM","Завантажити сертифікат")</f>
        <v>Завантажити сертифікат</v>
      </c>
    </row>
    <row r="2313" spans="1:6" x14ac:dyDescent="0.3">
      <c r="A2313" t="s">
        <v>4985</v>
      </c>
      <c r="B2313" t="s">
        <v>6</v>
      </c>
      <c r="C2313" t="s">
        <v>4986</v>
      </c>
      <c r="D2313" t="s">
        <v>4975</v>
      </c>
      <c r="E2313" t="s">
        <v>4976</v>
      </c>
      <c r="F2313" t="str">
        <f>HYPERLINK("https://talan.bank.gov.ua/get-user-certificate/45CElp0IrCaJPHU-nCLo","Завантажити сертифікат")</f>
        <v>Завантажити сертифікат</v>
      </c>
    </row>
    <row r="2314" spans="1:6" x14ac:dyDescent="0.3">
      <c r="A2314" t="s">
        <v>4987</v>
      </c>
      <c r="B2314" t="s">
        <v>6</v>
      </c>
      <c r="C2314" t="s">
        <v>4988</v>
      </c>
      <c r="D2314" t="s">
        <v>4975</v>
      </c>
      <c r="E2314" t="s">
        <v>4976</v>
      </c>
      <c r="F2314" t="str">
        <f>HYPERLINK("https://talan.bank.gov.ua/get-user-certificate/45CElgyoBAsAI42Qurlr","Завантажити сертифікат")</f>
        <v>Завантажити сертифікат</v>
      </c>
    </row>
    <row r="2315" spans="1:6" x14ac:dyDescent="0.3">
      <c r="A2315" t="s">
        <v>4989</v>
      </c>
      <c r="B2315" t="s">
        <v>6</v>
      </c>
      <c r="C2315" t="s">
        <v>4990</v>
      </c>
      <c r="D2315" t="s">
        <v>4975</v>
      </c>
      <c r="E2315" t="s">
        <v>4976</v>
      </c>
      <c r="F2315" t="str">
        <f>HYPERLINK("https://talan.bank.gov.ua/get-user-certificate/45CEliAlWLe3m_9r3JZS","Завантажити сертифікат")</f>
        <v>Завантажити сертифікат</v>
      </c>
    </row>
    <row r="2316" spans="1:6" x14ac:dyDescent="0.3">
      <c r="A2316" t="s">
        <v>4991</v>
      </c>
      <c r="B2316" t="s">
        <v>6</v>
      </c>
      <c r="C2316" t="s">
        <v>4992</v>
      </c>
      <c r="D2316" t="s">
        <v>4975</v>
      </c>
      <c r="E2316" t="s">
        <v>4976</v>
      </c>
      <c r="F2316" t="str">
        <f>HYPERLINK("https://talan.bank.gov.ua/get-user-certificate/45CElj7HVrb3etrYMb0A","Завантажити сертифікат")</f>
        <v>Завантажити сертифікат</v>
      </c>
    </row>
    <row r="2317" spans="1:6" x14ac:dyDescent="0.3">
      <c r="A2317" t="s">
        <v>4993</v>
      </c>
      <c r="B2317" t="s">
        <v>6</v>
      </c>
      <c r="C2317" t="s">
        <v>4994</v>
      </c>
      <c r="D2317" t="s">
        <v>4975</v>
      </c>
      <c r="E2317" t="s">
        <v>4976</v>
      </c>
      <c r="F2317" t="str">
        <f>HYPERLINK("https://talan.bank.gov.ua/get-user-certificate/45CElbkYeNeFqM8NInQv","Завантажити сертифікат")</f>
        <v>Завантажити сертифікат</v>
      </c>
    </row>
    <row r="2318" spans="1:6" x14ac:dyDescent="0.3">
      <c r="A2318" t="s">
        <v>4995</v>
      </c>
      <c r="B2318" t="s">
        <v>6</v>
      </c>
      <c r="C2318" t="s">
        <v>4996</v>
      </c>
      <c r="D2318" t="s">
        <v>4975</v>
      </c>
      <c r="E2318" t="s">
        <v>4976</v>
      </c>
      <c r="F2318" t="str">
        <f>HYPERLINK("https://talan.bank.gov.ua/get-user-certificate/45CElOTEuOTt6v889AzY","Завантажити сертифікат")</f>
        <v>Завантажити сертифікат</v>
      </c>
    </row>
    <row r="2319" spans="1:6" x14ac:dyDescent="0.3">
      <c r="A2319" t="s">
        <v>4997</v>
      </c>
      <c r="B2319" t="s">
        <v>6</v>
      </c>
      <c r="C2319" t="s">
        <v>4998</v>
      </c>
      <c r="D2319" t="s">
        <v>4975</v>
      </c>
      <c r="E2319" t="s">
        <v>4976</v>
      </c>
      <c r="F2319" t="str">
        <f>HYPERLINK("https://talan.bank.gov.ua/get-user-certificate/45CEl7Nnvmrp_GCk2jAy","Завантажити сертифікат")</f>
        <v>Завантажити сертифікат</v>
      </c>
    </row>
    <row r="2320" spans="1:6" x14ac:dyDescent="0.3">
      <c r="A2320" t="s">
        <v>4999</v>
      </c>
      <c r="B2320" t="s">
        <v>6</v>
      </c>
      <c r="C2320" t="s">
        <v>5000</v>
      </c>
      <c r="D2320" t="s">
        <v>4975</v>
      </c>
      <c r="E2320" t="s">
        <v>4976</v>
      </c>
      <c r="F2320" t="str">
        <f>HYPERLINK("https://talan.bank.gov.ua/get-user-certificate/45CElNti7lLylEXWfu9b","Завантажити сертифікат")</f>
        <v>Завантажити сертифікат</v>
      </c>
    </row>
    <row r="2321" spans="1:6" x14ac:dyDescent="0.3">
      <c r="A2321" t="s">
        <v>5001</v>
      </c>
      <c r="B2321" t="s">
        <v>6</v>
      </c>
      <c r="C2321" t="s">
        <v>5002</v>
      </c>
      <c r="D2321" t="s">
        <v>4975</v>
      </c>
      <c r="E2321" t="s">
        <v>4976</v>
      </c>
      <c r="F2321" t="str">
        <f>HYPERLINK("https://talan.bank.gov.ua/get-user-certificate/45CElk6SP-X-7t0Cabwv","Завантажити сертифікат")</f>
        <v>Завантажити сертифікат</v>
      </c>
    </row>
    <row r="2322" spans="1:6" x14ac:dyDescent="0.3">
      <c r="A2322" t="s">
        <v>5003</v>
      </c>
      <c r="B2322" t="s">
        <v>6</v>
      </c>
      <c r="C2322" t="s">
        <v>5004</v>
      </c>
      <c r="D2322" t="s">
        <v>4975</v>
      </c>
      <c r="E2322" t="s">
        <v>4976</v>
      </c>
      <c r="F2322" t="str">
        <f>HYPERLINK("https://talan.bank.gov.ua/get-user-certificate/45CElwtgSn4-1W_P4Q-2","Завантажити сертифікат")</f>
        <v>Завантажити сертифікат</v>
      </c>
    </row>
    <row r="2323" spans="1:6" x14ac:dyDescent="0.3">
      <c r="A2323" t="s">
        <v>5005</v>
      </c>
      <c r="B2323" t="s">
        <v>6</v>
      </c>
      <c r="C2323" t="s">
        <v>5006</v>
      </c>
      <c r="D2323" t="s">
        <v>4975</v>
      </c>
      <c r="E2323" t="s">
        <v>4976</v>
      </c>
      <c r="F2323" t="str">
        <f>HYPERLINK("https://talan.bank.gov.ua/get-user-certificate/45CEl6hIDIiwRr7w3pdX","Завантажити сертифікат")</f>
        <v>Завантажити сертифікат</v>
      </c>
    </row>
    <row r="2324" spans="1:6" x14ac:dyDescent="0.3">
      <c r="A2324" t="s">
        <v>5007</v>
      </c>
      <c r="B2324" t="s">
        <v>6</v>
      </c>
      <c r="C2324" t="s">
        <v>5008</v>
      </c>
      <c r="D2324" t="s">
        <v>4975</v>
      </c>
      <c r="E2324" t="s">
        <v>4976</v>
      </c>
      <c r="F2324" t="str">
        <f>HYPERLINK("https://talan.bank.gov.ua/get-user-certificate/45CElukxxbgXmJUCwIpL","Завантажити сертифікат")</f>
        <v>Завантажити сертифікат</v>
      </c>
    </row>
    <row r="2325" spans="1:6" x14ac:dyDescent="0.3">
      <c r="A2325" t="s">
        <v>5009</v>
      </c>
      <c r="B2325" t="s">
        <v>6</v>
      </c>
      <c r="C2325" t="s">
        <v>5010</v>
      </c>
      <c r="D2325" t="s">
        <v>4975</v>
      </c>
      <c r="E2325" t="s">
        <v>4976</v>
      </c>
      <c r="F2325" t="str">
        <f>HYPERLINK("https://talan.bank.gov.ua/get-user-certificate/45CElxreyrxhtPL-hldW","Завантажити сертифікат")</f>
        <v>Завантажити сертифікат</v>
      </c>
    </row>
    <row r="2326" spans="1:6" x14ac:dyDescent="0.3">
      <c r="A2326" t="s">
        <v>5011</v>
      </c>
      <c r="B2326" t="s">
        <v>6</v>
      </c>
      <c r="C2326" t="s">
        <v>5012</v>
      </c>
      <c r="D2326" t="s">
        <v>4975</v>
      </c>
      <c r="E2326" t="s">
        <v>4976</v>
      </c>
      <c r="F2326" t="str">
        <f>HYPERLINK("https://talan.bank.gov.ua/get-user-certificate/45CElf6uWzBt4uFmrweC","Завантажити сертифікат")</f>
        <v>Завантажити сертифікат</v>
      </c>
    </row>
    <row r="2327" spans="1:6" x14ac:dyDescent="0.3">
      <c r="A2327" t="s">
        <v>5013</v>
      </c>
      <c r="B2327" t="s">
        <v>6</v>
      </c>
      <c r="C2327" t="s">
        <v>5014</v>
      </c>
      <c r="D2327" t="s">
        <v>4975</v>
      </c>
      <c r="E2327" t="s">
        <v>4976</v>
      </c>
      <c r="F2327" t="str">
        <f>HYPERLINK("https://talan.bank.gov.ua/get-user-certificate/45CElekaDwbjp07OGbiM","Завантажити сертифікат")</f>
        <v>Завантажити сертифікат</v>
      </c>
    </row>
    <row r="2328" spans="1:6" x14ac:dyDescent="0.3">
      <c r="A2328" t="s">
        <v>5015</v>
      </c>
      <c r="B2328" t="s">
        <v>6</v>
      </c>
      <c r="C2328" t="s">
        <v>5016</v>
      </c>
      <c r="D2328" t="s">
        <v>4975</v>
      </c>
      <c r="E2328" t="s">
        <v>4976</v>
      </c>
      <c r="F2328" t="str">
        <f>HYPERLINK("https://talan.bank.gov.ua/get-user-certificate/45CElCRm2sArZd4Vj5V9","Завантажити сертифікат")</f>
        <v>Завантажити сертифікат</v>
      </c>
    </row>
    <row r="2329" spans="1:6" x14ac:dyDescent="0.3">
      <c r="A2329" t="s">
        <v>5017</v>
      </c>
      <c r="B2329" t="s">
        <v>6</v>
      </c>
      <c r="C2329" t="s">
        <v>5018</v>
      </c>
      <c r="D2329" t="s">
        <v>4975</v>
      </c>
      <c r="E2329" t="s">
        <v>4976</v>
      </c>
      <c r="F2329" t="str">
        <f>HYPERLINK("https://talan.bank.gov.ua/get-user-certificate/45CElRNt5ToMAY6b8jbb","Завантажити сертифікат")</f>
        <v>Завантажити сертифікат</v>
      </c>
    </row>
    <row r="2330" spans="1:6" x14ac:dyDescent="0.3">
      <c r="A2330" t="s">
        <v>5019</v>
      </c>
      <c r="B2330" t="s">
        <v>6</v>
      </c>
      <c r="C2330" t="s">
        <v>5020</v>
      </c>
      <c r="D2330" t="s">
        <v>5021</v>
      </c>
      <c r="E2330" t="s">
        <v>5022</v>
      </c>
      <c r="F2330" t="str">
        <f>HYPERLINK("https://talan.bank.gov.ua/get-user-certificate/45CElPRYfuIs5NXO-FhD","Завантажити сертифікат")</f>
        <v>Завантажити сертифікат</v>
      </c>
    </row>
    <row r="2331" spans="1:6" x14ac:dyDescent="0.3">
      <c r="A2331" t="s">
        <v>5023</v>
      </c>
      <c r="B2331" t="s">
        <v>6</v>
      </c>
      <c r="C2331" t="s">
        <v>5024</v>
      </c>
      <c r="D2331" t="s">
        <v>5021</v>
      </c>
      <c r="E2331" t="s">
        <v>5022</v>
      </c>
      <c r="F2331" t="str">
        <f>HYPERLINK("https://talan.bank.gov.ua/get-user-certificate/45CEl5DLjDKTlp14Ee0m","Завантажити сертифікат")</f>
        <v>Завантажити сертифікат</v>
      </c>
    </row>
    <row r="2332" spans="1:6" x14ac:dyDescent="0.3">
      <c r="A2332" t="s">
        <v>5025</v>
      </c>
      <c r="B2332" t="s">
        <v>6</v>
      </c>
      <c r="C2332" t="s">
        <v>5026</v>
      </c>
      <c r="D2332" t="s">
        <v>5021</v>
      </c>
      <c r="E2332" t="s">
        <v>5022</v>
      </c>
      <c r="F2332" t="str">
        <f>HYPERLINK("https://talan.bank.gov.ua/get-user-certificate/45CElqoqyTRm31eB5BMb","Завантажити сертифікат")</f>
        <v>Завантажити сертифікат</v>
      </c>
    </row>
    <row r="2333" spans="1:6" x14ac:dyDescent="0.3">
      <c r="A2333" t="s">
        <v>5027</v>
      </c>
      <c r="B2333" t="s">
        <v>6</v>
      </c>
      <c r="C2333" t="s">
        <v>5028</v>
      </c>
      <c r="D2333" t="s">
        <v>5021</v>
      </c>
      <c r="E2333" t="s">
        <v>5022</v>
      </c>
      <c r="F2333" t="str">
        <f>HYPERLINK("https://talan.bank.gov.ua/get-user-certificate/45CEliy7ty9BWQnOCAl6","Завантажити сертифікат")</f>
        <v>Завантажити сертифікат</v>
      </c>
    </row>
    <row r="2334" spans="1:6" x14ac:dyDescent="0.3">
      <c r="A2334" t="s">
        <v>5029</v>
      </c>
      <c r="B2334" t="s">
        <v>6</v>
      </c>
      <c r="C2334" t="s">
        <v>5030</v>
      </c>
      <c r="D2334" t="s">
        <v>5021</v>
      </c>
      <c r="E2334" t="s">
        <v>5022</v>
      </c>
      <c r="F2334" t="str">
        <f>HYPERLINK("https://talan.bank.gov.ua/get-user-certificate/45CElvC3rB94EGmZ-ods","Завантажити сертифікат")</f>
        <v>Завантажити сертифікат</v>
      </c>
    </row>
    <row r="2335" spans="1:6" x14ac:dyDescent="0.3">
      <c r="A2335" t="s">
        <v>5031</v>
      </c>
      <c r="B2335" t="s">
        <v>6</v>
      </c>
      <c r="C2335" t="s">
        <v>5032</v>
      </c>
      <c r="D2335" t="s">
        <v>5021</v>
      </c>
      <c r="E2335" t="s">
        <v>5022</v>
      </c>
      <c r="F2335" t="str">
        <f>HYPERLINK("https://talan.bank.gov.ua/get-user-certificate/45CEllsSrq_oG9Mz8axj","Завантажити сертифікат")</f>
        <v>Завантажити сертифікат</v>
      </c>
    </row>
    <row r="2336" spans="1:6" x14ac:dyDescent="0.3">
      <c r="A2336" t="s">
        <v>5033</v>
      </c>
      <c r="B2336" t="s">
        <v>6</v>
      </c>
      <c r="C2336" t="s">
        <v>5034</v>
      </c>
      <c r="D2336" t="s">
        <v>5021</v>
      </c>
      <c r="E2336" t="s">
        <v>5022</v>
      </c>
      <c r="F2336" t="str">
        <f>HYPERLINK("https://talan.bank.gov.ua/get-user-certificate/45CEljO1W2nyhsd9lk5w","Завантажити сертифікат")</f>
        <v>Завантажити сертифікат</v>
      </c>
    </row>
    <row r="2337" spans="1:6" x14ac:dyDescent="0.3">
      <c r="A2337" t="s">
        <v>5035</v>
      </c>
      <c r="B2337" t="s">
        <v>6</v>
      </c>
      <c r="C2337" t="s">
        <v>5036</v>
      </c>
      <c r="D2337" t="s">
        <v>5021</v>
      </c>
      <c r="E2337" t="s">
        <v>5022</v>
      </c>
      <c r="F2337" t="str">
        <f>HYPERLINK("https://talan.bank.gov.ua/get-user-certificate/45CEliZC9hIOaREFNC8m","Завантажити сертифікат")</f>
        <v>Завантажити сертифікат</v>
      </c>
    </row>
    <row r="2338" spans="1:6" x14ac:dyDescent="0.3">
      <c r="A2338" t="s">
        <v>5037</v>
      </c>
      <c r="B2338" t="s">
        <v>6</v>
      </c>
      <c r="C2338" t="s">
        <v>5038</v>
      </c>
      <c r="D2338" t="s">
        <v>5021</v>
      </c>
      <c r="E2338" t="s">
        <v>5022</v>
      </c>
      <c r="F2338" t="str">
        <f>HYPERLINK("https://talan.bank.gov.ua/get-user-certificate/45CElCRD3j2F3EPtkRPw","Завантажити сертифікат")</f>
        <v>Завантажити сертифікат</v>
      </c>
    </row>
    <row r="2339" spans="1:6" x14ac:dyDescent="0.3">
      <c r="A2339" t="s">
        <v>5039</v>
      </c>
      <c r="B2339" t="s">
        <v>6</v>
      </c>
      <c r="C2339" t="s">
        <v>5040</v>
      </c>
      <c r="D2339" t="s">
        <v>5021</v>
      </c>
      <c r="E2339" t="s">
        <v>5022</v>
      </c>
      <c r="F2339" t="str">
        <f>HYPERLINK("https://talan.bank.gov.ua/get-user-certificate/45CElbNX5k72y9NOLcmz","Завантажити сертифікат")</f>
        <v>Завантажити сертифікат</v>
      </c>
    </row>
    <row r="2340" spans="1:6" x14ac:dyDescent="0.3">
      <c r="A2340" t="s">
        <v>5041</v>
      </c>
      <c r="B2340" t="s">
        <v>6</v>
      </c>
      <c r="C2340" t="s">
        <v>5042</v>
      </c>
      <c r="D2340" t="s">
        <v>5021</v>
      </c>
      <c r="E2340" t="s">
        <v>5022</v>
      </c>
      <c r="F2340" t="str">
        <f>HYPERLINK("https://talan.bank.gov.ua/get-user-certificate/45CEleTf4DJkyJGqRkRM","Завантажити сертифікат")</f>
        <v>Завантажити сертифікат</v>
      </c>
    </row>
    <row r="2341" spans="1:6" x14ac:dyDescent="0.3">
      <c r="A2341" t="s">
        <v>5043</v>
      </c>
      <c r="B2341" t="s">
        <v>6</v>
      </c>
      <c r="C2341" t="s">
        <v>5044</v>
      </c>
      <c r="D2341" t="s">
        <v>5021</v>
      </c>
      <c r="E2341" t="s">
        <v>5022</v>
      </c>
      <c r="F2341" t="str">
        <f>HYPERLINK("https://talan.bank.gov.ua/get-user-certificate/45CElyTnKnQJaahANrB8","Завантажити сертифікат")</f>
        <v>Завантажити сертифікат</v>
      </c>
    </row>
    <row r="2342" spans="1:6" x14ac:dyDescent="0.3">
      <c r="A2342" t="s">
        <v>5045</v>
      </c>
      <c r="B2342" t="s">
        <v>6</v>
      </c>
      <c r="C2342" t="s">
        <v>5046</v>
      </c>
      <c r="D2342" t="s">
        <v>5021</v>
      </c>
      <c r="E2342" t="s">
        <v>5022</v>
      </c>
      <c r="F2342" t="str">
        <f>HYPERLINK("https://talan.bank.gov.ua/get-user-certificate/45CEln_hF9poXJA9LoxE","Завантажити сертифікат")</f>
        <v>Завантажити сертифікат</v>
      </c>
    </row>
    <row r="2343" spans="1:6" x14ac:dyDescent="0.3">
      <c r="A2343" t="s">
        <v>5047</v>
      </c>
      <c r="B2343" t="s">
        <v>6</v>
      </c>
      <c r="C2343" t="s">
        <v>5048</v>
      </c>
      <c r="D2343" t="s">
        <v>5021</v>
      </c>
      <c r="E2343" t="s">
        <v>5022</v>
      </c>
      <c r="F2343" t="str">
        <f>HYPERLINK("https://talan.bank.gov.ua/get-user-certificate/45CEl0jnzwWz0yhVI5LU","Завантажити сертифікат")</f>
        <v>Завантажити сертифікат</v>
      </c>
    </row>
    <row r="2344" spans="1:6" x14ac:dyDescent="0.3">
      <c r="A2344" t="s">
        <v>5049</v>
      </c>
      <c r="B2344" t="s">
        <v>6</v>
      </c>
      <c r="C2344" t="s">
        <v>5050</v>
      </c>
      <c r="D2344" t="s">
        <v>5021</v>
      </c>
      <c r="E2344" t="s">
        <v>5022</v>
      </c>
      <c r="F2344" t="str">
        <f>HYPERLINK("https://talan.bank.gov.ua/get-user-certificate/45CEl24bHutkOKsUw1s3","Завантажити сертифікат")</f>
        <v>Завантажити сертифікат</v>
      </c>
    </row>
    <row r="2345" spans="1:6" x14ac:dyDescent="0.3">
      <c r="A2345" t="s">
        <v>5051</v>
      </c>
      <c r="B2345" t="s">
        <v>6</v>
      </c>
      <c r="C2345" t="s">
        <v>5052</v>
      </c>
      <c r="D2345" t="s">
        <v>5021</v>
      </c>
      <c r="E2345" t="s">
        <v>5022</v>
      </c>
      <c r="F2345" t="str">
        <f>HYPERLINK("https://talan.bank.gov.ua/get-user-certificate/45CElDbB6KaPiMdD-BxE","Завантажити сертифікат")</f>
        <v>Завантажити сертифікат</v>
      </c>
    </row>
    <row r="2346" spans="1:6" x14ac:dyDescent="0.3">
      <c r="A2346" t="s">
        <v>5053</v>
      </c>
      <c r="B2346" t="s">
        <v>6</v>
      </c>
      <c r="C2346" t="s">
        <v>5054</v>
      </c>
      <c r="D2346" t="s">
        <v>5021</v>
      </c>
      <c r="E2346" t="s">
        <v>5022</v>
      </c>
      <c r="F2346" t="str">
        <f>HYPERLINK("https://talan.bank.gov.ua/get-user-certificate/45CElm7rb3lIATZjfSC7","Завантажити сертифікат")</f>
        <v>Завантажити сертифікат</v>
      </c>
    </row>
    <row r="2347" spans="1:6" x14ac:dyDescent="0.3">
      <c r="A2347" t="s">
        <v>5055</v>
      </c>
      <c r="B2347" t="s">
        <v>6</v>
      </c>
      <c r="C2347" t="s">
        <v>5056</v>
      </c>
      <c r="D2347" t="s">
        <v>5021</v>
      </c>
      <c r="E2347" t="s">
        <v>5022</v>
      </c>
      <c r="F2347" t="str">
        <f>HYPERLINK("https://talan.bank.gov.ua/get-user-certificate/45CElxs6n87znnygVUmz","Завантажити сертифікат")</f>
        <v>Завантажити сертифікат</v>
      </c>
    </row>
    <row r="2348" spans="1:6" x14ac:dyDescent="0.3">
      <c r="A2348" t="s">
        <v>5057</v>
      </c>
      <c r="B2348" t="s">
        <v>6</v>
      </c>
      <c r="C2348" t="s">
        <v>5058</v>
      </c>
      <c r="D2348" t="s">
        <v>5021</v>
      </c>
      <c r="E2348" t="s">
        <v>5022</v>
      </c>
      <c r="F2348" t="str">
        <f>HYPERLINK("https://talan.bank.gov.ua/get-user-certificate/45CElvR08D7cbjTXjT6F","Завантажити сертифікат")</f>
        <v>Завантажити сертифікат</v>
      </c>
    </row>
    <row r="2349" spans="1:6" x14ac:dyDescent="0.3">
      <c r="A2349" t="s">
        <v>5059</v>
      </c>
      <c r="B2349" t="s">
        <v>6</v>
      </c>
      <c r="C2349" t="s">
        <v>5060</v>
      </c>
      <c r="D2349" t="s">
        <v>5021</v>
      </c>
      <c r="E2349" t="s">
        <v>5022</v>
      </c>
      <c r="F2349" t="str">
        <f>HYPERLINK("https://talan.bank.gov.ua/get-user-certificate/45CElQkf4JcK4tijiTsR","Завантажити сертифікат")</f>
        <v>Завантажити сертифікат</v>
      </c>
    </row>
    <row r="2350" spans="1:6" x14ac:dyDescent="0.3">
      <c r="A2350" t="s">
        <v>5061</v>
      </c>
      <c r="B2350" t="s">
        <v>6</v>
      </c>
      <c r="C2350" t="s">
        <v>5062</v>
      </c>
      <c r="D2350" t="s">
        <v>5021</v>
      </c>
      <c r="E2350" t="s">
        <v>5022</v>
      </c>
      <c r="F2350" t="str">
        <f>HYPERLINK("https://talan.bank.gov.ua/get-user-certificate/45CElf2GPfXfhlJK-ZX1","Завантажити сертифікат")</f>
        <v>Завантажити сертифікат</v>
      </c>
    </row>
    <row r="2351" spans="1:6" x14ac:dyDescent="0.3">
      <c r="A2351" t="s">
        <v>5063</v>
      </c>
      <c r="B2351" t="s">
        <v>6</v>
      </c>
      <c r="C2351" t="s">
        <v>5064</v>
      </c>
      <c r="D2351" t="s">
        <v>5021</v>
      </c>
      <c r="E2351" t="s">
        <v>5022</v>
      </c>
      <c r="F2351" t="str">
        <f>HYPERLINK("https://talan.bank.gov.ua/get-user-certificate/45CElkTI7_48876N1mk3","Завантажити сертифікат")</f>
        <v>Завантажити сертифікат</v>
      </c>
    </row>
    <row r="2352" spans="1:6" x14ac:dyDescent="0.3">
      <c r="A2352" t="s">
        <v>5065</v>
      </c>
      <c r="B2352" t="s">
        <v>6</v>
      </c>
      <c r="C2352" t="s">
        <v>5066</v>
      </c>
      <c r="D2352" t="s">
        <v>5021</v>
      </c>
      <c r="E2352" t="s">
        <v>5022</v>
      </c>
      <c r="F2352" t="str">
        <f>HYPERLINK("https://talan.bank.gov.ua/get-user-certificate/45CElsSD8Z0S16VXg1lm","Завантажити сертифікат")</f>
        <v>Завантажити сертифікат</v>
      </c>
    </row>
    <row r="2353" spans="1:6" x14ac:dyDescent="0.3">
      <c r="A2353" t="s">
        <v>5067</v>
      </c>
      <c r="B2353" t="s">
        <v>6</v>
      </c>
      <c r="C2353" t="s">
        <v>5068</v>
      </c>
      <c r="D2353" t="s">
        <v>5021</v>
      </c>
      <c r="E2353" t="s">
        <v>5022</v>
      </c>
      <c r="F2353" t="str">
        <f>HYPERLINK("https://talan.bank.gov.ua/get-user-certificate/45CElPN05GdKNw9aHZwk","Завантажити сертифікат")</f>
        <v>Завантажити сертифікат</v>
      </c>
    </row>
    <row r="2354" spans="1:6" x14ac:dyDescent="0.3">
      <c r="A2354" t="s">
        <v>5069</v>
      </c>
      <c r="B2354" t="s">
        <v>6</v>
      </c>
      <c r="C2354" t="s">
        <v>5070</v>
      </c>
      <c r="D2354" t="s">
        <v>5021</v>
      </c>
      <c r="E2354" t="s">
        <v>5022</v>
      </c>
      <c r="F2354" t="str">
        <f>HYPERLINK("https://talan.bank.gov.ua/get-user-certificate/45CElrhbJipwpNnBv_28","Завантажити сертифікат")</f>
        <v>Завантажити сертифікат</v>
      </c>
    </row>
    <row r="2355" spans="1:6" x14ac:dyDescent="0.3">
      <c r="A2355" t="s">
        <v>5071</v>
      </c>
      <c r="B2355" t="s">
        <v>6</v>
      </c>
      <c r="C2355" t="s">
        <v>5072</v>
      </c>
      <c r="D2355" t="s">
        <v>5021</v>
      </c>
      <c r="E2355" t="s">
        <v>5022</v>
      </c>
      <c r="F2355" t="str">
        <f>HYPERLINK("https://talan.bank.gov.ua/get-user-certificate/45CElb83miCg8hyEgDmy","Завантажити сертифікат")</f>
        <v>Завантажити сертифікат</v>
      </c>
    </row>
    <row r="2356" spans="1:6" x14ac:dyDescent="0.3">
      <c r="A2356" t="s">
        <v>5073</v>
      </c>
      <c r="B2356" t="s">
        <v>6</v>
      </c>
      <c r="C2356" t="s">
        <v>5074</v>
      </c>
      <c r="D2356" t="s">
        <v>5021</v>
      </c>
      <c r="E2356" t="s">
        <v>5022</v>
      </c>
      <c r="F2356" t="str">
        <f>HYPERLINK("https://talan.bank.gov.ua/get-user-certificate/45CElDWzKYCfdBCWlDXs","Завантажити сертифікат")</f>
        <v>Завантажити сертифікат</v>
      </c>
    </row>
    <row r="2357" spans="1:6" x14ac:dyDescent="0.3">
      <c r="A2357" t="s">
        <v>5075</v>
      </c>
      <c r="B2357" t="s">
        <v>6</v>
      </c>
      <c r="C2357" t="s">
        <v>5076</v>
      </c>
      <c r="D2357" t="s">
        <v>5021</v>
      </c>
      <c r="E2357" t="s">
        <v>5022</v>
      </c>
      <c r="F2357" t="str">
        <f>HYPERLINK("https://talan.bank.gov.ua/get-user-certificate/45CElxQ9XA2PXI8tdZfi","Завантажити сертифікат")</f>
        <v>Завантажити сертифікат</v>
      </c>
    </row>
    <row r="2358" spans="1:6" x14ac:dyDescent="0.3">
      <c r="A2358" t="s">
        <v>5077</v>
      </c>
      <c r="B2358" t="s">
        <v>6</v>
      </c>
      <c r="C2358" t="s">
        <v>5078</v>
      </c>
      <c r="D2358" t="s">
        <v>5021</v>
      </c>
      <c r="E2358" t="s">
        <v>5022</v>
      </c>
      <c r="F2358" t="str">
        <f>HYPERLINK("https://talan.bank.gov.ua/get-user-certificate/45CElR07NB2lmNGP1xHb","Завантажити сертифікат")</f>
        <v>Завантажити сертифікат</v>
      </c>
    </row>
    <row r="2359" spans="1:6" x14ac:dyDescent="0.3">
      <c r="A2359" t="s">
        <v>5079</v>
      </c>
      <c r="B2359" t="s">
        <v>6</v>
      </c>
      <c r="C2359" t="s">
        <v>5080</v>
      </c>
      <c r="D2359" t="s">
        <v>5021</v>
      </c>
      <c r="E2359" t="s">
        <v>5022</v>
      </c>
      <c r="F2359" t="str">
        <f>HYPERLINK("https://talan.bank.gov.ua/get-user-certificate/45CElKCw0JM3WVGe8hg0","Завантажити сертифікат")</f>
        <v>Завантажити сертифікат</v>
      </c>
    </row>
    <row r="2360" spans="1:6" x14ac:dyDescent="0.3">
      <c r="A2360" t="s">
        <v>5081</v>
      </c>
      <c r="B2360" t="s">
        <v>6</v>
      </c>
      <c r="C2360" t="s">
        <v>5082</v>
      </c>
      <c r="D2360" t="s">
        <v>5021</v>
      </c>
      <c r="E2360" t="s">
        <v>5022</v>
      </c>
      <c r="F2360" t="str">
        <f>HYPERLINK("https://talan.bank.gov.ua/get-user-certificate/45CElT1eytD9qEZHETdo","Завантажити сертифікат")</f>
        <v>Завантажити сертифікат</v>
      </c>
    </row>
    <row r="2361" spans="1:6" x14ac:dyDescent="0.3">
      <c r="A2361" t="s">
        <v>5083</v>
      </c>
      <c r="B2361" t="s">
        <v>6</v>
      </c>
      <c r="C2361" t="s">
        <v>5084</v>
      </c>
      <c r="D2361" t="s">
        <v>5021</v>
      </c>
      <c r="E2361" t="s">
        <v>5022</v>
      </c>
      <c r="F2361" t="str">
        <f>HYPERLINK("https://talan.bank.gov.ua/get-user-certificate/45CElj6hWVY9LERW9skZ","Завантажити сертифікат")</f>
        <v>Завантажити сертифікат</v>
      </c>
    </row>
    <row r="2362" spans="1:6" x14ac:dyDescent="0.3">
      <c r="A2362" t="s">
        <v>5085</v>
      </c>
      <c r="B2362" t="s">
        <v>6</v>
      </c>
      <c r="C2362" t="s">
        <v>5086</v>
      </c>
      <c r="D2362" t="s">
        <v>5021</v>
      </c>
      <c r="E2362" t="s">
        <v>5022</v>
      </c>
      <c r="F2362" t="str">
        <f>HYPERLINK("https://talan.bank.gov.ua/get-user-certificate/45CEl4HZlo2xPapuDx9N","Завантажити сертифікат")</f>
        <v>Завантажити сертифікат</v>
      </c>
    </row>
    <row r="2363" spans="1:6" x14ac:dyDescent="0.3">
      <c r="A2363" t="s">
        <v>5087</v>
      </c>
      <c r="B2363" t="s">
        <v>6</v>
      </c>
      <c r="C2363" t="s">
        <v>5088</v>
      </c>
      <c r="D2363" t="s">
        <v>5021</v>
      </c>
      <c r="E2363" t="s">
        <v>5022</v>
      </c>
      <c r="F2363" t="str">
        <f>HYPERLINK("https://talan.bank.gov.ua/get-user-certificate/45CElMCJWQzEksHfqYJ8","Завантажити сертифікат")</f>
        <v>Завантажити сертифікат</v>
      </c>
    </row>
    <row r="2364" spans="1:6" x14ac:dyDescent="0.3">
      <c r="A2364" t="s">
        <v>5089</v>
      </c>
      <c r="B2364" t="s">
        <v>6</v>
      </c>
      <c r="C2364" t="s">
        <v>5090</v>
      </c>
      <c r="D2364" t="s">
        <v>5021</v>
      </c>
      <c r="E2364" t="s">
        <v>5022</v>
      </c>
      <c r="F2364" t="str">
        <f>HYPERLINK("https://talan.bank.gov.ua/get-user-certificate/45CElmcrnvrw2yoGJAxd","Завантажити сертифікат")</f>
        <v>Завантажити сертифікат</v>
      </c>
    </row>
    <row r="2365" spans="1:6" x14ac:dyDescent="0.3">
      <c r="A2365" t="s">
        <v>5091</v>
      </c>
      <c r="B2365" t="s">
        <v>6</v>
      </c>
      <c r="C2365" t="s">
        <v>5092</v>
      </c>
      <c r="D2365" t="s">
        <v>5021</v>
      </c>
      <c r="E2365" t="s">
        <v>5022</v>
      </c>
      <c r="F2365" t="str">
        <f>HYPERLINK("https://talan.bank.gov.ua/get-user-certificate/45CElO5S2OX54Xtn_92x","Завантажити сертифікат")</f>
        <v>Завантажити сертифікат</v>
      </c>
    </row>
    <row r="2366" spans="1:6" x14ac:dyDescent="0.3">
      <c r="A2366" t="s">
        <v>5093</v>
      </c>
      <c r="B2366" t="s">
        <v>6</v>
      </c>
      <c r="C2366" t="s">
        <v>5094</v>
      </c>
      <c r="D2366" t="s">
        <v>5021</v>
      </c>
      <c r="E2366" t="s">
        <v>5022</v>
      </c>
      <c r="F2366" t="str">
        <f>HYPERLINK("https://talan.bank.gov.ua/get-user-certificate/45CElg_i117toyEBjBHr","Завантажити сертифікат")</f>
        <v>Завантажити сертифікат</v>
      </c>
    </row>
    <row r="2367" spans="1:6" x14ac:dyDescent="0.3">
      <c r="A2367" t="s">
        <v>5095</v>
      </c>
      <c r="B2367" t="s">
        <v>6</v>
      </c>
      <c r="C2367" t="s">
        <v>5096</v>
      </c>
      <c r="D2367" t="s">
        <v>5021</v>
      </c>
      <c r="E2367" t="s">
        <v>5022</v>
      </c>
      <c r="F2367" t="str">
        <f>HYPERLINK("https://talan.bank.gov.ua/get-user-certificate/45CElrvkg-f722b3pnuP","Завантажити сертифікат")</f>
        <v>Завантажити сертифікат</v>
      </c>
    </row>
    <row r="2368" spans="1:6" x14ac:dyDescent="0.3">
      <c r="A2368" t="s">
        <v>5097</v>
      </c>
      <c r="B2368" t="s">
        <v>6</v>
      </c>
      <c r="C2368" t="s">
        <v>5098</v>
      </c>
      <c r="D2368" t="s">
        <v>5021</v>
      </c>
      <c r="E2368" t="s">
        <v>5022</v>
      </c>
      <c r="F2368" t="str">
        <f>HYPERLINK("https://talan.bank.gov.ua/get-user-certificate/45CEl0jlIyieOTjb8pJc","Завантажити сертифікат")</f>
        <v>Завантажити сертифікат</v>
      </c>
    </row>
    <row r="2369" spans="1:6" x14ac:dyDescent="0.3">
      <c r="A2369" t="s">
        <v>5099</v>
      </c>
      <c r="B2369" t="s">
        <v>6</v>
      </c>
      <c r="C2369" t="s">
        <v>5100</v>
      </c>
      <c r="D2369" t="s">
        <v>5021</v>
      </c>
      <c r="E2369" t="s">
        <v>5022</v>
      </c>
      <c r="F2369" t="str">
        <f>HYPERLINK("https://talan.bank.gov.ua/get-user-certificate/45CElGycoY38eko2kfWp","Завантажити сертифікат")</f>
        <v>Завантажити сертифікат</v>
      </c>
    </row>
    <row r="2370" spans="1:6" x14ac:dyDescent="0.3">
      <c r="A2370" t="s">
        <v>5101</v>
      </c>
      <c r="B2370" t="s">
        <v>6</v>
      </c>
      <c r="C2370" t="s">
        <v>5102</v>
      </c>
      <c r="D2370" t="s">
        <v>5021</v>
      </c>
      <c r="E2370" t="s">
        <v>5022</v>
      </c>
      <c r="F2370" t="str">
        <f>HYPERLINK("https://talan.bank.gov.ua/get-user-certificate/45CElKHJMznhvMHxzUxW","Завантажити сертифікат")</f>
        <v>Завантажити сертифікат</v>
      </c>
    </row>
    <row r="2371" spans="1:6" x14ac:dyDescent="0.3">
      <c r="A2371" t="s">
        <v>5103</v>
      </c>
      <c r="B2371" t="s">
        <v>6</v>
      </c>
      <c r="C2371" t="s">
        <v>5104</v>
      </c>
      <c r="D2371" t="s">
        <v>5021</v>
      </c>
      <c r="E2371" t="s">
        <v>5022</v>
      </c>
      <c r="F2371" t="str">
        <f>HYPERLINK("https://talan.bank.gov.ua/get-user-certificate/45CElLywWZTj9P2yKVix","Завантажити сертифікат")</f>
        <v>Завантажити сертифікат</v>
      </c>
    </row>
    <row r="2372" spans="1:6" x14ac:dyDescent="0.3">
      <c r="A2372" t="s">
        <v>5105</v>
      </c>
      <c r="B2372" t="s">
        <v>6</v>
      </c>
      <c r="C2372" t="s">
        <v>5106</v>
      </c>
      <c r="D2372" t="s">
        <v>5021</v>
      </c>
      <c r="E2372" t="s">
        <v>5022</v>
      </c>
      <c r="F2372" t="str">
        <f>HYPERLINK("https://talan.bank.gov.ua/get-user-certificate/45CElqiUg3cARhMdC5rw","Завантажити сертифікат")</f>
        <v>Завантажити сертифікат</v>
      </c>
    </row>
    <row r="2373" spans="1:6" x14ac:dyDescent="0.3">
      <c r="A2373" t="s">
        <v>5107</v>
      </c>
      <c r="B2373" t="s">
        <v>6</v>
      </c>
      <c r="C2373" t="s">
        <v>5108</v>
      </c>
      <c r="D2373" t="s">
        <v>5021</v>
      </c>
      <c r="E2373" t="s">
        <v>5022</v>
      </c>
      <c r="F2373" t="str">
        <f>HYPERLINK("https://talan.bank.gov.ua/get-user-certificate/45CElfzZgLemmNBsXPmE","Завантажити сертифікат")</f>
        <v>Завантажити сертифікат</v>
      </c>
    </row>
    <row r="2374" spans="1:6" x14ac:dyDescent="0.3">
      <c r="A2374" t="s">
        <v>5109</v>
      </c>
      <c r="B2374" t="s">
        <v>6</v>
      </c>
      <c r="C2374" t="s">
        <v>5110</v>
      </c>
      <c r="D2374" t="s">
        <v>5021</v>
      </c>
      <c r="E2374" t="s">
        <v>5022</v>
      </c>
      <c r="F2374" t="str">
        <f>HYPERLINK("https://talan.bank.gov.ua/get-user-certificate/45CElcKGt33p4Yd3B4z0","Завантажити сертифікат")</f>
        <v>Завантажити сертифікат</v>
      </c>
    </row>
    <row r="2375" spans="1:6" x14ac:dyDescent="0.3">
      <c r="A2375" t="s">
        <v>5111</v>
      </c>
      <c r="B2375" t="s">
        <v>6</v>
      </c>
      <c r="C2375" t="s">
        <v>5112</v>
      </c>
      <c r="D2375" t="s">
        <v>5021</v>
      </c>
      <c r="E2375" t="s">
        <v>5022</v>
      </c>
      <c r="F2375" t="str">
        <f>HYPERLINK("https://talan.bank.gov.ua/get-user-certificate/45CEll7ZbyNvjjNsHX8o","Завантажити сертифікат")</f>
        <v>Завантажити сертифікат</v>
      </c>
    </row>
    <row r="2376" spans="1:6" x14ac:dyDescent="0.3">
      <c r="A2376" t="s">
        <v>5113</v>
      </c>
      <c r="B2376" t="s">
        <v>6</v>
      </c>
      <c r="C2376" t="s">
        <v>5114</v>
      </c>
      <c r="D2376" t="s">
        <v>5021</v>
      </c>
      <c r="E2376" t="s">
        <v>5022</v>
      </c>
      <c r="F2376" t="str">
        <f>HYPERLINK("https://talan.bank.gov.ua/get-user-certificate/45CEl809wDnLMzAL_XqA","Завантажити сертифікат")</f>
        <v>Завантажити сертифікат</v>
      </c>
    </row>
    <row r="2377" spans="1:6" x14ac:dyDescent="0.3">
      <c r="A2377" t="s">
        <v>5115</v>
      </c>
      <c r="B2377" t="s">
        <v>6</v>
      </c>
      <c r="C2377" t="s">
        <v>5116</v>
      </c>
      <c r="D2377" t="s">
        <v>5021</v>
      </c>
      <c r="E2377" t="s">
        <v>5022</v>
      </c>
      <c r="F2377" t="str">
        <f>HYPERLINK("https://talan.bank.gov.ua/get-user-certificate/45CElQblCEVD1iNnXALx","Завантажити сертифікат")</f>
        <v>Завантажити сертифікат</v>
      </c>
    </row>
    <row r="2378" spans="1:6" x14ac:dyDescent="0.3">
      <c r="A2378" t="s">
        <v>5117</v>
      </c>
      <c r="B2378" t="s">
        <v>6</v>
      </c>
      <c r="C2378" t="s">
        <v>5118</v>
      </c>
      <c r="D2378" t="s">
        <v>5021</v>
      </c>
      <c r="E2378" t="s">
        <v>5022</v>
      </c>
      <c r="F2378" t="str">
        <f>HYPERLINK("https://talan.bank.gov.ua/get-user-certificate/45CEllEcF_RTiw5AkZhU","Завантажити сертифікат")</f>
        <v>Завантажити сертифікат</v>
      </c>
    </row>
    <row r="2379" spans="1:6" x14ac:dyDescent="0.3">
      <c r="A2379" t="s">
        <v>5119</v>
      </c>
      <c r="B2379" t="s">
        <v>6</v>
      </c>
      <c r="C2379" t="s">
        <v>5120</v>
      </c>
      <c r="D2379" t="s">
        <v>5021</v>
      </c>
      <c r="E2379" t="s">
        <v>5022</v>
      </c>
      <c r="F2379" t="str">
        <f>HYPERLINK("https://talan.bank.gov.ua/get-user-certificate/45CElZmU4ZaPAx9KId0_","Завантажити сертифікат")</f>
        <v>Завантажити сертифікат</v>
      </c>
    </row>
    <row r="2380" spans="1:6" x14ac:dyDescent="0.3">
      <c r="A2380" t="s">
        <v>5121</v>
      </c>
      <c r="B2380" t="s">
        <v>6</v>
      </c>
      <c r="C2380" t="s">
        <v>5122</v>
      </c>
      <c r="D2380" t="s">
        <v>5021</v>
      </c>
      <c r="E2380" t="s">
        <v>5022</v>
      </c>
      <c r="F2380" t="str">
        <f>HYPERLINK("https://talan.bank.gov.ua/get-user-certificate/45CElPvwu6owLjkKlxN4","Завантажити сертифікат")</f>
        <v>Завантажити сертифікат</v>
      </c>
    </row>
    <row r="2381" spans="1:6" x14ac:dyDescent="0.3">
      <c r="A2381" t="s">
        <v>5123</v>
      </c>
      <c r="B2381" t="s">
        <v>6</v>
      </c>
      <c r="C2381" t="s">
        <v>5124</v>
      </c>
      <c r="D2381" t="s">
        <v>5021</v>
      </c>
      <c r="E2381" t="s">
        <v>5022</v>
      </c>
      <c r="F2381" t="str">
        <f>HYPERLINK("https://talan.bank.gov.ua/get-user-certificate/45CEl-fcyFhOdmx-Hxfa","Завантажити сертифікат")</f>
        <v>Завантажити сертифікат</v>
      </c>
    </row>
    <row r="2382" spans="1:6" x14ac:dyDescent="0.3">
      <c r="A2382" t="s">
        <v>5125</v>
      </c>
      <c r="B2382" t="s">
        <v>6</v>
      </c>
      <c r="C2382" t="s">
        <v>5126</v>
      </c>
      <c r="D2382" t="s">
        <v>5021</v>
      </c>
      <c r="E2382" t="s">
        <v>5022</v>
      </c>
      <c r="F2382" t="str">
        <f>HYPERLINK("https://talan.bank.gov.ua/get-user-certificate/45CElAJ9rngda0sgJa3K","Завантажити сертифікат")</f>
        <v>Завантажити сертифікат</v>
      </c>
    </row>
    <row r="2383" spans="1:6" x14ac:dyDescent="0.3">
      <c r="A2383" t="s">
        <v>5127</v>
      </c>
      <c r="B2383" t="s">
        <v>6</v>
      </c>
      <c r="C2383" t="s">
        <v>5128</v>
      </c>
      <c r="D2383" t="s">
        <v>5021</v>
      </c>
      <c r="E2383" t="s">
        <v>5022</v>
      </c>
      <c r="F2383" t="str">
        <f>HYPERLINK("https://talan.bank.gov.ua/get-user-certificate/45CEltc7rrT_gM0xZxBe","Завантажити сертифікат")</f>
        <v>Завантажити сертифікат</v>
      </c>
    </row>
    <row r="2384" spans="1:6" x14ac:dyDescent="0.3">
      <c r="A2384" t="s">
        <v>5129</v>
      </c>
      <c r="B2384" t="s">
        <v>6</v>
      </c>
      <c r="C2384" t="s">
        <v>5130</v>
      </c>
      <c r="D2384" t="s">
        <v>5021</v>
      </c>
      <c r="E2384" t="s">
        <v>5022</v>
      </c>
      <c r="F2384" t="str">
        <f>HYPERLINK("https://talan.bank.gov.ua/get-user-certificate/45CElmDBgyOsZxvHIg9s","Завантажити сертифікат")</f>
        <v>Завантажити сертифікат</v>
      </c>
    </row>
    <row r="2385" spans="1:6" x14ac:dyDescent="0.3">
      <c r="A2385" t="s">
        <v>5131</v>
      </c>
      <c r="B2385" t="s">
        <v>6</v>
      </c>
      <c r="C2385" t="s">
        <v>5132</v>
      </c>
      <c r="D2385" t="s">
        <v>5021</v>
      </c>
      <c r="E2385" t="s">
        <v>5022</v>
      </c>
      <c r="F2385" t="str">
        <f>HYPERLINK("https://talan.bank.gov.ua/get-user-certificate/45CElPRctRylM1ZJQQ6B","Завантажити сертифікат")</f>
        <v>Завантажити сертифікат</v>
      </c>
    </row>
    <row r="2386" spans="1:6" x14ac:dyDescent="0.3">
      <c r="A2386" t="s">
        <v>5133</v>
      </c>
      <c r="B2386" t="s">
        <v>6</v>
      </c>
      <c r="C2386" t="s">
        <v>5134</v>
      </c>
      <c r="D2386" t="s">
        <v>5021</v>
      </c>
      <c r="E2386" t="s">
        <v>5022</v>
      </c>
      <c r="F2386" t="str">
        <f>HYPERLINK("https://talan.bank.gov.ua/get-user-certificate/45CElHwjVXYzTzQzhiHz","Завантажити сертифікат")</f>
        <v>Завантажити сертифікат</v>
      </c>
    </row>
    <row r="2387" spans="1:6" x14ac:dyDescent="0.3">
      <c r="A2387" t="s">
        <v>5135</v>
      </c>
      <c r="B2387" t="s">
        <v>6</v>
      </c>
      <c r="C2387" t="s">
        <v>5136</v>
      </c>
      <c r="D2387" t="s">
        <v>5021</v>
      </c>
      <c r="E2387" t="s">
        <v>5022</v>
      </c>
      <c r="F2387" t="str">
        <f>HYPERLINK("https://talan.bank.gov.ua/get-user-certificate/45CEln6247NyePYqnrUe","Завантажити сертифікат")</f>
        <v>Завантажити сертифікат</v>
      </c>
    </row>
    <row r="2388" spans="1:6" x14ac:dyDescent="0.3">
      <c r="A2388" t="s">
        <v>5137</v>
      </c>
      <c r="B2388" t="s">
        <v>6</v>
      </c>
      <c r="C2388" t="s">
        <v>5138</v>
      </c>
      <c r="D2388" t="s">
        <v>5021</v>
      </c>
      <c r="E2388" t="s">
        <v>5022</v>
      </c>
      <c r="F2388" t="str">
        <f>HYPERLINK("https://talan.bank.gov.ua/get-user-certificate/45CElN3BA9nEcGKK_NFM","Завантажити сертифікат")</f>
        <v>Завантажити сертифікат</v>
      </c>
    </row>
    <row r="2389" spans="1:6" x14ac:dyDescent="0.3">
      <c r="A2389" t="s">
        <v>5139</v>
      </c>
      <c r="B2389" t="s">
        <v>6</v>
      </c>
      <c r="C2389" t="s">
        <v>5140</v>
      </c>
      <c r="D2389" t="s">
        <v>5021</v>
      </c>
      <c r="E2389" t="s">
        <v>5022</v>
      </c>
      <c r="F2389" t="str">
        <f>HYPERLINK("https://talan.bank.gov.ua/get-user-certificate/45CElmtHdmehX8-Rbxdr","Завантажити сертифікат")</f>
        <v>Завантажити сертифікат</v>
      </c>
    </row>
    <row r="2390" spans="1:6" x14ac:dyDescent="0.3">
      <c r="A2390" t="s">
        <v>5141</v>
      </c>
      <c r="B2390" t="s">
        <v>6</v>
      </c>
      <c r="C2390" t="s">
        <v>5142</v>
      </c>
      <c r="D2390" t="s">
        <v>5021</v>
      </c>
      <c r="E2390" t="s">
        <v>5022</v>
      </c>
      <c r="F2390" t="str">
        <f>HYPERLINK("https://talan.bank.gov.ua/get-user-certificate/45CElqXOp4u-BdcKsY8G","Завантажити сертифікат")</f>
        <v>Завантажити сертифікат</v>
      </c>
    </row>
    <row r="2391" spans="1:6" x14ac:dyDescent="0.3">
      <c r="A2391" t="s">
        <v>5143</v>
      </c>
      <c r="B2391" t="s">
        <v>6</v>
      </c>
      <c r="C2391" t="s">
        <v>5144</v>
      </c>
      <c r="D2391" t="s">
        <v>5021</v>
      </c>
      <c r="E2391" t="s">
        <v>5022</v>
      </c>
      <c r="F2391" t="str">
        <f>HYPERLINK("https://talan.bank.gov.ua/get-user-certificate/45CEl_FRZKt0jpXV5COy","Завантажити сертифікат")</f>
        <v>Завантажити сертифікат</v>
      </c>
    </row>
    <row r="2392" spans="1:6" x14ac:dyDescent="0.3">
      <c r="A2392" t="s">
        <v>5145</v>
      </c>
      <c r="B2392" t="s">
        <v>6</v>
      </c>
      <c r="C2392" t="s">
        <v>5146</v>
      </c>
      <c r="D2392" t="s">
        <v>5021</v>
      </c>
      <c r="E2392" t="s">
        <v>5022</v>
      </c>
      <c r="F2392" t="str">
        <f>HYPERLINK("https://talan.bank.gov.ua/get-user-certificate/45CEl2IxAlyCogSmi1GH","Завантажити сертифікат")</f>
        <v>Завантажити сертифікат</v>
      </c>
    </row>
    <row r="2393" spans="1:6" x14ac:dyDescent="0.3">
      <c r="A2393" t="s">
        <v>5147</v>
      </c>
      <c r="B2393" t="s">
        <v>6</v>
      </c>
      <c r="C2393" t="s">
        <v>5148</v>
      </c>
      <c r="D2393" t="s">
        <v>5021</v>
      </c>
      <c r="E2393" t="s">
        <v>5022</v>
      </c>
      <c r="F2393" t="str">
        <f>HYPERLINK("https://talan.bank.gov.ua/get-user-certificate/45CElMyJsPw8EFNJ3Awy","Завантажити сертифікат")</f>
        <v>Завантажити сертифікат</v>
      </c>
    </row>
    <row r="2394" spans="1:6" x14ac:dyDescent="0.3">
      <c r="A2394" t="s">
        <v>5149</v>
      </c>
      <c r="B2394" t="s">
        <v>6</v>
      </c>
      <c r="C2394" t="s">
        <v>5150</v>
      </c>
      <c r="D2394" t="s">
        <v>5021</v>
      </c>
      <c r="E2394" t="s">
        <v>5022</v>
      </c>
      <c r="F2394" t="str">
        <f>HYPERLINK("https://talan.bank.gov.ua/get-user-certificate/45CElxa8iQCpB2r8zST6","Завантажити сертифікат")</f>
        <v>Завантажити сертифікат</v>
      </c>
    </row>
    <row r="2395" spans="1:6" x14ac:dyDescent="0.3">
      <c r="A2395" t="s">
        <v>5151</v>
      </c>
      <c r="B2395" t="s">
        <v>6</v>
      </c>
      <c r="C2395" t="s">
        <v>5152</v>
      </c>
      <c r="D2395" t="s">
        <v>5021</v>
      </c>
      <c r="E2395" t="s">
        <v>5022</v>
      </c>
      <c r="F2395" t="str">
        <f>HYPERLINK("https://talan.bank.gov.ua/get-user-certificate/45CElosYIia2Ruki0K6_","Завантажити сертифікат")</f>
        <v>Завантажити сертифікат</v>
      </c>
    </row>
    <row r="2396" spans="1:6" x14ac:dyDescent="0.3">
      <c r="A2396" t="s">
        <v>5153</v>
      </c>
      <c r="B2396" t="s">
        <v>6</v>
      </c>
      <c r="C2396" t="s">
        <v>5154</v>
      </c>
      <c r="D2396" t="s">
        <v>5021</v>
      </c>
      <c r="E2396" t="s">
        <v>5022</v>
      </c>
      <c r="F2396" t="str">
        <f>HYPERLINK("https://talan.bank.gov.ua/get-user-certificate/45CElgCZlRtcNsnMNxgf","Завантажити сертифікат")</f>
        <v>Завантажити сертифікат</v>
      </c>
    </row>
    <row r="2397" spans="1:6" x14ac:dyDescent="0.3">
      <c r="A2397" t="s">
        <v>5155</v>
      </c>
      <c r="B2397" t="s">
        <v>6</v>
      </c>
      <c r="C2397" t="s">
        <v>5156</v>
      </c>
      <c r="D2397" t="s">
        <v>5021</v>
      </c>
      <c r="E2397" t="s">
        <v>5022</v>
      </c>
      <c r="F2397" t="str">
        <f>HYPERLINK("https://talan.bank.gov.ua/get-user-certificate/45CElCLGWHgs6AJjbl2a","Завантажити сертифікат")</f>
        <v>Завантажити сертифікат</v>
      </c>
    </row>
    <row r="2398" spans="1:6" x14ac:dyDescent="0.3">
      <c r="A2398" t="s">
        <v>5157</v>
      </c>
      <c r="B2398" t="s">
        <v>6</v>
      </c>
      <c r="C2398" t="s">
        <v>5158</v>
      </c>
      <c r="D2398" t="s">
        <v>5021</v>
      </c>
      <c r="E2398" t="s">
        <v>5022</v>
      </c>
      <c r="F2398" t="str">
        <f>HYPERLINK("https://talan.bank.gov.ua/get-user-certificate/45CElrtZgXSTFULJl1I9","Завантажити сертифікат")</f>
        <v>Завантажити сертифікат</v>
      </c>
    </row>
    <row r="2399" spans="1:6" x14ac:dyDescent="0.3">
      <c r="A2399" t="s">
        <v>5159</v>
      </c>
      <c r="B2399" t="s">
        <v>6</v>
      </c>
      <c r="C2399" t="s">
        <v>5160</v>
      </c>
      <c r="D2399" t="s">
        <v>5021</v>
      </c>
      <c r="E2399" t="s">
        <v>5022</v>
      </c>
      <c r="F2399" t="str">
        <f>HYPERLINK("https://talan.bank.gov.ua/get-user-certificate/45CElK32MrxG25ttkp9N","Завантажити сертифікат")</f>
        <v>Завантажити сертифікат</v>
      </c>
    </row>
    <row r="2400" spans="1:6" x14ac:dyDescent="0.3">
      <c r="A2400" t="s">
        <v>5161</v>
      </c>
      <c r="B2400" t="s">
        <v>6</v>
      </c>
      <c r="C2400" t="s">
        <v>5162</v>
      </c>
      <c r="D2400" t="s">
        <v>5021</v>
      </c>
      <c r="E2400" t="s">
        <v>5022</v>
      </c>
      <c r="F2400" t="str">
        <f>HYPERLINK("https://talan.bank.gov.ua/get-user-certificate/45CElPDvESTdxHVLvkkg","Завантажити сертифікат")</f>
        <v>Завантажити сертифікат</v>
      </c>
    </row>
    <row r="2401" spans="1:6" x14ac:dyDescent="0.3">
      <c r="A2401" t="s">
        <v>5163</v>
      </c>
      <c r="B2401" t="s">
        <v>6</v>
      </c>
      <c r="C2401" t="s">
        <v>5164</v>
      </c>
      <c r="D2401" t="s">
        <v>5021</v>
      </c>
      <c r="E2401" t="s">
        <v>5022</v>
      </c>
      <c r="F2401" t="str">
        <f>HYPERLINK("https://talan.bank.gov.ua/get-user-certificate/45CElF2ZWEpfnnEZrGYk","Завантажити сертифікат")</f>
        <v>Завантажити сертифікат</v>
      </c>
    </row>
    <row r="2402" spans="1:6" x14ac:dyDescent="0.3">
      <c r="A2402" t="s">
        <v>5165</v>
      </c>
      <c r="B2402" t="s">
        <v>6</v>
      </c>
      <c r="C2402" t="s">
        <v>5166</v>
      </c>
      <c r="D2402" t="s">
        <v>5021</v>
      </c>
      <c r="E2402" t="s">
        <v>5022</v>
      </c>
      <c r="F2402" t="str">
        <f>HYPERLINK("https://talan.bank.gov.ua/get-user-certificate/45CElP3lNgGRxHw-eoqV","Завантажити сертифікат")</f>
        <v>Завантажити сертифікат</v>
      </c>
    </row>
    <row r="2403" spans="1:6" x14ac:dyDescent="0.3">
      <c r="A2403" t="s">
        <v>5167</v>
      </c>
      <c r="B2403" t="s">
        <v>6</v>
      </c>
      <c r="C2403" t="s">
        <v>5168</v>
      </c>
      <c r="D2403" t="s">
        <v>5021</v>
      </c>
      <c r="E2403" t="s">
        <v>5022</v>
      </c>
      <c r="F2403" t="str">
        <f>HYPERLINK("https://talan.bank.gov.ua/get-user-certificate/45CElQstEj6KXOwK7_xb","Завантажити сертифікат")</f>
        <v>Завантажити сертифікат</v>
      </c>
    </row>
    <row r="2404" spans="1:6" x14ac:dyDescent="0.3">
      <c r="A2404" t="s">
        <v>5169</v>
      </c>
      <c r="B2404" t="s">
        <v>6</v>
      </c>
      <c r="C2404" t="s">
        <v>5170</v>
      </c>
      <c r="D2404" t="s">
        <v>5021</v>
      </c>
      <c r="E2404" t="s">
        <v>5022</v>
      </c>
      <c r="F2404" t="str">
        <f>HYPERLINK("https://talan.bank.gov.ua/get-user-certificate/45CElJVp-84OPTqseRgl","Завантажити сертифікат")</f>
        <v>Завантажити сертифікат</v>
      </c>
    </row>
    <row r="2405" spans="1:6" x14ac:dyDescent="0.3">
      <c r="A2405" t="s">
        <v>5171</v>
      </c>
      <c r="B2405" t="s">
        <v>6</v>
      </c>
      <c r="C2405" t="s">
        <v>5172</v>
      </c>
      <c r="D2405" t="s">
        <v>5021</v>
      </c>
      <c r="E2405" t="s">
        <v>5022</v>
      </c>
      <c r="F2405" t="str">
        <f>HYPERLINK("https://talan.bank.gov.ua/get-user-certificate/45CEla11QqolGkkDup22","Завантажити сертифікат")</f>
        <v>Завантажити сертифікат</v>
      </c>
    </row>
    <row r="2406" spans="1:6" x14ac:dyDescent="0.3">
      <c r="A2406" t="s">
        <v>5173</v>
      </c>
      <c r="B2406" t="s">
        <v>6</v>
      </c>
      <c r="C2406" t="s">
        <v>5174</v>
      </c>
      <c r="D2406" t="s">
        <v>5021</v>
      </c>
      <c r="E2406" t="s">
        <v>5022</v>
      </c>
      <c r="F2406" t="str">
        <f>HYPERLINK("https://talan.bank.gov.ua/get-user-certificate/45CEluuRD8HfXJ2MrdXc","Завантажити сертифікат")</f>
        <v>Завантажити сертифікат</v>
      </c>
    </row>
    <row r="2407" spans="1:6" x14ac:dyDescent="0.3">
      <c r="A2407" t="s">
        <v>5175</v>
      </c>
      <c r="B2407" t="s">
        <v>6</v>
      </c>
      <c r="C2407" t="s">
        <v>5176</v>
      </c>
      <c r="D2407" t="s">
        <v>5021</v>
      </c>
      <c r="E2407" t="s">
        <v>5022</v>
      </c>
      <c r="F2407" t="str">
        <f>HYPERLINK("https://talan.bank.gov.ua/get-user-certificate/45CElj96Dla_3n7beXFX","Завантажити сертифікат")</f>
        <v>Завантажити сертифікат</v>
      </c>
    </row>
    <row r="2408" spans="1:6" x14ac:dyDescent="0.3">
      <c r="A2408" t="s">
        <v>5177</v>
      </c>
      <c r="B2408" t="s">
        <v>6</v>
      </c>
      <c r="C2408" t="s">
        <v>5178</v>
      </c>
      <c r="D2408" t="s">
        <v>5021</v>
      </c>
      <c r="E2408" t="s">
        <v>5022</v>
      </c>
      <c r="F2408" t="str">
        <f>HYPERLINK("https://talan.bank.gov.ua/get-user-certificate/45CElqjxIIlx8WUWbW8A","Завантажити сертифікат")</f>
        <v>Завантажити сертифікат</v>
      </c>
    </row>
    <row r="2409" spans="1:6" x14ac:dyDescent="0.3">
      <c r="A2409" t="s">
        <v>5179</v>
      </c>
      <c r="B2409" t="s">
        <v>6</v>
      </c>
      <c r="C2409" t="s">
        <v>5180</v>
      </c>
      <c r="D2409" t="s">
        <v>5021</v>
      </c>
      <c r="E2409" t="s">
        <v>5022</v>
      </c>
      <c r="F2409" t="str">
        <f>HYPERLINK("https://talan.bank.gov.ua/get-user-certificate/45CEleaPDsQb96JZuTfl","Завантажити сертифікат")</f>
        <v>Завантажити сертифікат</v>
      </c>
    </row>
    <row r="2410" spans="1:6" x14ac:dyDescent="0.3">
      <c r="A2410" t="s">
        <v>5181</v>
      </c>
      <c r="B2410" t="s">
        <v>6</v>
      </c>
      <c r="C2410" t="s">
        <v>5182</v>
      </c>
      <c r="D2410" t="s">
        <v>5021</v>
      </c>
      <c r="E2410" t="s">
        <v>5022</v>
      </c>
      <c r="F2410" t="str">
        <f>HYPERLINK("https://talan.bank.gov.ua/get-user-certificate/45CElQzlV-4cIlBqXkou","Завантажити сертифікат")</f>
        <v>Завантажити сертифікат</v>
      </c>
    </row>
    <row r="2411" spans="1:6" x14ac:dyDescent="0.3">
      <c r="A2411" t="s">
        <v>5183</v>
      </c>
      <c r="B2411" t="s">
        <v>6</v>
      </c>
      <c r="C2411" t="s">
        <v>5184</v>
      </c>
      <c r="D2411" t="s">
        <v>5021</v>
      </c>
      <c r="E2411" t="s">
        <v>5022</v>
      </c>
      <c r="F2411" t="str">
        <f>HYPERLINK("https://talan.bank.gov.ua/get-user-certificate/45CEl8ghr16zwOMPEXN7","Завантажити сертифікат")</f>
        <v>Завантажити сертифікат</v>
      </c>
    </row>
    <row r="2412" spans="1:6" x14ac:dyDescent="0.3">
      <c r="A2412" t="s">
        <v>5185</v>
      </c>
      <c r="B2412" t="s">
        <v>6</v>
      </c>
      <c r="C2412" t="s">
        <v>5186</v>
      </c>
      <c r="D2412" t="s">
        <v>5021</v>
      </c>
      <c r="E2412" t="s">
        <v>5022</v>
      </c>
      <c r="F2412" t="str">
        <f>HYPERLINK("https://talan.bank.gov.ua/get-user-certificate/45CElP1PI2HuNddaU6WW","Завантажити сертифікат")</f>
        <v>Завантажити сертифікат</v>
      </c>
    </row>
    <row r="2413" spans="1:6" x14ac:dyDescent="0.3">
      <c r="A2413" t="s">
        <v>5187</v>
      </c>
      <c r="B2413" t="s">
        <v>6</v>
      </c>
      <c r="C2413" t="s">
        <v>5188</v>
      </c>
      <c r="D2413" t="s">
        <v>5021</v>
      </c>
      <c r="E2413" t="s">
        <v>5022</v>
      </c>
      <c r="F2413" t="str">
        <f>HYPERLINK("https://talan.bank.gov.ua/get-user-certificate/45CElDh0p7_UTWYLtMK0","Завантажити сертифікат")</f>
        <v>Завантажити сертифікат</v>
      </c>
    </row>
    <row r="2414" spans="1:6" x14ac:dyDescent="0.3">
      <c r="A2414" t="s">
        <v>5189</v>
      </c>
      <c r="B2414" t="s">
        <v>6</v>
      </c>
      <c r="C2414" t="s">
        <v>5190</v>
      </c>
      <c r="D2414" t="s">
        <v>5021</v>
      </c>
      <c r="E2414" t="s">
        <v>5022</v>
      </c>
      <c r="F2414" t="str">
        <f>HYPERLINK("https://talan.bank.gov.ua/get-user-certificate/45CEl-FdvWb2mxrsULWt","Завантажити сертифікат")</f>
        <v>Завантажити сертифікат</v>
      </c>
    </row>
    <row r="2415" spans="1:6" x14ac:dyDescent="0.3">
      <c r="A2415" t="s">
        <v>5191</v>
      </c>
      <c r="B2415" t="s">
        <v>6</v>
      </c>
      <c r="C2415" t="s">
        <v>5192</v>
      </c>
      <c r="D2415" t="s">
        <v>5021</v>
      </c>
      <c r="E2415" t="s">
        <v>5022</v>
      </c>
      <c r="F2415" t="str">
        <f>HYPERLINK("https://talan.bank.gov.ua/get-user-certificate/45CElXRtKL2e4Jt6esBO","Завантажити сертифікат")</f>
        <v>Завантажити сертифікат</v>
      </c>
    </row>
    <row r="2416" spans="1:6" x14ac:dyDescent="0.3">
      <c r="A2416" t="s">
        <v>5193</v>
      </c>
      <c r="B2416" t="s">
        <v>6</v>
      </c>
      <c r="C2416" t="s">
        <v>5194</v>
      </c>
      <c r="D2416" t="s">
        <v>5021</v>
      </c>
      <c r="E2416" t="s">
        <v>5022</v>
      </c>
      <c r="F2416" t="str">
        <f>HYPERLINK("https://talan.bank.gov.ua/get-user-certificate/45CElfGpU25XwHJi6zaf","Завантажити сертифікат")</f>
        <v>Завантажити сертифікат</v>
      </c>
    </row>
    <row r="2417" spans="1:6" x14ac:dyDescent="0.3">
      <c r="A2417" t="s">
        <v>5195</v>
      </c>
      <c r="B2417" t="s">
        <v>6</v>
      </c>
      <c r="C2417" t="s">
        <v>5196</v>
      </c>
      <c r="D2417" t="s">
        <v>5021</v>
      </c>
      <c r="E2417" t="s">
        <v>5022</v>
      </c>
      <c r="F2417" t="str">
        <f>HYPERLINK("https://talan.bank.gov.ua/get-user-certificate/45CElINg2FgKCn9423IL","Завантажити сертифікат")</f>
        <v>Завантажити сертифікат</v>
      </c>
    </row>
    <row r="2418" spans="1:6" x14ac:dyDescent="0.3">
      <c r="A2418" t="s">
        <v>5197</v>
      </c>
      <c r="B2418" t="s">
        <v>6</v>
      </c>
      <c r="C2418" t="s">
        <v>5198</v>
      </c>
      <c r="D2418" t="s">
        <v>5021</v>
      </c>
      <c r="E2418" t="s">
        <v>5022</v>
      </c>
      <c r="F2418" t="str">
        <f>HYPERLINK("https://talan.bank.gov.ua/get-user-certificate/45CElVUNQyiq8iz0oagN","Завантажити сертифікат")</f>
        <v>Завантажити сертифікат</v>
      </c>
    </row>
    <row r="2419" spans="1:6" x14ac:dyDescent="0.3">
      <c r="A2419" t="s">
        <v>5199</v>
      </c>
      <c r="B2419" t="s">
        <v>6</v>
      </c>
      <c r="C2419" t="s">
        <v>5200</v>
      </c>
      <c r="D2419" t="s">
        <v>5021</v>
      </c>
      <c r="E2419" t="s">
        <v>5022</v>
      </c>
      <c r="F2419" t="str">
        <f>HYPERLINK("https://talan.bank.gov.ua/get-user-certificate/45CEl6ljd2HyJ0ZOczsQ","Завантажити сертифікат")</f>
        <v>Завантажити сертифікат</v>
      </c>
    </row>
    <row r="2420" spans="1:6" x14ac:dyDescent="0.3">
      <c r="A2420" t="s">
        <v>5201</v>
      </c>
      <c r="B2420" t="s">
        <v>6</v>
      </c>
      <c r="C2420" t="s">
        <v>5202</v>
      </c>
      <c r="D2420" t="s">
        <v>5021</v>
      </c>
      <c r="E2420" t="s">
        <v>5022</v>
      </c>
      <c r="F2420" t="str">
        <f>HYPERLINK("https://talan.bank.gov.ua/get-user-certificate/45CElCoXUFq1P75_8YCJ","Завантажити сертифікат")</f>
        <v>Завантажити сертифікат</v>
      </c>
    </row>
    <row r="2421" spans="1:6" x14ac:dyDescent="0.3">
      <c r="A2421" t="s">
        <v>5203</v>
      </c>
      <c r="B2421" t="s">
        <v>6</v>
      </c>
      <c r="C2421" t="s">
        <v>5204</v>
      </c>
      <c r="D2421" t="s">
        <v>5021</v>
      </c>
      <c r="E2421" t="s">
        <v>5022</v>
      </c>
      <c r="F2421" t="str">
        <f>HYPERLINK("https://talan.bank.gov.ua/get-user-certificate/45CEl67RxT3FYsLCb1O4","Завантажити сертифікат")</f>
        <v>Завантажити сертифікат</v>
      </c>
    </row>
    <row r="2422" spans="1:6" x14ac:dyDescent="0.3">
      <c r="A2422" t="s">
        <v>5205</v>
      </c>
      <c r="B2422" t="s">
        <v>6</v>
      </c>
      <c r="C2422" t="s">
        <v>5206</v>
      </c>
      <c r="D2422" t="s">
        <v>5021</v>
      </c>
      <c r="E2422" t="s">
        <v>5022</v>
      </c>
      <c r="F2422" t="str">
        <f>HYPERLINK("https://talan.bank.gov.ua/get-user-certificate/45CElPKyKHxdsMwfEWKY","Завантажити сертифікат")</f>
        <v>Завантажити сертифікат</v>
      </c>
    </row>
    <row r="2423" spans="1:6" x14ac:dyDescent="0.3">
      <c r="A2423" t="s">
        <v>5207</v>
      </c>
      <c r="B2423" t="s">
        <v>6</v>
      </c>
      <c r="C2423" t="s">
        <v>5208</v>
      </c>
      <c r="D2423" t="s">
        <v>5021</v>
      </c>
      <c r="E2423" t="s">
        <v>5022</v>
      </c>
      <c r="F2423" t="str">
        <f>HYPERLINK("https://talan.bank.gov.ua/get-user-certificate/45CElkP0Y07XAiDQFIqP","Завантажити сертифікат")</f>
        <v>Завантажити сертифікат</v>
      </c>
    </row>
    <row r="2424" spans="1:6" x14ac:dyDescent="0.3">
      <c r="A2424" t="s">
        <v>5209</v>
      </c>
      <c r="B2424" t="s">
        <v>6</v>
      </c>
      <c r="C2424" t="s">
        <v>5210</v>
      </c>
      <c r="D2424" t="s">
        <v>5021</v>
      </c>
      <c r="E2424" t="s">
        <v>5022</v>
      </c>
      <c r="F2424" t="str">
        <f>HYPERLINK("https://talan.bank.gov.ua/get-user-certificate/45CElRPLUkJ1m0rQsOFY","Завантажити сертифікат")</f>
        <v>Завантажити сертифікат</v>
      </c>
    </row>
    <row r="2425" spans="1:6" x14ac:dyDescent="0.3">
      <c r="A2425" t="s">
        <v>5211</v>
      </c>
      <c r="B2425" t="s">
        <v>6</v>
      </c>
      <c r="C2425" t="s">
        <v>5212</v>
      </c>
      <c r="D2425" t="s">
        <v>5021</v>
      </c>
      <c r="E2425" t="s">
        <v>5022</v>
      </c>
      <c r="F2425" t="str">
        <f>HYPERLINK("https://talan.bank.gov.ua/get-user-certificate/45CElz5AJEl2bKizsqNq","Завантажити сертифікат")</f>
        <v>Завантажити сертифікат</v>
      </c>
    </row>
    <row r="2426" spans="1:6" x14ac:dyDescent="0.3">
      <c r="A2426" t="s">
        <v>5213</v>
      </c>
      <c r="B2426" t="s">
        <v>6</v>
      </c>
      <c r="C2426" t="s">
        <v>5214</v>
      </c>
      <c r="D2426" t="s">
        <v>5021</v>
      </c>
      <c r="E2426" t="s">
        <v>5022</v>
      </c>
      <c r="F2426" t="str">
        <f>HYPERLINK("https://talan.bank.gov.ua/get-user-certificate/45CElUsPuuXHT_fBM1a3","Завантажити сертифікат")</f>
        <v>Завантажити сертифікат</v>
      </c>
    </row>
    <row r="2427" spans="1:6" x14ac:dyDescent="0.3">
      <c r="A2427" t="s">
        <v>5215</v>
      </c>
      <c r="B2427" t="s">
        <v>6</v>
      </c>
      <c r="C2427" t="s">
        <v>5216</v>
      </c>
      <c r="D2427" t="s">
        <v>5021</v>
      </c>
      <c r="E2427" t="s">
        <v>5022</v>
      </c>
      <c r="F2427" t="str">
        <f>HYPERLINK("https://talan.bank.gov.ua/get-user-certificate/45CEltdOditu0mn5S_Hl","Завантажити сертифікат")</f>
        <v>Завантажити сертифікат</v>
      </c>
    </row>
    <row r="2428" spans="1:6" x14ac:dyDescent="0.3">
      <c r="A2428" t="s">
        <v>5217</v>
      </c>
      <c r="B2428" t="s">
        <v>6</v>
      </c>
      <c r="C2428" t="s">
        <v>5218</v>
      </c>
      <c r="D2428" t="s">
        <v>5021</v>
      </c>
      <c r="E2428" t="s">
        <v>5022</v>
      </c>
      <c r="F2428" t="str">
        <f>HYPERLINK("https://talan.bank.gov.ua/get-user-certificate/45CElowPjNgYAQVtqkSW","Завантажити сертифікат")</f>
        <v>Завантажити сертифікат</v>
      </c>
    </row>
    <row r="2429" spans="1:6" x14ac:dyDescent="0.3">
      <c r="A2429" t="s">
        <v>5219</v>
      </c>
      <c r="B2429" t="s">
        <v>6</v>
      </c>
      <c r="C2429" t="s">
        <v>5220</v>
      </c>
      <c r="D2429" t="s">
        <v>5021</v>
      </c>
      <c r="E2429" t="s">
        <v>5022</v>
      </c>
      <c r="F2429" t="str">
        <f>HYPERLINK("https://talan.bank.gov.ua/get-user-certificate/45CEl_z5lpMq4MHsBMMd","Завантажити сертифікат")</f>
        <v>Завантажити сертифікат</v>
      </c>
    </row>
    <row r="2430" spans="1:6" x14ac:dyDescent="0.3">
      <c r="A2430" t="s">
        <v>5221</v>
      </c>
      <c r="B2430" t="s">
        <v>6</v>
      </c>
      <c r="C2430" t="s">
        <v>5222</v>
      </c>
      <c r="D2430" t="s">
        <v>5021</v>
      </c>
      <c r="E2430" t="s">
        <v>5022</v>
      </c>
      <c r="F2430" t="str">
        <f>HYPERLINK("https://talan.bank.gov.ua/get-user-certificate/45CElEDwvOwPpz8bL5Ms","Завантажити сертифікат")</f>
        <v>Завантажити сертифікат</v>
      </c>
    </row>
    <row r="2431" spans="1:6" x14ac:dyDescent="0.3">
      <c r="A2431" t="s">
        <v>5223</v>
      </c>
      <c r="B2431" t="s">
        <v>6</v>
      </c>
      <c r="C2431" t="s">
        <v>5224</v>
      </c>
      <c r="D2431" t="s">
        <v>5021</v>
      </c>
      <c r="E2431" t="s">
        <v>5022</v>
      </c>
      <c r="F2431" t="str">
        <f>HYPERLINK("https://talan.bank.gov.ua/get-user-certificate/45CElDl8CPwUvCMyBK8S","Завантажити сертифікат")</f>
        <v>Завантажити сертифікат</v>
      </c>
    </row>
    <row r="2432" spans="1:6" x14ac:dyDescent="0.3">
      <c r="A2432" t="s">
        <v>5225</v>
      </c>
      <c r="B2432" t="s">
        <v>6</v>
      </c>
      <c r="C2432" t="s">
        <v>5226</v>
      </c>
      <c r="D2432" t="s">
        <v>5021</v>
      </c>
      <c r="E2432" t="s">
        <v>5022</v>
      </c>
      <c r="F2432" t="str">
        <f>HYPERLINK("https://talan.bank.gov.ua/get-user-certificate/45CElgVvnP6f8e4CMg-y","Завантажити сертифікат")</f>
        <v>Завантажити сертифікат</v>
      </c>
    </row>
    <row r="2433" spans="1:6" x14ac:dyDescent="0.3">
      <c r="A2433" t="s">
        <v>5227</v>
      </c>
      <c r="B2433" t="s">
        <v>6</v>
      </c>
      <c r="C2433" t="s">
        <v>5228</v>
      </c>
      <c r="D2433" t="s">
        <v>5021</v>
      </c>
      <c r="E2433" t="s">
        <v>5022</v>
      </c>
      <c r="F2433" t="str">
        <f>HYPERLINK("https://talan.bank.gov.ua/get-user-certificate/45CElxeYMVJhwnHiyIgG","Завантажити сертифікат")</f>
        <v>Завантажити сертифікат</v>
      </c>
    </row>
    <row r="2434" spans="1:6" x14ac:dyDescent="0.3">
      <c r="A2434" t="s">
        <v>5229</v>
      </c>
      <c r="B2434" t="s">
        <v>6</v>
      </c>
      <c r="C2434" t="s">
        <v>5230</v>
      </c>
      <c r="D2434" t="s">
        <v>5021</v>
      </c>
      <c r="E2434" t="s">
        <v>5022</v>
      </c>
      <c r="F2434" t="str">
        <f>HYPERLINK("https://talan.bank.gov.ua/get-user-certificate/45CEl1W0c6VS3jATvQm3","Завантажити сертифікат")</f>
        <v>Завантажити сертифікат</v>
      </c>
    </row>
    <row r="2435" spans="1:6" x14ac:dyDescent="0.3">
      <c r="A2435" t="s">
        <v>5231</v>
      </c>
      <c r="B2435" t="s">
        <v>6</v>
      </c>
      <c r="C2435" t="s">
        <v>5232</v>
      </c>
      <c r="D2435" t="s">
        <v>5021</v>
      </c>
      <c r="E2435" t="s">
        <v>5022</v>
      </c>
      <c r="F2435" t="str">
        <f>HYPERLINK("https://talan.bank.gov.ua/get-user-certificate/45CEl2bKEWnTZCZaaT_p","Завантажити сертифікат")</f>
        <v>Завантажити сертифікат</v>
      </c>
    </row>
    <row r="2436" spans="1:6" x14ac:dyDescent="0.3">
      <c r="A2436" t="s">
        <v>5233</v>
      </c>
      <c r="B2436" t="s">
        <v>6</v>
      </c>
      <c r="C2436" t="s">
        <v>5234</v>
      </c>
      <c r="D2436" t="s">
        <v>5021</v>
      </c>
      <c r="E2436" t="s">
        <v>5022</v>
      </c>
      <c r="F2436" t="str">
        <f>HYPERLINK("https://talan.bank.gov.ua/get-user-certificate/45CElgZe7o7cLHqdgeM9","Завантажити сертифікат")</f>
        <v>Завантажити сертифікат</v>
      </c>
    </row>
    <row r="2437" spans="1:6" x14ac:dyDescent="0.3">
      <c r="A2437" t="s">
        <v>5235</v>
      </c>
      <c r="B2437" t="s">
        <v>6</v>
      </c>
      <c r="C2437" t="s">
        <v>5236</v>
      </c>
      <c r="D2437" t="s">
        <v>5021</v>
      </c>
      <c r="E2437" t="s">
        <v>5022</v>
      </c>
      <c r="F2437" t="str">
        <f>HYPERLINK("https://talan.bank.gov.ua/get-user-certificate/45CElooizAwpIhqADdoj","Завантажити сертифікат")</f>
        <v>Завантажити сертифікат</v>
      </c>
    </row>
    <row r="2438" spans="1:6" x14ac:dyDescent="0.3">
      <c r="A2438" t="s">
        <v>5237</v>
      </c>
      <c r="B2438" t="s">
        <v>6</v>
      </c>
      <c r="C2438" t="s">
        <v>5238</v>
      </c>
      <c r="D2438" t="s">
        <v>5021</v>
      </c>
      <c r="E2438" t="s">
        <v>5022</v>
      </c>
      <c r="F2438" t="str">
        <f>HYPERLINK("https://talan.bank.gov.ua/get-user-certificate/45CEluuhKkW29cxQ798E","Завантажити сертифікат")</f>
        <v>Завантажити сертифікат</v>
      </c>
    </row>
    <row r="2439" spans="1:6" x14ac:dyDescent="0.3">
      <c r="A2439" t="s">
        <v>5239</v>
      </c>
      <c r="B2439" t="s">
        <v>6</v>
      </c>
      <c r="C2439" t="s">
        <v>5240</v>
      </c>
      <c r="D2439" t="s">
        <v>5021</v>
      </c>
      <c r="E2439" t="s">
        <v>5022</v>
      </c>
      <c r="F2439" t="str">
        <f>HYPERLINK("https://talan.bank.gov.ua/get-user-certificate/45CElPb7ra5dwYgV_xFK","Завантажити сертифікат")</f>
        <v>Завантажити сертифікат</v>
      </c>
    </row>
    <row r="2440" spans="1:6" x14ac:dyDescent="0.3">
      <c r="A2440" t="s">
        <v>5241</v>
      </c>
      <c r="B2440" t="s">
        <v>6</v>
      </c>
      <c r="C2440" t="s">
        <v>5242</v>
      </c>
      <c r="D2440" t="s">
        <v>5021</v>
      </c>
      <c r="E2440" t="s">
        <v>5022</v>
      </c>
      <c r="F2440" t="str">
        <f>HYPERLINK("https://talan.bank.gov.ua/get-user-certificate/45CElLWP9BcLVfAkj-lG","Завантажити сертифікат")</f>
        <v>Завантажити сертифікат</v>
      </c>
    </row>
    <row r="2441" spans="1:6" x14ac:dyDescent="0.3">
      <c r="A2441" t="s">
        <v>5243</v>
      </c>
      <c r="B2441" t="s">
        <v>6</v>
      </c>
      <c r="C2441" t="s">
        <v>5244</v>
      </c>
      <c r="D2441" t="s">
        <v>5021</v>
      </c>
      <c r="E2441" t="s">
        <v>5022</v>
      </c>
      <c r="F2441" t="str">
        <f>HYPERLINK("https://talan.bank.gov.ua/get-user-certificate/45CEl1OvUoy6az__VngC","Завантажити сертифікат")</f>
        <v>Завантажити сертифікат</v>
      </c>
    </row>
    <row r="2442" spans="1:6" x14ac:dyDescent="0.3">
      <c r="A2442" t="s">
        <v>5245</v>
      </c>
      <c r="B2442" t="s">
        <v>6</v>
      </c>
      <c r="C2442" t="s">
        <v>5246</v>
      </c>
      <c r="D2442" t="s">
        <v>5021</v>
      </c>
      <c r="E2442" t="s">
        <v>5022</v>
      </c>
      <c r="F2442" t="str">
        <f>HYPERLINK("https://talan.bank.gov.ua/get-user-certificate/45CElVsUdxnQt2u1mwXi","Завантажити сертифікат")</f>
        <v>Завантажити сертифікат</v>
      </c>
    </row>
    <row r="2443" spans="1:6" x14ac:dyDescent="0.3">
      <c r="A2443" t="s">
        <v>5247</v>
      </c>
      <c r="B2443" t="s">
        <v>6</v>
      </c>
      <c r="C2443" t="s">
        <v>5248</v>
      </c>
      <c r="D2443" t="s">
        <v>5021</v>
      </c>
      <c r="E2443" t="s">
        <v>5022</v>
      </c>
      <c r="F2443" t="str">
        <f>HYPERLINK("https://talan.bank.gov.ua/get-user-certificate/45CEleS7tGp26CUpiycR","Завантажити сертифікат")</f>
        <v>Завантажити сертифікат</v>
      </c>
    </row>
    <row r="2444" spans="1:6" x14ac:dyDescent="0.3">
      <c r="A2444" t="s">
        <v>5249</v>
      </c>
      <c r="B2444" t="s">
        <v>6</v>
      </c>
      <c r="C2444" t="s">
        <v>5250</v>
      </c>
      <c r="D2444" t="s">
        <v>5021</v>
      </c>
      <c r="E2444" t="s">
        <v>5022</v>
      </c>
      <c r="F2444" t="str">
        <f>HYPERLINK("https://talan.bank.gov.ua/get-user-certificate/45CElrKnM8upZe9roOxa","Завантажити сертифікат")</f>
        <v>Завантажити сертифікат</v>
      </c>
    </row>
    <row r="2445" spans="1:6" x14ac:dyDescent="0.3">
      <c r="A2445" t="s">
        <v>5251</v>
      </c>
      <c r="B2445" t="s">
        <v>6</v>
      </c>
      <c r="C2445" t="s">
        <v>5252</v>
      </c>
      <c r="D2445" t="s">
        <v>5021</v>
      </c>
      <c r="E2445" t="s">
        <v>5022</v>
      </c>
      <c r="F2445" t="str">
        <f>HYPERLINK("https://talan.bank.gov.ua/get-user-certificate/45CElg-7BUbB7HrdkMWc","Завантажити сертифікат")</f>
        <v>Завантажити сертифікат</v>
      </c>
    </row>
    <row r="2446" spans="1:6" x14ac:dyDescent="0.3">
      <c r="A2446" t="s">
        <v>5253</v>
      </c>
      <c r="B2446" t="s">
        <v>6</v>
      </c>
      <c r="C2446" t="s">
        <v>5254</v>
      </c>
      <c r="D2446" t="s">
        <v>5021</v>
      </c>
      <c r="E2446" t="s">
        <v>5022</v>
      </c>
      <c r="F2446" t="str">
        <f>HYPERLINK("https://talan.bank.gov.ua/get-user-certificate/45CElDTNsZn4LySh-BOA","Завантажити сертифікат")</f>
        <v>Завантажити сертифікат</v>
      </c>
    </row>
    <row r="2447" spans="1:6" x14ac:dyDescent="0.3">
      <c r="A2447" t="s">
        <v>5255</v>
      </c>
      <c r="B2447" t="s">
        <v>6</v>
      </c>
      <c r="C2447" t="s">
        <v>5256</v>
      </c>
      <c r="D2447" t="s">
        <v>5021</v>
      </c>
      <c r="E2447" t="s">
        <v>5022</v>
      </c>
      <c r="F2447" t="str">
        <f>HYPERLINK("https://talan.bank.gov.ua/get-user-certificate/45CElxR9DgZLYQIsgzdI","Завантажити сертифікат")</f>
        <v>Завантажити сертифікат</v>
      </c>
    </row>
    <row r="2448" spans="1:6" x14ac:dyDescent="0.3">
      <c r="A2448" t="s">
        <v>5257</v>
      </c>
      <c r="B2448" t="s">
        <v>6</v>
      </c>
      <c r="C2448" t="s">
        <v>5258</v>
      </c>
      <c r="D2448" t="s">
        <v>5021</v>
      </c>
      <c r="E2448" t="s">
        <v>5022</v>
      </c>
      <c r="F2448" t="str">
        <f>HYPERLINK("https://talan.bank.gov.ua/get-user-certificate/45CElD4CbTf6Sg9xRj9a","Завантажити сертифікат")</f>
        <v>Завантажити сертифікат</v>
      </c>
    </row>
    <row r="2449" spans="1:6" x14ac:dyDescent="0.3">
      <c r="A2449" t="s">
        <v>5259</v>
      </c>
      <c r="B2449" t="s">
        <v>6</v>
      </c>
      <c r="C2449" t="s">
        <v>5260</v>
      </c>
      <c r="D2449" t="s">
        <v>5021</v>
      </c>
      <c r="E2449" t="s">
        <v>5022</v>
      </c>
      <c r="F2449" t="str">
        <f>HYPERLINK("https://talan.bank.gov.ua/get-user-certificate/45CElSE4j_xBtgtUwn9g","Завантажити сертифікат")</f>
        <v>Завантажити сертифікат</v>
      </c>
    </row>
    <row r="2450" spans="1:6" x14ac:dyDescent="0.3">
      <c r="A2450" t="s">
        <v>5261</v>
      </c>
      <c r="B2450" t="s">
        <v>6</v>
      </c>
      <c r="C2450" t="s">
        <v>5262</v>
      </c>
      <c r="D2450" t="s">
        <v>5021</v>
      </c>
      <c r="E2450" t="s">
        <v>5022</v>
      </c>
      <c r="F2450" t="str">
        <f>HYPERLINK("https://talan.bank.gov.ua/get-user-certificate/45CElfHmmuLaYJQtpxmj","Завантажити сертифікат")</f>
        <v>Завантажити сертифікат</v>
      </c>
    </row>
    <row r="2451" spans="1:6" x14ac:dyDescent="0.3">
      <c r="A2451" t="s">
        <v>5263</v>
      </c>
      <c r="B2451" t="s">
        <v>6</v>
      </c>
      <c r="C2451" t="s">
        <v>5264</v>
      </c>
      <c r="D2451" t="s">
        <v>5021</v>
      </c>
      <c r="E2451" t="s">
        <v>5022</v>
      </c>
      <c r="F2451" t="str">
        <f>HYPERLINK("https://talan.bank.gov.ua/get-user-certificate/45CElFsOfAmWjxpXzUGZ","Завантажити сертифікат")</f>
        <v>Завантажити сертифікат</v>
      </c>
    </row>
    <row r="2452" spans="1:6" x14ac:dyDescent="0.3">
      <c r="A2452" t="s">
        <v>5265</v>
      </c>
      <c r="B2452" t="s">
        <v>6</v>
      </c>
      <c r="C2452" t="s">
        <v>5266</v>
      </c>
      <c r="D2452" t="s">
        <v>5021</v>
      </c>
      <c r="E2452" t="s">
        <v>5022</v>
      </c>
      <c r="F2452" t="str">
        <f>HYPERLINK("https://talan.bank.gov.ua/get-user-certificate/45CElzdpGkZsJC-7t69G","Завантажити сертифікат")</f>
        <v>Завантажити сертифікат</v>
      </c>
    </row>
    <row r="2453" spans="1:6" x14ac:dyDescent="0.3">
      <c r="A2453" t="s">
        <v>5267</v>
      </c>
      <c r="B2453" t="s">
        <v>6</v>
      </c>
      <c r="C2453" t="s">
        <v>5268</v>
      </c>
      <c r="D2453" t="s">
        <v>5021</v>
      </c>
      <c r="E2453" t="s">
        <v>5022</v>
      </c>
      <c r="F2453" t="str">
        <f>HYPERLINK("https://talan.bank.gov.ua/get-user-certificate/45CEl38a7id5ncWrupXI","Завантажити сертифікат")</f>
        <v>Завантажити сертифікат</v>
      </c>
    </row>
    <row r="2454" spans="1:6" x14ac:dyDescent="0.3">
      <c r="A2454" t="s">
        <v>5269</v>
      </c>
      <c r="B2454" t="s">
        <v>6</v>
      </c>
      <c r="C2454" t="s">
        <v>5270</v>
      </c>
      <c r="D2454" t="s">
        <v>5021</v>
      </c>
      <c r="E2454" t="s">
        <v>5022</v>
      </c>
      <c r="F2454" t="str">
        <f>HYPERLINK("https://talan.bank.gov.ua/get-user-certificate/45CElVjV8qeHP4NPPx4x","Завантажити сертифікат")</f>
        <v>Завантажити сертифікат</v>
      </c>
    </row>
    <row r="2455" spans="1:6" x14ac:dyDescent="0.3">
      <c r="A2455" t="s">
        <v>5271</v>
      </c>
      <c r="B2455" t="s">
        <v>6</v>
      </c>
      <c r="C2455" t="s">
        <v>5272</v>
      </c>
      <c r="D2455" t="s">
        <v>5021</v>
      </c>
      <c r="E2455" t="s">
        <v>5022</v>
      </c>
      <c r="F2455" t="str">
        <f>HYPERLINK("https://talan.bank.gov.ua/get-user-certificate/45CEld5eBzre1MtFPI7z","Завантажити сертифікат")</f>
        <v>Завантажити сертифікат</v>
      </c>
    </row>
    <row r="2456" spans="1:6" x14ac:dyDescent="0.3">
      <c r="A2456" t="s">
        <v>5273</v>
      </c>
      <c r="B2456" t="s">
        <v>6</v>
      </c>
      <c r="C2456" t="s">
        <v>5274</v>
      </c>
      <c r="D2456" t="s">
        <v>5021</v>
      </c>
      <c r="E2456" t="s">
        <v>5022</v>
      </c>
      <c r="F2456" t="str">
        <f>HYPERLINK("https://talan.bank.gov.ua/get-user-certificate/45CElqmpUyAAlJhpBSO8","Завантажити сертифікат")</f>
        <v>Завантажити сертифікат</v>
      </c>
    </row>
    <row r="2457" spans="1:6" x14ac:dyDescent="0.3">
      <c r="A2457" t="s">
        <v>5275</v>
      </c>
      <c r="B2457" t="s">
        <v>6</v>
      </c>
      <c r="C2457" t="s">
        <v>5276</v>
      </c>
      <c r="D2457" t="s">
        <v>5021</v>
      </c>
      <c r="E2457" t="s">
        <v>5022</v>
      </c>
      <c r="F2457" t="str">
        <f>HYPERLINK("https://talan.bank.gov.ua/get-user-certificate/45CElChAgmxQaEhczInO","Завантажити сертифікат")</f>
        <v>Завантажити сертифікат</v>
      </c>
    </row>
    <row r="2458" spans="1:6" x14ac:dyDescent="0.3">
      <c r="A2458" t="s">
        <v>5277</v>
      </c>
      <c r="B2458" t="s">
        <v>6</v>
      </c>
      <c r="C2458" t="s">
        <v>5278</v>
      </c>
      <c r="D2458" t="s">
        <v>5021</v>
      </c>
      <c r="E2458" t="s">
        <v>5022</v>
      </c>
      <c r="F2458" t="str">
        <f>HYPERLINK("https://talan.bank.gov.ua/get-user-certificate/45CElwapuaCrmY5UXuq2","Завантажити сертифікат")</f>
        <v>Завантажити сертифікат</v>
      </c>
    </row>
    <row r="2459" spans="1:6" x14ac:dyDescent="0.3">
      <c r="A2459" t="s">
        <v>5279</v>
      </c>
      <c r="B2459" t="s">
        <v>6</v>
      </c>
      <c r="C2459" t="s">
        <v>5280</v>
      </c>
      <c r="D2459" t="s">
        <v>5281</v>
      </c>
      <c r="E2459" t="s">
        <v>5282</v>
      </c>
      <c r="F2459" t="str">
        <f>HYPERLINK("https://talan.bank.gov.ua/get-user-certificate/45CElnDJDKqrN70a8NMj","Завантажити сертифікат")</f>
        <v>Завантажити сертифікат</v>
      </c>
    </row>
    <row r="2460" spans="1:6" x14ac:dyDescent="0.3">
      <c r="A2460" t="s">
        <v>5283</v>
      </c>
      <c r="B2460" t="s">
        <v>6</v>
      </c>
      <c r="C2460" t="s">
        <v>5284</v>
      </c>
      <c r="D2460" t="s">
        <v>5281</v>
      </c>
      <c r="E2460" t="s">
        <v>5282</v>
      </c>
      <c r="F2460" t="str">
        <f>HYPERLINK("https://talan.bank.gov.ua/get-user-certificate/45CElBoa0HSue23BldIk","Завантажити сертифікат")</f>
        <v>Завантажити сертифікат</v>
      </c>
    </row>
    <row r="2461" spans="1:6" x14ac:dyDescent="0.3">
      <c r="A2461" t="s">
        <v>5285</v>
      </c>
      <c r="B2461" t="s">
        <v>6</v>
      </c>
      <c r="C2461" t="s">
        <v>5286</v>
      </c>
      <c r="D2461" t="s">
        <v>5287</v>
      </c>
      <c r="E2461" t="s">
        <v>5288</v>
      </c>
      <c r="F2461" t="str">
        <f>HYPERLINK("https://talan.bank.gov.ua/get-user-certificate/45CElgRT3Z6tiqXGkYjx","Завантажити сертифікат")</f>
        <v>Завантажити сертифікат</v>
      </c>
    </row>
    <row r="2462" spans="1:6" x14ac:dyDescent="0.3">
      <c r="A2462" t="s">
        <v>5289</v>
      </c>
      <c r="B2462" t="s">
        <v>6</v>
      </c>
      <c r="C2462" t="s">
        <v>5290</v>
      </c>
      <c r="D2462" t="s">
        <v>5287</v>
      </c>
      <c r="E2462" t="s">
        <v>5288</v>
      </c>
      <c r="F2462" t="str">
        <f>HYPERLINK("https://talan.bank.gov.ua/get-user-certificate/45CEl8Tk6dLElOA14OA9","Завантажити сертифікат")</f>
        <v>Завантажити сертифікат</v>
      </c>
    </row>
    <row r="2463" spans="1:6" x14ac:dyDescent="0.3">
      <c r="A2463" t="s">
        <v>5291</v>
      </c>
      <c r="B2463" t="s">
        <v>6</v>
      </c>
      <c r="C2463" t="s">
        <v>5292</v>
      </c>
      <c r="D2463" t="s">
        <v>5287</v>
      </c>
      <c r="E2463" t="s">
        <v>5288</v>
      </c>
      <c r="F2463" t="str">
        <f>HYPERLINK("https://talan.bank.gov.ua/get-user-certificate/45CElWfkirLlp8N1mb-G","Завантажити сертифікат")</f>
        <v>Завантажити сертифікат</v>
      </c>
    </row>
    <row r="2464" spans="1:6" x14ac:dyDescent="0.3">
      <c r="A2464" t="s">
        <v>5293</v>
      </c>
      <c r="B2464" t="s">
        <v>6</v>
      </c>
      <c r="C2464" t="s">
        <v>5294</v>
      </c>
      <c r="D2464" t="s">
        <v>5287</v>
      </c>
      <c r="E2464" t="s">
        <v>5288</v>
      </c>
      <c r="F2464" t="str">
        <f>HYPERLINK("https://talan.bank.gov.ua/get-user-certificate/45CElvFsVwmduApDVTXf","Завантажити сертифікат")</f>
        <v>Завантажити сертифікат</v>
      </c>
    </row>
    <row r="2465" spans="1:6" x14ac:dyDescent="0.3">
      <c r="A2465" t="s">
        <v>5295</v>
      </c>
      <c r="B2465" t="s">
        <v>6</v>
      </c>
      <c r="C2465" t="s">
        <v>5296</v>
      </c>
      <c r="D2465" t="s">
        <v>5287</v>
      </c>
      <c r="E2465" t="s">
        <v>5288</v>
      </c>
      <c r="F2465" t="str">
        <f>HYPERLINK("https://talan.bank.gov.ua/get-user-certificate/45CElCRWhM2C7_cKnE4u","Завантажити сертифікат")</f>
        <v>Завантажити сертифікат</v>
      </c>
    </row>
    <row r="2466" spans="1:6" x14ac:dyDescent="0.3">
      <c r="A2466" t="s">
        <v>5297</v>
      </c>
      <c r="B2466" t="s">
        <v>6</v>
      </c>
      <c r="C2466" t="s">
        <v>5298</v>
      </c>
      <c r="D2466" t="s">
        <v>5287</v>
      </c>
      <c r="E2466" t="s">
        <v>5288</v>
      </c>
      <c r="F2466" t="str">
        <f>HYPERLINK("https://talan.bank.gov.ua/get-user-certificate/45CElkvmcBGykUF_HfPe","Завантажити сертифікат")</f>
        <v>Завантажити сертифікат</v>
      </c>
    </row>
    <row r="2467" spans="1:6" x14ac:dyDescent="0.3">
      <c r="A2467" t="s">
        <v>5299</v>
      </c>
      <c r="B2467" t="s">
        <v>6</v>
      </c>
      <c r="C2467" t="s">
        <v>5300</v>
      </c>
      <c r="D2467" t="s">
        <v>5287</v>
      </c>
      <c r="E2467" t="s">
        <v>5288</v>
      </c>
      <c r="F2467" t="str">
        <f>HYPERLINK("https://talan.bank.gov.ua/get-user-certificate/45CElPHufHtyvh4RldDf","Завантажити сертифікат")</f>
        <v>Завантажити сертифікат</v>
      </c>
    </row>
    <row r="2468" spans="1:6" x14ac:dyDescent="0.3">
      <c r="A2468" t="s">
        <v>5301</v>
      </c>
      <c r="B2468" t="s">
        <v>6</v>
      </c>
      <c r="C2468" t="s">
        <v>5302</v>
      </c>
      <c r="D2468" t="s">
        <v>5287</v>
      </c>
      <c r="E2468" t="s">
        <v>5288</v>
      </c>
      <c r="F2468" t="str">
        <f>HYPERLINK("https://talan.bank.gov.ua/get-user-certificate/45CElgzAW5-_d9Hv6qXf","Завантажити сертифікат")</f>
        <v>Завантажити сертифікат</v>
      </c>
    </row>
    <row r="2469" spans="1:6" x14ac:dyDescent="0.3">
      <c r="A2469" t="s">
        <v>5303</v>
      </c>
      <c r="B2469" t="s">
        <v>6</v>
      </c>
      <c r="C2469" t="s">
        <v>5304</v>
      </c>
      <c r="D2469" t="s">
        <v>5287</v>
      </c>
      <c r="E2469" t="s">
        <v>5288</v>
      </c>
      <c r="F2469" t="str">
        <f>HYPERLINK("https://talan.bank.gov.ua/get-user-certificate/45CElEHbJqUGN5ALZzOT","Завантажити сертифікат")</f>
        <v>Завантажити сертифікат</v>
      </c>
    </row>
    <row r="2470" spans="1:6" x14ac:dyDescent="0.3">
      <c r="A2470" t="s">
        <v>5305</v>
      </c>
      <c r="B2470" t="s">
        <v>6</v>
      </c>
      <c r="C2470" t="s">
        <v>5306</v>
      </c>
      <c r="D2470" t="s">
        <v>5287</v>
      </c>
      <c r="E2470" t="s">
        <v>5288</v>
      </c>
      <c r="F2470" t="str">
        <f>HYPERLINK("https://talan.bank.gov.ua/get-user-certificate/45CElGwCUTMgU5wNaU4f","Завантажити сертифікат")</f>
        <v>Завантажити сертифікат</v>
      </c>
    </row>
    <row r="2471" spans="1:6" x14ac:dyDescent="0.3">
      <c r="A2471" t="s">
        <v>5307</v>
      </c>
      <c r="B2471" t="s">
        <v>6</v>
      </c>
      <c r="C2471" t="s">
        <v>5308</v>
      </c>
      <c r="D2471" t="s">
        <v>5309</v>
      </c>
      <c r="E2471" t="s">
        <v>5310</v>
      </c>
      <c r="F2471" t="str">
        <f>HYPERLINK("https://talan.bank.gov.ua/get-user-certificate/45CElA1xrZ_qW6lUgELH","Завантажити сертифікат")</f>
        <v>Завантажити сертифікат</v>
      </c>
    </row>
    <row r="2472" spans="1:6" x14ac:dyDescent="0.3">
      <c r="A2472" t="s">
        <v>5311</v>
      </c>
      <c r="B2472" t="s">
        <v>6</v>
      </c>
      <c r="C2472" t="s">
        <v>5312</v>
      </c>
      <c r="D2472" t="s">
        <v>5309</v>
      </c>
      <c r="E2472" t="s">
        <v>5310</v>
      </c>
      <c r="F2472" t="str">
        <f>HYPERLINK("https://talan.bank.gov.ua/get-user-certificate/45CEljbPc2ZRQqV1mSpU","Завантажити сертифікат")</f>
        <v>Завантажити сертифікат</v>
      </c>
    </row>
    <row r="2473" spans="1:6" x14ac:dyDescent="0.3">
      <c r="A2473" t="s">
        <v>5313</v>
      </c>
      <c r="B2473" t="s">
        <v>6</v>
      </c>
      <c r="C2473" t="s">
        <v>5314</v>
      </c>
      <c r="D2473" t="s">
        <v>5309</v>
      </c>
      <c r="E2473" t="s">
        <v>5310</v>
      </c>
      <c r="F2473" t="str">
        <f>HYPERLINK("https://talan.bank.gov.ua/get-user-certificate/45CElI4UMl5b30UPz6Qx","Завантажити сертифікат")</f>
        <v>Завантажити сертифікат</v>
      </c>
    </row>
    <row r="2474" spans="1:6" x14ac:dyDescent="0.3">
      <c r="A2474" t="s">
        <v>5315</v>
      </c>
      <c r="B2474" t="s">
        <v>6</v>
      </c>
      <c r="C2474" t="s">
        <v>5316</v>
      </c>
      <c r="D2474" t="s">
        <v>5309</v>
      </c>
      <c r="E2474" t="s">
        <v>5310</v>
      </c>
      <c r="F2474" t="str">
        <f>HYPERLINK("https://talan.bank.gov.ua/get-user-certificate/45CEldREQkEh54mBtdhF","Завантажити сертифікат")</f>
        <v>Завантажити сертифікат</v>
      </c>
    </row>
    <row r="2475" spans="1:6" x14ac:dyDescent="0.3">
      <c r="A2475" t="s">
        <v>5317</v>
      </c>
      <c r="B2475" t="s">
        <v>6</v>
      </c>
      <c r="C2475" t="s">
        <v>5318</v>
      </c>
      <c r="D2475" t="s">
        <v>5309</v>
      </c>
      <c r="E2475" t="s">
        <v>5310</v>
      </c>
      <c r="F2475" t="str">
        <f>HYPERLINK("https://talan.bank.gov.ua/get-user-certificate/45CElYdz5nEoTB10nR7b","Завантажити сертифікат")</f>
        <v>Завантажити сертифікат</v>
      </c>
    </row>
    <row r="2476" spans="1:6" x14ac:dyDescent="0.3">
      <c r="A2476" t="s">
        <v>5319</v>
      </c>
      <c r="B2476" t="s">
        <v>6</v>
      </c>
      <c r="C2476" t="s">
        <v>5320</v>
      </c>
      <c r="D2476" t="s">
        <v>5321</v>
      </c>
      <c r="E2476" t="s">
        <v>5322</v>
      </c>
      <c r="F2476" t="str">
        <f>HYPERLINK("https://talan.bank.gov.ua/get-user-certificate/45CElI3wQZXR1Q2e7iD1","Завантажити сертифікат")</f>
        <v>Завантажити сертифікат</v>
      </c>
    </row>
    <row r="2477" spans="1:6" x14ac:dyDescent="0.3">
      <c r="A2477" t="s">
        <v>5323</v>
      </c>
      <c r="B2477" t="s">
        <v>6</v>
      </c>
      <c r="C2477" t="s">
        <v>5324</v>
      </c>
      <c r="D2477" t="s">
        <v>5321</v>
      </c>
      <c r="E2477" t="s">
        <v>5322</v>
      </c>
      <c r="F2477" t="str">
        <f>HYPERLINK("https://talan.bank.gov.ua/get-user-certificate/45CElP2BjOtwpLraEczW","Завантажити сертифікат")</f>
        <v>Завантажити сертифікат</v>
      </c>
    </row>
    <row r="2478" spans="1:6" x14ac:dyDescent="0.3">
      <c r="A2478" t="s">
        <v>5325</v>
      </c>
      <c r="B2478" t="s">
        <v>6</v>
      </c>
      <c r="C2478" t="s">
        <v>5326</v>
      </c>
      <c r="D2478" t="s">
        <v>5327</v>
      </c>
      <c r="E2478" t="s">
        <v>5328</v>
      </c>
      <c r="F2478" t="str">
        <f>HYPERLINK("https://talan.bank.gov.ua/get-user-certificate/45CElhuDERaYBsLf26Oa","Завантажити сертифікат")</f>
        <v>Завантажити сертифікат</v>
      </c>
    </row>
    <row r="2479" spans="1:6" x14ac:dyDescent="0.3">
      <c r="A2479" t="s">
        <v>5329</v>
      </c>
      <c r="B2479" t="s">
        <v>6</v>
      </c>
      <c r="C2479" t="s">
        <v>5330</v>
      </c>
      <c r="D2479" t="s">
        <v>5327</v>
      </c>
      <c r="E2479" t="s">
        <v>5328</v>
      </c>
      <c r="F2479" t="str">
        <f>HYPERLINK("https://talan.bank.gov.ua/get-user-certificate/45CElLeDdAgvKowa7wDI","Завантажити сертифікат")</f>
        <v>Завантажити сертифікат</v>
      </c>
    </row>
    <row r="2480" spans="1:6" x14ac:dyDescent="0.3">
      <c r="A2480" t="s">
        <v>5331</v>
      </c>
      <c r="B2480" t="s">
        <v>6</v>
      </c>
      <c r="C2480" t="s">
        <v>5332</v>
      </c>
      <c r="D2480" t="s">
        <v>5327</v>
      </c>
      <c r="E2480" t="s">
        <v>5328</v>
      </c>
      <c r="F2480" t="str">
        <f>HYPERLINK("https://talan.bank.gov.ua/get-user-certificate/45CElq0eyY7ASq-1p0R4","Завантажити сертифікат")</f>
        <v>Завантажити сертифікат</v>
      </c>
    </row>
    <row r="2481" spans="1:6" x14ac:dyDescent="0.3">
      <c r="A2481" t="s">
        <v>5333</v>
      </c>
      <c r="B2481" t="s">
        <v>6</v>
      </c>
      <c r="C2481" t="s">
        <v>5334</v>
      </c>
      <c r="D2481" t="s">
        <v>5327</v>
      </c>
      <c r="E2481" t="s">
        <v>5328</v>
      </c>
      <c r="F2481" t="str">
        <f>HYPERLINK("https://talan.bank.gov.ua/get-user-certificate/45CElUFAD_Nc05XSmwV-","Завантажити сертифікат")</f>
        <v>Завантажити сертифікат</v>
      </c>
    </row>
    <row r="2482" spans="1:6" x14ac:dyDescent="0.3">
      <c r="A2482" t="s">
        <v>5335</v>
      </c>
      <c r="B2482" t="s">
        <v>6</v>
      </c>
      <c r="C2482" t="s">
        <v>5336</v>
      </c>
      <c r="D2482" t="s">
        <v>5327</v>
      </c>
      <c r="E2482" t="s">
        <v>5328</v>
      </c>
      <c r="F2482" t="str">
        <f>HYPERLINK("https://talan.bank.gov.ua/get-user-certificate/45CElmvhwj8i16fk328Y","Завантажити сертифікат")</f>
        <v>Завантажити сертифікат</v>
      </c>
    </row>
    <row r="2483" spans="1:6" x14ac:dyDescent="0.3">
      <c r="A2483" t="s">
        <v>5337</v>
      </c>
      <c r="B2483" t="s">
        <v>6</v>
      </c>
      <c r="C2483" t="s">
        <v>5338</v>
      </c>
      <c r="D2483" t="s">
        <v>5327</v>
      </c>
      <c r="E2483" t="s">
        <v>5328</v>
      </c>
      <c r="F2483" t="str">
        <f>HYPERLINK("https://talan.bank.gov.ua/get-user-certificate/45CElwiIrd4NytEik1ZC","Завантажити сертифікат")</f>
        <v>Завантажити сертифікат</v>
      </c>
    </row>
    <row r="2484" spans="1:6" x14ac:dyDescent="0.3">
      <c r="A2484" t="s">
        <v>5339</v>
      </c>
      <c r="B2484" t="s">
        <v>6</v>
      </c>
      <c r="C2484" t="s">
        <v>5340</v>
      </c>
      <c r="D2484" t="s">
        <v>5327</v>
      </c>
      <c r="E2484" t="s">
        <v>5328</v>
      </c>
      <c r="F2484" t="str">
        <f>HYPERLINK("https://talan.bank.gov.ua/get-user-certificate/45CElrRmKo-bmYsh4hCU","Завантажити сертифікат")</f>
        <v>Завантажити сертифікат</v>
      </c>
    </row>
    <row r="2485" spans="1:6" x14ac:dyDescent="0.3">
      <c r="A2485" t="s">
        <v>5341</v>
      </c>
      <c r="B2485" t="s">
        <v>6</v>
      </c>
      <c r="C2485" t="s">
        <v>5342</v>
      </c>
      <c r="D2485" t="s">
        <v>5327</v>
      </c>
      <c r="E2485" t="s">
        <v>5328</v>
      </c>
      <c r="F2485" t="str">
        <f>HYPERLINK("https://talan.bank.gov.ua/get-user-certificate/45CElC7tJElCqq-yrpYh","Завантажити сертифікат")</f>
        <v>Завантажити сертифікат</v>
      </c>
    </row>
    <row r="2486" spans="1:6" x14ac:dyDescent="0.3">
      <c r="A2486" t="s">
        <v>5343</v>
      </c>
      <c r="B2486" t="s">
        <v>6</v>
      </c>
      <c r="C2486" t="s">
        <v>5344</v>
      </c>
      <c r="D2486" t="s">
        <v>5327</v>
      </c>
      <c r="E2486" t="s">
        <v>5328</v>
      </c>
      <c r="F2486" t="str">
        <f>HYPERLINK("https://talan.bank.gov.ua/get-user-certificate/45CElTInJL7CmZOiTZjF","Завантажити сертифікат")</f>
        <v>Завантажити сертифікат</v>
      </c>
    </row>
    <row r="2487" spans="1:6" x14ac:dyDescent="0.3">
      <c r="A2487" t="s">
        <v>5345</v>
      </c>
      <c r="B2487" t="s">
        <v>6</v>
      </c>
      <c r="C2487" t="s">
        <v>5346</v>
      </c>
      <c r="D2487" t="s">
        <v>5327</v>
      </c>
      <c r="E2487" t="s">
        <v>5328</v>
      </c>
      <c r="F2487" t="str">
        <f>HYPERLINK("https://talan.bank.gov.ua/get-user-certificate/45CEll1KCxQjNei-o_r9","Завантажити сертифікат")</f>
        <v>Завантажити сертифікат</v>
      </c>
    </row>
    <row r="2488" spans="1:6" x14ac:dyDescent="0.3">
      <c r="A2488" t="s">
        <v>5347</v>
      </c>
      <c r="B2488" t="s">
        <v>6</v>
      </c>
      <c r="C2488" t="s">
        <v>5348</v>
      </c>
      <c r="D2488" t="s">
        <v>5327</v>
      </c>
      <c r="E2488" t="s">
        <v>5328</v>
      </c>
      <c r="F2488" t="str">
        <f>HYPERLINK("https://talan.bank.gov.ua/get-user-certificate/45CElBaV3qL7UC-bF3p2","Завантажити сертифікат")</f>
        <v>Завантажити сертифікат</v>
      </c>
    </row>
    <row r="2489" spans="1:6" x14ac:dyDescent="0.3">
      <c r="A2489" t="s">
        <v>5349</v>
      </c>
      <c r="B2489" t="s">
        <v>6</v>
      </c>
      <c r="C2489" t="s">
        <v>5350</v>
      </c>
      <c r="D2489" t="s">
        <v>5351</v>
      </c>
      <c r="E2489" t="s">
        <v>5352</v>
      </c>
      <c r="F2489" t="str">
        <f>HYPERLINK("https://talan.bank.gov.ua/get-user-certificate/45CElB361LXGsgfgwjhw","Завантажити сертифікат")</f>
        <v>Завантажити сертифікат</v>
      </c>
    </row>
    <row r="2490" spans="1:6" x14ac:dyDescent="0.3">
      <c r="A2490" t="s">
        <v>5353</v>
      </c>
      <c r="B2490" t="s">
        <v>6</v>
      </c>
      <c r="C2490" t="s">
        <v>5354</v>
      </c>
      <c r="D2490" t="s">
        <v>5351</v>
      </c>
      <c r="E2490" t="s">
        <v>5352</v>
      </c>
      <c r="F2490" t="str">
        <f>HYPERLINK("https://talan.bank.gov.ua/get-user-certificate/45CEl6lkQfIyE5ZEtzJS","Завантажити сертифікат")</f>
        <v>Завантажити сертифікат</v>
      </c>
    </row>
    <row r="2491" spans="1:6" x14ac:dyDescent="0.3">
      <c r="A2491" t="s">
        <v>5355</v>
      </c>
      <c r="B2491" t="s">
        <v>6</v>
      </c>
      <c r="C2491" t="s">
        <v>5356</v>
      </c>
      <c r="D2491" t="s">
        <v>5351</v>
      </c>
      <c r="E2491" t="s">
        <v>5352</v>
      </c>
      <c r="F2491" t="str">
        <f>HYPERLINK("https://talan.bank.gov.ua/get-user-certificate/45CElpytH_sOHIUEo054","Завантажити сертифікат")</f>
        <v>Завантажити сертифікат</v>
      </c>
    </row>
    <row r="2492" spans="1:6" x14ac:dyDescent="0.3">
      <c r="A2492" t="s">
        <v>5357</v>
      </c>
      <c r="B2492" t="s">
        <v>6</v>
      </c>
      <c r="C2492" t="s">
        <v>5358</v>
      </c>
      <c r="D2492" t="s">
        <v>5351</v>
      </c>
      <c r="E2492" t="s">
        <v>5352</v>
      </c>
      <c r="F2492" t="str">
        <f>HYPERLINK("https://talan.bank.gov.ua/get-user-certificate/45CEl1m4QcfipSw8WEb7","Завантажити сертифікат")</f>
        <v>Завантажити сертифікат</v>
      </c>
    </row>
    <row r="2493" spans="1:6" x14ac:dyDescent="0.3">
      <c r="A2493" t="s">
        <v>5359</v>
      </c>
      <c r="B2493" t="s">
        <v>6</v>
      </c>
      <c r="C2493" t="s">
        <v>5360</v>
      </c>
      <c r="D2493" t="s">
        <v>5351</v>
      </c>
      <c r="E2493" t="s">
        <v>5352</v>
      </c>
      <c r="F2493" t="str">
        <f>HYPERLINK("https://talan.bank.gov.ua/get-user-certificate/45CElFfnKZGXN0gQFlwn","Завантажити сертифікат")</f>
        <v>Завантажити сертифікат</v>
      </c>
    </row>
    <row r="2494" spans="1:6" x14ac:dyDescent="0.3">
      <c r="A2494" t="s">
        <v>5361</v>
      </c>
      <c r="B2494" t="s">
        <v>6</v>
      </c>
      <c r="C2494" t="s">
        <v>5362</v>
      </c>
      <c r="D2494" t="s">
        <v>5351</v>
      </c>
      <c r="E2494" t="s">
        <v>5352</v>
      </c>
      <c r="F2494" t="str">
        <f>HYPERLINK("https://talan.bank.gov.ua/get-user-certificate/45CElBYF6P-EbUmHr4F8","Завантажити сертифікат")</f>
        <v>Завантажити сертифікат</v>
      </c>
    </row>
    <row r="2495" spans="1:6" x14ac:dyDescent="0.3">
      <c r="A2495" t="s">
        <v>5363</v>
      </c>
      <c r="B2495" t="s">
        <v>6</v>
      </c>
      <c r="C2495" t="s">
        <v>5364</v>
      </c>
      <c r="D2495" t="s">
        <v>5351</v>
      </c>
      <c r="E2495" t="s">
        <v>5352</v>
      </c>
      <c r="F2495" t="str">
        <f>HYPERLINK("https://talan.bank.gov.ua/get-user-certificate/45CEliTEuIBpsw7-KGqu","Завантажити сертифікат")</f>
        <v>Завантажити сертифікат</v>
      </c>
    </row>
    <row r="2496" spans="1:6" x14ac:dyDescent="0.3">
      <c r="A2496" t="s">
        <v>5365</v>
      </c>
      <c r="B2496" t="s">
        <v>6</v>
      </c>
      <c r="C2496" t="s">
        <v>5366</v>
      </c>
      <c r="D2496" t="s">
        <v>5351</v>
      </c>
      <c r="E2496" t="s">
        <v>5352</v>
      </c>
      <c r="F2496" t="str">
        <f>HYPERLINK("https://talan.bank.gov.ua/get-user-certificate/45CElhUN9VTstBsKqLhf","Завантажити сертифікат")</f>
        <v>Завантажити сертифікат</v>
      </c>
    </row>
    <row r="2497" spans="1:6" x14ac:dyDescent="0.3">
      <c r="A2497" t="s">
        <v>5367</v>
      </c>
      <c r="B2497" t="s">
        <v>6</v>
      </c>
      <c r="C2497" t="s">
        <v>5368</v>
      </c>
      <c r="D2497" t="s">
        <v>5369</v>
      </c>
      <c r="E2497" t="s">
        <v>5370</v>
      </c>
      <c r="F2497" t="str">
        <f>HYPERLINK("https://talan.bank.gov.ua/get-user-certificate/45CEl3fqJ_6LmA1q_vrE","Завантажити сертифікат")</f>
        <v>Завантажити сертифікат</v>
      </c>
    </row>
    <row r="2498" spans="1:6" x14ac:dyDescent="0.3">
      <c r="A2498" t="s">
        <v>5371</v>
      </c>
      <c r="B2498" t="s">
        <v>6</v>
      </c>
      <c r="C2498" t="s">
        <v>5372</v>
      </c>
      <c r="D2498" t="s">
        <v>5369</v>
      </c>
      <c r="E2498" t="s">
        <v>5370</v>
      </c>
      <c r="F2498" t="str">
        <f>HYPERLINK("https://talan.bank.gov.ua/get-user-certificate/45CEl-Kdir1qtlBaY6QK","Завантажити сертифікат")</f>
        <v>Завантажити сертифікат</v>
      </c>
    </row>
    <row r="2499" spans="1:6" x14ac:dyDescent="0.3">
      <c r="A2499" t="s">
        <v>5373</v>
      </c>
      <c r="B2499" t="s">
        <v>6</v>
      </c>
      <c r="C2499" t="s">
        <v>5374</v>
      </c>
      <c r="D2499" t="s">
        <v>5369</v>
      </c>
      <c r="E2499" t="s">
        <v>5370</v>
      </c>
      <c r="F2499" t="str">
        <f>HYPERLINK("https://talan.bank.gov.ua/get-user-certificate/45CEl_nlJsUVALKF6cn2","Завантажити сертифікат")</f>
        <v>Завантажити сертифікат</v>
      </c>
    </row>
    <row r="2500" spans="1:6" x14ac:dyDescent="0.3">
      <c r="A2500" t="s">
        <v>5375</v>
      </c>
      <c r="B2500" t="s">
        <v>6</v>
      </c>
      <c r="C2500" t="s">
        <v>5376</v>
      </c>
      <c r="D2500" t="s">
        <v>5369</v>
      </c>
      <c r="E2500" t="s">
        <v>5370</v>
      </c>
      <c r="F2500" t="str">
        <f>HYPERLINK("https://talan.bank.gov.ua/get-user-certificate/45CElK8BFlz4UU3qq1FD","Завантажити сертифікат")</f>
        <v>Завантажити сертифікат</v>
      </c>
    </row>
    <row r="2501" spans="1:6" x14ac:dyDescent="0.3">
      <c r="A2501" t="s">
        <v>5377</v>
      </c>
      <c r="B2501" t="s">
        <v>6</v>
      </c>
      <c r="C2501" t="s">
        <v>5378</v>
      </c>
      <c r="D2501" t="s">
        <v>5369</v>
      </c>
      <c r="E2501" t="s">
        <v>5370</v>
      </c>
      <c r="F2501" t="str">
        <f>HYPERLINK("https://talan.bank.gov.ua/get-user-certificate/45CEl_7ZwgABO3-4kG_a","Завантажити сертифікат")</f>
        <v>Завантажити сертифікат</v>
      </c>
    </row>
    <row r="2502" spans="1:6" x14ac:dyDescent="0.3">
      <c r="A2502" t="s">
        <v>5379</v>
      </c>
      <c r="B2502" t="s">
        <v>6</v>
      </c>
      <c r="C2502" t="s">
        <v>5380</v>
      </c>
      <c r="D2502" t="s">
        <v>5369</v>
      </c>
      <c r="E2502" t="s">
        <v>5370</v>
      </c>
      <c r="F2502" t="str">
        <f>HYPERLINK("https://talan.bank.gov.ua/get-user-certificate/45CElyZxxdemvN6sc59R","Завантажити сертифікат")</f>
        <v>Завантажити сертифікат</v>
      </c>
    </row>
    <row r="2503" spans="1:6" x14ac:dyDescent="0.3">
      <c r="A2503" t="s">
        <v>5381</v>
      </c>
      <c r="B2503" t="s">
        <v>6</v>
      </c>
      <c r="C2503" t="s">
        <v>5382</v>
      </c>
      <c r="D2503" t="s">
        <v>5369</v>
      </c>
      <c r="E2503" t="s">
        <v>5370</v>
      </c>
      <c r="F2503" t="str">
        <f>HYPERLINK("https://talan.bank.gov.ua/get-user-certificate/45CElEMlWRcg282zhokp","Завантажити сертифікат")</f>
        <v>Завантажити сертифікат</v>
      </c>
    </row>
    <row r="2504" spans="1:6" x14ac:dyDescent="0.3">
      <c r="A2504" t="s">
        <v>5383</v>
      </c>
      <c r="B2504" t="s">
        <v>6</v>
      </c>
      <c r="C2504" t="s">
        <v>5384</v>
      </c>
      <c r="D2504" t="s">
        <v>5369</v>
      </c>
      <c r="E2504" t="s">
        <v>5370</v>
      </c>
      <c r="F2504" t="str">
        <f>HYPERLINK("https://talan.bank.gov.ua/get-user-certificate/45CElatxP42JC44G0H0L","Завантажити сертифікат")</f>
        <v>Завантажити сертифікат</v>
      </c>
    </row>
    <row r="2505" spans="1:6" x14ac:dyDescent="0.3">
      <c r="A2505" t="s">
        <v>5385</v>
      </c>
      <c r="B2505" t="s">
        <v>6</v>
      </c>
      <c r="C2505" t="s">
        <v>5386</v>
      </c>
      <c r="D2505" t="s">
        <v>5369</v>
      </c>
      <c r="E2505" t="s">
        <v>5370</v>
      </c>
      <c r="F2505" t="str">
        <f>HYPERLINK("https://talan.bank.gov.ua/get-user-certificate/45CElATLhr0rwiXgLKW7","Завантажити сертифікат")</f>
        <v>Завантажити сертифікат</v>
      </c>
    </row>
    <row r="2506" spans="1:6" x14ac:dyDescent="0.3">
      <c r="A2506" t="s">
        <v>5387</v>
      </c>
      <c r="B2506" t="s">
        <v>6</v>
      </c>
      <c r="C2506" t="s">
        <v>5388</v>
      </c>
      <c r="D2506" t="s">
        <v>5369</v>
      </c>
      <c r="E2506" t="s">
        <v>5370</v>
      </c>
      <c r="F2506" t="str">
        <f>HYPERLINK("https://talan.bank.gov.ua/get-user-certificate/45CElnlL0wVHOvnOEW6a","Завантажити сертифікат")</f>
        <v>Завантажити сертифікат</v>
      </c>
    </row>
    <row r="2507" spans="1:6" x14ac:dyDescent="0.3">
      <c r="A2507" t="s">
        <v>5389</v>
      </c>
      <c r="B2507" t="s">
        <v>6</v>
      </c>
      <c r="C2507" t="s">
        <v>5390</v>
      </c>
      <c r="D2507" t="s">
        <v>5369</v>
      </c>
      <c r="E2507" t="s">
        <v>5370</v>
      </c>
      <c r="F2507" t="str">
        <f>HYPERLINK("https://talan.bank.gov.ua/get-user-certificate/45CElRRvemBNiLJe3Oua","Завантажити сертифікат")</f>
        <v>Завантажити сертифікат</v>
      </c>
    </row>
    <row r="2508" spans="1:6" x14ac:dyDescent="0.3">
      <c r="A2508" t="s">
        <v>5391</v>
      </c>
      <c r="B2508" t="s">
        <v>6</v>
      </c>
      <c r="C2508" t="s">
        <v>5392</v>
      </c>
      <c r="D2508" t="s">
        <v>5369</v>
      </c>
      <c r="E2508" t="s">
        <v>5370</v>
      </c>
      <c r="F2508" t="str">
        <f>HYPERLINK("https://talan.bank.gov.ua/get-user-certificate/45CElgJmvnuQI_BgDNzY","Завантажити сертифікат")</f>
        <v>Завантажити сертифікат</v>
      </c>
    </row>
    <row r="2509" spans="1:6" x14ac:dyDescent="0.3">
      <c r="A2509" t="s">
        <v>5393</v>
      </c>
      <c r="B2509" t="s">
        <v>6</v>
      </c>
      <c r="C2509" t="s">
        <v>5394</v>
      </c>
      <c r="D2509" t="s">
        <v>5369</v>
      </c>
      <c r="E2509" t="s">
        <v>5370</v>
      </c>
      <c r="F2509" t="str">
        <f>HYPERLINK("https://talan.bank.gov.ua/get-user-certificate/45CElTD2Xf-K3hem1B4k","Завантажити сертифікат")</f>
        <v>Завантажити сертифікат</v>
      </c>
    </row>
    <row r="2510" spans="1:6" x14ac:dyDescent="0.3">
      <c r="A2510" t="s">
        <v>5395</v>
      </c>
      <c r="B2510" t="s">
        <v>6</v>
      </c>
      <c r="C2510" t="s">
        <v>5396</v>
      </c>
      <c r="D2510" t="s">
        <v>5369</v>
      </c>
      <c r="E2510" t="s">
        <v>5370</v>
      </c>
      <c r="F2510" t="str">
        <f>HYPERLINK("https://talan.bank.gov.ua/get-user-certificate/45CEl_E20Dq5cbzYv4Ca","Завантажити сертифікат")</f>
        <v>Завантажити сертифікат</v>
      </c>
    </row>
    <row r="2511" spans="1:6" x14ac:dyDescent="0.3">
      <c r="A2511" t="s">
        <v>5397</v>
      </c>
      <c r="B2511" t="s">
        <v>6</v>
      </c>
      <c r="C2511" t="s">
        <v>5398</v>
      </c>
      <c r="D2511" t="s">
        <v>5399</v>
      </c>
      <c r="E2511" t="s">
        <v>5400</v>
      </c>
      <c r="F2511" t="str">
        <f>HYPERLINK("https://talan.bank.gov.ua/get-user-certificate/45CEldkTR9pcqueLF5LA","Завантажити сертифікат")</f>
        <v>Завантажити сертифікат</v>
      </c>
    </row>
    <row r="2512" spans="1:6" x14ac:dyDescent="0.3">
      <c r="A2512" t="s">
        <v>5401</v>
      </c>
      <c r="B2512" t="s">
        <v>6</v>
      </c>
      <c r="C2512" t="s">
        <v>5402</v>
      </c>
      <c r="D2512" t="s">
        <v>5399</v>
      </c>
      <c r="E2512" t="s">
        <v>5400</v>
      </c>
      <c r="F2512" t="str">
        <f>HYPERLINK("https://talan.bank.gov.ua/get-user-certificate/45CElMgvV7Q_Z_VH_vQb","Завантажити сертифікат")</f>
        <v>Завантажити сертифікат</v>
      </c>
    </row>
    <row r="2513" spans="1:6" x14ac:dyDescent="0.3">
      <c r="A2513" t="s">
        <v>5403</v>
      </c>
      <c r="B2513" t="s">
        <v>6</v>
      </c>
      <c r="C2513" t="s">
        <v>5404</v>
      </c>
      <c r="D2513" t="s">
        <v>5399</v>
      </c>
      <c r="E2513" t="s">
        <v>5400</v>
      </c>
      <c r="F2513" t="str">
        <f>HYPERLINK("https://talan.bank.gov.ua/get-user-certificate/45CElWEa_DC1U8l_N-yw","Завантажити сертифікат")</f>
        <v>Завантажити сертифікат</v>
      </c>
    </row>
    <row r="2514" spans="1:6" x14ac:dyDescent="0.3">
      <c r="A2514" t="s">
        <v>5405</v>
      </c>
      <c r="B2514" t="s">
        <v>6</v>
      </c>
      <c r="C2514" t="s">
        <v>5406</v>
      </c>
      <c r="D2514" t="s">
        <v>5399</v>
      </c>
      <c r="E2514" t="s">
        <v>5400</v>
      </c>
      <c r="F2514" t="str">
        <f>HYPERLINK("https://talan.bank.gov.ua/get-user-certificate/45CElAY2Oh4zZYbqr785","Завантажити сертифікат")</f>
        <v>Завантажити сертифікат</v>
      </c>
    </row>
    <row r="2515" spans="1:6" x14ac:dyDescent="0.3">
      <c r="A2515" t="s">
        <v>5407</v>
      </c>
      <c r="B2515" t="s">
        <v>6</v>
      </c>
      <c r="C2515" t="s">
        <v>5408</v>
      </c>
      <c r="D2515" t="s">
        <v>5399</v>
      </c>
      <c r="E2515" t="s">
        <v>5400</v>
      </c>
      <c r="F2515" t="str">
        <f>HYPERLINK("https://talan.bank.gov.ua/get-user-certificate/45CElaDFMHxH6gDS8zVw","Завантажити сертифікат")</f>
        <v>Завантажити сертифікат</v>
      </c>
    </row>
    <row r="2516" spans="1:6" x14ac:dyDescent="0.3">
      <c r="A2516" t="s">
        <v>5409</v>
      </c>
      <c r="B2516" t="s">
        <v>6</v>
      </c>
      <c r="C2516" t="s">
        <v>5410</v>
      </c>
      <c r="D2516" t="s">
        <v>5399</v>
      </c>
      <c r="E2516" t="s">
        <v>5400</v>
      </c>
      <c r="F2516" t="str">
        <f>HYPERLINK("https://talan.bank.gov.ua/get-user-certificate/45CEleNOM8ta72X_AcZg","Завантажити сертифікат")</f>
        <v>Завантажити сертифікат</v>
      </c>
    </row>
    <row r="2517" spans="1:6" x14ac:dyDescent="0.3">
      <c r="A2517" t="s">
        <v>5411</v>
      </c>
      <c r="B2517" t="s">
        <v>6</v>
      </c>
      <c r="C2517" t="s">
        <v>5412</v>
      </c>
      <c r="D2517" t="s">
        <v>5399</v>
      </c>
      <c r="E2517" t="s">
        <v>5400</v>
      </c>
      <c r="F2517" t="str">
        <f>HYPERLINK("https://talan.bank.gov.ua/get-user-certificate/45CEl9a91uuYzfBo15JV","Завантажити сертифікат")</f>
        <v>Завантажити сертифікат</v>
      </c>
    </row>
    <row r="2518" spans="1:6" x14ac:dyDescent="0.3">
      <c r="A2518" t="s">
        <v>5413</v>
      </c>
      <c r="B2518" t="s">
        <v>6</v>
      </c>
      <c r="C2518" t="s">
        <v>5414</v>
      </c>
      <c r="D2518" t="s">
        <v>5415</v>
      </c>
      <c r="E2518" t="s">
        <v>5416</v>
      </c>
      <c r="F2518" t="str">
        <f>HYPERLINK("https://talan.bank.gov.ua/get-user-certificate/45CElzaMzxq5Eb1bidO5","Завантажити сертифікат")</f>
        <v>Завантажити сертифікат</v>
      </c>
    </row>
    <row r="2519" spans="1:6" x14ac:dyDescent="0.3">
      <c r="A2519" t="s">
        <v>5417</v>
      </c>
      <c r="B2519" t="s">
        <v>6</v>
      </c>
      <c r="C2519" t="s">
        <v>5418</v>
      </c>
      <c r="D2519" t="s">
        <v>5415</v>
      </c>
      <c r="E2519" t="s">
        <v>5416</v>
      </c>
      <c r="F2519" t="str">
        <f>HYPERLINK("https://talan.bank.gov.ua/get-user-certificate/45CElhsBsFrWAeywbJz_","Завантажити сертифікат")</f>
        <v>Завантажити сертифікат</v>
      </c>
    </row>
    <row r="2520" spans="1:6" x14ac:dyDescent="0.3">
      <c r="A2520" t="s">
        <v>5419</v>
      </c>
      <c r="B2520" t="s">
        <v>6</v>
      </c>
      <c r="C2520" t="s">
        <v>5420</v>
      </c>
      <c r="D2520" t="s">
        <v>5415</v>
      </c>
      <c r="E2520" t="s">
        <v>5416</v>
      </c>
      <c r="F2520" t="str">
        <f>HYPERLINK("https://talan.bank.gov.ua/get-user-certificate/45CEloHWRvI8fTPwY6Dm","Завантажити сертифікат")</f>
        <v>Завантажити сертифікат</v>
      </c>
    </row>
    <row r="2521" spans="1:6" x14ac:dyDescent="0.3">
      <c r="A2521" t="s">
        <v>5421</v>
      </c>
      <c r="B2521" t="s">
        <v>6</v>
      </c>
      <c r="C2521" t="s">
        <v>5422</v>
      </c>
      <c r="D2521" t="s">
        <v>5415</v>
      </c>
      <c r="E2521" t="s">
        <v>5416</v>
      </c>
      <c r="F2521" t="str">
        <f>HYPERLINK("https://talan.bank.gov.ua/get-user-certificate/45CEl28tRhuypZgGsOfo","Завантажити сертифікат")</f>
        <v>Завантажити сертифікат</v>
      </c>
    </row>
    <row r="2522" spans="1:6" x14ac:dyDescent="0.3">
      <c r="A2522" t="s">
        <v>5423</v>
      </c>
      <c r="B2522" t="s">
        <v>6</v>
      </c>
      <c r="C2522" t="s">
        <v>5424</v>
      </c>
      <c r="D2522" t="s">
        <v>5415</v>
      </c>
      <c r="E2522" t="s">
        <v>5416</v>
      </c>
      <c r="F2522" t="str">
        <f>HYPERLINK("https://talan.bank.gov.ua/get-user-certificate/45CEl9uQ3ut19vkf-0n6","Завантажити сертифікат")</f>
        <v>Завантажити сертифікат</v>
      </c>
    </row>
    <row r="2523" spans="1:6" x14ac:dyDescent="0.3">
      <c r="A2523" t="s">
        <v>5425</v>
      </c>
      <c r="B2523" t="s">
        <v>6</v>
      </c>
      <c r="C2523" t="s">
        <v>5426</v>
      </c>
      <c r="D2523" t="s">
        <v>5415</v>
      </c>
      <c r="E2523" t="s">
        <v>5416</v>
      </c>
      <c r="F2523" t="str">
        <f>HYPERLINK("https://talan.bank.gov.ua/get-user-certificate/45CElyfCIUcm46qtnnas","Завантажити сертифікат")</f>
        <v>Завантажити сертифікат</v>
      </c>
    </row>
    <row r="2524" spans="1:6" x14ac:dyDescent="0.3">
      <c r="A2524" t="s">
        <v>5427</v>
      </c>
      <c r="B2524" t="s">
        <v>6</v>
      </c>
      <c r="C2524" t="s">
        <v>5428</v>
      </c>
      <c r="D2524" t="s">
        <v>5429</v>
      </c>
      <c r="E2524" t="s">
        <v>5430</v>
      </c>
      <c r="F2524" t="str">
        <f>HYPERLINK("https://talan.bank.gov.ua/get-user-certificate/45CElWZP_WPZDWFHi9CE","Завантажити сертифікат")</f>
        <v>Завантажити сертифікат</v>
      </c>
    </row>
    <row r="2525" spans="1:6" x14ac:dyDescent="0.3">
      <c r="A2525" t="s">
        <v>5431</v>
      </c>
      <c r="B2525" t="s">
        <v>6</v>
      </c>
      <c r="C2525" t="s">
        <v>5432</v>
      </c>
      <c r="D2525" t="s">
        <v>5429</v>
      </c>
      <c r="E2525" t="s">
        <v>5430</v>
      </c>
      <c r="F2525" t="str">
        <f>HYPERLINK("https://talan.bank.gov.ua/get-user-certificate/45CElUXmiC8P-Xm9fWW8","Завантажити сертифікат")</f>
        <v>Завантажити сертифікат</v>
      </c>
    </row>
    <row r="2526" spans="1:6" x14ac:dyDescent="0.3">
      <c r="A2526" t="s">
        <v>5433</v>
      </c>
      <c r="B2526" t="s">
        <v>6</v>
      </c>
      <c r="C2526" t="s">
        <v>5434</v>
      </c>
      <c r="D2526" t="s">
        <v>5429</v>
      </c>
      <c r="E2526" t="s">
        <v>5430</v>
      </c>
      <c r="F2526" t="str">
        <f>HYPERLINK("https://talan.bank.gov.ua/get-user-certificate/45CEliS1oRuxrJOBQth9","Завантажити сертифікат")</f>
        <v>Завантажити сертифікат</v>
      </c>
    </row>
    <row r="2527" spans="1:6" x14ac:dyDescent="0.3">
      <c r="A2527" t="s">
        <v>5435</v>
      </c>
      <c r="B2527" t="s">
        <v>6</v>
      </c>
      <c r="C2527" t="s">
        <v>5436</v>
      </c>
      <c r="D2527" t="s">
        <v>5429</v>
      </c>
      <c r="E2527" t="s">
        <v>5430</v>
      </c>
      <c r="F2527" t="str">
        <f>HYPERLINK("https://talan.bank.gov.ua/get-user-certificate/45CElGtDlHEq81Ti5Cj8","Завантажити сертифікат")</f>
        <v>Завантажити сертифікат</v>
      </c>
    </row>
    <row r="2528" spans="1:6" x14ac:dyDescent="0.3">
      <c r="A2528" t="s">
        <v>5437</v>
      </c>
      <c r="B2528" t="s">
        <v>6</v>
      </c>
      <c r="C2528" t="s">
        <v>5438</v>
      </c>
      <c r="D2528" t="s">
        <v>5429</v>
      </c>
      <c r="E2528" t="s">
        <v>5430</v>
      </c>
      <c r="F2528" t="str">
        <f>HYPERLINK("https://talan.bank.gov.ua/get-user-certificate/45CElF-osqD1OnVz5wNf","Завантажити сертифікат")</f>
        <v>Завантажити сертифікат</v>
      </c>
    </row>
    <row r="2529" spans="1:6" x14ac:dyDescent="0.3">
      <c r="A2529" t="s">
        <v>5439</v>
      </c>
      <c r="B2529" t="s">
        <v>6</v>
      </c>
      <c r="C2529" t="s">
        <v>5440</v>
      </c>
      <c r="D2529" t="s">
        <v>5429</v>
      </c>
      <c r="E2529" t="s">
        <v>5430</v>
      </c>
      <c r="F2529" t="str">
        <f>HYPERLINK("https://talan.bank.gov.ua/get-user-certificate/45CElxPo8cM7Y13BWhPQ","Завантажити сертифікат")</f>
        <v>Завантажити сертифікат</v>
      </c>
    </row>
    <row r="2530" spans="1:6" x14ac:dyDescent="0.3">
      <c r="A2530" t="s">
        <v>5441</v>
      </c>
      <c r="B2530" t="s">
        <v>6</v>
      </c>
      <c r="C2530" t="s">
        <v>5442</v>
      </c>
      <c r="D2530" t="s">
        <v>5429</v>
      </c>
      <c r="E2530" t="s">
        <v>5430</v>
      </c>
      <c r="F2530" t="str">
        <f>HYPERLINK("https://talan.bank.gov.ua/get-user-certificate/45CElCaTn2FXCn7Nt3r_","Завантажити сертифікат")</f>
        <v>Завантажити сертифікат</v>
      </c>
    </row>
    <row r="2531" spans="1:6" x14ac:dyDescent="0.3">
      <c r="A2531" t="s">
        <v>5443</v>
      </c>
      <c r="B2531" t="s">
        <v>6</v>
      </c>
      <c r="C2531" t="s">
        <v>5444</v>
      </c>
      <c r="D2531" t="s">
        <v>5429</v>
      </c>
      <c r="E2531" t="s">
        <v>5430</v>
      </c>
      <c r="F2531" t="str">
        <f>HYPERLINK("https://talan.bank.gov.ua/get-user-certificate/45CElwhxQoGe_5o2Vil_","Завантажити сертифікат")</f>
        <v>Завантажити сертифікат</v>
      </c>
    </row>
    <row r="2532" spans="1:6" x14ac:dyDescent="0.3">
      <c r="A2532" t="s">
        <v>5445</v>
      </c>
      <c r="B2532" t="s">
        <v>6</v>
      </c>
      <c r="C2532" t="s">
        <v>5446</v>
      </c>
      <c r="D2532" t="s">
        <v>5429</v>
      </c>
      <c r="E2532" t="s">
        <v>5430</v>
      </c>
      <c r="F2532" t="str">
        <f>HYPERLINK("https://talan.bank.gov.ua/get-user-certificate/45CElFjXXdLhd5j2eGNw","Завантажити сертифікат")</f>
        <v>Завантажити сертифікат</v>
      </c>
    </row>
    <row r="2533" spans="1:6" x14ac:dyDescent="0.3">
      <c r="A2533" t="s">
        <v>5447</v>
      </c>
      <c r="B2533" t="s">
        <v>6</v>
      </c>
      <c r="C2533" t="s">
        <v>5448</v>
      </c>
      <c r="D2533" t="s">
        <v>5429</v>
      </c>
      <c r="E2533" t="s">
        <v>5430</v>
      </c>
      <c r="F2533" t="str">
        <f>HYPERLINK("https://talan.bank.gov.ua/get-user-certificate/45CElv4GRYCt9gYPwqsq","Завантажити сертифікат")</f>
        <v>Завантажити сертифікат</v>
      </c>
    </row>
    <row r="2534" spans="1:6" x14ac:dyDescent="0.3">
      <c r="A2534" t="s">
        <v>5449</v>
      </c>
      <c r="B2534" t="s">
        <v>6</v>
      </c>
      <c r="C2534" t="s">
        <v>5450</v>
      </c>
      <c r="D2534" t="s">
        <v>5429</v>
      </c>
      <c r="E2534" t="s">
        <v>5430</v>
      </c>
      <c r="F2534" t="str">
        <f>HYPERLINK("https://talan.bank.gov.ua/get-user-certificate/45CElHIn_WuJIZtl3X-I","Завантажити сертифікат")</f>
        <v>Завантажити сертифікат</v>
      </c>
    </row>
    <row r="2535" spans="1:6" x14ac:dyDescent="0.3">
      <c r="A2535" t="s">
        <v>5451</v>
      </c>
      <c r="B2535" t="s">
        <v>6</v>
      </c>
      <c r="C2535" t="s">
        <v>5452</v>
      </c>
      <c r="D2535" t="s">
        <v>5429</v>
      </c>
      <c r="E2535" t="s">
        <v>5430</v>
      </c>
      <c r="F2535" t="str">
        <f>HYPERLINK("https://talan.bank.gov.ua/get-user-certificate/45CEloiOjvAyw98cfWQ6","Завантажити сертифікат")</f>
        <v>Завантажити сертифікат</v>
      </c>
    </row>
    <row r="2536" spans="1:6" x14ac:dyDescent="0.3">
      <c r="A2536" t="s">
        <v>5453</v>
      </c>
      <c r="B2536" t="s">
        <v>6</v>
      </c>
      <c r="C2536" t="s">
        <v>5454</v>
      </c>
      <c r="D2536" t="s">
        <v>5429</v>
      </c>
      <c r="E2536" t="s">
        <v>5430</v>
      </c>
      <c r="F2536" t="str">
        <f>HYPERLINK("https://talan.bank.gov.ua/get-user-certificate/45CEljF4uMlpSNof1PBP","Завантажити сертифікат")</f>
        <v>Завантажити сертифікат</v>
      </c>
    </row>
    <row r="2537" spans="1:6" x14ac:dyDescent="0.3">
      <c r="A2537" t="s">
        <v>5455</v>
      </c>
      <c r="B2537" t="s">
        <v>6</v>
      </c>
      <c r="C2537" t="s">
        <v>5456</v>
      </c>
      <c r="D2537" t="s">
        <v>5429</v>
      </c>
      <c r="E2537" t="s">
        <v>5430</v>
      </c>
      <c r="F2537" t="str">
        <f>HYPERLINK("https://talan.bank.gov.ua/get-user-certificate/45CElsVzPsKwilAmhnKY","Завантажити сертифікат")</f>
        <v>Завантажити сертифікат</v>
      </c>
    </row>
    <row r="2538" spans="1:6" x14ac:dyDescent="0.3">
      <c r="A2538" t="s">
        <v>5457</v>
      </c>
      <c r="B2538" t="s">
        <v>6</v>
      </c>
      <c r="C2538" t="s">
        <v>5458</v>
      </c>
      <c r="D2538" t="s">
        <v>5429</v>
      </c>
      <c r="E2538" t="s">
        <v>5430</v>
      </c>
      <c r="F2538" t="str">
        <f>HYPERLINK("https://talan.bank.gov.ua/get-user-certificate/45CElfiJAjqcFnklO9Ge","Завантажити сертифікат")</f>
        <v>Завантажити сертифікат</v>
      </c>
    </row>
    <row r="2539" spans="1:6" x14ac:dyDescent="0.3">
      <c r="A2539" t="s">
        <v>5459</v>
      </c>
      <c r="B2539" t="s">
        <v>6</v>
      </c>
      <c r="C2539" t="s">
        <v>5460</v>
      </c>
      <c r="D2539" t="s">
        <v>5429</v>
      </c>
      <c r="E2539" t="s">
        <v>5430</v>
      </c>
      <c r="F2539" t="str">
        <f>HYPERLINK("https://talan.bank.gov.ua/get-user-certificate/45CElxw2d0AihESBCyy7","Завантажити сертифікат")</f>
        <v>Завантажити сертифікат</v>
      </c>
    </row>
    <row r="2540" spans="1:6" x14ac:dyDescent="0.3">
      <c r="A2540" t="s">
        <v>5461</v>
      </c>
      <c r="B2540" t="s">
        <v>6</v>
      </c>
      <c r="C2540" t="s">
        <v>5462</v>
      </c>
      <c r="D2540" t="s">
        <v>5429</v>
      </c>
      <c r="E2540" t="s">
        <v>5430</v>
      </c>
      <c r="F2540" t="str">
        <f>HYPERLINK("https://talan.bank.gov.ua/get-user-certificate/45CEl2K3dqrcXnvu7Lll","Завантажити сертифікат")</f>
        <v>Завантажити сертифікат</v>
      </c>
    </row>
    <row r="2541" spans="1:6" x14ac:dyDescent="0.3">
      <c r="A2541" t="s">
        <v>5463</v>
      </c>
      <c r="B2541" t="s">
        <v>6</v>
      </c>
      <c r="C2541" t="s">
        <v>5464</v>
      </c>
      <c r="D2541" t="s">
        <v>5429</v>
      </c>
      <c r="E2541" t="s">
        <v>5430</v>
      </c>
      <c r="F2541" t="str">
        <f>HYPERLINK("https://talan.bank.gov.ua/get-user-certificate/45CElzbuFI4uDjOx7oVs","Завантажити сертифікат")</f>
        <v>Завантажити сертифікат</v>
      </c>
    </row>
    <row r="2542" spans="1:6" x14ac:dyDescent="0.3">
      <c r="A2542" t="s">
        <v>5465</v>
      </c>
      <c r="B2542" t="s">
        <v>6</v>
      </c>
      <c r="C2542" t="s">
        <v>5466</v>
      </c>
      <c r="D2542" t="s">
        <v>5467</v>
      </c>
      <c r="E2542" t="s">
        <v>5468</v>
      </c>
      <c r="F2542" t="str">
        <f>HYPERLINK("https://talan.bank.gov.ua/get-user-certificate/45CElwhlScgN9b5niHUG","Завантажити сертифікат")</f>
        <v>Завантажити сертифікат</v>
      </c>
    </row>
    <row r="2543" spans="1:6" x14ac:dyDescent="0.3">
      <c r="A2543" t="s">
        <v>5469</v>
      </c>
      <c r="B2543" t="s">
        <v>6</v>
      </c>
      <c r="C2543" t="s">
        <v>5470</v>
      </c>
      <c r="D2543" t="s">
        <v>5467</v>
      </c>
      <c r="E2543" t="s">
        <v>5468</v>
      </c>
      <c r="F2543" t="str">
        <f>HYPERLINK("https://talan.bank.gov.ua/get-user-certificate/45CEloAzkfYSc20Mliwu","Завантажити сертифікат")</f>
        <v>Завантажити сертифікат</v>
      </c>
    </row>
    <row r="2544" spans="1:6" x14ac:dyDescent="0.3">
      <c r="A2544" t="s">
        <v>5471</v>
      </c>
      <c r="B2544" t="s">
        <v>6</v>
      </c>
      <c r="C2544" t="s">
        <v>5472</v>
      </c>
      <c r="D2544" t="s">
        <v>5467</v>
      </c>
      <c r="E2544" t="s">
        <v>5468</v>
      </c>
      <c r="F2544" t="str">
        <f>HYPERLINK("https://talan.bank.gov.ua/get-user-certificate/45CElAuxTGT5tyfny12J","Завантажити сертифікат")</f>
        <v>Завантажити сертифікат</v>
      </c>
    </row>
    <row r="2545" spans="1:6" x14ac:dyDescent="0.3">
      <c r="A2545" t="s">
        <v>5473</v>
      </c>
      <c r="B2545" t="s">
        <v>6</v>
      </c>
      <c r="C2545" t="s">
        <v>5474</v>
      </c>
      <c r="D2545" t="s">
        <v>5467</v>
      </c>
      <c r="E2545" t="s">
        <v>5468</v>
      </c>
      <c r="F2545" t="str">
        <f>HYPERLINK("https://talan.bank.gov.ua/get-user-certificate/45CEl1QCus31B9tw1WC-","Завантажити сертифікат")</f>
        <v>Завантажити сертифікат</v>
      </c>
    </row>
    <row r="2546" spans="1:6" x14ac:dyDescent="0.3">
      <c r="A2546" t="s">
        <v>5475</v>
      </c>
      <c r="B2546" t="s">
        <v>6</v>
      </c>
      <c r="C2546" t="s">
        <v>5476</v>
      </c>
      <c r="D2546" t="s">
        <v>5467</v>
      </c>
      <c r="E2546" t="s">
        <v>5468</v>
      </c>
      <c r="F2546" t="str">
        <f>HYPERLINK("https://talan.bank.gov.ua/get-user-certificate/45CElTtqe9TFZgvx1P3o","Завантажити сертифікат")</f>
        <v>Завантажити сертифікат</v>
      </c>
    </row>
    <row r="2547" spans="1:6" x14ac:dyDescent="0.3">
      <c r="A2547" t="s">
        <v>5477</v>
      </c>
      <c r="B2547" t="s">
        <v>6</v>
      </c>
      <c r="C2547" t="s">
        <v>5478</v>
      </c>
      <c r="D2547" t="s">
        <v>5467</v>
      </c>
      <c r="E2547" t="s">
        <v>5468</v>
      </c>
      <c r="F2547" t="str">
        <f>HYPERLINK("https://talan.bank.gov.ua/get-user-certificate/45CElTS5rZXybg1pJ9OD","Завантажити сертифікат")</f>
        <v>Завантажити сертифікат</v>
      </c>
    </row>
    <row r="2548" spans="1:6" x14ac:dyDescent="0.3">
      <c r="A2548" t="s">
        <v>5479</v>
      </c>
      <c r="B2548" t="s">
        <v>6</v>
      </c>
      <c r="C2548" t="s">
        <v>5480</v>
      </c>
      <c r="D2548" t="s">
        <v>5467</v>
      </c>
      <c r="E2548" t="s">
        <v>5468</v>
      </c>
      <c r="F2548" t="str">
        <f>HYPERLINK("https://talan.bank.gov.ua/get-user-certificate/45CEl_khGKSrv1-QxM5u","Завантажити сертифікат")</f>
        <v>Завантажити сертифікат</v>
      </c>
    </row>
    <row r="2549" spans="1:6" x14ac:dyDescent="0.3">
      <c r="A2549" t="s">
        <v>5481</v>
      </c>
      <c r="B2549" t="s">
        <v>6</v>
      </c>
      <c r="C2549" t="s">
        <v>5482</v>
      </c>
      <c r="D2549" t="s">
        <v>5467</v>
      </c>
      <c r="E2549" t="s">
        <v>5468</v>
      </c>
      <c r="F2549" t="str">
        <f>HYPERLINK("https://talan.bank.gov.ua/get-user-certificate/45CElY6DW4rDJrtqMmxE","Завантажити сертифікат")</f>
        <v>Завантажити сертифікат</v>
      </c>
    </row>
    <row r="2550" spans="1:6" x14ac:dyDescent="0.3">
      <c r="A2550" t="s">
        <v>5483</v>
      </c>
      <c r="B2550" t="s">
        <v>6</v>
      </c>
      <c r="C2550" t="s">
        <v>5484</v>
      </c>
      <c r="D2550" t="s">
        <v>5467</v>
      </c>
      <c r="E2550" t="s">
        <v>5468</v>
      </c>
      <c r="F2550" t="str">
        <f>HYPERLINK("https://talan.bank.gov.ua/get-user-certificate/45CEl5z0oxCY2cPH9XWp","Завантажити сертифікат")</f>
        <v>Завантажити сертифікат</v>
      </c>
    </row>
    <row r="2551" spans="1:6" x14ac:dyDescent="0.3">
      <c r="A2551" t="s">
        <v>5485</v>
      </c>
      <c r="B2551" t="s">
        <v>6</v>
      </c>
      <c r="C2551" t="s">
        <v>5486</v>
      </c>
      <c r="D2551" t="s">
        <v>5467</v>
      </c>
      <c r="E2551" t="s">
        <v>5468</v>
      </c>
      <c r="F2551" t="str">
        <f>HYPERLINK("https://talan.bank.gov.ua/get-user-certificate/45CElvtuIleSZcTxHhgs","Завантажити сертифікат")</f>
        <v>Завантажити сертифікат</v>
      </c>
    </row>
    <row r="2552" spans="1:6" x14ac:dyDescent="0.3">
      <c r="A2552" t="s">
        <v>5487</v>
      </c>
      <c r="B2552" t="s">
        <v>6</v>
      </c>
      <c r="C2552" t="s">
        <v>5488</v>
      </c>
      <c r="D2552" t="s">
        <v>5467</v>
      </c>
      <c r="E2552" t="s">
        <v>5468</v>
      </c>
      <c r="F2552" t="str">
        <f>HYPERLINK("https://talan.bank.gov.ua/get-user-certificate/45CElQzKuMjdaQzA7gWn","Завантажити сертифікат")</f>
        <v>Завантажити сертифікат</v>
      </c>
    </row>
    <row r="2553" spans="1:6" x14ac:dyDescent="0.3">
      <c r="A2553" t="s">
        <v>5489</v>
      </c>
      <c r="B2553" t="s">
        <v>6</v>
      </c>
      <c r="C2553" t="s">
        <v>5490</v>
      </c>
      <c r="D2553" t="s">
        <v>5467</v>
      </c>
      <c r="E2553" t="s">
        <v>5468</v>
      </c>
      <c r="F2553" t="str">
        <f>HYPERLINK("https://talan.bank.gov.ua/get-user-certificate/45CElQVxyhgg4LYjFCyM","Завантажити сертифікат")</f>
        <v>Завантажити сертифікат</v>
      </c>
    </row>
    <row r="2554" spans="1:6" x14ac:dyDescent="0.3">
      <c r="A2554" t="s">
        <v>5491</v>
      </c>
      <c r="B2554" t="s">
        <v>6</v>
      </c>
      <c r="C2554" t="s">
        <v>5492</v>
      </c>
      <c r="D2554" t="s">
        <v>5467</v>
      </c>
      <c r="E2554" t="s">
        <v>5468</v>
      </c>
      <c r="F2554" t="str">
        <f>HYPERLINK("https://talan.bank.gov.ua/get-user-certificate/45CElxTdrPjrAbkRgtYT","Завантажити сертифікат")</f>
        <v>Завантажити сертифікат</v>
      </c>
    </row>
    <row r="2555" spans="1:6" x14ac:dyDescent="0.3">
      <c r="A2555" t="s">
        <v>5493</v>
      </c>
      <c r="B2555" t="s">
        <v>6</v>
      </c>
      <c r="C2555" t="s">
        <v>5494</v>
      </c>
      <c r="D2555" t="s">
        <v>5467</v>
      </c>
      <c r="E2555" t="s">
        <v>5468</v>
      </c>
      <c r="F2555" t="str">
        <f>HYPERLINK("https://talan.bank.gov.ua/get-user-certificate/45CEl1cUKJ12jHqfboTS","Завантажити сертифікат")</f>
        <v>Завантажити сертифікат</v>
      </c>
    </row>
    <row r="2556" spans="1:6" x14ac:dyDescent="0.3">
      <c r="A2556" t="s">
        <v>5495</v>
      </c>
      <c r="B2556" t="s">
        <v>6</v>
      </c>
      <c r="C2556" t="s">
        <v>5496</v>
      </c>
      <c r="D2556" t="s">
        <v>5467</v>
      </c>
      <c r="E2556" t="s">
        <v>5468</v>
      </c>
      <c r="F2556" t="str">
        <f>HYPERLINK("https://talan.bank.gov.ua/get-user-certificate/45CElB-gv-5CzDfDTYk5","Завантажити сертифікат")</f>
        <v>Завантажити сертифікат</v>
      </c>
    </row>
    <row r="2557" spans="1:6" x14ac:dyDescent="0.3">
      <c r="A2557" t="s">
        <v>5497</v>
      </c>
      <c r="B2557" t="s">
        <v>6</v>
      </c>
      <c r="C2557" t="s">
        <v>5498</v>
      </c>
      <c r="D2557" t="s">
        <v>5467</v>
      </c>
      <c r="E2557" t="s">
        <v>5468</v>
      </c>
      <c r="F2557" t="str">
        <f>HYPERLINK("https://talan.bank.gov.ua/get-user-certificate/45CElrOeKyb1cMLh9q0x","Завантажити сертифікат")</f>
        <v>Завантажити сертифікат</v>
      </c>
    </row>
    <row r="2558" spans="1:6" x14ac:dyDescent="0.3">
      <c r="A2558" t="s">
        <v>5499</v>
      </c>
      <c r="B2558" t="s">
        <v>6</v>
      </c>
      <c r="C2558" t="s">
        <v>5500</v>
      </c>
      <c r="D2558" t="s">
        <v>5467</v>
      </c>
      <c r="E2558" t="s">
        <v>5468</v>
      </c>
      <c r="F2558" t="str">
        <f>HYPERLINK("https://talan.bank.gov.ua/get-user-certificate/45CEllOPPgGsESJapDm5","Завантажити сертифікат")</f>
        <v>Завантажити сертифікат</v>
      </c>
    </row>
    <row r="2559" spans="1:6" x14ac:dyDescent="0.3">
      <c r="A2559" t="s">
        <v>5501</v>
      </c>
      <c r="B2559" t="s">
        <v>6</v>
      </c>
      <c r="C2559" t="s">
        <v>5502</v>
      </c>
      <c r="D2559" t="s">
        <v>5467</v>
      </c>
      <c r="E2559" t="s">
        <v>5468</v>
      </c>
      <c r="F2559" t="str">
        <f>HYPERLINK("https://talan.bank.gov.ua/get-user-certificate/45CElCJXgBCOU04x3oS4","Завантажити сертифікат")</f>
        <v>Завантажити сертифікат</v>
      </c>
    </row>
    <row r="2560" spans="1:6" x14ac:dyDescent="0.3">
      <c r="A2560" t="s">
        <v>5503</v>
      </c>
      <c r="B2560" t="s">
        <v>6</v>
      </c>
      <c r="C2560" t="s">
        <v>5504</v>
      </c>
      <c r="D2560" t="s">
        <v>5467</v>
      </c>
      <c r="E2560" t="s">
        <v>5468</v>
      </c>
      <c r="F2560" t="str">
        <f>HYPERLINK("https://talan.bank.gov.ua/get-user-certificate/45CElQx2GB0HP-_43TyG","Завантажити сертифікат")</f>
        <v>Завантажити сертифікат</v>
      </c>
    </row>
    <row r="2561" spans="1:6" x14ac:dyDescent="0.3">
      <c r="A2561" t="s">
        <v>5505</v>
      </c>
      <c r="B2561" t="s">
        <v>6</v>
      </c>
      <c r="C2561" t="s">
        <v>5506</v>
      </c>
      <c r="D2561" t="s">
        <v>5467</v>
      </c>
      <c r="E2561" t="s">
        <v>5468</v>
      </c>
      <c r="F2561" t="str">
        <f>HYPERLINK("https://talan.bank.gov.ua/get-user-certificate/45CElBZ3VHWnLgDaYmnC","Завантажити сертифікат")</f>
        <v>Завантажити сертифікат</v>
      </c>
    </row>
    <row r="2562" spans="1:6" x14ac:dyDescent="0.3">
      <c r="A2562" t="s">
        <v>5507</v>
      </c>
      <c r="B2562" t="s">
        <v>6</v>
      </c>
      <c r="C2562" t="s">
        <v>5508</v>
      </c>
      <c r="D2562" t="s">
        <v>5467</v>
      </c>
      <c r="E2562" t="s">
        <v>5468</v>
      </c>
      <c r="F2562" t="str">
        <f>HYPERLINK("https://talan.bank.gov.ua/get-user-certificate/45CElVFcTK2oDJ1j5luV","Завантажити сертифікат")</f>
        <v>Завантажити сертифікат</v>
      </c>
    </row>
    <row r="2563" spans="1:6" x14ac:dyDescent="0.3">
      <c r="A2563" t="s">
        <v>5509</v>
      </c>
      <c r="B2563" t="s">
        <v>6</v>
      </c>
      <c r="C2563" t="s">
        <v>5510</v>
      </c>
      <c r="D2563" t="s">
        <v>5467</v>
      </c>
      <c r="E2563" t="s">
        <v>5468</v>
      </c>
      <c r="F2563" t="str">
        <f>HYPERLINK("https://talan.bank.gov.ua/get-user-certificate/45CElhRoqOWG-COT_7zM","Завантажити сертифікат")</f>
        <v>Завантажити сертифікат</v>
      </c>
    </row>
    <row r="2564" spans="1:6" x14ac:dyDescent="0.3">
      <c r="A2564" t="s">
        <v>5511</v>
      </c>
      <c r="B2564" t="s">
        <v>6</v>
      </c>
      <c r="C2564" t="s">
        <v>5512</v>
      </c>
      <c r="D2564" t="s">
        <v>5467</v>
      </c>
      <c r="E2564" t="s">
        <v>5468</v>
      </c>
      <c r="F2564" t="str">
        <f>HYPERLINK("https://talan.bank.gov.ua/get-user-certificate/45CEl-pi8Jmu5COlyZ9u","Завантажити сертифікат")</f>
        <v>Завантажити сертифікат</v>
      </c>
    </row>
    <row r="2565" spans="1:6" x14ac:dyDescent="0.3">
      <c r="A2565" t="s">
        <v>5513</v>
      </c>
      <c r="B2565" t="s">
        <v>6</v>
      </c>
      <c r="C2565" t="s">
        <v>5514</v>
      </c>
      <c r="D2565" t="s">
        <v>5467</v>
      </c>
      <c r="E2565" t="s">
        <v>5468</v>
      </c>
      <c r="F2565" t="str">
        <f>HYPERLINK("https://talan.bank.gov.ua/get-user-certificate/45CElTPr2XcN5Kj757Nz","Завантажити сертифікат")</f>
        <v>Завантажити сертифікат</v>
      </c>
    </row>
    <row r="2566" spans="1:6" x14ac:dyDescent="0.3">
      <c r="A2566" t="s">
        <v>5515</v>
      </c>
      <c r="B2566" t="s">
        <v>6</v>
      </c>
      <c r="C2566" t="s">
        <v>5516</v>
      </c>
      <c r="D2566" t="s">
        <v>5467</v>
      </c>
      <c r="E2566" t="s">
        <v>5468</v>
      </c>
      <c r="F2566" t="str">
        <f>HYPERLINK("https://talan.bank.gov.ua/get-user-certificate/45CElNRyKxeujFwtLDDf","Завантажити сертифікат")</f>
        <v>Завантажити сертифікат</v>
      </c>
    </row>
    <row r="2567" spans="1:6" x14ac:dyDescent="0.3">
      <c r="A2567" t="s">
        <v>5517</v>
      </c>
      <c r="B2567" t="s">
        <v>6</v>
      </c>
      <c r="C2567" t="s">
        <v>5518</v>
      </c>
      <c r="D2567" t="s">
        <v>5467</v>
      </c>
      <c r="E2567" t="s">
        <v>5468</v>
      </c>
      <c r="F2567" t="str">
        <f>HYPERLINK("https://talan.bank.gov.ua/get-user-certificate/45CEl0PS9WSkjAX9DtLc","Завантажити сертифікат")</f>
        <v>Завантажити сертифікат</v>
      </c>
    </row>
    <row r="2568" spans="1:6" x14ac:dyDescent="0.3">
      <c r="A2568" t="s">
        <v>5519</v>
      </c>
      <c r="B2568" t="s">
        <v>6</v>
      </c>
      <c r="C2568" t="s">
        <v>5520</v>
      </c>
      <c r="D2568" t="s">
        <v>5467</v>
      </c>
      <c r="E2568" t="s">
        <v>5468</v>
      </c>
      <c r="F2568" t="str">
        <f>HYPERLINK("https://talan.bank.gov.ua/get-user-certificate/45CEln7V4VMts_YTPutO","Завантажити сертифікат")</f>
        <v>Завантажити сертифікат</v>
      </c>
    </row>
    <row r="2569" spans="1:6" x14ac:dyDescent="0.3">
      <c r="A2569" t="s">
        <v>5521</v>
      </c>
      <c r="B2569" t="s">
        <v>6</v>
      </c>
      <c r="C2569" t="s">
        <v>5522</v>
      </c>
      <c r="D2569" t="s">
        <v>5467</v>
      </c>
      <c r="E2569" t="s">
        <v>5468</v>
      </c>
      <c r="F2569" t="str">
        <f>HYPERLINK("https://talan.bank.gov.ua/get-user-certificate/45CElP_ytHj7ZLczG0r2","Завантажити сертифікат")</f>
        <v>Завантажити сертифікат</v>
      </c>
    </row>
    <row r="2570" spans="1:6" x14ac:dyDescent="0.3">
      <c r="A2570" t="s">
        <v>5523</v>
      </c>
      <c r="B2570" t="s">
        <v>6</v>
      </c>
      <c r="C2570" t="s">
        <v>5524</v>
      </c>
      <c r="D2570" t="s">
        <v>5467</v>
      </c>
      <c r="E2570" t="s">
        <v>5468</v>
      </c>
      <c r="F2570" t="str">
        <f>HYPERLINK("https://talan.bank.gov.ua/get-user-certificate/45CElNEFrBzvQZeCqNwl","Завантажити сертифікат")</f>
        <v>Завантажити сертифікат</v>
      </c>
    </row>
    <row r="2571" spans="1:6" x14ac:dyDescent="0.3">
      <c r="A2571" t="s">
        <v>5525</v>
      </c>
      <c r="B2571" t="s">
        <v>6</v>
      </c>
      <c r="C2571" t="s">
        <v>5526</v>
      </c>
      <c r="D2571" t="s">
        <v>5467</v>
      </c>
      <c r="E2571" t="s">
        <v>5468</v>
      </c>
      <c r="F2571" t="str">
        <f>HYPERLINK("https://talan.bank.gov.ua/get-user-certificate/45CElzLHozN1d84o2G8P","Завантажити сертифікат")</f>
        <v>Завантажити сертифікат</v>
      </c>
    </row>
    <row r="2572" spans="1:6" x14ac:dyDescent="0.3">
      <c r="A2572" t="s">
        <v>5527</v>
      </c>
      <c r="B2572" t="s">
        <v>6</v>
      </c>
      <c r="C2572" t="s">
        <v>5528</v>
      </c>
      <c r="D2572" t="s">
        <v>5467</v>
      </c>
      <c r="E2572" t="s">
        <v>5468</v>
      </c>
      <c r="F2572" t="str">
        <f>HYPERLINK("https://talan.bank.gov.ua/get-user-certificate/45CEll7tKwf1NASQPw2V","Завантажити сертифікат")</f>
        <v>Завантажити сертифікат</v>
      </c>
    </row>
    <row r="2573" spans="1:6" x14ac:dyDescent="0.3">
      <c r="A2573" t="s">
        <v>5529</v>
      </c>
      <c r="B2573" t="s">
        <v>6</v>
      </c>
      <c r="C2573" t="s">
        <v>5530</v>
      </c>
      <c r="D2573" t="s">
        <v>5467</v>
      </c>
      <c r="E2573" t="s">
        <v>5468</v>
      </c>
      <c r="F2573" t="str">
        <f>HYPERLINK("https://talan.bank.gov.ua/get-user-certificate/45CElSid9s_-j8RCMyw5","Завантажити сертифікат")</f>
        <v>Завантажити сертифікат</v>
      </c>
    </row>
    <row r="2574" spans="1:6" x14ac:dyDescent="0.3">
      <c r="A2574" t="s">
        <v>5531</v>
      </c>
      <c r="B2574" t="s">
        <v>6</v>
      </c>
      <c r="C2574" t="s">
        <v>5532</v>
      </c>
      <c r="D2574" t="s">
        <v>5467</v>
      </c>
      <c r="E2574" t="s">
        <v>5468</v>
      </c>
      <c r="F2574" t="str">
        <f>HYPERLINK("https://talan.bank.gov.ua/get-user-certificate/45CElz1WuLHzhzl93Lfx","Завантажити сертифікат")</f>
        <v>Завантажити сертифікат</v>
      </c>
    </row>
    <row r="2575" spans="1:6" x14ac:dyDescent="0.3">
      <c r="A2575" t="s">
        <v>5533</v>
      </c>
      <c r="B2575" t="s">
        <v>6</v>
      </c>
      <c r="C2575" t="s">
        <v>5534</v>
      </c>
      <c r="D2575" t="s">
        <v>5467</v>
      </c>
      <c r="E2575" t="s">
        <v>5468</v>
      </c>
      <c r="F2575" t="str">
        <f>HYPERLINK("https://talan.bank.gov.ua/get-user-certificate/45CEl_nf5pvtg3FokCCI","Завантажити сертифікат")</f>
        <v>Завантажити сертифікат</v>
      </c>
    </row>
    <row r="2576" spans="1:6" x14ac:dyDescent="0.3">
      <c r="A2576" t="s">
        <v>5535</v>
      </c>
      <c r="B2576" t="s">
        <v>6</v>
      </c>
      <c r="C2576" t="s">
        <v>5536</v>
      </c>
      <c r="D2576" t="s">
        <v>5467</v>
      </c>
      <c r="E2576" t="s">
        <v>5468</v>
      </c>
      <c r="F2576" t="str">
        <f>HYPERLINK("https://talan.bank.gov.ua/get-user-certificate/45CElsEz75kb9Dmz_HJm","Завантажити сертифікат")</f>
        <v>Завантажити сертифікат</v>
      </c>
    </row>
    <row r="2577" spans="1:6" x14ac:dyDescent="0.3">
      <c r="A2577" t="s">
        <v>5537</v>
      </c>
      <c r="B2577" t="s">
        <v>6</v>
      </c>
      <c r="C2577" t="s">
        <v>5538</v>
      </c>
      <c r="D2577" t="s">
        <v>5467</v>
      </c>
      <c r="E2577" t="s">
        <v>5468</v>
      </c>
      <c r="F2577" t="str">
        <f>HYPERLINK("https://talan.bank.gov.ua/get-user-certificate/45CElHa2wmggnBdNWK9P","Завантажити сертифікат")</f>
        <v>Завантажити сертифікат</v>
      </c>
    </row>
    <row r="2578" spans="1:6" x14ac:dyDescent="0.3">
      <c r="A2578" t="s">
        <v>5539</v>
      </c>
      <c r="B2578" t="s">
        <v>6</v>
      </c>
      <c r="C2578" t="s">
        <v>5540</v>
      </c>
      <c r="D2578" t="s">
        <v>5467</v>
      </c>
      <c r="E2578" t="s">
        <v>5468</v>
      </c>
      <c r="F2578" t="str">
        <f>HYPERLINK("https://talan.bank.gov.ua/get-user-certificate/45CEl_KUDHCddF1GE9-T","Завантажити сертифікат")</f>
        <v>Завантажити сертифікат</v>
      </c>
    </row>
    <row r="2579" spans="1:6" x14ac:dyDescent="0.3">
      <c r="A2579" t="s">
        <v>5541</v>
      </c>
      <c r="B2579" t="s">
        <v>6</v>
      </c>
      <c r="C2579" t="s">
        <v>5542</v>
      </c>
      <c r="D2579" t="s">
        <v>5467</v>
      </c>
      <c r="E2579" t="s">
        <v>5468</v>
      </c>
      <c r="F2579" t="str">
        <f>HYPERLINK("https://talan.bank.gov.ua/get-user-certificate/45CElbDBP79dJG2qtwRs","Завантажити сертифікат")</f>
        <v>Завантажити сертифікат</v>
      </c>
    </row>
    <row r="2580" spans="1:6" x14ac:dyDescent="0.3">
      <c r="A2580" t="s">
        <v>5543</v>
      </c>
      <c r="B2580" t="s">
        <v>6</v>
      </c>
      <c r="C2580" t="s">
        <v>5544</v>
      </c>
      <c r="D2580" t="s">
        <v>5467</v>
      </c>
      <c r="E2580" t="s">
        <v>5468</v>
      </c>
      <c r="F2580" t="str">
        <f>HYPERLINK("https://talan.bank.gov.ua/get-user-certificate/45CEl6hzt5L6MsxKkPUR","Завантажити сертифікат")</f>
        <v>Завантажити сертифікат</v>
      </c>
    </row>
    <row r="2581" spans="1:6" x14ac:dyDescent="0.3">
      <c r="A2581" t="s">
        <v>5545</v>
      </c>
      <c r="B2581" t="s">
        <v>6</v>
      </c>
      <c r="C2581" t="s">
        <v>5546</v>
      </c>
      <c r="D2581" t="s">
        <v>5467</v>
      </c>
      <c r="E2581" t="s">
        <v>5468</v>
      </c>
      <c r="F2581" t="str">
        <f>HYPERLINK("https://talan.bank.gov.ua/get-user-certificate/45CElLJlwfJnfze1xVdM","Завантажити сертифікат")</f>
        <v>Завантажити сертифікат</v>
      </c>
    </row>
    <row r="2582" spans="1:6" x14ac:dyDescent="0.3">
      <c r="A2582" t="s">
        <v>5547</v>
      </c>
      <c r="B2582" t="s">
        <v>6</v>
      </c>
      <c r="C2582" t="s">
        <v>5548</v>
      </c>
      <c r="D2582" t="s">
        <v>5467</v>
      </c>
      <c r="E2582" t="s">
        <v>5468</v>
      </c>
      <c r="F2582" t="str">
        <f>HYPERLINK("https://talan.bank.gov.ua/get-user-certificate/45CEljeRdgLN7nBMwGPK","Завантажити сертифікат")</f>
        <v>Завантажити сертифікат</v>
      </c>
    </row>
    <row r="2583" spans="1:6" x14ac:dyDescent="0.3">
      <c r="A2583" t="s">
        <v>5549</v>
      </c>
      <c r="B2583" t="s">
        <v>6</v>
      </c>
      <c r="C2583" t="s">
        <v>5550</v>
      </c>
      <c r="D2583" t="s">
        <v>5467</v>
      </c>
      <c r="E2583" t="s">
        <v>5468</v>
      </c>
      <c r="F2583" t="str">
        <f>HYPERLINK("https://talan.bank.gov.ua/get-user-certificate/45CElQNWsjga0FI8xZQ5","Завантажити сертифікат")</f>
        <v>Завантажити сертифікат</v>
      </c>
    </row>
    <row r="2584" spans="1:6" x14ac:dyDescent="0.3">
      <c r="A2584" t="s">
        <v>5551</v>
      </c>
      <c r="B2584" t="s">
        <v>6</v>
      </c>
      <c r="C2584" t="s">
        <v>5552</v>
      </c>
      <c r="D2584" t="s">
        <v>5467</v>
      </c>
      <c r="E2584" t="s">
        <v>5468</v>
      </c>
      <c r="F2584" t="str">
        <f>HYPERLINK("https://talan.bank.gov.ua/get-user-certificate/45CElcKu4U4xDHwKTu0Y","Завантажити сертифікат")</f>
        <v>Завантажити сертифікат</v>
      </c>
    </row>
    <row r="2585" spans="1:6" x14ac:dyDescent="0.3">
      <c r="A2585" t="s">
        <v>5553</v>
      </c>
      <c r="B2585" t="s">
        <v>6</v>
      </c>
      <c r="C2585" t="s">
        <v>5554</v>
      </c>
      <c r="D2585" t="s">
        <v>5467</v>
      </c>
      <c r="E2585" t="s">
        <v>5468</v>
      </c>
      <c r="F2585" t="str">
        <f>HYPERLINK("https://talan.bank.gov.ua/get-user-certificate/45CElB5iPSKTBS5Y86CQ","Завантажити сертифікат")</f>
        <v>Завантажити сертифікат</v>
      </c>
    </row>
    <row r="2586" spans="1:6" x14ac:dyDescent="0.3">
      <c r="A2586" t="s">
        <v>5555</v>
      </c>
      <c r="B2586" t="s">
        <v>6</v>
      </c>
      <c r="C2586" t="s">
        <v>5556</v>
      </c>
      <c r="D2586" t="s">
        <v>5467</v>
      </c>
      <c r="E2586" t="s">
        <v>5468</v>
      </c>
      <c r="F2586" t="str">
        <f>HYPERLINK("https://talan.bank.gov.ua/get-user-certificate/45CElKGxh_aHQ-iBrtfS","Завантажити сертифікат")</f>
        <v>Завантажити сертифікат</v>
      </c>
    </row>
    <row r="2587" spans="1:6" x14ac:dyDescent="0.3">
      <c r="A2587" t="s">
        <v>5557</v>
      </c>
      <c r="B2587" t="s">
        <v>6</v>
      </c>
      <c r="C2587" t="s">
        <v>5558</v>
      </c>
      <c r="D2587" t="s">
        <v>5559</v>
      </c>
      <c r="E2587" t="s">
        <v>5560</v>
      </c>
      <c r="F2587" t="str">
        <f>HYPERLINK("https://talan.bank.gov.ua/get-user-certificate/45CElXCh2ToMX64pq6mm","Завантажити сертифікат")</f>
        <v>Завантажити сертифікат</v>
      </c>
    </row>
    <row r="2588" spans="1:6" x14ac:dyDescent="0.3">
      <c r="A2588" t="s">
        <v>5561</v>
      </c>
      <c r="B2588" t="s">
        <v>6</v>
      </c>
      <c r="C2588" t="s">
        <v>5562</v>
      </c>
      <c r="D2588" t="s">
        <v>5559</v>
      </c>
      <c r="E2588" t="s">
        <v>5560</v>
      </c>
      <c r="F2588" t="str">
        <f>HYPERLINK("https://talan.bank.gov.ua/get-user-certificate/45CElCt-TdPyz1d7U6J2","Завантажити сертифікат")</f>
        <v>Завантажити сертифікат</v>
      </c>
    </row>
    <row r="2589" spans="1:6" x14ac:dyDescent="0.3">
      <c r="A2589" t="s">
        <v>5563</v>
      </c>
      <c r="B2589" t="s">
        <v>6</v>
      </c>
      <c r="C2589" t="s">
        <v>5564</v>
      </c>
      <c r="D2589" t="s">
        <v>5559</v>
      </c>
      <c r="E2589" t="s">
        <v>5560</v>
      </c>
      <c r="F2589" t="str">
        <f>HYPERLINK("https://talan.bank.gov.ua/get-user-certificate/45CElI4061STL3LBRlts","Завантажити сертифікат")</f>
        <v>Завантажити сертифікат</v>
      </c>
    </row>
    <row r="2590" spans="1:6" x14ac:dyDescent="0.3">
      <c r="A2590" t="s">
        <v>5565</v>
      </c>
      <c r="B2590" t="s">
        <v>6</v>
      </c>
      <c r="C2590" t="s">
        <v>5566</v>
      </c>
      <c r="D2590" t="s">
        <v>5559</v>
      </c>
      <c r="E2590" t="s">
        <v>5560</v>
      </c>
      <c r="F2590" t="str">
        <f>HYPERLINK("https://talan.bank.gov.ua/get-user-certificate/45CElgC4CQKO43uFg7dj","Завантажити сертифікат")</f>
        <v>Завантажити сертифікат</v>
      </c>
    </row>
    <row r="2591" spans="1:6" x14ac:dyDescent="0.3">
      <c r="A2591" t="s">
        <v>5567</v>
      </c>
      <c r="B2591" t="s">
        <v>6</v>
      </c>
      <c r="C2591" t="s">
        <v>5568</v>
      </c>
      <c r="D2591" t="s">
        <v>5559</v>
      </c>
      <c r="E2591" t="s">
        <v>5560</v>
      </c>
      <c r="F2591" t="str">
        <f>HYPERLINK("https://talan.bank.gov.ua/get-user-certificate/45CElfeP0A_OnY6csrMe","Завантажити сертифікат")</f>
        <v>Завантажити сертифікат</v>
      </c>
    </row>
    <row r="2592" spans="1:6" x14ac:dyDescent="0.3">
      <c r="A2592" t="s">
        <v>5569</v>
      </c>
      <c r="B2592" t="s">
        <v>6</v>
      </c>
      <c r="C2592" t="s">
        <v>5570</v>
      </c>
      <c r="D2592" t="s">
        <v>5559</v>
      </c>
      <c r="E2592" t="s">
        <v>5560</v>
      </c>
      <c r="F2592" t="str">
        <f>HYPERLINK("https://talan.bank.gov.ua/get-user-certificate/45CElSCScpu9d4ER7-da","Завантажити сертифікат")</f>
        <v>Завантажити сертифікат</v>
      </c>
    </row>
    <row r="2593" spans="1:6" x14ac:dyDescent="0.3">
      <c r="A2593" t="s">
        <v>5571</v>
      </c>
      <c r="B2593" t="s">
        <v>6</v>
      </c>
      <c r="C2593" t="s">
        <v>5572</v>
      </c>
      <c r="D2593" t="s">
        <v>5559</v>
      </c>
      <c r="E2593" t="s">
        <v>5560</v>
      </c>
      <c r="F2593" t="str">
        <f>HYPERLINK("https://talan.bank.gov.ua/get-user-certificate/45CEl7aLtfV_eoHU3LHV","Завантажити сертифікат")</f>
        <v>Завантажити сертифікат</v>
      </c>
    </row>
    <row r="2594" spans="1:6" x14ac:dyDescent="0.3">
      <c r="A2594" t="s">
        <v>5573</v>
      </c>
      <c r="B2594" t="s">
        <v>6</v>
      </c>
      <c r="C2594" t="s">
        <v>5574</v>
      </c>
      <c r="D2594" t="s">
        <v>5559</v>
      </c>
      <c r="E2594" t="s">
        <v>5560</v>
      </c>
      <c r="F2594" t="str">
        <f>HYPERLINK("https://talan.bank.gov.ua/get-user-certificate/45CElkz8MYktiCFspusa","Завантажити сертифікат")</f>
        <v>Завантажити сертифікат</v>
      </c>
    </row>
    <row r="2595" spans="1:6" x14ac:dyDescent="0.3">
      <c r="A2595" t="s">
        <v>5575</v>
      </c>
      <c r="B2595" t="s">
        <v>6</v>
      </c>
      <c r="C2595" t="s">
        <v>5576</v>
      </c>
      <c r="D2595" t="s">
        <v>5559</v>
      </c>
      <c r="E2595" t="s">
        <v>5560</v>
      </c>
      <c r="F2595" t="str">
        <f>HYPERLINK("https://talan.bank.gov.ua/get-user-certificate/45CEl81Pt_Mk23hev5OP","Завантажити сертифікат")</f>
        <v>Завантажити сертифікат</v>
      </c>
    </row>
    <row r="2596" spans="1:6" x14ac:dyDescent="0.3">
      <c r="A2596" t="s">
        <v>5577</v>
      </c>
      <c r="B2596" t="s">
        <v>6</v>
      </c>
      <c r="C2596" t="s">
        <v>5578</v>
      </c>
      <c r="D2596" t="s">
        <v>5559</v>
      </c>
      <c r="E2596" t="s">
        <v>5560</v>
      </c>
      <c r="F2596" t="str">
        <f>HYPERLINK("https://talan.bank.gov.ua/get-user-certificate/45CElBFoso-W6-oS6lQ6","Завантажити сертифікат")</f>
        <v>Завантажити сертифікат</v>
      </c>
    </row>
    <row r="2597" spans="1:6" x14ac:dyDescent="0.3">
      <c r="A2597" t="s">
        <v>5579</v>
      </c>
      <c r="B2597" t="s">
        <v>6</v>
      </c>
      <c r="C2597" t="s">
        <v>5580</v>
      </c>
      <c r="D2597" t="s">
        <v>5559</v>
      </c>
      <c r="E2597" t="s">
        <v>5560</v>
      </c>
      <c r="F2597" t="str">
        <f>HYPERLINK("https://talan.bank.gov.ua/get-user-certificate/45CElVtEDgTVPqooiOMC","Завантажити сертифікат")</f>
        <v>Завантажити сертифікат</v>
      </c>
    </row>
    <row r="2598" spans="1:6" x14ac:dyDescent="0.3">
      <c r="A2598" t="s">
        <v>5581</v>
      </c>
      <c r="B2598" t="s">
        <v>6</v>
      </c>
      <c r="C2598" t="s">
        <v>5582</v>
      </c>
      <c r="D2598" t="s">
        <v>5559</v>
      </c>
      <c r="E2598" t="s">
        <v>5560</v>
      </c>
      <c r="F2598" t="str">
        <f>HYPERLINK("https://talan.bank.gov.ua/get-user-certificate/45CEllWnki6E8lNRZ8Yd","Завантажити сертифікат")</f>
        <v>Завантажити сертифікат</v>
      </c>
    </row>
    <row r="2599" spans="1:6" x14ac:dyDescent="0.3">
      <c r="A2599" t="s">
        <v>5583</v>
      </c>
      <c r="B2599" t="s">
        <v>6</v>
      </c>
      <c r="C2599" t="s">
        <v>5584</v>
      </c>
      <c r="D2599" t="s">
        <v>5559</v>
      </c>
      <c r="E2599" t="s">
        <v>5560</v>
      </c>
      <c r="F2599" t="str">
        <f>HYPERLINK("https://talan.bank.gov.ua/get-user-certificate/45CElPuwYYn_5kIiE1GS","Завантажити сертифікат")</f>
        <v>Завантажити сертифікат</v>
      </c>
    </row>
    <row r="2600" spans="1:6" x14ac:dyDescent="0.3">
      <c r="A2600" t="s">
        <v>5585</v>
      </c>
      <c r="B2600" t="s">
        <v>6</v>
      </c>
      <c r="C2600" t="s">
        <v>5586</v>
      </c>
      <c r="D2600" t="s">
        <v>5559</v>
      </c>
      <c r="E2600" t="s">
        <v>5560</v>
      </c>
      <c r="F2600" t="str">
        <f>HYPERLINK("https://talan.bank.gov.ua/get-user-certificate/45CElUMHDKhEkn-uHksI","Завантажити сертифікат")</f>
        <v>Завантажити сертифікат</v>
      </c>
    </row>
    <row r="2601" spans="1:6" x14ac:dyDescent="0.3">
      <c r="A2601" t="s">
        <v>5587</v>
      </c>
      <c r="B2601" t="s">
        <v>6</v>
      </c>
      <c r="C2601" t="s">
        <v>5588</v>
      </c>
      <c r="D2601" t="s">
        <v>5559</v>
      </c>
      <c r="E2601" t="s">
        <v>5560</v>
      </c>
      <c r="F2601" t="str">
        <f>HYPERLINK("https://talan.bank.gov.ua/get-user-certificate/45CEljrxreml7xukPKOo","Завантажити сертифікат")</f>
        <v>Завантажити сертифікат</v>
      </c>
    </row>
    <row r="2602" spans="1:6" x14ac:dyDescent="0.3">
      <c r="A2602" t="s">
        <v>5589</v>
      </c>
      <c r="B2602" t="s">
        <v>6</v>
      </c>
      <c r="C2602" t="s">
        <v>5590</v>
      </c>
      <c r="D2602" t="s">
        <v>5559</v>
      </c>
      <c r="E2602" t="s">
        <v>5560</v>
      </c>
      <c r="F2602" t="str">
        <f>HYPERLINK("https://talan.bank.gov.ua/get-user-certificate/45CEli-wIvVhba_D-uDb","Завантажити сертифікат")</f>
        <v>Завантажити сертифікат</v>
      </c>
    </row>
    <row r="2603" spans="1:6" x14ac:dyDescent="0.3">
      <c r="A2603" t="s">
        <v>5591</v>
      </c>
      <c r="B2603" t="s">
        <v>6</v>
      </c>
      <c r="C2603" t="s">
        <v>5592</v>
      </c>
      <c r="D2603" t="s">
        <v>5559</v>
      </c>
      <c r="E2603" t="s">
        <v>5560</v>
      </c>
      <c r="F2603" t="str">
        <f>HYPERLINK("https://talan.bank.gov.ua/get-user-certificate/45CElBgPtlmyVRu1TY7h","Завантажити сертифікат")</f>
        <v>Завантажити сертифікат</v>
      </c>
    </row>
    <row r="2604" spans="1:6" x14ac:dyDescent="0.3">
      <c r="A2604" t="s">
        <v>5593</v>
      </c>
      <c r="B2604" t="s">
        <v>6</v>
      </c>
      <c r="C2604" t="s">
        <v>5594</v>
      </c>
      <c r="D2604" t="s">
        <v>5559</v>
      </c>
      <c r="E2604" t="s">
        <v>5560</v>
      </c>
      <c r="F2604" t="str">
        <f>HYPERLINK("https://talan.bank.gov.ua/get-user-certificate/45CElXraPZ3VjzN91RLZ","Завантажити сертифікат")</f>
        <v>Завантажити сертифікат</v>
      </c>
    </row>
    <row r="2605" spans="1:6" x14ac:dyDescent="0.3">
      <c r="A2605" t="s">
        <v>5595</v>
      </c>
      <c r="B2605" t="s">
        <v>6</v>
      </c>
      <c r="C2605" t="s">
        <v>5596</v>
      </c>
      <c r="D2605" t="s">
        <v>5559</v>
      </c>
      <c r="E2605" t="s">
        <v>5560</v>
      </c>
      <c r="F2605" t="str">
        <f>HYPERLINK("https://talan.bank.gov.ua/get-user-certificate/45CElBey30lN87YR8dHY","Завантажити сертифікат")</f>
        <v>Завантажити сертифікат</v>
      </c>
    </row>
    <row r="2606" spans="1:6" x14ac:dyDescent="0.3">
      <c r="A2606" t="s">
        <v>5597</v>
      </c>
      <c r="B2606" t="s">
        <v>6</v>
      </c>
      <c r="C2606" t="s">
        <v>5598</v>
      </c>
      <c r="D2606" t="s">
        <v>5559</v>
      </c>
      <c r="E2606" t="s">
        <v>5560</v>
      </c>
      <c r="F2606" t="str">
        <f>HYPERLINK("https://talan.bank.gov.ua/get-user-certificate/45CElxwo4ZxxMPoCevgV","Завантажити сертифікат")</f>
        <v>Завантажити сертифікат</v>
      </c>
    </row>
    <row r="2607" spans="1:6" x14ac:dyDescent="0.3">
      <c r="A2607" t="s">
        <v>5599</v>
      </c>
      <c r="B2607" t="s">
        <v>6</v>
      </c>
      <c r="C2607" t="s">
        <v>5600</v>
      </c>
      <c r="D2607" t="s">
        <v>5559</v>
      </c>
      <c r="E2607" t="s">
        <v>5560</v>
      </c>
      <c r="F2607" t="str">
        <f>HYPERLINK("https://talan.bank.gov.ua/get-user-certificate/45CElAmIuGJk6T-Uv5-I","Завантажити сертифікат")</f>
        <v>Завантажити сертифікат</v>
      </c>
    </row>
    <row r="2608" spans="1:6" x14ac:dyDescent="0.3">
      <c r="A2608" t="s">
        <v>5601</v>
      </c>
      <c r="B2608" t="s">
        <v>6</v>
      </c>
      <c r="C2608" t="s">
        <v>5602</v>
      </c>
      <c r="D2608" t="s">
        <v>5559</v>
      </c>
      <c r="E2608" t="s">
        <v>5560</v>
      </c>
      <c r="F2608" t="str">
        <f>HYPERLINK("https://talan.bank.gov.ua/get-user-certificate/45CElmvUHgb1JCDqS8xo","Завантажити сертифікат")</f>
        <v>Завантажити сертифікат</v>
      </c>
    </row>
    <row r="2609" spans="1:6" x14ac:dyDescent="0.3">
      <c r="A2609" t="s">
        <v>5603</v>
      </c>
      <c r="B2609" t="s">
        <v>6</v>
      </c>
      <c r="C2609" t="s">
        <v>5604</v>
      </c>
      <c r="D2609" t="s">
        <v>5559</v>
      </c>
      <c r="E2609" t="s">
        <v>5560</v>
      </c>
      <c r="F2609" t="str">
        <f>HYPERLINK("https://talan.bank.gov.ua/get-user-certificate/45CElnplxFj5ydqLPtnG","Завантажити сертифікат")</f>
        <v>Завантажити сертифікат</v>
      </c>
    </row>
    <row r="2610" spans="1:6" x14ac:dyDescent="0.3">
      <c r="A2610" t="s">
        <v>5605</v>
      </c>
      <c r="B2610" t="s">
        <v>6</v>
      </c>
      <c r="C2610" t="s">
        <v>5606</v>
      </c>
      <c r="D2610" t="s">
        <v>5559</v>
      </c>
      <c r="E2610" t="s">
        <v>5560</v>
      </c>
      <c r="F2610" t="str">
        <f>HYPERLINK("https://talan.bank.gov.ua/get-user-certificate/45CElVE2Y89BXAnDaK6s","Завантажити сертифікат")</f>
        <v>Завантажити сертифікат</v>
      </c>
    </row>
    <row r="2611" spans="1:6" x14ac:dyDescent="0.3">
      <c r="A2611" t="s">
        <v>5607</v>
      </c>
      <c r="B2611" t="s">
        <v>6</v>
      </c>
      <c r="C2611" t="s">
        <v>5608</v>
      </c>
      <c r="D2611" t="s">
        <v>5559</v>
      </c>
      <c r="E2611" t="s">
        <v>5560</v>
      </c>
      <c r="F2611" t="str">
        <f>HYPERLINK("https://talan.bank.gov.ua/get-user-certificate/45CElSaYXEltj2tA4vNE","Завантажити сертифікат")</f>
        <v>Завантажити сертифікат</v>
      </c>
    </row>
    <row r="2612" spans="1:6" x14ac:dyDescent="0.3">
      <c r="A2612" t="s">
        <v>5609</v>
      </c>
      <c r="B2612" t="s">
        <v>6</v>
      </c>
      <c r="C2612" t="s">
        <v>5610</v>
      </c>
      <c r="D2612" t="s">
        <v>5559</v>
      </c>
      <c r="E2612" t="s">
        <v>5560</v>
      </c>
      <c r="F2612" t="str">
        <f>HYPERLINK("https://talan.bank.gov.ua/get-user-certificate/45CElLahn5U-lEAeRT0U","Завантажити сертифікат")</f>
        <v>Завантажити сертифікат</v>
      </c>
    </row>
    <row r="2613" spans="1:6" x14ac:dyDescent="0.3">
      <c r="A2613" t="s">
        <v>5611</v>
      </c>
      <c r="B2613" t="s">
        <v>6</v>
      </c>
      <c r="C2613" t="s">
        <v>5612</v>
      </c>
      <c r="D2613" t="s">
        <v>5559</v>
      </c>
      <c r="E2613" t="s">
        <v>5560</v>
      </c>
      <c r="F2613" t="str">
        <f>HYPERLINK("https://talan.bank.gov.ua/get-user-certificate/45CEl7RdmNl0fHRatI-O","Завантажити сертифікат")</f>
        <v>Завантажити сертифікат</v>
      </c>
    </row>
    <row r="2614" spans="1:6" x14ac:dyDescent="0.3">
      <c r="A2614" t="s">
        <v>5613</v>
      </c>
      <c r="B2614" t="s">
        <v>6</v>
      </c>
      <c r="C2614" t="s">
        <v>5614</v>
      </c>
      <c r="D2614" t="s">
        <v>5559</v>
      </c>
      <c r="E2614" t="s">
        <v>5560</v>
      </c>
      <c r="F2614" t="str">
        <f>HYPERLINK("https://talan.bank.gov.ua/get-user-certificate/45CEl9Ss-isuPCR9CKfr","Завантажити сертифікат")</f>
        <v>Завантажити сертифікат</v>
      </c>
    </row>
    <row r="2615" spans="1:6" x14ac:dyDescent="0.3">
      <c r="A2615" t="s">
        <v>5615</v>
      </c>
      <c r="B2615" t="s">
        <v>6</v>
      </c>
      <c r="C2615" t="s">
        <v>5616</v>
      </c>
      <c r="D2615" t="s">
        <v>5559</v>
      </c>
      <c r="E2615" t="s">
        <v>5560</v>
      </c>
      <c r="F2615" t="str">
        <f>HYPERLINK("https://talan.bank.gov.ua/get-user-certificate/45CElLAM6IdqX1YgdSzG","Завантажити сертифікат")</f>
        <v>Завантажити сертифікат</v>
      </c>
    </row>
    <row r="2616" spans="1:6" x14ac:dyDescent="0.3">
      <c r="A2616" t="s">
        <v>5617</v>
      </c>
      <c r="B2616" t="s">
        <v>6</v>
      </c>
      <c r="C2616" t="s">
        <v>5618</v>
      </c>
      <c r="D2616" t="s">
        <v>5559</v>
      </c>
      <c r="E2616" t="s">
        <v>5560</v>
      </c>
      <c r="F2616" t="str">
        <f>HYPERLINK("https://talan.bank.gov.ua/get-user-certificate/45CElf7Vu1uRTRsh2-kO","Завантажити сертифікат")</f>
        <v>Завантажити сертифікат</v>
      </c>
    </row>
    <row r="2617" spans="1:6" x14ac:dyDescent="0.3">
      <c r="A2617" t="s">
        <v>5619</v>
      </c>
      <c r="B2617" t="s">
        <v>6</v>
      </c>
      <c r="C2617" t="s">
        <v>5620</v>
      </c>
      <c r="D2617" t="s">
        <v>5559</v>
      </c>
      <c r="E2617" t="s">
        <v>5560</v>
      </c>
      <c r="F2617" t="str">
        <f>HYPERLINK("https://talan.bank.gov.ua/get-user-certificate/45CElsFeBERuclTR8nrM","Завантажити сертифікат")</f>
        <v>Завантажити сертифікат</v>
      </c>
    </row>
    <row r="2618" spans="1:6" x14ac:dyDescent="0.3">
      <c r="A2618" t="s">
        <v>5621</v>
      </c>
      <c r="B2618" t="s">
        <v>6</v>
      </c>
      <c r="C2618" t="s">
        <v>5622</v>
      </c>
      <c r="D2618" t="s">
        <v>5559</v>
      </c>
      <c r="E2618" t="s">
        <v>5560</v>
      </c>
      <c r="F2618" t="str">
        <f>HYPERLINK("https://talan.bank.gov.ua/get-user-certificate/45CEl9KdhTLW_CW9nh7K","Завантажити сертифікат")</f>
        <v>Завантажити сертифікат</v>
      </c>
    </row>
    <row r="2619" spans="1:6" x14ac:dyDescent="0.3">
      <c r="A2619" t="s">
        <v>5623</v>
      </c>
      <c r="B2619" t="s">
        <v>6</v>
      </c>
      <c r="C2619" t="s">
        <v>5624</v>
      </c>
      <c r="D2619" t="s">
        <v>5625</v>
      </c>
      <c r="E2619" t="s">
        <v>5626</v>
      </c>
      <c r="F2619" t="str">
        <f>HYPERLINK("https://talan.bank.gov.ua/get-user-certificate/45CElibf6ilypp6Qkn4j","Завантажити сертифікат")</f>
        <v>Завантажити сертифікат</v>
      </c>
    </row>
    <row r="2620" spans="1:6" x14ac:dyDescent="0.3">
      <c r="A2620" t="s">
        <v>5627</v>
      </c>
      <c r="B2620" t="s">
        <v>6</v>
      </c>
      <c r="C2620" t="s">
        <v>5628</v>
      </c>
      <c r="D2620" t="s">
        <v>5625</v>
      </c>
      <c r="E2620" t="s">
        <v>5626</v>
      </c>
      <c r="F2620" t="str">
        <f>HYPERLINK("https://talan.bank.gov.ua/get-user-certificate/45CElZ7QQ62WpvkYW-9B","Завантажити сертифікат")</f>
        <v>Завантажити сертифікат</v>
      </c>
    </row>
    <row r="2621" spans="1:6" x14ac:dyDescent="0.3">
      <c r="A2621" t="s">
        <v>5629</v>
      </c>
      <c r="B2621" t="s">
        <v>6</v>
      </c>
      <c r="C2621" t="s">
        <v>5630</v>
      </c>
      <c r="D2621" t="s">
        <v>5625</v>
      </c>
      <c r="E2621" t="s">
        <v>5626</v>
      </c>
      <c r="F2621" t="str">
        <f>HYPERLINK("https://talan.bank.gov.ua/get-user-certificate/45CElYhfDV6JSZSvZdCv","Завантажити сертифікат")</f>
        <v>Завантажити сертифікат</v>
      </c>
    </row>
    <row r="2622" spans="1:6" x14ac:dyDescent="0.3">
      <c r="A2622" t="s">
        <v>5631</v>
      </c>
      <c r="B2622" t="s">
        <v>6</v>
      </c>
      <c r="C2622" t="s">
        <v>5632</v>
      </c>
      <c r="D2622" t="s">
        <v>5625</v>
      </c>
      <c r="E2622" t="s">
        <v>5626</v>
      </c>
      <c r="F2622" t="str">
        <f>HYPERLINK("https://talan.bank.gov.ua/get-user-certificate/45CEliAyc7ZlF0iA0lza","Завантажити сертифікат")</f>
        <v>Завантажити сертифікат</v>
      </c>
    </row>
    <row r="2623" spans="1:6" x14ac:dyDescent="0.3">
      <c r="A2623" t="s">
        <v>5633</v>
      </c>
      <c r="B2623" t="s">
        <v>6</v>
      </c>
      <c r="C2623" t="s">
        <v>5634</v>
      </c>
      <c r="D2623" t="s">
        <v>5625</v>
      </c>
      <c r="E2623" t="s">
        <v>5626</v>
      </c>
      <c r="F2623" t="str">
        <f>HYPERLINK("https://talan.bank.gov.ua/get-user-certificate/45CElnQr4PQhTjkbG25L","Завантажити сертифікат")</f>
        <v>Завантажити сертифікат</v>
      </c>
    </row>
    <row r="2624" spans="1:6" x14ac:dyDescent="0.3">
      <c r="A2624" t="s">
        <v>5635</v>
      </c>
      <c r="B2624" t="s">
        <v>6</v>
      </c>
      <c r="C2624" t="s">
        <v>5636</v>
      </c>
      <c r="D2624" t="s">
        <v>5625</v>
      </c>
      <c r="E2624" t="s">
        <v>5626</v>
      </c>
      <c r="F2624" t="str">
        <f>HYPERLINK("https://talan.bank.gov.ua/get-user-certificate/45CElceav3cY-Df2FP4F","Завантажити сертифікат")</f>
        <v>Завантажити сертифікат</v>
      </c>
    </row>
    <row r="2625" spans="1:6" x14ac:dyDescent="0.3">
      <c r="A2625" t="s">
        <v>5637</v>
      </c>
      <c r="B2625" t="s">
        <v>6</v>
      </c>
      <c r="C2625" t="s">
        <v>5638</v>
      </c>
      <c r="D2625" t="s">
        <v>5639</v>
      </c>
      <c r="E2625" t="s">
        <v>5640</v>
      </c>
      <c r="F2625" t="str">
        <f>HYPERLINK("https://talan.bank.gov.ua/get-user-certificate/45CElRGkxnAfjb8s6Bi_","Завантажити сертифікат")</f>
        <v>Завантажити сертифікат</v>
      </c>
    </row>
    <row r="2626" spans="1:6" x14ac:dyDescent="0.3">
      <c r="A2626" t="s">
        <v>5641</v>
      </c>
      <c r="B2626" t="s">
        <v>6</v>
      </c>
      <c r="C2626" t="s">
        <v>5642</v>
      </c>
      <c r="D2626" t="s">
        <v>5639</v>
      </c>
      <c r="E2626" t="s">
        <v>5640</v>
      </c>
      <c r="F2626" t="str">
        <f>HYPERLINK("https://talan.bank.gov.ua/get-user-certificate/45CElI3_SuqZap6xz9JO","Завантажити сертифікат")</f>
        <v>Завантажити сертифікат</v>
      </c>
    </row>
    <row r="2627" spans="1:6" x14ac:dyDescent="0.3">
      <c r="A2627" t="s">
        <v>5643</v>
      </c>
      <c r="B2627" t="s">
        <v>6</v>
      </c>
      <c r="C2627" t="s">
        <v>5644</v>
      </c>
      <c r="D2627" t="s">
        <v>5639</v>
      </c>
      <c r="E2627" t="s">
        <v>5640</v>
      </c>
      <c r="F2627" t="str">
        <f>HYPERLINK("https://talan.bank.gov.ua/get-user-certificate/45CElZw4W0Zy3lYbYgm-","Завантажити сертифікат")</f>
        <v>Завантажити сертифікат</v>
      </c>
    </row>
    <row r="2628" spans="1:6" x14ac:dyDescent="0.3">
      <c r="A2628" t="s">
        <v>5645</v>
      </c>
      <c r="B2628" t="s">
        <v>6</v>
      </c>
      <c r="C2628" t="s">
        <v>5646</v>
      </c>
      <c r="D2628" t="s">
        <v>5639</v>
      </c>
      <c r="E2628" t="s">
        <v>5640</v>
      </c>
      <c r="F2628" t="str">
        <f>HYPERLINK("https://talan.bank.gov.ua/get-user-certificate/45CEl3K1gJNq0WI652vf","Завантажити сертифікат")</f>
        <v>Завантажити сертифікат</v>
      </c>
    </row>
    <row r="2629" spans="1:6" x14ac:dyDescent="0.3">
      <c r="A2629" t="s">
        <v>5647</v>
      </c>
      <c r="B2629" t="s">
        <v>6</v>
      </c>
      <c r="C2629" t="s">
        <v>5648</v>
      </c>
      <c r="D2629" t="s">
        <v>5639</v>
      </c>
      <c r="E2629" t="s">
        <v>5640</v>
      </c>
      <c r="F2629" t="str">
        <f>HYPERLINK("https://talan.bank.gov.ua/get-user-certificate/45CElD36i7643AKL0U7D","Завантажити сертифікат")</f>
        <v>Завантажити сертифікат</v>
      </c>
    </row>
    <row r="2630" spans="1:6" x14ac:dyDescent="0.3">
      <c r="A2630" t="s">
        <v>5649</v>
      </c>
      <c r="B2630" t="s">
        <v>6</v>
      </c>
      <c r="C2630" t="s">
        <v>5650</v>
      </c>
      <c r="D2630" t="s">
        <v>5651</v>
      </c>
      <c r="E2630" t="s">
        <v>5652</v>
      </c>
      <c r="F2630" t="str">
        <f>HYPERLINK("https://talan.bank.gov.ua/get-user-certificate/45CEl2HlmULspvOitw8W","Завантажити сертифікат")</f>
        <v>Завантажити сертифікат</v>
      </c>
    </row>
    <row r="2631" spans="1:6" x14ac:dyDescent="0.3">
      <c r="A2631" t="s">
        <v>5653</v>
      </c>
      <c r="B2631" t="s">
        <v>6</v>
      </c>
      <c r="C2631" t="s">
        <v>5654</v>
      </c>
      <c r="D2631" t="s">
        <v>5651</v>
      </c>
      <c r="E2631" t="s">
        <v>5652</v>
      </c>
      <c r="F2631" t="str">
        <f>HYPERLINK("https://talan.bank.gov.ua/get-user-certificate/45CEliIQC0o5hhRlcvg1","Завантажити сертифікат")</f>
        <v>Завантажити сертифікат</v>
      </c>
    </row>
    <row r="2632" spans="1:6" x14ac:dyDescent="0.3">
      <c r="A2632" t="s">
        <v>5655</v>
      </c>
      <c r="B2632" t="s">
        <v>6</v>
      </c>
      <c r="C2632" t="s">
        <v>5656</v>
      </c>
      <c r="D2632" t="s">
        <v>5651</v>
      </c>
      <c r="E2632" t="s">
        <v>5652</v>
      </c>
      <c r="F2632" t="str">
        <f>HYPERLINK("https://talan.bank.gov.ua/get-user-certificate/45CElNS04s7s9sJrcygc","Завантажити сертифікат")</f>
        <v>Завантажити сертифікат</v>
      </c>
    </row>
    <row r="2633" spans="1:6" x14ac:dyDescent="0.3">
      <c r="A2633" t="s">
        <v>5657</v>
      </c>
      <c r="B2633" t="s">
        <v>6</v>
      </c>
      <c r="C2633" t="s">
        <v>5658</v>
      </c>
      <c r="D2633" t="s">
        <v>5651</v>
      </c>
      <c r="E2633" t="s">
        <v>5652</v>
      </c>
      <c r="F2633" t="str">
        <f>HYPERLINK("https://talan.bank.gov.ua/get-user-certificate/45CEl90IxURvi0COM2W8","Завантажити сертифікат")</f>
        <v>Завантажити сертифікат</v>
      </c>
    </row>
    <row r="2634" spans="1:6" x14ac:dyDescent="0.3">
      <c r="A2634" t="s">
        <v>5659</v>
      </c>
      <c r="B2634" t="s">
        <v>6</v>
      </c>
      <c r="C2634" t="s">
        <v>5660</v>
      </c>
      <c r="D2634" t="s">
        <v>5651</v>
      </c>
      <c r="E2634" t="s">
        <v>5652</v>
      </c>
      <c r="F2634" t="str">
        <f>HYPERLINK("https://talan.bank.gov.ua/get-user-certificate/45CEljWsysjJVUgOAjyn","Завантажити сертифікат")</f>
        <v>Завантажити сертифікат</v>
      </c>
    </row>
    <row r="2635" spans="1:6" x14ac:dyDescent="0.3">
      <c r="A2635" t="s">
        <v>5661</v>
      </c>
      <c r="B2635" t="s">
        <v>6</v>
      </c>
      <c r="C2635" t="s">
        <v>5662</v>
      </c>
      <c r="D2635" t="s">
        <v>5651</v>
      </c>
      <c r="E2635" t="s">
        <v>5652</v>
      </c>
      <c r="F2635" t="str">
        <f>HYPERLINK("https://talan.bank.gov.ua/get-user-certificate/45CElYEEoiQkDUs5PzsG","Завантажити сертифікат")</f>
        <v>Завантажити сертифікат</v>
      </c>
    </row>
    <row r="2636" spans="1:6" x14ac:dyDescent="0.3">
      <c r="A2636" t="s">
        <v>5663</v>
      </c>
      <c r="B2636" t="s">
        <v>6</v>
      </c>
      <c r="C2636" t="s">
        <v>5664</v>
      </c>
      <c r="D2636" t="s">
        <v>5651</v>
      </c>
      <c r="E2636" t="s">
        <v>5652</v>
      </c>
      <c r="F2636" t="str">
        <f>HYPERLINK("https://talan.bank.gov.ua/get-user-certificate/45CElMW3PBeb13jJ14ka","Завантажити сертифікат")</f>
        <v>Завантажити сертифікат</v>
      </c>
    </row>
    <row r="2637" spans="1:6" x14ac:dyDescent="0.3">
      <c r="A2637" t="s">
        <v>5665</v>
      </c>
      <c r="B2637" t="s">
        <v>6</v>
      </c>
      <c r="C2637" t="s">
        <v>5666</v>
      </c>
      <c r="D2637" t="s">
        <v>5651</v>
      </c>
      <c r="E2637" t="s">
        <v>5652</v>
      </c>
      <c r="F2637" t="str">
        <f>HYPERLINK("https://talan.bank.gov.ua/get-user-certificate/45CEl0KEB3gJoVg_UR5C","Завантажити сертифікат")</f>
        <v>Завантажити сертифікат</v>
      </c>
    </row>
    <row r="2638" spans="1:6" x14ac:dyDescent="0.3">
      <c r="A2638" t="s">
        <v>5667</v>
      </c>
      <c r="B2638" t="s">
        <v>6</v>
      </c>
      <c r="C2638" t="s">
        <v>5668</v>
      </c>
      <c r="D2638" t="s">
        <v>5651</v>
      </c>
      <c r="E2638" t="s">
        <v>5652</v>
      </c>
      <c r="F2638" t="str">
        <f>HYPERLINK("https://talan.bank.gov.ua/get-user-certificate/45CElnxMGwjHi0bzmPPG","Завантажити сертифікат")</f>
        <v>Завантажити сертифікат</v>
      </c>
    </row>
    <row r="2639" spans="1:6" x14ac:dyDescent="0.3">
      <c r="A2639" t="s">
        <v>5669</v>
      </c>
      <c r="B2639" t="s">
        <v>6</v>
      </c>
      <c r="C2639" t="s">
        <v>5670</v>
      </c>
      <c r="D2639" t="s">
        <v>5651</v>
      </c>
      <c r="E2639" t="s">
        <v>5652</v>
      </c>
      <c r="F2639" t="str">
        <f>HYPERLINK("https://talan.bank.gov.ua/get-user-certificate/45CElM8l5s5OpgqJHW5Q","Завантажити сертифікат")</f>
        <v>Завантажити сертифікат</v>
      </c>
    </row>
    <row r="2640" spans="1:6" x14ac:dyDescent="0.3">
      <c r="A2640" t="s">
        <v>5671</v>
      </c>
      <c r="B2640" t="s">
        <v>6</v>
      </c>
      <c r="C2640" t="s">
        <v>5672</v>
      </c>
      <c r="D2640" t="s">
        <v>5651</v>
      </c>
      <c r="E2640" t="s">
        <v>5652</v>
      </c>
      <c r="F2640" t="str">
        <f>HYPERLINK("https://talan.bank.gov.ua/get-user-certificate/45CEl831vVNJ7LBoMI_q","Завантажити сертифікат")</f>
        <v>Завантажити сертифікат</v>
      </c>
    </row>
    <row r="2641" spans="1:6" x14ac:dyDescent="0.3">
      <c r="A2641" t="s">
        <v>5673</v>
      </c>
      <c r="B2641" t="s">
        <v>6</v>
      </c>
      <c r="C2641" t="s">
        <v>5674</v>
      </c>
      <c r="D2641" t="s">
        <v>5651</v>
      </c>
      <c r="E2641" t="s">
        <v>5652</v>
      </c>
      <c r="F2641" t="str">
        <f>HYPERLINK("https://talan.bank.gov.ua/get-user-certificate/45CElPQJHPuu2z0M9ba5","Завантажити сертифікат")</f>
        <v>Завантажити сертифікат</v>
      </c>
    </row>
    <row r="2642" spans="1:6" x14ac:dyDescent="0.3">
      <c r="A2642" t="s">
        <v>5675</v>
      </c>
      <c r="B2642" t="s">
        <v>6</v>
      </c>
      <c r="C2642" t="s">
        <v>5676</v>
      </c>
      <c r="D2642" t="s">
        <v>5651</v>
      </c>
      <c r="E2642" t="s">
        <v>5652</v>
      </c>
      <c r="F2642" t="str">
        <f>HYPERLINK("https://talan.bank.gov.ua/get-user-certificate/45CElcFjjaGS6JxV1qTe","Завантажити сертифікат")</f>
        <v>Завантажити сертифікат</v>
      </c>
    </row>
    <row r="2643" spans="1:6" x14ac:dyDescent="0.3">
      <c r="A2643" t="s">
        <v>5677</v>
      </c>
      <c r="B2643" t="s">
        <v>6</v>
      </c>
      <c r="C2643" t="s">
        <v>5678</v>
      </c>
      <c r="D2643" t="s">
        <v>5651</v>
      </c>
      <c r="E2643" t="s">
        <v>5652</v>
      </c>
      <c r="F2643" t="str">
        <f>HYPERLINK("https://talan.bank.gov.ua/get-user-certificate/45CElWlCQFDCtUroLSgS","Завантажити сертифікат")</f>
        <v>Завантажити сертифікат</v>
      </c>
    </row>
    <row r="2644" spans="1:6" x14ac:dyDescent="0.3">
      <c r="A2644" t="s">
        <v>5679</v>
      </c>
      <c r="B2644" t="s">
        <v>6</v>
      </c>
      <c r="C2644" t="s">
        <v>5680</v>
      </c>
      <c r="D2644" t="s">
        <v>5651</v>
      </c>
      <c r="E2644" t="s">
        <v>5652</v>
      </c>
      <c r="F2644" t="str">
        <f>HYPERLINK("https://talan.bank.gov.ua/get-user-certificate/45CElArsPVLX2g4Wg6NX","Завантажити сертифікат")</f>
        <v>Завантажити сертифікат</v>
      </c>
    </row>
    <row r="2645" spans="1:6" x14ac:dyDescent="0.3">
      <c r="A2645" t="s">
        <v>5681</v>
      </c>
      <c r="B2645" t="s">
        <v>6</v>
      </c>
      <c r="C2645" t="s">
        <v>5682</v>
      </c>
      <c r="D2645" t="s">
        <v>5651</v>
      </c>
      <c r="E2645" t="s">
        <v>5652</v>
      </c>
      <c r="F2645" t="str">
        <f>HYPERLINK("https://talan.bank.gov.ua/get-user-certificate/45CElmKMifHBmjnlYAz8","Завантажити сертифікат")</f>
        <v>Завантажити сертифікат</v>
      </c>
    </row>
    <row r="2646" spans="1:6" x14ac:dyDescent="0.3">
      <c r="A2646" t="s">
        <v>5683</v>
      </c>
      <c r="B2646" t="s">
        <v>6</v>
      </c>
      <c r="C2646" t="s">
        <v>5684</v>
      </c>
      <c r="D2646" t="s">
        <v>5651</v>
      </c>
      <c r="E2646" t="s">
        <v>5652</v>
      </c>
      <c r="F2646" t="str">
        <f>HYPERLINK("https://talan.bank.gov.ua/get-user-certificate/45CElpuz-KyA278LNefT","Завантажити сертифікат")</f>
        <v>Завантажити сертифікат</v>
      </c>
    </row>
    <row r="2647" spans="1:6" x14ac:dyDescent="0.3">
      <c r="A2647" t="s">
        <v>5685</v>
      </c>
      <c r="B2647" t="s">
        <v>6</v>
      </c>
      <c r="C2647" t="s">
        <v>5686</v>
      </c>
      <c r="D2647" t="s">
        <v>5651</v>
      </c>
      <c r="E2647" t="s">
        <v>5652</v>
      </c>
      <c r="F2647" t="str">
        <f>HYPERLINK("https://talan.bank.gov.ua/get-user-certificate/45CElQ0csuw-B4V08KQQ","Завантажити сертифікат")</f>
        <v>Завантажити сертифікат</v>
      </c>
    </row>
    <row r="2648" spans="1:6" x14ac:dyDescent="0.3">
      <c r="A2648" t="s">
        <v>5687</v>
      </c>
      <c r="B2648" t="s">
        <v>6</v>
      </c>
      <c r="C2648" t="s">
        <v>5688</v>
      </c>
      <c r="D2648" t="s">
        <v>5651</v>
      </c>
      <c r="E2648" t="s">
        <v>5652</v>
      </c>
      <c r="F2648" t="str">
        <f>HYPERLINK("https://talan.bank.gov.ua/get-user-certificate/45CEl9yKBP828BnQInho","Завантажити сертифікат")</f>
        <v>Завантажити сертифікат</v>
      </c>
    </row>
    <row r="2649" spans="1:6" x14ac:dyDescent="0.3">
      <c r="A2649" t="s">
        <v>5689</v>
      </c>
      <c r="B2649" t="s">
        <v>6</v>
      </c>
      <c r="C2649" t="s">
        <v>5690</v>
      </c>
      <c r="D2649" t="s">
        <v>5651</v>
      </c>
      <c r="E2649" t="s">
        <v>5652</v>
      </c>
      <c r="F2649" t="str">
        <f>HYPERLINK("https://talan.bank.gov.ua/get-user-certificate/45CEl0OwVsg4AmxV6v0t","Завантажити сертифікат")</f>
        <v>Завантажити сертифікат</v>
      </c>
    </row>
    <row r="2650" spans="1:6" x14ac:dyDescent="0.3">
      <c r="A2650" t="s">
        <v>5691</v>
      </c>
      <c r="B2650" t="s">
        <v>6</v>
      </c>
      <c r="C2650" t="s">
        <v>5692</v>
      </c>
      <c r="D2650" t="s">
        <v>5651</v>
      </c>
      <c r="E2650" t="s">
        <v>5652</v>
      </c>
      <c r="F2650" t="str">
        <f>HYPERLINK("https://talan.bank.gov.ua/get-user-certificate/45CElOlqEpxVLghz6I7Y","Завантажити сертифікат")</f>
        <v>Завантажити сертифікат</v>
      </c>
    </row>
    <row r="2651" spans="1:6" x14ac:dyDescent="0.3">
      <c r="A2651" t="s">
        <v>5693</v>
      </c>
      <c r="B2651" t="s">
        <v>6</v>
      </c>
      <c r="C2651" t="s">
        <v>5694</v>
      </c>
      <c r="D2651" t="s">
        <v>5651</v>
      </c>
      <c r="E2651" t="s">
        <v>5652</v>
      </c>
      <c r="F2651" t="str">
        <f>HYPERLINK("https://talan.bank.gov.ua/get-user-certificate/45CEl7Tv2OcBUfr6FXZF","Завантажити сертифікат")</f>
        <v>Завантажити сертифікат</v>
      </c>
    </row>
    <row r="2652" spans="1:6" x14ac:dyDescent="0.3">
      <c r="A2652" t="s">
        <v>5695</v>
      </c>
      <c r="B2652" t="s">
        <v>6</v>
      </c>
      <c r="C2652" t="s">
        <v>5696</v>
      </c>
      <c r="D2652" t="s">
        <v>5651</v>
      </c>
      <c r="E2652" t="s">
        <v>5652</v>
      </c>
      <c r="F2652" t="str">
        <f>HYPERLINK("https://talan.bank.gov.ua/get-user-certificate/45CEla2l_QZM2wCYZv86","Завантажити сертифікат")</f>
        <v>Завантажити сертифікат</v>
      </c>
    </row>
    <row r="2653" spans="1:6" x14ac:dyDescent="0.3">
      <c r="A2653" t="s">
        <v>5697</v>
      </c>
      <c r="B2653" t="s">
        <v>6</v>
      </c>
      <c r="C2653" t="s">
        <v>5698</v>
      </c>
      <c r="D2653" t="s">
        <v>5651</v>
      </c>
      <c r="E2653" t="s">
        <v>5652</v>
      </c>
      <c r="F2653" t="str">
        <f>HYPERLINK("https://talan.bank.gov.ua/get-user-certificate/45CElvYQxog-QPl-H4c2","Завантажити сертифікат")</f>
        <v>Завантажити сертифікат</v>
      </c>
    </row>
    <row r="2654" spans="1:6" x14ac:dyDescent="0.3">
      <c r="A2654" t="s">
        <v>5699</v>
      </c>
      <c r="B2654" t="s">
        <v>6</v>
      </c>
      <c r="C2654" t="s">
        <v>5700</v>
      </c>
      <c r="D2654" t="s">
        <v>5651</v>
      </c>
      <c r="E2654" t="s">
        <v>5652</v>
      </c>
      <c r="F2654" t="str">
        <f>HYPERLINK("https://talan.bank.gov.ua/get-user-certificate/45CEldfFZwr4F_50FJx9","Завантажити сертифікат")</f>
        <v>Завантажити сертифікат</v>
      </c>
    </row>
    <row r="2655" spans="1:6" x14ac:dyDescent="0.3">
      <c r="A2655" t="s">
        <v>5701</v>
      </c>
      <c r="B2655" t="s">
        <v>6</v>
      </c>
      <c r="C2655" t="s">
        <v>5702</v>
      </c>
      <c r="D2655" t="s">
        <v>5651</v>
      </c>
      <c r="E2655" t="s">
        <v>5652</v>
      </c>
      <c r="F2655" t="str">
        <f>HYPERLINK("https://talan.bank.gov.ua/get-user-certificate/45CEl02lAl9dGPktQwUy","Завантажити сертифікат")</f>
        <v>Завантажити сертифікат</v>
      </c>
    </row>
    <row r="2656" spans="1:6" x14ac:dyDescent="0.3">
      <c r="A2656" t="s">
        <v>5703</v>
      </c>
      <c r="B2656" t="s">
        <v>6</v>
      </c>
      <c r="C2656" t="s">
        <v>5704</v>
      </c>
      <c r="D2656" t="s">
        <v>5651</v>
      </c>
      <c r="E2656" t="s">
        <v>5652</v>
      </c>
      <c r="F2656" t="str">
        <f>HYPERLINK("https://talan.bank.gov.ua/get-user-certificate/45CElU2m3mueCND7kPaF","Завантажити сертифікат")</f>
        <v>Завантажити сертифікат</v>
      </c>
    </row>
    <row r="2657" spans="1:6" x14ac:dyDescent="0.3">
      <c r="A2657" t="s">
        <v>5705</v>
      </c>
      <c r="B2657" t="s">
        <v>6</v>
      </c>
      <c r="C2657" t="s">
        <v>5706</v>
      </c>
      <c r="D2657" t="s">
        <v>5651</v>
      </c>
      <c r="E2657" t="s">
        <v>5652</v>
      </c>
      <c r="F2657" t="str">
        <f>HYPERLINK("https://talan.bank.gov.ua/get-user-certificate/45CElt-zgKIdnW30zLRY","Завантажити сертифікат")</f>
        <v>Завантажити сертифікат</v>
      </c>
    </row>
    <row r="2658" spans="1:6" x14ac:dyDescent="0.3">
      <c r="A2658" t="s">
        <v>5707</v>
      </c>
      <c r="B2658" t="s">
        <v>6</v>
      </c>
      <c r="C2658" t="s">
        <v>5708</v>
      </c>
      <c r="D2658" t="s">
        <v>5651</v>
      </c>
      <c r="E2658" t="s">
        <v>5652</v>
      </c>
      <c r="F2658" t="str">
        <f>HYPERLINK("https://talan.bank.gov.ua/get-user-certificate/45CElNoA-bTzA2KKwoub","Завантажити сертифікат")</f>
        <v>Завантажити сертифікат</v>
      </c>
    </row>
    <row r="2659" spans="1:6" x14ac:dyDescent="0.3">
      <c r="A2659" t="s">
        <v>5709</v>
      </c>
      <c r="B2659" t="s">
        <v>6</v>
      </c>
      <c r="C2659" t="s">
        <v>5710</v>
      </c>
      <c r="D2659" t="s">
        <v>5651</v>
      </c>
      <c r="E2659" t="s">
        <v>5652</v>
      </c>
      <c r="F2659" t="str">
        <f>HYPERLINK("https://talan.bank.gov.ua/get-user-certificate/45CElppfalHHUeR-sfjq","Завантажити сертифікат")</f>
        <v>Завантажити сертифікат</v>
      </c>
    </row>
    <row r="2660" spans="1:6" x14ac:dyDescent="0.3">
      <c r="A2660" t="s">
        <v>5711</v>
      </c>
      <c r="B2660" t="s">
        <v>6</v>
      </c>
      <c r="C2660" t="s">
        <v>5712</v>
      </c>
      <c r="D2660" t="s">
        <v>5713</v>
      </c>
      <c r="E2660" t="s">
        <v>5714</v>
      </c>
      <c r="F2660" t="str">
        <f>HYPERLINK("https://talan.bank.gov.ua/get-user-certificate/45CElsumBTF1AsSJn7at","Завантажити сертифікат")</f>
        <v>Завантажити сертифікат</v>
      </c>
    </row>
    <row r="2661" spans="1:6" x14ac:dyDescent="0.3">
      <c r="A2661" t="s">
        <v>5715</v>
      </c>
      <c r="B2661" t="s">
        <v>6</v>
      </c>
      <c r="C2661" t="s">
        <v>5716</v>
      </c>
      <c r="D2661" t="s">
        <v>5713</v>
      </c>
      <c r="E2661" t="s">
        <v>5714</v>
      </c>
      <c r="F2661" t="str">
        <f>HYPERLINK("https://talan.bank.gov.ua/get-user-certificate/45CEl_RbgKf44DXcYPXx","Завантажити сертифікат")</f>
        <v>Завантажити сертифікат</v>
      </c>
    </row>
    <row r="2662" spans="1:6" x14ac:dyDescent="0.3">
      <c r="A2662" t="s">
        <v>5717</v>
      </c>
      <c r="B2662" t="s">
        <v>6</v>
      </c>
      <c r="C2662" t="s">
        <v>5718</v>
      </c>
      <c r="D2662" t="s">
        <v>5713</v>
      </c>
      <c r="E2662" t="s">
        <v>5714</v>
      </c>
      <c r="F2662" t="str">
        <f>HYPERLINK("https://talan.bank.gov.ua/get-user-certificate/45CElxINPsWFENyJNXoC","Завантажити сертифікат")</f>
        <v>Завантажити сертифікат</v>
      </c>
    </row>
    <row r="2663" spans="1:6" x14ac:dyDescent="0.3">
      <c r="A2663" t="s">
        <v>5719</v>
      </c>
      <c r="B2663" t="s">
        <v>6</v>
      </c>
      <c r="C2663" t="s">
        <v>5720</v>
      </c>
      <c r="D2663" t="s">
        <v>5713</v>
      </c>
      <c r="E2663" t="s">
        <v>5714</v>
      </c>
      <c r="F2663" t="str">
        <f>HYPERLINK("https://talan.bank.gov.ua/get-user-certificate/45CElaIf2DFB3Chx8qgq","Завантажити сертифікат")</f>
        <v>Завантажити сертифікат</v>
      </c>
    </row>
    <row r="2664" spans="1:6" x14ac:dyDescent="0.3">
      <c r="A2664" t="s">
        <v>5721</v>
      </c>
      <c r="B2664" t="s">
        <v>6</v>
      </c>
      <c r="C2664" t="s">
        <v>5722</v>
      </c>
      <c r="D2664" t="s">
        <v>5713</v>
      </c>
      <c r="E2664" t="s">
        <v>5714</v>
      </c>
      <c r="F2664" t="str">
        <f>HYPERLINK("https://talan.bank.gov.ua/get-user-certificate/45CElrA6mdN7StMzRQgt","Завантажити сертифікат")</f>
        <v>Завантажити сертифікат</v>
      </c>
    </row>
    <row r="2665" spans="1:6" x14ac:dyDescent="0.3">
      <c r="A2665" t="s">
        <v>5723</v>
      </c>
      <c r="B2665" t="s">
        <v>6</v>
      </c>
      <c r="C2665" t="s">
        <v>5724</v>
      </c>
      <c r="D2665" t="s">
        <v>5713</v>
      </c>
      <c r="E2665" t="s">
        <v>5714</v>
      </c>
      <c r="F2665" t="str">
        <f>HYPERLINK("https://talan.bank.gov.ua/get-user-certificate/45CElMayB3J-buIVxJkZ","Завантажити сертифікат")</f>
        <v>Завантажити сертифікат</v>
      </c>
    </row>
    <row r="2666" spans="1:6" x14ac:dyDescent="0.3">
      <c r="A2666" t="s">
        <v>5725</v>
      </c>
      <c r="B2666" t="s">
        <v>6</v>
      </c>
      <c r="C2666" t="s">
        <v>5726</v>
      </c>
      <c r="D2666" t="s">
        <v>5713</v>
      </c>
      <c r="E2666" t="s">
        <v>5714</v>
      </c>
      <c r="F2666" t="str">
        <f>HYPERLINK("https://talan.bank.gov.ua/get-user-certificate/45CElqyn5uWetb4dsVsM","Завантажити сертифікат")</f>
        <v>Завантажити сертифікат</v>
      </c>
    </row>
    <row r="2667" spans="1:6" x14ac:dyDescent="0.3">
      <c r="A2667" t="s">
        <v>5727</v>
      </c>
      <c r="B2667" t="s">
        <v>6</v>
      </c>
      <c r="C2667" t="s">
        <v>5728</v>
      </c>
      <c r="D2667" t="s">
        <v>5713</v>
      </c>
      <c r="E2667" t="s">
        <v>5714</v>
      </c>
      <c r="F2667" t="str">
        <f>HYPERLINK("https://talan.bank.gov.ua/get-user-certificate/45CElFGZAeoFWvgybjk4","Завантажити сертифікат")</f>
        <v>Завантажити сертифікат</v>
      </c>
    </row>
    <row r="2668" spans="1:6" x14ac:dyDescent="0.3">
      <c r="A2668" t="s">
        <v>5729</v>
      </c>
      <c r="B2668" t="s">
        <v>6</v>
      </c>
      <c r="C2668" t="s">
        <v>5730</v>
      </c>
      <c r="D2668" t="s">
        <v>5713</v>
      </c>
      <c r="E2668" t="s">
        <v>5714</v>
      </c>
      <c r="F2668" t="str">
        <f>HYPERLINK("https://talan.bank.gov.ua/get-user-certificate/45CElsqZLqsQOTUpxub-","Завантажити сертифікат")</f>
        <v>Завантажити сертифікат</v>
      </c>
    </row>
    <row r="2669" spans="1:6" x14ac:dyDescent="0.3">
      <c r="A2669" t="s">
        <v>5731</v>
      </c>
      <c r="B2669" t="s">
        <v>6</v>
      </c>
      <c r="C2669" t="s">
        <v>5732</v>
      </c>
      <c r="D2669" t="s">
        <v>5713</v>
      </c>
      <c r="E2669" t="s">
        <v>5714</v>
      </c>
      <c r="F2669" t="str">
        <f>HYPERLINK("https://talan.bank.gov.ua/get-user-certificate/45CElPxtinV_gTTfXq4C","Завантажити сертифікат")</f>
        <v>Завантажити сертифікат</v>
      </c>
    </row>
    <row r="2670" spans="1:6" x14ac:dyDescent="0.3">
      <c r="A2670" t="s">
        <v>5733</v>
      </c>
      <c r="B2670" t="s">
        <v>6</v>
      </c>
      <c r="C2670" t="s">
        <v>5734</v>
      </c>
      <c r="D2670" t="s">
        <v>5713</v>
      </c>
      <c r="E2670" t="s">
        <v>5714</v>
      </c>
      <c r="F2670" t="str">
        <f>HYPERLINK("https://talan.bank.gov.ua/get-user-certificate/45CElUSFy8ln6NV26UjV","Завантажити сертифікат")</f>
        <v>Завантажити сертифікат</v>
      </c>
    </row>
    <row r="2671" spans="1:6" x14ac:dyDescent="0.3">
      <c r="A2671" t="s">
        <v>5735</v>
      </c>
      <c r="B2671" t="s">
        <v>6</v>
      </c>
      <c r="C2671" t="s">
        <v>5736</v>
      </c>
      <c r="D2671" t="s">
        <v>5713</v>
      </c>
      <c r="E2671" t="s">
        <v>5714</v>
      </c>
      <c r="F2671" t="str">
        <f>HYPERLINK("https://talan.bank.gov.ua/get-user-certificate/45CElLTKGPvr6q7MwScc","Завантажити сертифікат")</f>
        <v>Завантажити сертифікат</v>
      </c>
    </row>
    <row r="2672" spans="1:6" x14ac:dyDescent="0.3">
      <c r="A2672" t="s">
        <v>5737</v>
      </c>
      <c r="B2672" t="s">
        <v>6</v>
      </c>
      <c r="C2672" t="s">
        <v>5738</v>
      </c>
      <c r="D2672" t="s">
        <v>5739</v>
      </c>
      <c r="E2672" t="s">
        <v>5740</v>
      </c>
      <c r="F2672" t="str">
        <f>HYPERLINK("https://talan.bank.gov.ua/get-user-certificate/45CEll7yjo4P1CDBjYB5","Завантажити сертифікат")</f>
        <v>Завантажити сертифікат</v>
      </c>
    </row>
    <row r="2673" spans="1:6" x14ac:dyDescent="0.3">
      <c r="A2673" t="s">
        <v>5741</v>
      </c>
      <c r="B2673" t="s">
        <v>6</v>
      </c>
      <c r="C2673" t="s">
        <v>5742</v>
      </c>
      <c r="D2673" t="s">
        <v>5743</v>
      </c>
      <c r="E2673" t="s">
        <v>5744</v>
      </c>
      <c r="F2673" t="str">
        <f>HYPERLINK("https://talan.bank.gov.ua/get-user-certificate/45CEl6Z-1ozfxL4UbhEP","Завантажити сертифікат")</f>
        <v>Завантажити сертифікат</v>
      </c>
    </row>
    <row r="2674" spans="1:6" x14ac:dyDescent="0.3">
      <c r="A2674" t="s">
        <v>5745</v>
      </c>
      <c r="B2674" t="s">
        <v>6</v>
      </c>
      <c r="C2674" t="s">
        <v>5746</v>
      </c>
      <c r="D2674" t="s">
        <v>5743</v>
      </c>
      <c r="E2674" t="s">
        <v>5744</v>
      </c>
      <c r="F2674" t="str">
        <f>HYPERLINK("https://talan.bank.gov.ua/get-user-certificate/45CElzR0aMv52Mu_KHly","Завантажити сертифікат")</f>
        <v>Завантажити сертифікат</v>
      </c>
    </row>
    <row r="2675" spans="1:6" x14ac:dyDescent="0.3">
      <c r="A2675" t="s">
        <v>5747</v>
      </c>
      <c r="B2675" t="s">
        <v>6</v>
      </c>
      <c r="C2675" t="s">
        <v>5748</v>
      </c>
      <c r="D2675" t="s">
        <v>5743</v>
      </c>
      <c r="E2675" t="s">
        <v>5744</v>
      </c>
      <c r="F2675" t="str">
        <f>HYPERLINK("https://talan.bank.gov.ua/get-user-certificate/45CEld7BVH9rcpoe9WwP","Завантажити сертифікат")</f>
        <v>Завантажити сертифікат</v>
      </c>
    </row>
    <row r="2676" spans="1:6" x14ac:dyDescent="0.3">
      <c r="A2676" t="s">
        <v>5749</v>
      </c>
      <c r="B2676" t="s">
        <v>6</v>
      </c>
      <c r="C2676" t="s">
        <v>5750</v>
      </c>
      <c r="D2676" t="s">
        <v>5743</v>
      </c>
      <c r="E2676" t="s">
        <v>5744</v>
      </c>
      <c r="F2676" t="str">
        <f>HYPERLINK("https://talan.bank.gov.ua/get-user-certificate/45CEljnZVltQ4xqpltYA","Завантажити сертифікат")</f>
        <v>Завантажити сертифікат</v>
      </c>
    </row>
    <row r="2677" spans="1:6" x14ac:dyDescent="0.3">
      <c r="A2677" t="s">
        <v>5751</v>
      </c>
      <c r="B2677" t="s">
        <v>6</v>
      </c>
      <c r="C2677" t="s">
        <v>5752</v>
      </c>
      <c r="D2677" t="s">
        <v>5743</v>
      </c>
      <c r="E2677" t="s">
        <v>5744</v>
      </c>
      <c r="F2677" t="str">
        <f>HYPERLINK("https://talan.bank.gov.ua/get-user-certificate/45CEleQq7Vbw-wO415UR","Завантажити сертифікат")</f>
        <v>Завантажити сертифікат</v>
      </c>
    </row>
    <row r="2678" spans="1:6" x14ac:dyDescent="0.3">
      <c r="A2678" t="s">
        <v>5753</v>
      </c>
      <c r="B2678" t="s">
        <v>6</v>
      </c>
      <c r="C2678" t="s">
        <v>5754</v>
      </c>
      <c r="D2678" t="s">
        <v>5743</v>
      </c>
      <c r="E2678" t="s">
        <v>5744</v>
      </c>
      <c r="F2678" t="str">
        <f>HYPERLINK("https://talan.bank.gov.ua/get-user-certificate/45CElqE5cAcZe2YtE_8K","Завантажити сертифікат")</f>
        <v>Завантажити сертифікат</v>
      </c>
    </row>
    <row r="2679" spans="1:6" x14ac:dyDescent="0.3">
      <c r="A2679" t="s">
        <v>5755</v>
      </c>
      <c r="B2679" t="s">
        <v>6</v>
      </c>
      <c r="C2679" t="s">
        <v>5756</v>
      </c>
      <c r="D2679" t="s">
        <v>5743</v>
      </c>
      <c r="E2679" t="s">
        <v>5744</v>
      </c>
      <c r="F2679" t="str">
        <f>HYPERLINK("https://talan.bank.gov.ua/get-user-certificate/45CElz9wpDB_oDm_oMlH","Завантажити сертифікат")</f>
        <v>Завантажити сертифікат</v>
      </c>
    </row>
    <row r="2680" spans="1:6" x14ac:dyDescent="0.3">
      <c r="A2680" t="s">
        <v>5757</v>
      </c>
      <c r="B2680" t="s">
        <v>6</v>
      </c>
      <c r="C2680" t="s">
        <v>5758</v>
      </c>
      <c r="D2680" t="s">
        <v>5743</v>
      </c>
      <c r="E2680" t="s">
        <v>5744</v>
      </c>
      <c r="F2680" t="str">
        <f>HYPERLINK("https://talan.bank.gov.ua/get-user-certificate/45CElfM7rNQtIXWRgHYw","Завантажити сертифікат")</f>
        <v>Завантажити сертифікат</v>
      </c>
    </row>
    <row r="2681" spans="1:6" x14ac:dyDescent="0.3">
      <c r="A2681" t="s">
        <v>5759</v>
      </c>
      <c r="B2681" t="s">
        <v>6</v>
      </c>
      <c r="C2681" t="s">
        <v>5760</v>
      </c>
      <c r="D2681" t="s">
        <v>5743</v>
      </c>
      <c r="E2681" t="s">
        <v>5744</v>
      </c>
      <c r="F2681" t="str">
        <f>HYPERLINK("https://talan.bank.gov.ua/get-user-certificate/45CElnMOA3KKhef3umjn","Завантажити сертифікат")</f>
        <v>Завантажити сертифікат</v>
      </c>
    </row>
    <row r="2682" spans="1:6" x14ac:dyDescent="0.3">
      <c r="A2682" t="s">
        <v>5761</v>
      </c>
      <c r="B2682" t="s">
        <v>6</v>
      </c>
      <c r="C2682" t="s">
        <v>5762</v>
      </c>
      <c r="D2682" t="s">
        <v>5743</v>
      </c>
      <c r="E2682" t="s">
        <v>5744</v>
      </c>
      <c r="F2682" t="str">
        <f>HYPERLINK("https://talan.bank.gov.ua/get-user-certificate/45CElqBXzpFPg6x1DP3q","Завантажити сертифікат")</f>
        <v>Завантажити сертифікат</v>
      </c>
    </row>
    <row r="2683" spans="1:6" x14ac:dyDescent="0.3">
      <c r="A2683" t="s">
        <v>5763</v>
      </c>
      <c r="B2683" t="s">
        <v>6</v>
      </c>
      <c r="C2683" t="s">
        <v>5764</v>
      </c>
      <c r="D2683" t="s">
        <v>5743</v>
      </c>
      <c r="E2683" t="s">
        <v>5744</v>
      </c>
      <c r="F2683" t="str">
        <f>HYPERLINK("https://talan.bank.gov.ua/get-user-certificate/45CEljWEU1L2imdc8AkD","Завантажити сертифікат")</f>
        <v>Завантажити сертифікат</v>
      </c>
    </row>
    <row r="2684" spans="1:6" x14ac:dyDescent="0.3">
      <c r="A2684" t="s">
        <v>5765</v>
      </c>
      <c r="B2684" t="s">
        <v>6</v>
      </c>
      <c r="C2684" t="s">
        <v>5766</v>
      </c>
      <c r="D2684" t="s">
        <v>5743</v>
      </c>
      <c r="E2684" t="s">
        <v>5744</v>
      </c>
      <c r="F2684" t="str">
        <f>HYPERLINK("https://talan.bank.gov.ua/get-user-certificate/45CElnfuuOT8xUL5qoLI","Завантажити сертифікат")</f>
        <v>Завантажити сертифікат</v>
      </c>
    </row>
    <row r="2685" spans="1:6" x14ac:dyDescent="0.3">
      <c r="A2685" t="s">
        <v>5767</v>
      </c>
      <c r="B2685" t="s">
        <v>6</v>
      </c>
      <c r="C2685" t="s">
        <v>5768</v>
      </c>
      <c r="D2685" t="s">
        <v>5743</v>
      </c>
      <c r="E2685" t="s">
        <v>5744</v>
      </c>
      <c r="F2685" t="str">
        <f>HYPERLINK("https://talan.bank.gov.ua/get-user-certificate/45CElkKlkFWnZrzqWWSD","Завантажити сертифікат")</f>
        <v>Завантажити сертифікат</v>
      </c>
    </row>
    <row r="2686" spans="1:6" x14ac:dyDescent="0.3">
      <c r="A2686" t="s">
        <v>5769</v>
      </c>
      <c r="B2686" t="s">
        <v>6</v>
      </c>
      <c r="C2686" t="s">
        <v>5770</v>
      </c>
      <c r="D2686" t="s">
        <v>5743</v>
      </c>
      <c r="E2686" t="s">
        <v>5744</v>
      </c>
      <c r="F2686" t="str">
        <f>HYPERLINK("https://talan.bank.gov.ua/get-user-certificate/45CElJrbuWOo9KTdcZXw","Завантажити сертифікат")</f>
        <v>Завантажити сертифікат</v>
      </c>
    </row>
    <row r="2687" spans="1:6" x14ac:dyDescent="0.3">
      <c r="A2687" t="s">
        <v>5771</v>
      </c>
      <c r="B2687" t="s">
        <v>6</v>
      </c>
      <c r="C2687" t="s">
        <v>5772</v>
      </c>
      <c r="D2687" t="s">
        <v>5743</v>
      </c>
      <c r="E2687" t="s">
        <v>5744</v>
      </c>
      <c r="F2687" t="str">
        <f>HYPERLINK("https://talan.bank.gov.ua/get-user-certificate/45CEllYCd4erJQreLAZQ","Завантажити сертифікат")</f>
        <v>Завантажити сертифікат</v>
      </c>
    </row>
    <row r="2688" spans="1:6" x14ac:dyDescent="0.3">
      <c r="A2688" t="s">
        <v>5773</v>
      </c>
      <c r="B2688" t="s">
        <v>6</v>
      </c>
      <c r="C2688" t="s">
        <v>5774</v>
      </c>
      <c r="D2688" t="s">
        <v>5775</v>
      </c>
      <c r="E2688" t="s">
        <v>5776</v>
      </c>
      <c r="F2688" t="str">
        <f>HYPERLINK("https://talan.bank.gov.ua/get-user-certificate/45CElQljZRy5T5xkGKph","Завантажити сертифікат")</f>
        <v>Завантажити сертифікат</v>
      </c>
    </row>
    <row r="2689" spans="1:6" x14ac:dyDescent="0.3">
      <c r="A2689" t="s">
        <v>5777</v>
      </c>
      <c r="B2689" t="s">
        <v>6</v>
      </c>
      <c r="C2689" t="s">
        <v>5778</v>
      </c>
      <c r="D2689" t="s">
        <v>5775</v>
      </c>
      <c r="E2689" t="s">
        <v>5776</v>
      </c>
      <c r="F2689" t="str">
        <f>HYPERLINK("https://talan.bank.gov.ua/get-user-certificate/45CEl_skmzzN5WC9wxz0","Завантажити сертифікат")</f>
        <v>Завантажити сертифікат</v>
      </c>
    </row>
    <row r="2690" spans="1:6" x14ac:dyDescent="0.3">
      <c r="A2690" t="s">
        <v>5779</v>
      </c>
      <c r="B2690" t="s">
        <v>6</v>
      </c>
      <c r="C2690" t="s">
        <v>5780</v>
      </c>
      <c r="D2690" t="s">
        <v>5775</v>
      </c>
      <c r="E2690" t="s">
        <v>5776</v>
      </c>
      <c r="F2690" t="str">
        <f>HYPERLINK("https://talan.bank.gov.ua/get-user-certificate/45CElvaofANHfXYwA4xG","Завантажити сертифікат")</f>
        <v>Завантажити сертифікат</v>
      </c>
    </row>
    <row r="2691" spans="1:6" x14ac:dyDescent="0.3">
      <c r="A2691" t="s">
        <v>5781</v>
      </c>
      <c r="B2691" t="s">
        <v>6</v>
      </c>
      <c r="C2691" t="s">
        <v>5782</v>
      </c>
      <c r="D2691" t="s">
        <v>5775</v>
      </c>
      <c r="E2691" t="s">
        <v>5776</v>
      </c>
      <c r="F2691" t="str">
        <f>HYPERLINK("https://talan.bank.gov.ua/get-user-certificate/45CElXcIXCnnjbZCDVNZ","Завантажити сертифікат")</f>
        <v>Завантажити сертифікат</v>
      </c>
    </row>
    <row r="2692" spans="1:6" x14ac:dyDescent="0.3">
      <c r="A2692" t="s">
        <v>5783</v>
      </c>
      <c r="B2692" t="s">
        <v>6</v>
      </c>
      <c r="C2692" t="s">
        <v>5784</v>
      </c>
      <c r="D2692" t="s">
        <v>5775</v>
      </c>
      <c r="E2692" t="s">
        <v>5776</v>
      </c>
      <c r="F2692" t="str">
        <f>HYPERLINK("https://talan.bank.gov.ua/get-user-certificate/45CElvAXOaDk6nU8-_tY","Завантажити сертифікат")</f>
        <v>Завантажити сертифікат</v>
      </c>
    </row>
    <row r="2693" spans="1:6" x14ac:dyDescent="0.3">
      <c r="A2693" t="s">
        <v>5785</v>
      </c>
      <c r="B2693" t="s">
        <v>6</v>
      </c>
      <c r="C2693" t="s">
        <v>5786</v>
      </c>
      <c r="D2693" t="s">
        <v>5775</v>
      </c>
      <c r="E2693" t="s">
        <v>5776</v>
      </c>
      <c r="F2693" t="str">
        <f>HYPERLINK("https://talan.bank.gov.ua/get-user-certificate/45CElVapo7ElYk1J7hDn","Завантажити сертифікат")</f>
        <v>Завантажити сертифікат</v>
      </c>
    </row>
    <row r="2694" spans="1:6" x14ac:dyDescent="0.3">
      <c r="A2694" t="s">
        <v>5787</v>
      </c>
      <c r="B2694" t="s">
        <v>6</v>
      </c>
      <c r="C2694" t="s">
        <v>5788</v>
      </c>
      <c r="D2694" t="s">
        <v>5789</v>
      </c>
      <c r="E2694" t="s">
        <v>5790</v>
      </c>
      <c r="F2694" t="str">
        <f>HYPERLINK("https://talan.bank.gov.ua/get-user-certificate/45CElaMwX4W4e6Ggqblr","Завантажити сертифікат")</f>
        <v>Завантажити сертифікат</v>
      </c>
    </row>
    <row r="2695" spans="1:6" x14ac:dyDescent="0.3">
      <c r="A2695" t="s">
        <v>5791</v>
      </c>
      <c r="B2695" t="s">
        <v>6</v>
      </c>
      <c r="C2695" t="s">
        <v>5792</v>
      </c>
      <c r="D2695" t="s">
        <v>5789</v>
      </c>
      <c r="E2695" t="s">
        <v>5790</v>
      </c>
      <c r="F2695" t="str">
        <f>HYPERLINK("https://talan.bank.gov.ua/get-user-certificate/45CEl8n7KP_ZuGB-HYOj","Завантажити сертифікат")</f>
        <v>Завантажити сертифікат</v>
      </c>
    </row>
    <row r="2696" spans="1:6" x14ac:dyDescent="0.3">
      <c r="A2696" t="s">
        <v>5793</v>
      </c>
      <c r="B2696" t="s">
        <v>6</v>
      </c>
      <c r="C2696" t="s">
        <v>5794</v>
      </c>
      <c r="D2696" t="s">
        <v>5789</v>
      </c>
      <c r="E2696" t="s">
        <v>5790</v>
      </c>
      <c r="F2696" t="str">
        <f>HYPERLINK("https://talan.bank.gov.ua/get-user-certificate/45CEldtrb5_vMdkNjXNZ","Завантажити сертифікат")</f>
        <v>Завантажити сертифікат</v>
      </c>
    </row>
    <row r="2697" spans="1:6" x14ac:dyDescent="0.3">
      <c r="A2697" t="s">
        <v>5795</v>
      </c>
      <c r="B2697" t="s">
        <v>6</v>
      </c>
      <c r="C2697" t="s">
        <v>5796</v>
      </c>
      <c r="D2697" t="s">
        <v>5789</v>
      </c>
      <c r="E2697" t="s">
        <v>5790</v>
      </c>
      <c r="F2697" t="str">
        <f>HYPERLINK("https://talan.bank.gov.ua/get-user-certificate/45CElrKFt4a04DTF1ZZ0","Завантажити сертифікат")</f>
        <v>Завантажити сертифікат</v>
      </c>
    </row>
    <row r="2698" spans="1:6" x14ac:dyDescent="0.3">
      <c r="A2698" t="s">
        <v>5797</v>
      </c>
      <c r="B2698" t="s">
        <v>6</v>
      </c>
      <c r="C2698" t="s">
        <v>5798</v>
      </c>
      <c r="D2698" t="s">
        <v>5789</v>
      </c>
      <c r="E2698" t="s">
        <v>5790</v>
      </c>
      <c r="F2698" t="str">
        <f>HYPERLINK("https://talan.bank.gov.ua/get-user-certificate/45CElMMR54DlYXXiRG71","Завантажити сертифікат")</f>
        <v>Завантажити сертифікат</v>
      </c>
    </row>
    <row r="2699" spans="1:6" x14ac:dyDescent="0.3">
      <c r="A2699" t="s">
        <v>5799</v>
      </c>
      <c r="B2699" t="s">
        <v>6</v>
      </c>
      <c r="C2699" t="s">
        <v>5800</v>
      </c>
      <c r="D2699" t="s">
        <v>5789</v>
      </c>
      <c r="E2699" t="s">
        <v>5790</v>
      </c>
      <c r="F2699" t="str">
        <f>HYPERLINK("https://talan.bank.gov.ua/get-user-certificate/45CElyRaasbD3FSroBWD","Завантажити сертифікат")</f>
        <v>Завантажити сертифікат</v>
      </c>
    </row>
    <row r="2700" spans="1:6" x14ac:dyDescent="0.3">
      <c r="A2700" t="s">
        <v>5801</v>
      </c>
      <c r="B2700" t="s">
        <v>6</v>
      </c>
      <c r="C2700" t="s">
        <v>5802</v>
      </c>
      <c r="D2700" t="s">
        <v>5789</v>
      </c>
      <c r="E2700" t="s">
        <v>5790</v>
      </c>
      <c r="F2700" t="str">
        <f>HYPERLINK("https://talan.bank.gov.ua/get-user-certificate/45CEl4hABi81QTuDcstB","Завантажити сертифікат")</f>
        <v>Завантажити сертифікат</v>
      </c>
    </row>
    <row r="2701" spans="1:6" x14ac:dyDescent="0.3">
      <c r="A2701" t="s">
        <v>5803</v>
      </c>
      <c r="B2701" t="s">
        <v>6</v>
      </c>
      <c r="C2701" t="s">
        <v>5804</v>
      </c>
      <c r="D2701" t="s">
        <v>5789</v>
      </c>
      <c r="E2701" t="s">
        <v>5790</v>
      </c>
      <c r="F2701" t="str">
        <f>HYPERLINK("https://talan.bank.gov.ua/get-user-certificate/45CElz9VndDx4rkWEADY","Завантажити сертифікат")</f>
        <v>Завантажити сертифікат</v>
      </c>
    </row>
    <row r="2702" spans="1:6" x14ac:dyDescent="0.3">
      <c r="A2702" t="s">
        <v>5805</v>
      </c>
      <c r="B2702" t="s">
        <v>6</v>
      </c>
      <c r="C2702" t="s">
        <v>5806</v>
      </c>
      <c r="D2702" t="s">
        <v>5789</v>
      </c>
      <c r="E2702" t="s">
        <v>5790</v>
      </c>
      <c r="F2702" t="str">
        <f>HYPERLINK("https://talan.bank.gov.ua/get-user-certificate/45CElYy7r8GnFGkSh14t","Завантажити сертифікат")</f>
        <v>Завантажити сертифікат</v>
      </c>
    </row>
    <row r="2703" spans="1:6" x14ac:dyDescent="0.3">
      <c r="A2703" t="s">
        <v>5807</v>
      </c>
      <c r="B2703" t="s">
        <v>6</v>
      </c>
      <c r="C2703" t="s">
        <v>5808</v>
      </c>
      <c r="D2703" t="s">
        <v>5789</v>
      </c>
      <c r="E2703" t="s">
        <v>5790</v>
      </c>
      <c r="F2703" t="str">
        <f>HYPERLINK("https://talan.bank.gov.ua/get-user-certificate/45CElj5ucVgVEDsopep3","Завантажити сертифікат")</f>
        <v>Завантажити сертифікат</v>
      </c>
    </row>
    <row r="2704" spans="1:6" x14ac:dyDescent="0.3">
      <c r="A2704" t="s">
        <v>5809</v>
      </c>
      <c r="B2704" t="s">
        <v>6</v>
      </c>
      <c r="C2704" t="s">
        <v>5810</v>
      </c>
      <c r="D2704" t="s">
        <v>5789</v>
      </c>
      <c r="E2704" t="s">
        <v>5790</v>
      </c>
      <c r="F2704" t="str">
        <f>HYPERLINK("https://talan.bank.gov.ua/get-user-certificate/45CEliezCRIuXLOJ4mVK","Завантажити сертифікат")</f>
        <v>Завантажити сертифікат</v>
      </c>
    </row>
    <row r="2705" spans="1:6" x14ac:dyDescent="0.3">
      <c r="A2705" t="s">
        <v>5811</v>
      </c>
      <c r="B2705" t="s">
        <v>6</v>
      </c>
      <c r="C2705" t="s">
        <v>5812</v>
      </c>
      <c r="D2705" t="s">
        <v>5789</v>
      </c>
      <c r="E2705" t="s">
        <v>5790</v>
      </c>
      <c r="F2705" t="str">
        <f>HYPERLINK("https://talan.bank.gov.ua/get-user-certificate/45CEl2xIIF_pMe461vAJ","Завантажити сертифікат")</f>
        <v>Завантажити сертифікат</v>
      </c>
    </row>
    <row r="2706" spans="1:6" x14ac:dyDescent="0.3">
      <c r="A2706" t="s">
        <v>5813</v>
      </c>
      <c r="B2706" t="s">
        <v>6</v>
      </c>
      <c r="C2706" t="s">
        <v>5814</v>
      </c>
      <c r="D2706" t="s">
        <v>5789</v>
      </c>
      <c r="E2706" t="s">
        <v>5790</v>
      </c>
      <c r="F2706" t="str">
        <f>HYPERLINK("https://talan.bank.gov.ua/get-user-certificate/45CElOdtdCsvgLtrocsK","Завантажити сертифікат")</f>
        <v>Завантажити сертифікат</v>
      </c>
    </row>
    <row r="2707" spans="1:6" x14ac:dyDescent="0.3">
      <c r="A2707" t="s">
        <v>5815</v>
      </c>
      <c r="B2707" t="s">
        <v>6</v>
      </c>
      <c r="C2707" t="s">
        <v>5816</v>
      </c>
      <c r="D2707" t="s">
        <v>5789</v>
      </c>
      <c r="E2707" t="s">
        <v>5790</v>
      </c>
      <c r="F2707" t="str">
        <f>HYPERLINK("https://talan.bank.gov.ua/get-user-certificate/45CElGBXSzabXlX48Xdv","Завантажити сертифікат")</f>
        <v>Завантажити сертифікат</v>
      </c>
    </row>
    <row r="2708" spans="1:6" x14ac:dyDescent="0.3">
      <c r="A2708" t="s">
        <v>5817</v>
      </c>
      <c r="B2708" t="s">
        <v>6</v>
      </c>
      <c r="C2708" t="s">
        <v>5818</v>
      </c>
      <c r="D2708" t="s">
        <v>5789</v>
      </c>
      <c r="E2708" t="s">
        <v>5790</v>
      </c>
      <c r="F2708" t="str">
        <f>HYPERLINK("https://talan.bank.gov.ua/get-user-certificate/45CEllDer5LfRQRuGqPY","Завантажити сертифікат")</f>
        <v>Завантажити сертифікат</v>
      </c>
    </row>
    <row r="2709" spans="1:6" x14ac:dyDescent="0.3">
      <c r="A2709" t="s">
        <v>5819</v>
      </c>
      <c r="B2709" t="s">
        <v>6</v>
      </c>
      <c r="C2709" t="s">
        <v>5820</v>
      </c>
      <c r="D2709" t="s">
        <v>5821</v>
      </c>
      <c r="E2709" t="s">
        <v>5822</v>
      </c>
      <c r="F2709" t="str">
        <f>HYPERLINK("https://talan.bank.gov.ua/get-user-certificate/45CElG8nNRUyHdbt3OFm","Завантажити сертифікат")</f>
        <v>Завантажити сертифікат</v>
      </c>
    </row>
    <row r="2710" spans="1:6" x14ac:dyDescent="0.3">
      <c r="A2710" t="s">
        <v>5823</v>
      </c>
      <c r="B2710" t="s">
        <v>6</v>
      </c>
      <c r="C2710" t="s">
        <v>5824</v>
      </c>
      <c r="D2710" t="s">
        <v>5821</v>
      </c>
      <c r="E2710" t="s">
        <v>5822</v>
      </c>
      <c r="F2710" t="str">
        <f>HYPERLINK("https://talan.bank.gov.ua/get-user-certificate/45CEloW0nzCDVQ3foKbI","Завантажити сертифікат")</f>
        <v>Завантажити сертифікат</v>
      </c>
    </row>
    <row r="2711" spans="1:6" x14ac:dyDescent="0.3">
      <c r="A2711" t="s">
        <v>5825</v>
      </c>
      <c r="B2711" t="s">
        <v>6</v>
      </c>
      <c r="C2711" t="s">
        <v>5826</v>
      </c>
      <c r="D2711" t="s">
        <v>5821</v>
      </c>
      <c r="E2711" t="s">
        <v>5822</v>
      </c>
      <c r="F2711" t="str">
        <f>HYPERLINK("https://talan.bank.gov.ua/get-user-certificate/45CElmGyc7mHP4zSkUXy","Завантажити сертифікат")</f>
        <v>Завантажити сертифікат</v>
      </c>
    </row>
    <row r="2712" spans="1:6" x14ac:dyDescent="0.3">
      <c r="A2712" t="s">
        <v>5827</v>
      </c>
      <c r="B2712" t="s">
        <v>6</v>
      </c>
      <c r="C2712" t="s">
        <v>5828</v>
      </c>
      <c r="D2712" t="s">
        <v>5821</v>
      </c>
      <c r="E2712" t="s">
        <v>5822</v>
      </c>
      <c r="F2712" t="str">
        <f>HYPERLINK("https://talan.bank.gov.ua/get-user-certificate/45CEllq1G8VGfUNOZpjR","Завантажити сертифікат")</f>
        <v>Завантажити сертифікат</v>
      </c>
    </row>
    <row r="2713" spans="1:6" x14ac:dyDescent="0.3">
      <c r="A2713" t="s">
        <v>5829</v>
      </c>
      <c r="B2713" t="s">
        <v>6</v>
      </c>
      <c r="C2713" t="s">
        <v>5830</v>
      </c>
      <c r="D2713" t="s">
        <v>5821</v>
      </c>
      <c r="E2713" t="s">
        <v>5822</v>
      </c>
      <c r="F2713" t="str">
        <f>HYPERLINK("https://talan.bank.gov.ua/get-user-certificate/45CElEdiEQwu6aKJB5cU","Завантажити сертифікат")</f>
        <v>Завантажити сертифікат</v>
      </c>
    </row>
    <row r="2714" spans="1:6" x14ac:dyDescent="0.3">
      <c r="A2714" t="s">
        <v>5831</v>
      </c>
      <c r="B2714" t="s">
        <v>6</v>
      </c>
      <c r="C2714" t="s">
        <v>5832</v>
      </c>
      <c r="D2714" t="s">
        <v>5821</v>
      </c>
      <c r="E2714" t="s">
        <v>5822</v>
      </c>
      <c r="F2714" t="str">
        <f>HYPERLINK("https://talan.bank.gov.ua/get-user-certificate/45CElgFDuaGXwIH0p48F","Завантажити сертифікат")</f>
        <v>Завантажити сертифікат</v>
      </c>
    </row>
    <row r="2715" spans="1:6" x14ac:dyDescent="0.3">
      <c r="A2715" t="s">
        <v>5833</v>
      </c>
      <c r="B2715" t="s">
        <v>6</v>
      </c>
      <c r="C2715" t="s">
        <v>5834</v>
      </c>
      <c r="D2715" t="s">
        <v>5821</v>
      </c>
      <c r="E2715" t="s">
        <v>5822</v>
      </c>
      <c r="F2715" t="str">
        <f>HYPERLINK("https://talan.bank.gov.ua/get-user-certificate/45CEl_HjZtWon5b-rCRv","Завантажити сертифікат")</f>
        <v>Завантажити сертифікат</v>
      </c>
    </row>
    <row r="2716" spans="1:6" x14ac:dyDescent="0.3">
      <c r="A2716" t="s">
        <v>5835</v>
      </c>
      <c r="B2716" t="s">
        <v>6</v>
      </c>
      <c r="C2716" t="s">
        <v>5836</v>
      </c>
      <c r="D2716" t="s">
        <v>5821</v>
      </c>
      <c r="E2716" t="s">
        <v>5822</v>
      </c>
      <c r="F2716" t="str">
        <f>HYPERLINK("https://talan.bank.gov.ua/get-user-certificate/45CElwt-V2mr04aruyfy","Завантажити сертифікат")</f>
        <v>Завантажити сертифікат</v>
      </c>
    </row>
    <row r="2717" spans="1:6" x14ac:dyDescent="0.3">
      <c r="A2717" t="s">
        <v>5837</v>
      </c>
      <c r="B2717" t="s">
        <v>6</v>
      </c>
      <c r="C2717" t="s">
        <v>5838</v>
      </c>
      <c r="D2717" t="s">
        <v>5821</v>
      </c>
      <c r="E2717" t="s">
        <v>5822</v>
      </c>
      <c r="F2717" t="str">
        <f>HYPERLINK("https://talan.bank.gov.ua/get-user-certificate/45CElxJCxNdNgh8A7MNc","Завантажити сертифікат")</f>
        <v>Завантажити сертифікат</v>
      </c>
    </row>
    <row r="2718" spans="1:6" x14ac:dyDescent="0.3">
      <c r="A2718" t="s">
        <v>5839</v>
      </c>
      <c r="B2718" t="s">
        <v>6</v>
      </c>
      <c r="C2718" t="s">
        <v>5840</v>
      </c>
      <c r="D2718" t="s">
        <v>5821</v>
      </c>
      <c r="E2718" t="s">
        <v>5822</v>
      </c>
      <c r="F2718" t="str">
        <f>HYPERLINK("https://talan.bank.gov.ua/get-user-certificate/45CEl2QNaUaxL9QHWdN4","Завантажити сертифікат")</f>
        <v>Завантажити сертифікат</v>
      </c>
    </row>
    <row r="2719" spans="1:6" x14ac:dyDescent="0.3">
      <c r="A2719" t="s">
        <v>5841</v>
      </c>
      <c r="B2719" t="s">
        <v>6</v>
      </c>
      <c r="C2719" t="s">
        <v>5842</v>
      </c>
      <c r="D2719" t="s">
        <v>5821</v>
      </c>
      <c r="E2719" t="s">
        <v>5822</v>
      </c>
      <c r="F2719" t="str">
        <f>HYPERLINK("https://talan.bank.gov.ua/get-user-certificate/45CElezuKEUk6xHwuJO2","Завантажити сертифікат")</f>
        <v>Завантажити сертифікат</v>
      </c>
    </row>
    <row r="2720" spans="1:6" x14ac:dyDescent="0.3">
      <c r="A2720" t="s">
        <v>5843</v>
      </c>
      <c r="B2720" t="s">
        <v>6</v>
      </c>
      <c r="C2720" t="s">
        <v>5844</v>
      </c>
      <c r="D2720" t="s">
        <v>5821</v>
      </c>
      <c r="E2720" t="s">
        <v>5822</v>
      </c>
      <c r="F2720" t="str">
        <f>HYPERLINK("https://talan.bank.gov.ua/get-user-certificate/45CEl97sijohxnxE-mCH","Завантажити сертифікат")</f>
        <v>Завантажити сертифікат</v>
      </c>
    </row>
    <row r="2721" spans="1:6" x14ac:dyDescent="0.3">
      <c r="A2721" t="s">
        <v>5845</v>
      </c>
      <c r="B2721" t="s">
        <v>6</v>
      </c>
      <c r="C2721" t="s">
        <v>5846</v>
      </c>
      <c r="D2721" t="s">
        <v>5821</v>
      </c>
      <c r="E2721" t="s">
        <v>5822</v>
      </c>
      <c r="F2721" t="str">
        <f>HYPERLINK("https://talan.bank.gov.ua/get-user-certificate/45CElrhaVVvqyxIVbCa-","Завантажити сертифікат")</f>
        <v>Завантажити сертифікат</v>
      </c>
    </row>
    <row r="2722" spans="1:6" x14ac:dyDescent="0.3">
      <c r="A2722" t="s">
        <v>5847</v>
      </c>
      <c r="B2722" t="s">
        <v>6</v>
      </c>
      <c r="C2722" t="s">
        <v>5848</v>
      </c>
      <c r="D2722" t="s">
        <v>5821</v>
      </c>
      <c r="E2722" t="s">
        <v>5822</v>
      </c>
      <c r="F2722" t="str">
        <f>HYPERLINK("https://talan.bank.gov.ua/get-user-certificate/45CElchalN8hCnD8pgMm","Завантажити сертифікат")</f>
        <v>Завантажити сертифікат</v>
      </c>
    </row>
    <row r="2723" spans="1:6" x14ac:dyDescent="0.3">
      <c r="A2723" t="s">
        <v>5849</v>
      </c>
      <c r="B2723" t="s">
        <v>6</v>
      </c>
      <c r="C2723" t="s">
        <v>5850</v>
      </c>
      <c r="D2723" t="s">
        <v>5821</v>
      </c>
      <c r="E2723" t="s">
        <v>5822</v>
      </c>
      <c r="F2723" t="str">
        <f>HYPERLINK("https://talan.bank.gov.ua/get-user-certificate/45CElTg7lKb6hA2u3mMM","Завантажити сертифікат")</f>
        <v>Завантажити сертифікат</v>
      </c>
    </row>
    <row r="2724" spans="1:6" x14ac:dyDescent="0.3">
      <c r="A2724" t="s">
        <v>5851</v>
      </c>
      <c r="B2724" t="s">
        <v>6</v>
      </c>
      <c r="C2724" t="s">
        <v>5852</v>
      </c>
      <c r="D2724" t="s">
        <v>5821</v>
      </c>
      <c r="E2724" t="s">
        <v>5822</v>
      </c>
      <c r="F2724" t="str">
        <f>HYPERLINK("https://talan.bank.gov.ua/get-user-certificate/45CElF9IPuFnnPDgQSHs","Завантажити сертифікат")</f>
        <v>Завантажити сертифікат</v>
      </c>
    </row>
    <row r="2725" spans="1:6" x14ac:dyDescent="0.3">
      <c r="A2725" t="s">
        <v>5853</v>
      </c>
      <c r="B2725" t="s">
        <v>6</v>
      </c>
      <c r="C2725" t="s">
        <v>5854</v>
      </c>
      <c r="D2725" t="s">
        <v>5821</v>
      </c>
      <c r="E2725" t="s">
        <v>5822</v>
      </c>
      <c r="F2725" t="str">
        <f>HYPERLINK("https://talan.bank.gov.ua/get-user-certificate/45CElrx8Iu73qoC_7jd7","Завантажити сертифікат")</f>
        <v>Завантажити сертифікат</v>
      </c>
    </row>
    <row r="2726" spans="1:6" x14ac:dyDescent="0.3">
      <c r="A2726" t="s">
        <v>5855</v>
      </c>
      <c r="B2726" t="s">
        <v>6</v>
      </c>
      <c r="C2726" t="s">
        <v>5856</v>
      </c>
      <c r="D2726" t="s">
        <v>5821</v>
      </c>
      <c r="E2726" t="s">
        <v>5822</v>
      </c>
      <c r="F2726" t="str">
        <f>HYPERLINK("https://talan.bank.gov.ua/get-user-certificate/45CElIJN_W6uqiIDnGRS","Завантажити сертифікат")</f>
        <v>Завантажити сертифікат</v>
      </c>
    </row>
    <row r="2727" spans="1:6" x14ac:dyDescent="0.3">
      <c r="A2727" t="s">
        <v>5857</v>
      </c>
      <c r="B2727" t="s">
        <v>6</v>
      </c>
      <c r="C2727" t="s">
        <v>5858</v>
      </c>
      <c r="D2727" t="s">
        <v>5859</v>
      </c>
      <c r="E2727" t="s">
        <v>5860</v>
      </c>
      <c r="F2727" t="str">
        <f>HYPERLINK("https://talan.bank.gov.ua/get-user-certificate/45CElE1sy4x9Sgk8NWWv","Завантажити сертифікат")</f>
        <v>Завантажити сертифікат</v>
      </c>
    </row>
    <row r="2728" spans="1:6" x14ac:dyDescent="0.3">
      <c r="A2728" t="s">
        <v>5861</v>
      </c>
      <c r="B2728" t="s">
        <v>6</v>
      </c>
      <c r="C2728" t="s">
        <v>5862</v>
      </c>
      <c r="D2728" t="s">
        <v>5859</v>
      </c>
      <c r="E2728" t="s">
        <v>5860</v>
      </c>
      <c r="F2728" t="str">
        <f>HYPERLINK("https://talan.bank.gov.ua/get-user-certificate/45CElaOvuaCdod2-_ogy","Завантажити сертифікат")</f>
        <v>Завантажити сертифікат</v>
      </c>
    </row>
    <row r="2729" spans="1:6" x14ac:dyDescent="0.3">
      <c r="A2729" t="s">
        <v>5863</v>
      </c>
      <c r="B2729" t="s">
        <v>6</v>
      </c>
      <c r="C2729" t="s">
        <v>5864</v>
      </c>
      <c r="D2729" t="s">
        <v>5859</v>
      </c>
      <c r="E2729" t="s">
        <v>5860</v>
      </c>
      <c r="F2729" t="str">
        <f>HYPERLINK("https://talan.bank.gov.ua/get-user-certificate/45CElAD241Z8YQ1k-FTx","Завантажити сертифікат")</f>
        <v>Завантажити сертифікат</v>
      </c>
    </row>
    <row r="2730" spans="1:6" x14ac:dyDescent="0.3">
      <c r="A2730" t="s">
        <v>5865</v>
      </c>
      <c r="B2730" t="s">
        <v>6</v>
      </c>
      <c r="C2730" t="s">
        <v>5866</v>
      </c>
      <c r="D2730" t="s">
        <v>5859</v>
      </c>
      <c r="E2730" t="s">
        <v>5860</v>
      </c>
      <c r="F2730" t="str">
        <f>HYPERLINK("https://talan.bank.gov.ua/get-user-certificate/45CEl568bqWDD8iF8nIq","Завантажити сертифікат")</f>
        <v>Завантажити сертифікат</v>
      </c>
    </row>
    <row r="2731" spans="1:6" x14ac:dyDescent="0.3">
      <c r="A2731" t="s">
        <v>5867</v>
      </c>
      <c r="B2731" t="s">
        <v>6</v>
      </c>
      <c r="C2731" t="s">
        <v>5868</v>
      </c>
      <c r="D2731" t="s">
        <v>5859</v>
      </c>
      <c r="E2731" t="s">
        <v>5860</v>
      </c>
      <c r="F2731" t="str">
        <f>HYPERLINK("https://talan.bank.gov.ua/get-user-certificate/45CElOZkQhTnjOQd_4zw","Завантажити сертифікат")</f>
        <v>Завантажити сертифікат</v>
      </c>
    </row>
    <row r="2732" spans="1:6" x14ac:dyDescent="0.3">
      <c r="A2732" t="s">
        <v>5869</v>
      </c>
      <c r="B2732" t="s">
        <v>6</v>
      </c>
      <c r="C2732" t="s">
        <v>5870</v>
      </c>
      <c r="D2732" t="s">
        <v>5859</v>
      </c>
      <c r="E2732" t="s">
        <v>5860</v>
      </c>
      <c r="F2732" t="str">
        <f>HYPERLINK("https://talan.bank.gov.ua/get-user-certificate/45CElJQSqaCAsNTAu2Yz","Завантажити сертифікат")</f>
        <v>Завантажити сертифікат</v>
      </c>
    </row>
    <row r="2733" spans="1:6" x14ac:dyDescent="0.3">
      <c r="A2733" t="s">
        <v>5871</v>
      </c>
      <c r="B2733" t="s">
        <v>6</v>
      </c>
      <c r="C2733" t="s">
        <v>5872</v>
      </c>
      <c r="D2733" t="s">
        <v>5859</v>
      </c>
      <c r="E2733" t="s">
        <v>5860</v>
      </c>
      <c r="F2733" t="str">
        <f>HYPERLINK("https://talan.bank.gov.ua/get-user-certificate/45CEl6iGhAbDEfS7GGSL","Завантажити сертифікат")</f>
        <v>Завантажити сертифікат</v>
      </c>
    </row>
    <row r="2734" spans="1:6" x14ac:dyDescent="0.3">
      <c r="A2734" t="s">
        <v>5873</v>
      </c>
      <c r="B2734" t="s">
        <v>6</v>
      </c>
      <c r="C2734" t="s">
        <v>5874</v>
      </c>
      <c r="D2734" t="s">
        <v>5859</v>
      </c>
      <c r="E2734" t="s">
        <v>5860</v>
      </c>
      <c r="F2734" t="str">
        <f>HYPERLINK("https://talan.bank.gov.ua/get-user-certificate/45CElSPZBP_QaC-IxLsF","Завантажити сертифікат")</f>
        <v>Завантажити сертифікат</v>
      </c>
    </row>
    <row r="2735" spans="1:6" x14ac:dyDescent="0.3">
      <c r="A2735" t="s">
        <v>5875</v>
      </c>
      <c r="B2735" t="s">
        <v>6</v>
      </c>
      <c r="C2735" t="s">
        <v>5876</v>
      </c>
      <c r="D2735" t="s">
        <v>5859</v>
      </c>
      <c r="E2735" t="s">
        <v>5860</v>
      </c>
      <c r="F2735" t="str">
        <f>HYPERLINK("https://talan.bank.gov.ua/get-user-certificate/45CEl-y-0h7eTdl2qDdg","Завантажити сертифікат")</f>
        <v>Завантажити сертифікат</v>
      </c>
    </row>
    <row r="2736" spans="1:6" x14ac:dyDescent="0.3">
      <c r="A2736" t="s">
        <v>5877</v>
      </c>
      <c r="B2736" t="s">
        <v>6</v>
      </c>
      <c r="C2736" t="s">
        <v>5878</v>
      </c>
      <c r="D2736" t="s">
        <v>5879</v>
      </c>
      <c r="E2736" t="s">
        <v>5880</v>
      </c>
      <c r="F2736" t="str">
        <f>HYPERLINK("https://talan.bank.gov.ua/get-user-certificate/45CElMZDcIBUtZfatUeh","Завантажити сертифікат")</f>
        <v>Завантажити сертифікат</v>
      </c>
    </row>
    <row r="2737" spans="1:6" x14ac:dyDescent="0.3">
      <c r="A2737" t="s">
        <v>5881</v>
      </c>
      <c r="B2737" t="s">
        <v>6</v>
      </c>
      <c r="C2737" t="s">
        <v>5882</v>
      </c>
      <c r="D2737" t="s">
        <v>5879</v>
      </c>
      <c r="E2737" t="s">
        <v>5880</v>
      </c>
      <c r="F2737" t="str">
        <f>HYPERLINK("https://talan.bank.gov.ua/get-user-certificate/45CElOZVfqMAeSheCEeI","Завантажити сертифікат")</f>
        <v>Завантажити сертифікат</v>
      </c>
    </row>
    <row r="2738" spans="1:6" x14ac:dyDescent="0.3">
      <c r="A2738" t="s">
        <v>5883</v>
      </c>
      <c r="B2738" t="s">
        <v>6</v>
      </c>
      <c r="C2738" t="s">
        <v>5884</v>
      </c>
      <c r="D2738" t="s">
        <v>5879</v>
      </c>
      <c r="E2738" t="s">
        <v>5880</v>
      </c>
      <c r="F2738" t="str">
        <f>HYPERLINK("https://talan.bank.gov.ua/get-user-certificate/45CEluRzA4nlTE-RB7R9","Завантажити сертифікат")</f>
        <v>Завантажити сертифікат</v>
      </c>
    </row>
    <row r="2739" spans="1:6" x14ac:dyDescent="0.3">
      <c r="A2739" t="s">
        <v>5885</v>
      </c>
      <c r="B2739" t="s">
        <v>6</v>
      </c>
      <c r="C2739" t="s">
        <v>5886</v>
      </c>
      <c r="D2739" t="s">
        <v>5879</v>
      </c>
      <c r="E2739" t="s">
        <v>5880</v>
      </c>
      <c r="F2739" t="str">
        <f>HYPERLINK("https://talan.bank.gov.ua/get-user-certificate/45CEln0dtCzcPaahbNQ4","Завантажити сертифікат")</f>
        <v>Завантажити сертифікат</v>
      </c>
    </row>
    <row r="2740" spans="1:6" x14ac:dyDescent="0.3">
      <c r="A2740" t="s">
        <v>5887</v>
      </c>
      <c r="B2740" t="s">
        <v>6</v>
      </c>
      <c r="C2740" t="s">
        <v>5888</v>
      </c>
      <c r="D2740" t="s">
        <v>5879</v>
      </c>
      <c r="E2740" t="s">
        <v>5880</v>
      </c>
      <c r="F2740" t="str">
        <f>HYPERLINK("https://talan.bank.gov.ua/get-user-certificate/45CElmresHSnhx3B64fl","Завантажити сертифікат")</f>
        <v>Завантажити сертифікат</v>
      </c>
    </row>
    <row r="2741" spans="1:6" x14ac:dyDescent="0.3">
      <c r="A2741" t="s">
        <v>5889</v>
      </c>
      <c r="B2741" t="s">
        <v>6</v>
      </c>
      <c r="C2741" t="s">
        <v>5890</v>
      </c>
      <c r="D2741" t="s">
        <v>5879</v>
      </c>
      <c r="E2741" t="s">
        <v>5880</v>
      </c>
      <c r="F2741" t="str">
        <f>HYPERLINK("https://talan.bank.gov.ua/get-user-certificate/45CElpR04lXhVlCbAH8n","Завантажити сертифікат")</f>
        <v>Завантажити сертифікат</v>
      </c>
    </row>
    <row r="2742" spans="1:6" x14ac:dyDescent="0.3">
      <c r="A2742" t="s">
        <v>5891</v>
      </c>
      <c r="B2742" t="s">
        <v>6</v>
      </c>
      <c r="C2742" t="s">
        <v>5892</v>
      </c>
      <c r="D2742" t="s">
        <v>5879</v>
      </c>
      <c r="E2742" t="s">
        <v>5880</v>
      </c>
      <c r="F2742" t="str">
        <f>HYPERLINK("https://talan.bank.gov.ua/get-user-certificate/45CElLHv3noKEWPXn1pv","Завантажити сертифікат")</f>
        <v>Завантажити сертифікат</v>
      </c>
    </row>
    <row r="2743" spans="1:6" x14ac:dyDescent="0.3">
      <c r="A2743" t="s">
        <v>5893</v>
      </c>
      <c r="B2743" t="s">
        <v>6</v>
      </c>
      <c r="C2743" t="s">
        <v>5894</v>
      </c>
      <c r="D2743" t="s">
        <v>5879</v>
      </c>
      <c r="E2743" t="s">
        <v>5880</v>
      </c>
      <c r="F2743" t="str">
        <f>HYPERLINK("https://talan.bank.gov.ua/get-user-certificate/45CEly8ORqICePVKFf6P","Завантажити сертифікат")</f>
        <v>Завантажити сертифікат</v>
      </c>
    </row>
    <row r="2744" spans="1:6" x14ac:dyDescent="0.3">
      <c r="A2744" t="s">
        <v>5895</v>
      </c>
      <c r="B2744" t="s">
        <v>6</v>
      </c>
      <c r="C2744" t="s">
        <v>5896</v>
      </c>
      <c r="D2744" t="s">
        <v>5879</v>
      </c>
      <c r="E2744" t="s">
        <v>5880</v>
      </c>
      <c r="F2744" t="str">
        <f>HYPERLINK("https://talan.bank.gov.ua/get-user-certificate/45CEliPJaAZcagL4wJQV","Завантажити сертифікат")</f>
        <v>Завантажити сертифікат</v>
      </c>
    </row>
    <row r="2745" spans="1:6" x14ac:dyDescent="0.3">
      <c r="A2745" t="s">
        <v>5897</v>
      </c>
      <c r="B2745" t="s">
        <v>6</v>
      </c>
      <c r="C2745" t="s">
        <v>5898</v>
      </c>
      <c r="D2745" t="s">
        <v>5899</v>
      </c>
      <c r="E2745" t="s">
        <v>5900</v>
      </c>
      <c r="F2745" t="str">
        <f>HYPERLINK("https://talan.bank.gov.ua/get-user-certificate/45CElTqOFCKb--PUm0O5","Завантажити сертифікат")</f>
        <v>Завантажити сертифікат</v>
      </c>
    </row>
    <row r="2746" spans="1:6" x14ac:dyDescent="0.3">
      <c r="A2746" t="s">
        <v>5901</v>
      </c>
      <c r="B2746" t="s">
        <v>6</v>
      </c>
      <c r="C2746" t="s">
        <v>5902</v>
      </c>
      <c r="D2746" t="s">
        <v>5899</v>
      </c>
      <c r="E2746" t="s">
        <v>5900</v>
      </c>
      <c r="F2746" t="str">
        <f>HYPERLINK("https://talan.bank.gov.ua/get-user-certificate/45CElDvh5Nk7N-cwmKmN","Завантажити сертифікат")</f>
        <v>Завантажити сертифікат</v>
      </c>
    </row>
    <row r="2747" spans="1:6" x14ac:dyDescent="0.3">
      <c r="A2747" t="s">
        <v>5903</v>
      </c>
      <c r="B2747" t="s">
        <v>6</v>
      </c>
      <c r="C2747" t="s">
        <v>5904</v>
      </c>
      <c r="D2747" t="s">
        <v>5899</v>
      </c>
      <c r="E2747" t="s">
        <v>5900</v>
      </c>
      <c r="F2747" t="str">
        <f>HYPERLINK("https://talan.bank.gov.ua/get-user-certificate/45CElMiSZRI5JBB7Ppzb","Завантажити сертифікат")</f>
        <v>Завантажити сертифікат</v>
      </c>
    </row>
    <row r="2748" spans="1:6" x14ac:dyDescent="0.3">
      <c r="A2748" t="s">
        <v>5905</v>
      </c>
      <c r="B2748" t="s">
        <v>6</v>
      </c>
      <c r="C2748" t="s">
        <v>5906</v>
      </c>
      <c r="D2748" t="s">
        <v>5899</v>
      </c>
      <c r="E2748" t="s">
        <v>5900</v>
      </c>
      <c r="F2748" t="str">
        <f>HYPERLINK("https://talan.bank.gov.ua/get-user-certificate/45CElziEJ6xYGj83zV8h","Завантажити сертифікат")</f>
        <v>Завантажити сертифікат</v>
      </c>
    </row>
    <row r="2749" spans="1:6" x14ac:dyDescent="0.3">
      <c r="A2749" t="s">
        <v>5907</v>
      </c>
      <c r="B2749" t="s">
        <v>6</v>
      </c>
      <c r="C2749" t="s">
        <v>5908</v>
      </c>
      <c r="D2749" t="s">
        <v>5899</v>
      </c>
      <c r="E2749" t="s">
        <v>5900</v>
      </c>
      <c r="F2749" t="str">
        <f>HYPERLINK("https://talan.bank.gov.ua/get-user-certificate/45CElvvynsbyRs7O4WH2","Завантажити сертифікат")</f>
        <v>Завантажити сертифікат</v>
      </c>
    </row>
    <row r="2750" spans="1:6" x14ac:dyDescent="0.3">
      <c r="A2750" t="s">
        <v>5909</v>
      </c>
      <c r="B2750" t="s">
        <v>6</v>
      </c>
      <c r="C2750" t="s">
        <v>5910</v>
      </c>
      <c r="D2750" t="s">
        <v>5899</v>
      </c>
      <c r="E2750" t="s">
        <v>5900</v>
      </c>
      <c r="F2750" t="str">
        <f>HYPERLINK("https://talan.bank.gov.ua/get-user-certificate/45CEl-heoQVZ0EjAvwN-","Завантажити сертифікат")</f>
        <v>Завантажити сертифікат</v>
      </c>
    </row>
    <row r="2751" spans="1:6" x14ac:dyDescent="0.3">
      <c r="A2751" t="s">
        <v>5911</v>
      </c>
      <c r="B2751" t="s">
        <v>6</v>
      </c>
      <c r="C2751" t="s">
        <v>5912</v>
      </c>
      <c r="D2751" t="s">
        <v>5899</v>
      </c>
      <c r="E2751" t="s">
        <v>5900</v>
      </c>
      <c r="F2751" t="str">
        <f>HYPERLINK("https://talan.bank.gov.ua/get-user-certificate/45CElW3-rnIFOwJT_64b","Завантажити сертифікат")</f>
        <v>Завантажити сертифікат</v>
      </c>
    </row>
    <row r="2752" spans="1:6" x14ac:dyDescent="0.3">
      <c r="A2752" t="s">
        <v>5913</v>
      </c>
      <c r="B2752" t="s">
        <v>6</v>
      </c>
      <c r="C2752" t="s">
        <v>5914</v>
      </c>
      <c r="D2752" t="s">
        <v>5899</v>
      </c>
      <c r="E2752" t="s">
        <v>5900</v>
      </c>
      <c r="F2752" t="str">
        <f>HYPERLINK("https://talan.bank.gov.ua/get-user-certificate/45CEl9DdBRht6cgAkh3Y","Завантажити сертифікат")</f>
        <v>Завантажити сертифікат</v>
      </c>
    </row>
    <row r="2753" spans="1:6" x14ac:dyDescent="0.3">
      <c r="A2753" t="s">
        <v>5915</v>
      </c>
      <c r="B2753" t="s">
        <v>6</v>
      </c>
      <c r="C2753" t="s">
        <v>5916</v>
      </c>
      <c r="D2753" t="s">
        <v>5899</v>
      </c>
      <c r="E2753" t="s">
        <v>5900</v>
      </c>
      <c r="F2753" t="str">
        <f>HYPERLINK("https://talan.bank.gov.ua/get-user-certificate/45CElK5T0FBXm1WE3tEf","Завантажити сертифікат")</f>
        <v>Завантажити сертифікат</v>
      </c>
    </row>
    <row r="2754" spans="1:6" x14ac:dyDescent="0.3">
      <c r="A2754" t="s">
        <v>5917</v>
      </c>
      <c r="B2754" t="s">
        <v>6</v>
      </c>
      <c r="C2754" t="s">
        <v>5918</v>
      </c>
      <c r="D2754" t="s">
        <v>5899</v>
      </c>
      <c r="E2754" t="s">
        <v>5900</v>
      </c>
      <c r="F2754" t="str">
        <f>HYPERLINK("https://talan.bank.gov.ua/get-user-certificate/45CEloNFy3NE142ToiaR","Завантажити сертифікат")</f>
        <v>Завантажити сертифікат</v>
      </c>
    </row>
    <row r="2755" spans="1:6" x14ac:dyDescent="0.3">
      <c r="A2755" t="s">
        <v>5919</v>
      </c>
      <c r="B2755" t="s">
        <v>6</v>
      </c>
      <c r="C2755" t="s">
        <v>5920</v>
      </c>
      <c r="D2755" t="s">
        <v>5899</v>
      </c>
      <c r="E2755" t="s">
        <v>5900</v>
      </c>
      <c r="F2755" t="str">
        <f>HYPERLINK("https://talan.bank.gov.ua/get-user-certificate/45CElqpv0DOaG8bnR2gv","Завантажити сертифікат")</f>
        <v>Завантажити сертифікат</v>
      </c>
    </row>
    <row r="2756" spans="1:6" x14ac:dyDescent="0.3">
      <c r="A2756" t="s">
        <v>5921</v>
      </c>
      <c r="B2756" t="s">
        <v>6</v>
      </c>
      <c r="C2756" t="s">
        <v>5922</v>
      </c>
      <c r="D2756" t="s">
        <v>5899</v>
      </c>
      <c r="E2756" t="s">
        <v>5900</v>
      </c>
      <c r="F2756" t="str">
        <f>HYPERLINK("https://talan.bank.gov.ua/get-user-certificate/45CElLx590iT31O3Nwj4","Завантажити сертифікат")</f>
        <v>Завантажити сертифікат</v>
      </c>
    </row>
    <row r="2757" spans="1:6" x14ac:dyDescent="0.3">
      <c r="A2757" t="s">
        <v>5923</v>
      </c>
      <c r="B2757" t="s">
        <v>6</v>
      </c>
      <c r="C2757" t="s">
        <v>5924</v>
      </c>
      <c r="D2757" t="s">
        <v>5899</v>
      </c>
      <c r="E2757" t="s">
        <v>5900</v>
      </c>
      <c r="F2757" t="str">
        <f>HYPERLINK("https://talan.bank.gov.ua/get-user-certificate/45CEl-zSLVRn41kAjPCi","Завантажити сертифікат")</f>
        <v>Завантажити сертифікат</v>
      </c>
    </row>
    <row r="2758" spans="1:6" x14ac:dyDescent="0.3">
      <c r="A2758" t="s">
        <v>5925</v>
      </c>
      <c r="B2758" t="s">
        <v>6</v>
      </c>
      <c r="C2758" t="s">
        <v>5926</v>
      </c>
      <c r="D2758" t="s">
        <v>5899</v>
      </c>
      <c r="E2758" t="s">
        <v>5900</v>
      </c>
      <c r="F2758" t="str">
        <f>HYPERLINK("https://talan.bank.gov.ua/get-user-certificate/45CElE3SZXMXL3vNIVqx","Завантажити сертифікат")</f>
        <v>Завантажити сертифікат</v>
      </c>
    </row>
    <row r="2759" spans="1:6" x14ac:dyDescent="0.3">
      <c r="A2759" t="s">
        <v>5927</v>
      </c>
      <c r="B2759" t="s">
        <v>6</v>
      </c>
      <c r="C2759" t="s">
        <v>5928</v>
      </c>
      <c r="D2759" t="s">
        <v>5929</v>
      </c>
      <c r="E2759" t="s">
        <v>5930</v>
      </c>
      <c r="F2759" t="str">
        <f>HYPERLINK("https://talan.bank.gov.ua/get-user-certificate/45CEluqzqndUxVUhPB3G","Завантажити сертифікат")</f>
        <v>Завантажити сертифікат</v>
      </c>
    </row>
    <row r="2760" spans="1:6" x14ac:dyDescent="0.3">
      <c r="A2760" t="s">
        <v>5931</v>
      </c>
      <c r="B2760" t="s">
        <v>6</v>
      </c>
      <c r="C2760" t="s">
        <v>5932</v>
      </c>
      <c r="D2760" t="s">
        <v>5933</v>
      </c>
      <c r="E2760" t="s">
        <v>5934</v>
      </c>
      <c r="F2760" t="str">
        <f>HYPERLINK("https://talan.bank.gov.ua/get-user-certificate/45CElAIQiLyQpHEjAQeu","Завантажити сертифікат")</f>
        <v>Завантажити сертифікат</v>
      </c>
    </row>
    <row r="2761" spans="1:6" x14ac:dyDescent="0.3">
      <c r="A2761" t="s">
        <v>5935</v>
      </c>
      <c r="B2761" t="s">
        <v>6</v>
      </c>
      <c r="C2761" t="s">
        <v>5936</v>
      </c>
      <c r="D2761" t="s">
        <v>5933</v>
      </c>
      <c r="E2761" t="s">
        <v>5934</v>
      </c>
      <c r="F2761" t="str">
        <f>HYPERLINK("https://talan.bank.gov.ua/get-user-certificate/45CEllHjoGV99qNq1G_E","Завантажити сертифікат")</f>
        <v>Завантажити сертифікат</v>
      </c>
    </row>
    <row r="2762" spans="1:6" x14ac:dyDescent="0.3">
      <c r="A2762" t="s">
        <v>5937</v>
      </c>
      <c r="B2762" t="s">
        <v>6</v>
      </c>
      <c r="C2762" t="s">
        <v>5938</v>
      </c>
      <c r="D2762" t="s">
        <v>5933</v>
      </c>
      <c r="E2762" t="s">
        <v>5934</v>
      </c>
      <c r="F2762" t="str">
        <f>HYPERLINK("https://talan.bank.gov.ua/get-user-certificate/45CElNkONnGelXEFviu8","Завантажити сертифікат")</f>
        <v>Завантажити сертифікат</v>
      </c>
    </row>
    <row r="2763" spans="1:6" x14ac:dyDescent="0.3">
      <c r="A2763" t="s">
        <v>5939</v>
      </c>
      <c r="B2763" t="s">
        <v>6</v>
      </c>
      <c r="C2763" t="s">
        <v>5940</v>
      </c>
      <c r="D2763" t="s">
        <v>5933</v>
      </c>
      <c r="E2763" t="s">
        <v>5934</v>
      </c>
      <c r="F2763" t="str">
        <f>HYPERLINK("https://talan.bank.gov.ua/get-user-certificate/45CElSftOd1Q1o8W-5qO","Завантажити сертифікат")</f>
        <v>Завантажити сертифікат</v>
      </c>
    </row>
    <row r="2764" spans="1:6" x14ac:dyDescent="0.3">
      <c r="A2764" t="s">
        <v>5941</v>
      </c>
      <c r="B2764" t="s">
        <v>6</v>
      </c>
      <c r="C2764" t="s">
        <v>5942</v>
      </c>
      <c r="D2764" t="s">
        <v>5943</v>
      </c>
      <c r="E2764" t="s">
        <v>5944</v>
      </c>
      <c r="F2764" t="str">
        <f>HYPERLINK("https://talan.bank.gov.ua/get-user-certificate/45CElhVGlz9_Qk9exNa6","Завантажити сертифікат")</f>
        <v>Завантажити сертифікат</v>
      </c>
    </row>
    <row r="2765" spans="1:6" x14ac:dyDescent="0.3">
      <c r="A2765" t="s">
        <v>5945</v>
      </c>
      <c r="B2765" t="s">
        <v>6</v>
      </c>
      <c r="C2765" t="s">
        <v>5946</v>
      </c>
      <c r="D2765" t="s">
        <v>5943</v>
      </c>
      <c r="E2765" t="s">
        <v>5944</v>
      </c>
      <c r="F2765" t="str">
        <f>HYPERLINK("https://talan.bank.gov.ua/get-user-certificate/45CEl8E3Y6cR1jp3Xtob","Завантажити сертифікат")</f>
        <v>Завантажити сертифікат</v>
      </c>
    </row>
    <row r="2766" spans="1:6" x14ac:dyDescent="0.3">
      <c r="A2766" t="s">
        <v>5947</v>
      </c>
      <c r="B2766" t="s">
        <v>6</v>
      </c>
      <c r="C2766" t="s">
        <v>5948</v>
      </c>
      <c r="D2766" t="s">
        <v>5943</v>
      </c>
      <c r="E2766" t="s">
        <v>5944</v>
      </c>
      <c r="F2766" t="str">
        <f>HYPERLINK("https://talan.bank.gov.ua/get-user-certificate/45CEljbT-mufQCRes2NG","Завантажити сертифікат")</f>
        <v>Завантажити сертифікат</v>
      </c>
    </row>
    <row r="2767" spans="1:6" x14ac:dyDescent="0.3">
      <c r="A2767" t="s">
        <v>5949</v>
      </c>
      <c r="B2767" t="s">
        <v>6</v>
      </c>
      <c r="C2767" t="s">
        <v>5950</v>
      </c>
      <c r="D2767" t="s">
        <v>5943</v>
      </c>
      <c r="E2767" t="s">
        <v>5944</v>
      </c>
      <c r="F2767" t="str">
        <f>HYPERLINK("https://talan.bank.gov.ua/get-user-certificate/45CEl6OOR71SJqINEdvN","Завантажити сертифікат")</f>
        <v>Завантажити сертифікат</v>
      </c>
    </row>
    <row r="2768" spans="1:6" x14ac:dyDescent="0.3">
      <c r="A2768" t="s">
        <v>5951</v>
      </c>
      <c r="B2768" t="s">
        <v>6</v>
      </c>
      <c r="C2768" t="s">
        <v>5952</v>
      </c>
      <c r="D2768" t="s">
        <v>5943</v>
      </c>
      <c r="E2768" t="s">
        <v>5944</v>
      </c>
      <c r="F2768" t="str">
        <f>HYPERLINK("https://talan.bank.gov.ua/get-user-certificate/45CElqnyuHzIPRVMlNtW","Завантажити сертифікат")</f>
        <v>Завантажити сертифікат</v>
      </c>
    </row>
    <row r="2769" spans="1:6" x14ac:dyDescent="0.3">
      <c r="A2769" t="s">
        <v>5953</v>
      </c>
      <c r="B2769" t="s">
        <v>6</v>
      </c>
      <c r="C2769" t="s">
        <v>5954</v>
      </c>
      <c r="D2769" t="s">
        <v>5943</v>
      </c>
      <c r="E2769" t="s">
        <v>5944</v>
      </c>
      <c r="F2769" t="str">
        <f>HYPERLINK("https://talan.bank.gov.ua/get-user-certificate/45CEldl7SnLcXnCE1OQH","Завантажити сертифікат")</f>
        <v>Завантажити сертифікат</v>
      </c>
    </row>
    <row r="2770" spans="1:6" x14ac:dyDescent="0.3">
      <c r="A2770" t="s">
        <v>5955</v>
      </c>
      <c r="B2770" t="s">
        <v>6</v>
      </c>
      <c r="C2770" t="s">
        <v>5956</v>
      </c>
      <c r="D2770" t="s">
        <v>5943</v>
      </c>
      <c r="E2770" t="s">
        <v>5944</v>
      </c>
      <c r="F2770" t="str">
        <f>HYPERLINK("https://talan.bank.gov.ua/get-user-certificate/45CElQ_nQEk8ZXIqxFRu","Завантажити сертифікат")</f>
        <v>Завантажити сертифікат</v>
      </c>
    </row>
    <row r="2771" spans="1:6" x14ac:dyDescent="0.3">
      <c r="A2771" t="s">
        <v>5957</v>
      </c>
      <c r="B2771" t="s">
        <v>6</v>
      </c>
      <c r="C2771" t="s">
        <v>5958</v>
      </c>
      <c r="D2771" t="s">
        <v>5943</v>
      </c>
      <c r="E2771" t="s">
        <v>5944</v>
      </c>
      <c r="F2771" t="str">
        <f>HYPERLINK("https://talan.bank.gov.ua/get-user-certificate/45CEl2M24ybTdHgbBRLM","Завантажити сертифікат")</f>
        <v>Завантажити сертифікат</v>
      </c>
    </row>
    <row r="2772" spans="1:6" x14ac:dyDescent="0.3">
      <c r="A2772" t="s">
        <v>5959</v>
      </c>
      <c r="B2772" t="s">
        <v>6</v>
      </c>
      <c r="C2772" t="s">
        <v>5960</v>
      </c>
      <c r="D2772" t="s">
        <v>5943</v>
      </c>
      <c r="E2772" t="s">
        <v>5944</v>
      </c>
      <c r="F2772" t="str">
        <f>HYPERLINK("https://talan.bank.gov.ua/get-user-certificate/45CElra_4BDKmjqQtAhi","Завантажити сертифікат")</f>
        <v>Завантажити сертифікат</v>
      </c>
    </row>
    <row r="2773" spans="1:6" x14ac:dyDescent="0.3">
      <c r="A2773" t="s">
        <v>5961</v>
      </c>
      <c r="B2773" t="s">
        <v>6</v>
      </c>
      <c r="C2773" t="s">
        <v>5962</v>
      </c>
      <c r="D2773" t="s">
        <v>5943</v>
      </c>
      <c r="E2773" t="s">
        <v>5944</v>
      </c>
      <c r="F2773" t="str">
        <f>HYPERLINK("https://talan.bank.gov.ua/get-user-certificate/45CElYxlYzj6oiqhKXXE","Завантажити сертифікат")</f>
        <v>Завантажити сертифікат</v>
      </c>
    </row>
    <row r="2774" spans="1:6" x14ac:dyDescent="0.3">
      <c r="A2774" t="s">
        <v>5963</v>
      </c>
      <c r="B2774" t="s">
        <v>6</v>
      </c>
      <c r="C2774" t="s">
        <v>5964</v>
      </c>
      <c r="D2774" t="s">
        <v>5943</v>
      </c>
      <c r="E2774" t="s">
        <v>5944</v>
      </c>
      <c r="F2774" t="str">
        <f>HYPERLINK("https://talan.bank.gov.ua/get-user-certificate/45CElDu88UYgHjx5yz5n","Завантажити сертифікат")</f>
        <v>Завантажити сертифікат</v>
      </c>
    </row>
    <row r="2775" spans="1:6" x14ac:dyDescent="0.3">
      <c r="A2775" t="s">
        <v>5965</v>
      </c>
      <c r="B2775" t="s">
        <v>6</v>
      </c>
      <c r="C2775" t="s">
        <v>5966</v>
      </c>
      <c r="D2775" t="s">
        <v>5943</v>
      </c>
      <c r="E2775" t="s">
        <v>5944</v>
      </c>
      <c r="F2775" t="str">
        <f>HYPERLINK("https://talan.bank.gov.ua/get-user-certificate/45CElGRwTe8KGWY3egoc","Завантажити сертифікат")</f>
        <v>Завантажити сертифікат</v>
      </c>
    </row>
    <row r="2776" spans="1:6" x14ac:dyDescent="0.3">
      <c r="A2776" t="s">
        <v>5967</v>
      </c>
      <c r="B2776" t="s">
        <v>6</v>
      </c>
      <c r="C2776" t="s">
        <v>5968</v>
      </c>
      <c r="D2776" t="s">
        <v>5943</v>
      </c>
      <c r="E2776" t="s">
        <v>5944</v>
      </c>
      <c r="F2776" t="str">
        <f>HYPERLINK("https://talan.bank.gov.ua/get-user-certificate/45CEl6NlzgvNGTPQiU2-","Завантажити сертифікат")</f>
        <v>Завантажити сертифікат</v>
      </c>
    </row>
    <row r="2777" spans="1:6" x14ac:dyDescent="0.3">
      <c r="A2777" t="s">
        <v>5969</v>
      </c>
      <c r="B2777" t="s">
        <v>6</v>
      </c>
      <c r="C2777" t="s">
        <v>5970</v>
      </c>
      <c r="D2777" t="s">
        <v>5943</v>
      </c>
      <c r="E2777" t="s">
        <v>5944</v>
      </c>
      <c r="F2777" t="str">
        <f>HYPERLINK("https://talan.bank.gov.ua/get-user-certificate/45CElq82yHqJHtMQj4mP","Завантажити сертифікат")</f>
        <v>Завантажити сертифікат</v>
      </c>
    </row>
    <row r="2778" spans="1:6" x14ac:dyDescent="0.3">
      <c r="A2778" t="s">
        <v>5971</v>
      </c>
      <c r="B2778" t="s">
        <v>6</v>
      </c>
      <c r="C2778" t="s">
        <v>5972</v>
      </c>
      <c r="D2778" t="s">
        <v>5943</v>
      </c>
      <c r="E2778" t="s">
        <v>5944</v>
      </c>
      <c r="F2778" t="str">
        <f>HYPERLINK("https://talan.bank.gov.ua/get-user-certificate/45CElIGx24NnALQ0O-iH","Завантажити сертифікат")</f>
        <v>Завантажити сертифікат</v>
      </c>
    </row>
    <row r="2779" spans="1:6" x14ac:dyDescent="0.3">
      <c r="A2779" t="s">
        <v>5973</v>
      </c>
      <c r="B2779" t="s">
        <v>6</v>
      </c>
      <c r="C2779" t="s">
        <v>5974</v>
      </c>
      <c r="D2779" t="s">
        <v>5943</v>
      </c>
      <c r="E2779" t="s">
        <v>5944</v>
      </c>
      <c r="F2779" t="str">
        <f>HYPERLINK("https://talan.bank.gov.ua/get-user-certificate/45CElDKIfQGTsD1Rs8j9","Завантажити сертифікат")</f>
        <v>Завантажити сертифікат</v>
      </c>
    </row>
    <row r="2780" spans="1:6" x14ac:dyDescent="0.3">
      <c r="A2780" t="s">
        <v>5975</v>
      </c>
      <c r="B2780" t="s">
        <v>6</v>
      </c>
      <c r="C2780" t="s">
        <v>5976</v>
      </c>
      <c r="D2780" t="s">
        <v>5943</v>
      </c>
      <c r="E2780" t="s">
        <v>5944</v>
      </c>
      <c r="F2780" t="str">
        <f>HYPERLINK("https://talan.bank.gov.ua/get-user-certificate/45CElxA_6ZkQVNtR_h4I","Завантажити сертифікат")</f>
        <v>Завантажити сертифікат</v>
      </c>
    </row>
    <row r="2781" spans="1:6" x14ac:dyDescent="0.3">
      <c r="A2781" t="s">
        <v>5977</v>
      </c>
      <c r="B2781" t="s">
        <v>6</v>
      </c>
      <c r="C2781" t="s">
        <v>5978</v>
      </c>
      <c r="D2781" t="s">
        <v>5943</v>
      </c>
      <c r="E2781" t="s">
        <v>5944</v>
      </c>
      <c r="F2781" t="str">
        <f>HYPERLINK("https://talan.bank.gov.ua/get-user-certificate/45CEl2ZiCRHqiSOPnQQ7","Завантажити сертифікат")</f>
        <v>Завантажити сертифікат</v>
      </c>
    </row>
    <row r="2782" spans="1:6" x14ac:dyDescent="0.3">
      <c r="A2782" t="s">
        <v>5979</v>
      </c>
      <c r="B2782" t="s">
        <v>6</v>
      </c>
      <c r="C2782" t="s">
        <v>609</v>
      </c>
      <c r="D2782" t="s">
        <v>5943</v>
      </c>
      <c r="E2782" t="s">
        <v>5944</v>
      </c>
      <c r="F2782" t="str">
        <f>HYPERLINK("https://talan.bank.gov.ua/get-user-certificate/45CEl19n6JyGmfWne8BA","Завантажити сертифікат")</f>
        <v>Завантажити сертифікат</v>
      </c>
    </row>
    <row r="2783" spans="1:6" x14ac:dyDescent="0.3">
      <c r="A2783" t="s">
        <v>5980</v>
      </c>
      <c r="B2783" t="s">
        <v>6</v>
      </c>
      <c r="C2783" t="s">
        <v>5981</v>
      </c>
      <c r="D2783" t="s">
        <v>5943</v>
      </c>
      <c r="E2783" t="s">
        <v>5944</v>
      </c>
      <c r="F2783" t="str">
        <f>HYPERLINK("https://talan.bank.gov.ua/get-user-certificate/45CEljVUdfApj6cQnsou","Завантажити сертифікат")</f>
        <v>Завантажити сертифікат</v>
      </c>
    </row>
    <row r="2784" spans="1:6" x14ac:dyDescent="0.3">
      <c r="A2784" t="s">
        <v>5982</v>
      </c>
      <c r="B2784" t="s">
        <v>6</v>
      </c>
      <c r="C2784" t="s">
        <v>5983</v>
      </c>
      <c r="D2784" t="s">
        <v>5943</v>
      </c>
      <c r="E2784" t="s">
        <v>5944</v>
      </c>
      <c r="F2784" t="str">
        <f>HYPERLINK("https://talan.bank.gov.ua/get-user-certificate/45CElhabOyCC7pD4odo4","Завантажити сертифікат")</f>
        <v>Завантажити сертифікат</v>
      </c>
    </row>
    <row r="2785" spans="1:6" x14ac:dyDescent="0.3">
      <c r="A2785" t="s">
        <v>5984</v>
      </c>
      <c r="B2785" t="s">
        <v>6</v>
      </c>
      <c r="C2785" t="s">
        <v>5985</v>
      </c>
      <c r="D2785" t="s">
        <v>5943</v>
      </c>
      <c r="E2785" t="s">
        <v>5944</v>
      </c>
      <c r="F2785" t="str">
        <f>HYPERLINK("https://talan.bank.gov.ua/get-user-certificate/45CEl75YLHuBWUP9dY7h","Завантажити сертифікат")</f>
        <v>Завантажити сертифікат</v>
      </c>
    </row>
    <row r="2786" spans="1:6" x14ac:dyDescent="0.3">
      <c r="A2786" t="s">
        <v>5986</v>
      </c>
      <c r="B2786" t="s">
        <v>6</v>
      </c>
      <c r="C2786" t="s">
        <v>5987</v>
      </c>
      <c r="D2786" t="s">
        <v>5943</v>
      </c>
      <c r="E2786" t="s">
        <v>5944</v>
      </c>
      <c r="F2786" t="str">
        <f>HYPERLINK("https://talan.bank.gov.ua/get-user-certificate/45CElsZYVSLAVlFRfJNV","Завантажити сертифікат")</f>
        <v>Завантажити сертифікат</v>
      </c>
    </row>
    <row r="2787" spans="1:6" x14ac:dyDescent="0.3">
      <c r="A2787" t="s">
        <v>5988</v>
      </c>
      <c r="B2787" t="s">
        <v>6</v>
      </c>
      <c r="C2787" t="s">
        <v>5989</v>
      </c>
      <c r="D2787" t="s">
        <v>5943</v>
      </c>
      <c r="E2787" t="s">
        <v>5944</v>
      </c>
      <c r="F2787" t="str">
        <f>HYPERLINK("https://talan.bank.gov.ua/get-user-certificate/45CElWQbHoJKmLtepkpL","Завантажити сертифікат")</f>
        <v>Завантажити сертифікат</v>
      </c>
    </row>
    <row r="2788" spans="1:6" x14ac:dyDescent="0.3">
      <c r="A2788" t="s">
        <v>5990</v>
      </c>
      <c r="B2788" t="s">
        <v>6</v>
      </c>
      <c r="C2788" t="s">
        <v>5991</v>
      </c>
      <c r="D2788" t="s">
        <v>5943</v>
      </c>
      <c r="E2788" t="s">
        <v>5944</v>
      </c>
      <c r="F2788" t="str">
        <f>HYPERLINK("https://talan.bank.gov.ua/get-user-certificate/45CEl8MNyvFcsIL26FqS","Завантажити сертифікат")</f>
        <v>Завантажити сертифікат</v>
      </c>
    </row>
    <row r="2789" spans="1:6" x14ac:dyDescent="0.3">
      <c r="A2789" t="s">
        <v>5992</v>
      </c>
      <c r="B2789" t="s">
        <v>6</v>
      </c>
      <c r="C2789" t="s">
        <v>5993</v>
      </c>
      <c r="D2789" t="s">
        <v>5943</v>
      </c>
      <c r="E2789" t="s">
        <v>5944</v>
      </c>
      <c r="F2789" t="str">
        <f>HYPERLINK("https://talan.bank.gov.ua/get-user-certificate/45CEliguVa0rHYEH6DQM","Завантажити сертифікат")</f>
        <v>Завантажити сертифікат</v>
      </c>
    </row>
    <row r="2790" spans="1:6" x14ac:dyDescent="0.3">
      <c r="A2790" t="s">
        <v>5994</v>
      </c>
      <c r="B2790" t="s">
        <v>6</v>
      </c>
      <c r="C2790" t="s">
        <v>5995</v>
      </c>
      <c r="D2790" t="s">
        <v>5943</v>
      </c>
      <c r="E2790" t="s">
        <v>5944</v>
      </c>
      <c r="F2790" t="str">
        <f>HYPERLINK("https://talan.bank.gov.ua/get-user-certificate/45CEl-wjVfEEoR3U0yb7","Завантажити сертифікат")</f>
        <v>Завантажити сертифікат</v>
      </c>
    </row>
    <row r="2791" spans="1:6" x14ac:dyDescent="0.3">
      <c r="A2791" t="s">
        <v>5996</v>
      </c>
      <c r="B2791" t="s">
        <v>6</v>
      </c>
      <c r="C2791" t="s">
        <v>5997</v>
      </c>
      <c r="D2791" t="s">
        <v>5943</v>
      </c>
      <c r="E2791" t="s">
        <v>5944</v>
      </c>
      <c r="F2791" t="str">
        <f>HYPERLINK("https://talan.bank.gov.ua/get-user-certificate/45CEl5fvWQ8eC-2JUyKA","Завантажити сертифікат")</f>
        <v>Завантажити сертифікат</v>
      </c>
    </row>
    <row r="2792" spans="1:6" x14ac:dyDescent="0.3">
      <c r="A2792" t="s">
        <v>5998</v>
      </c>
      <c r="B2792" t="s">
        <v>6</v>
      </c>
      <c r="C2792" t="s">
        <v>5999</v>
      </c>
      <c r="D2792" t="s">
        <v>5943</v>
      </c>
      <c r="E2792" t="s">
        <v>5944</v>
      </c>
      <c r="F2792" t="str">
        <f>HYPERLINK("https://talan.bank.gov.ua/get-user-certificate/45CElHeuZYkJxzAtB39W","Завантажити сертифікат")</f>
        <v>Завантажити сертифікат</v>
      </c>
    </row>
    <row r="2793" spans="1:6" x14ac:dyDescent="0.3">
      <c r="A2793" t="s">
        <v>6000</v>
      </c>
      <c r="B2793" t="s">
        <v>6</v>
      </c>
      <c r="C2793" t="s">
        <v>6001</v>
      </c>
      <c r="D2793" t="s">
        <v>5943</v>
      </c>
      <c r="E2793" t="s">
        <v>5944</v>
      </c>
      <c r="F2793" t="str">
        <f>HYPERLINK("https://talan.bank.gov.ua/get-user-certificate/45CEl1XNXnFJEivhgyQi","Завантажити сертифікат")</f>
        <v>Завантажити сертифікат</v>
      </c>
    </row>
    <row r="2794" spans="1:6" x14ac:dyDescent="0.3">
      <c r="A2794" t="s">
        <v>6002</v>
      </c>
      <c r="B2794" t="s">
        <v>6</v>
      </c>
      <c r="C2794" t="s">
        <v>6003</v>
      </c>
      <c r="D2794" t="s">
        <v>5943</v>
      </c>
      <c r="E2794" t="s">
        <v>5944</v>
      </c>
      <c r="F2794" t="str">
        <f>HYPERLINK("https://talan.bank.gov.ua/get-user-certificate/45CEljWshbym_IK4G8FA","Завантажити сертифікат")</f>
        <v>Завантажити сертифікат</v>
      </c>
    </row>
    <row r="2795" spans="1:6" x14ac:dyDescent="0.3">
      <c r="A2795" t="s">
        <v>6004</v>
      </c>
      <c r="B2795" t="s">
        <v>6</v>
      </c>
      <c r="C2795" t="s">
        <v>6005</v>
      </c>
      <c r="D2795" t="s">
        <v>5943</v>
      </c>
      <c r="E2795" t="s">
        <v>5944</v>
      </c>
      <c r="F2795" t="str">
        <f>HYPERLINK("https://talan.bank.gov.ua/get-user-certificate/45CElQffIc1RQWW1kJ76","Завантажити сертифікат")</f>
        <v>Завантажити сертифікат</v>
      </c>
    </row>
    <row r="2796" spans="1:6" x14ac:dyDescent="0.3">
      <c r="A2796" t="s">
        <v>6006</v>
      </c>
      <c r="B2796" t="s">
        <v>6</v>
      </c>
      <c r="C2796" t="s">
        <v>6007</v>
      </c>
      <c r="D2796" t="s">
        <v>5943</v>
      </c>
      <c r="E2796" t="s">
        <v>5944</v>
      </c>
      <c r="F2796" t="str">
        <f>HYPERLINK("https://talan.bank.gov.ua/get-user-certificate/45CElPRUaubjjM0G27Wt","Завантажити сертифікат")</f>
        <v>Завантажити сертифікат</v>
      </c>
    </row>
    <row r="2797" spans="1:6" x14ac:dyDescent="0.3">
      <c r="A2797" t="s">
        <v>6008</v>
      </c>
      <c r="B2797" t="s">
        <v>6</v>
      </c>
      <c r="C2797" t="s">
        <v>6009</v>
      </c>
      <c r="D2797" t="s">
        <v>5943</v>
      </c>
      <c r="E2797" t="s">
        <v>5944</v>
      </c>
      <c r="F2797" t="str">
        <f>HYPERLINK("https://talan.bank.gov.ua/get-user-certificate/45CElOWlOVwkjdU_3VS7","Завантажити сертифікат")</f>
        <v>Завантажити сертифікат</v>
      </c>
    </row>
    <row r="2798" spans="1:6" x14ac:dyDescent="0.3">
      <c r="A2798" t="s">
        <v>6010</v>
      </c>
      <c r="B2798" t="s">
        <v>6</v>
      </c>
      <c r="C2798" t="s">
        <v>6011</v>
      </c>
      <c r="D2798" t="s">
        <v>5943</v>
      </c>
      <c r="E2798" t="s">
        <v>5944</v>
      </c>
      <c r="F2798" t="str">
        <f>HYPERLINK("https://talan.bank.gov.ua/get-user-certificate/45CEl1ba3_61OVxtFHb6","Завантажити сертифікат")</f>
        <v>Завантажити сертифікат</v>
      </c>
    </row>
    <row r="2799" spans="1:6" x14ac:dyDescent="0.3">
      <c r="A2799" t="s">
        <v>6012</v>
      </c>
      <c r="B2799" t="s">
        <v>6</v>
      </c>
      <c r="C2799" t="s">
        <v>6013</v>
      </c>
      <c r="D2799" t="s">
        <v>5943</v>
      </c>
      <c r="E2799" t="s">
        <v>5944</v>
      </c>
      <c r="F2799" t="str">
        <f>HYPERLINK("https://talan.bank.gov.ua/get-user-certificate/45CElVgXCeLPB920yXmo","Завантажити сертифікат")</f>
        <v>Завантажити сертифікат</v>
      </c>
    </row>
    <row r="2800" spans="1:6" x14ac:dyDescent="0.3">
      <c r="A2800" t="s">
        <v>6014</v>
      </c>
      <c r="B2800" t="s">
        <v>6</v>
      </c>
      <c r="C2800" t="s">
        <v>6015</v>
      </c>
      <c r="D2800" t="s">
        <v>5943</v>
      </c>
      <c r="E2800" t="s">
        <v>5944</v>
      </c>
      <c r="F2800" t="str">
        <f>HYPERLINK("https://talan.bank.gov.ua/get-user-certificate/45CElt1DSVRcZW1Ba_iX","Завантажити сертифікат")</f>
        <v>Завантажити сертифікат</v>
      </c>
    </row>
    <row r="2801" spans="1:6" x14ac:dyDescent="0.3">
      <c r="A2801" t="s">
        <v>6016</v>
      </c>
      <c r="B2801" t="s">
        <v>6</v>
      </c>
      <c r="C2801" t="s">
        <v>6017</v>
      </c>
      <c r="D2801" t="s">
        <v>5943</v>
      </c>
      <c r="E2801" t="s">
        <v>5944</v>
      </c>
      <c r="F2801" t="str">
        <f>HYPERLINK("https://talan.bank.gov.ua/get-user-certificate/45CEl3_UaTy-3-mYH5v0","Завантажити сертифікат")</f>
        <v>Завантажити сертифікат</v>
      </c>
    </row>
    <row r="2802" spans="1:6" x14ac:dyDescent="0.3">
      <c r="A2802" t="s">
        <v>6018</v>
      </c>
      <c r="B2802" t="s">
        <v>6</v>
      </c>
      <c r="C2802" t="s">
        <v>6019</v>
      </c>
      <c r="D2802" t="s">
        <v>5943</v>
      </c>
      <c r="E2802" t="s">
        <v>5944</v>
      </c>
      <c r="F2802" t="str">
        <f>HYPERLINK("https://talan.bank.gov.ua/get-user-certificate/45CElmZGTSdrDKcztt--","Завантажити сертифікат")</f>
        <v>Завантажити сертифікат</v>
      </c>
    </row>
    <row r="2803" spans="1:6" x14ac:dyDescent="0.3">
      <c r="A2803" t="s">
        <v>6020</v>
      </c>
      <c r="B2803" t="s">
        <v>6</v>
      </c>
      <c r="C2803" t="s">
        <v>6021</v>
      </c>
      <c r="D2803" t="s">
        <v>5943</v>
      </c>
      <c r="E2803" t="s">
        <v>5944</v>
      </c>
      <c r="F2803" t="str">
        <f>HYPERLINK("https://talan.bank.gov.ua/get-user-certificate/45CEl0IXIAYx6SVo7IA4","Завантажити сертифікат")</f>
        <v>Завантажити сертифікат</v>
      </c>
    </row>
    <row r="2804" spans="1:6" x14ac:dyDescent="0.3">
      <c r="A2804" t="s">
        <v>6022</v>
      </c>
      <c r="B2804" t="s">
        <v>6</v>
      </c>
      <c r="C2804" t="s">
        <v>6023</v>
      </c>
      <c r="D2804" t="s">
        <v>5943</v>
      </c>
      <c r="E2804" t="s">
        <v>5944</v>
      </c>
      <c r="F2804" t="str">
        <f>HYPERLINK("https://talan.bank.gov.ua/get-user-certificate/45CEl0_E6Xx8QM8yNRus","Завантажити сертифікат")</f>
        <v>Завантажити сертифікат</v>
      </c>
    </row>
    <row r="2805" spans="1:6" x14ac:dyDescent="0.3">
      <c r="A2805" t="s">
        <v>6024</v>
      </c>
      <c r="B2805" t="s">
        <v>6</v>
      </c>
      <c r="C2805" t="s">
        <v>6025</v>
      </c>
      <c r="D2805" t="s">
        <v>5943</v>
      </c>
      <c r="E2805" t="s">
        <v>5944</v>
      </c>
      <c r="F2805" t="str">
        <f>HYPERLINK("https://talan.bank.gov.ua/get-user-certificate/45CEliqnFHSRZKGzEnZn","Завантажити сертифікат")</f>
        <v>Завантажити сертифікат</v>
      </c>
    </row>
    <row r="2806" spans="1:6" x14ac:dyDescent="0.3">
      <c r="A2806" t="s">
        <v>6026</v>
      </c>
      <c r="B2806" t="s">
        <v>6</v>
      </c>
      <c r="C2806" t="s">
        <v>6027</v>
      </c>
      <c r="D2806" t="s">
        <v>5943</v>
      </c>
      <c r="E2806" t="s">
        <v>5944</v>
      </c>
      <c r="F2806" t="str">
        <f>HYPERLINK("https://talan.bank.gov.ua/get-user-certificate/45CElDx2EFpuVtpmgzz_","Завантажити сертифікат")</f>
        <v>Завантажити сертифікат</v>
      </c>
    </row>
    <row r="2807" spans="1:6" x14ac:dyDescent="0.3">
      <c r="A2807" t="s">
        <v>6028</v>
      </c>
      <c r="B2807" t="s">
        <v>6</v>
      </c>
      <c r="C2807" t="s">
        <v>6029</v>
      </c>
      <c r="D2807" t="s">
        <v>5943</v>
      </c>
      <c r="E2807" t="s">
        <v>5944</v>
      </c>
      <c r="F2807" t="str">
        <f>HYPERLINK("https://talan.bank.gov.ua/get-user-certificate/45CEl_RkRXB5IzYUZZwb","Завантажити сертифікат")</f>
        <v>Завантажити сертифікат</v>
      </c>
    </row>
    <row r="2808" spans="1:6" x14ac:dyDescent="0.3">
      <c r="A2808" t="s">
        <v>6030</v>
      </c>
      <c r="B2808" t="s">
        <v>6</v>
      </c>
      <c r="C2808" t="s">
        <v>6031</v>
      </c>
      <c r="D2808" t="s">
        <v>5943</v>
      </c>
      <c r="E2808" t="s">
        <v>5944</v>
      </c>
      <c r="F2808" t="str">
        <f>HYPERLINK("https://talan.bank.gov.ua/get-user-certificate/45CElGS0OiwxfUdTMs_h","Завантажити сертифікат")</f>
        <v>Завантажити сертифікат</v>
      </c>
    </row>
    <row r="2809" spans="1:6" x14ac:dyDescent="0.3">
      <c r="A2809" t="s">
        <v>6032</v>
      </c>
      <c r="B2809" t="s">
        <v>6</v>
      </c>
      <c r="C2809" t="s">
        <v>5494</v>
      </c>
      <c r="D2809" t="s">
        <v>5943</v>
      </c>
      <c r="E2809" t="s">
        <v>5944</v>
      </c>
      <c r="F2809" t="str">
        <f>HYPERLINK("https://talan.bank.gov.ua/get-user-certificate/45CEld4V6K0cxLCDA3wd","Завантажити сертифікат")</f>
        <v>Завантажити сертифікат</v>
      </c>
    </row>
    <row r="2810" spans="1:6" x14ac:dyDescent="0.3">
      <c r="A2810" t="s">
        <v>6033</v>
      </c>
      <c r="B2810" t="s">
        <v>6</v>
      </c>
      <c r="C2810" t="s">
        <v>6034</v>
      </c>
      <c r="D2810" t="s">
        <v>5943</v>
      </c>
      <c r="E2810" t="s">
        <v>5944</v>
      </c>
      <c r="F2810" t="str">
        <f>HYPERLINK("https://talan.bank.gov.ua/get-user-certificate/45CEls-FRqQDe1Kq2L4s","Завантажити сертифікат")</f>
        <v>Завантажити сертифікат</v>
      </c>
    </row>
    <row r="2811" spans="1:6" x14ac:dyDescent="0.3">
      <c r="A2811" t="s">
        <v>6035</v>
      </c>
      <c r="B2811" t="s">
        <v>6</v>
      </c>
      <c r="C2811" t="s">
        <v>6036</v>
      </c>
      <c r="D2811" t="s">
        <v>5943</v>
      </c>
      <c r="E2811" t="s">
        <v>5944</v>
      </c>
      <c r="F2811" t="str">
        <f>HYPERLINK("https://talan.bank.gov.ua/get-user-certificate/45CElZcB16f1_SzLi2WR","Завантажити сертифікат")</f>
        <v>Завантажити сертифікат</v>
      </c>
    </row>
    <row r="2812" spans="1:6" x14ac:dyDescent="0.3">
      <c r="A2812" t="s">
        <v>6037</v>
      </c>
      <c r="B2812" t="s">
        <v>6</v>
      </c>
      <c r="C2812" t="s">
        <v>6038</v>
      </c>
      <c r="D2812" t="s">
        <v>5943</v>
      </c>
      <c r="E2812" t="s">
        <v>5944</v>
      </c>
      <c r="F2812" t="str">
        <f>HYPERLINK("https://talan.bank.gov.ua/get-user-certificate/45CElWA5LfwSZOly8xE8","Завантажити сертифікат")</f>
        <v>Завантажити сертифікат</v>
      </c>
    </row>
    <row r="2813" spans="1:6" x14ac:dyDescent="0.3">
      <c r="A2813" t="s">
        <v>6039</v>
      </c>
      <c r="B2813" t="s">
        <v>6</v>
      </c>
      <c r="C2813" t="s">
        <v>6040</v>
      </c>
      <c r="D2813" t="s">
        <v>5943</v>
      </c>
      <c r="E2813" t="s">
        <v>5944</v>
      </c>
      <c r="F2813" t="str">
        <f>HYPERLINK("https://talan.bank.gov.ua/get-user-certificate/45CEltWh2MYQ0ThhN8Fk","Завантажити сертифікат")</f>
        <v>Завантажити сертифікат</v>
      </c>
    </row>
    <row r="2814" spans="1:6" x14ac:dyDescent="0.3">
      <c r="A2814" t="s">
        <v>6041</v>
      </c>
      <c r="B2814" t="s">
        <v>6</v>
      </c>
      <c r="C2814" t="s">
        <v>6042</v>
      </c>
      <c r="D2814" t="s">
        <v>5943</v>
      </c>
      <c r="E2814" t="s">
        <v>5944</v>
      </c>
      <c r="F2814" t="str">
        <f>HYPERLINK("https://talan.bank.gov.ua/get-user-certificate/45CElxVlAfWfbwF9Ap6y","Завантажити сертифікат")</f>
        <v>Завантажити сертифікат</v>
      </c>
    </row>
    <row r="2815" spans="1:6" x14ac:dyDescent="0.3">
      <c r="A2815" t="s">
        <v>6043</v>
      </c>
      <c r="B2815" t="s">
        <v>6</v>
      </c>
      <c r="C2815" t="s">
        <v>6044</v>
      </c>
      <c r="D2815" t="s">
        <v>5943</v>
      </c>
      <c r="E2815" t="s">
        <v>5944</v>
      </c>
      <c r="F2815" t="str">
        <f>HYPERLINK("https://talan.bank.gov.ua/get-user-certificate/45CElNtfXEJgB_DCqGy3","Завантажити сертифікат")</f>
        <v>Завантажити сертифікат</v>
      </c>
    </row>
    <row r="2816" spans="1:6" x14ac:dyDescent="0.3">
      <c r="A2816" t="s">
        <v>6045</v>
      </c>
      <c r="B2816" t="s">
        <v>6</v>
      </c>
      <c r="C2816" t="s">
        <v>6046</v>
      </c>
      <c r="D2816" t="s">
        <v>5943</v>
      </c>
      <c r="E2816" t="s">
        <v>5944</v>
      </c>
      <c r="F2816" t="str">
        <f>HYPERLINK("https://talan.bank.gov.ua/get-user-certificate/45CEl5IbaPVqJxTDDiMF","Завантажити сертифікат")</f>
        <v>Завантажити сертифікат</v>
      </c>
    </row>
    <row r="2817" spans="1:6" x14ac:dyDescent="0.3">
      <c r="A2817" t="s">
        <v>6047</v>
      </c>
      <c r="B2817" t="s">
        <v>6</v>
      </c>
      <c r="C2817" t="s">
        <v>6048</v>
      </c>
      <c r="D2817" t="s">
        <v>5943</v>
      </c>
      <c r="E2817" t="s">
        <v>5944</v>
      </c>
      <c r="F2817" t="str">
        <f>HYPERLINK("https://talan.bank.gov.ua/get-user-certificate/45CEl4H96tVWgUPgoSYE","Завантажити сертифікат")</f>
        <v>Завантажити сертифікат</v>
      </c>
    </row>
    <row r="2818" spans="1:6" x14ac:dyDescent="0.3">
      <c r="A2818" t="s">
        <v>6049</v>
      </c>
      <c r="B2818" t="s">
        <v>6</v>
      </c>
      <c r="C2818" t="s">
        <v>6050</v>
      </c>
      <c r="D2818" t="s">
        <v>5943</v>
      </c>
      <c r="E2818" t="s">
        <v>5944</v>
      </c>
      <c r="F2818" t="str">
        <f>HYPERLINK("https://talan.bank.gov.ua/get-user-certificate/45CElATScX7AGG2IYoI_","Завантажити сертифікат")</f>
        <v>Завантажити сертифікат</v>
      </c>
    </row>
    <row r="2819" spans="1:6" x14ac:dyDescent="0.3">
      <c r="A2819" t="s">
        <v>6051</v>
      </c>
      <c r="B2819" t="s">
        <v>6</v>
      </c>
      <c r="C2819" t="s">
        <v>6052</v>
      </c>
      <c r="D2819" t="s">
        <v>5943</v>
      </c>
      <c r="E2819" t="s">
        <v>5944</v>
      </c>
      <c r="F2819" t="str">
        <f>HYPERLINK("https://talan.bank.gov.ua/get-user-certificate/45CElVri4i5POSlsrQeX","Завантажити сертифікат")</f>
        <v>Завантажити сертифікат</v>
      </c>
    </row>
    <row r="2820" spans="1:6" x14ac:dyDescent="0.3">
      <c r="A2820" t="s">
        <v>6053</v>
      </c>
      <c r="B2820" t="s">
        <v>6</v>
      </c>
      <c r="C2820" t="s">
        <v>6054</v>
      </c>
      <c r="D2820" t="s">
        <v>5943</v>
      </c>
      <c r="E2820" t="s">
        <v>5944</v>
      </c>
      <c r="F2820" t="str">
        <f>HYPERLINK("https://talan.bank.gov.ua/get-user-certificate/45CEl8UpTETYp_P4A_z4","Завантажити сертифікат")</f>
        <v>Завантажити сертифікат</v>
      </c>
    </row>
    <row r="2821" spans="1:6" x14ac:dyDescent="0.3">
      <c r="A2821" t="s">
        <v>6055</v>
      </c>
      <c r="B2821" t="s">
        <v>6</v>
      </c>
      <c r="C2821" t="s">
        <v>6056</v>
      </c>
      <c r="D2821" t="s">
        <v>5943</v>
      </c>
      <c r="E2821" t="s">
        <v>5944</v>
      </c>
      <c r="F2821" t="str">
        <f>HYPERLINK("https://talan.bank.gov.ua/get-user-certificate/45CEl97jveuDr8qH0cxO","Завантажити сертифікат")</f>
        <v>Завантажити сертифікат</v>
      </c>
    </row>
    <row r="2822" spans="1:6" x14ac:dyDescent="0.3">
      <c r="A2822" t="s">
        <v>6057</v>
      </c>
      <c r="B2822" t="s">
        <v>6</v>
      </c>
      <c r="C2822" t="s">
        <v>6058</v>
      </c>
      <c r="D2822" t="s">
        <v>5943</v>
      </c>
      <c r="E2822" t="s">
        <v>5944</v>
      </c>
      <c r="F2822" t="str">
        <f>HYPERLINK("https://talan.bank.gov.ua/get-user-certificate/45CElBG1OjNuZ5TKPOJ5","Завантажити сертифікат")</f>
        <v>Завантажити сертифікат</v>
      </c>
    </row>
    <row r="2823" spans="1:6" x14ac:dyDescent="0.3">
      <c r="A2823" t="s">
        <v>6059</v>
      </c>
      <c r="B2823" t="s">
        <v>6</v>
      </c>
      <c r="C2823" t="s">
        <v>6060</v>
      </c>
      <c r="D2823" t="s">
        <v>5943</v>
      </c>
      <c r="E2823" t="s">
        <v>5944</v>
      </c>
      <c r="F2823" t="str">
        <f>HYPERLINK("https://talan.bank.gov.ua/get-user-certificate/45CElB62gUOk7PIaSo0f","Завантажити сертифікат")</f>
        <v>Завантажити сертифікат</v>
      </c>
    </row>
    <row r="2824" spans="1:6" x14ac:dyDescent="0.3">
      <c r="A2824" t="s">
        <v>6061</v>
      </c>
      <c r="B2824" t="s">
        <v>6</v>
      </c>
      <c r="C2824" t="s">
        <v>6062</v>
      </c>
      <c r="D2824" t="s">
        <v>5943</v>
      </c>
      <c r="E2824" t="s">
        <v>5944</v>
      </c>
      <c r="F2824" t="str">
        <f>HYPERLINK("https://talan.bank.gov.ua/get-user-certificate/45CEl_VIQPUM73WHOGMk","Завантажити сертифікат")</f>
        <v>Завантажити сертифікат</v>
      </c>
    </row>
    <row r="2825" spans="1:6" x14ac:dyDescent="0.3">
      <c r="A2825" t="s">
        <v>6063</v>
      </c>
      <c r="B2825" t="s">
        <v>6</v>
      </c>
      <c r="C2825" t="s">
        <v>6064</v>
      </c>
      <c r="D2825" t="s">
        <v>5943</v>
      </c>
      <c r="E2825" t="s">
        <v>5944</v>
      </c>
      <c r="F2825" t="str">
        <f>HYPERLINK("https://talan.bank.gov.ua/get-user-certificate/45CElzdva6idN3s3Y4sT","Завантажити сертифікат")</f>
        <v>Завантажити сертифікат</v>
      </c>
    </row>
    <row r="2826" spans="1:6" x14ac:dyDescent="0.3">
      <c r="A2826" t="s">
        <v>6065</v>
      </c>
      <c r="B2826" t="s">
        <v>6</v>
      </c>
      <c r="C2826" t="s">
        <v>6066</v>
      </c>
      <c r="D2826" t="s">
        <v>5943</v>
      </c>
      <c r="E2826" t="s">
        <v>5944</v>
      </c>
      <c r="F2826" t="str">
        <f>HYPERLINK("https://talan.bank.gov.ua/get-user-certificate/45CElt2b0AlcM8Vlf3jQ","Завантажити сертифікат")</f>
        <v>Завантажити сертифікат</v>
      </c>
    </row>
    <row r="2827" spans="1:6" x14ac:dyDescent="0.3">
      <c r="A2827" t="s">
        <v>6067</v>
      </c>
      <c r="B2827" t="s">
        <v>6</v>
      </c>
      <c r="C2827" t="s">
        <v>6068</v>
      </c>
      <c r="D2827" t="s">
        <v>5943</v>
      </c>
      <c r="E2827" t="s">
        <v>5944</v>
      </c>
      <c r="F2827" t="str">
        <f>HYPERLINK("https://talan.bank.gov.ua/get-user-certificate/45CElpdJzlLX2BwF8Gpr","Завантажити сертифікат")</f>
        <v>Завантажити сертифікат</v>
      </c>
    </row>
    <row r="2828" spans="1:6" x14ac:dyDescent="0.3">
      <c r="A2828" t="s">
        <v>6069</v>
      </c>
      <c r="B2828" t="s">
        <v>6</v>
      </c>
      <c r="C2828" t="s">
        <v>6070</v>
      </c>
      <c r="D2828" t="s">
        <v>5943</v>
      </c>
      <c r="E2828" t="s">
        <v>5944</v>
      </c>
      <c r="F2828" t="str">
        <f>HYPERLINK("https://talan.bank.gov.ua/get-user-certificate/45CElr1shBcfZB18wsGb","Завантажити сертифікат")</f>
        <v>Завантажити сертифікат</v>
      </c>
    </row>
    <row r="2829" spans="1:6" x14ac:dyDescent="0.3">
      <c r="A2829" t="s">
        <v>6071</v>
      </c>
      <c r="B2829" t="s">
        <v>6</v>
      </c>
      <c r="C2829" t="s">
        <v>6072</v>
      </c>
      <c r="D2829" t="s">
        <v>5943</v>
      </c>
      <c r="E2829" t="s">
        <v>5944</v>
      </c>
      <c r="F2829" t="str">
        <f>HYPERLINK("https://talan.bank.gov.ua/get-user-certificate/45CEl2gA8rAWF4daO60f","Завантажити сертифікат")</f>
        <v>Завантажити сертифікат</v>
      </c>
    </row>
    <row r="2830" spans="1:6" x14ac:dyDescent="0.3">
      <c r="A2830" t="s">
        <v>6073</v>
      </c>
      <c r="B2830" t="s">
        <v>6</v>
      </c>
      <c r="C2830" t="s">
        <v>6074</v>
      </c>
      <c r="D2830" t="s">
        <v>5943</v>
      </c>
      <c r="E2830" t="s">
        <v>5944</v>
      </c>
      <c r="F2830" t="str">
        <f>HYPERLINK("https://talan.bank.gov.ua/get-user-certificate/45CElTSMh3rjTxywUVv6","Завантажити сертифікат")</f>
        <v>Завантажити сертифікат</v>
      </c>
    </row>
    <row r="2831" spans="1:6" x14ac:dyDescent="0.3">
      <c r="A2831" t="s">
        <v>6075</v>
      </c>
      <c r="B2831" t="s">
        <v>6</v>
      </c>
      <c r="C2831" t="s">
        <v>6076</v>
      </c>
      <c r="D2831" t="s">
        <v>5943</v>
      </c>
      <c r="E2831" t="s">
        <v>5944</v>
      </c>
      <c r="F2831" t="str">
        <f>HYPERLINK("https://talan.bank.gov.ua/get-user-certificate/45CElFimxAiRXbXatTVp","Завантажити сертифікат")</f>
        <v>Завантажити сертифікат</v>
      </c>
    </row>
    <row r="2832" spans="1:6" x14ac:dyDescent="0.3">
      <c r="A2832" t="s">
        <v>6077</v>
      </c>
      <c r="B2832" t="s">
        <v>6</v>
      </c>
      <c r="C2832" t="s">
        <v>6078</v>
      </c>
      <c r="D2832" t="s">
        <v>5943</v>
      </c>
      <c r="E2832" t="s">
        <v>5944</v>
      </c>
      <c r="F2832" t="str">
        <f>HYPERLINK("https://talan.bank.gov.ua/get-user-certificate/45CEl9RvVAVoZwI_N_LD","Завантажити сертифікат")</f>
        <v>Завантажити сертифікат</v>
      </c>
    </row>
    <row r="2833" spans="1:6" x14ac:dyDescent="0.3">
      <c r="A2833" t="s">
        <v>6079</v>
      </c>
      <c r="B2833" t="s">
        <v>6</v>
      </c>
      <c r="C2833" t="s">
        <v>6080</v>
      </c>
      <c r="D2833" t="s">
        <v>5943</v>
      </c>
      <c r="E2833" t="s">
        <v>5944</v>
      </c>
      <c r="F2833" t="str">
        <f>HYPERLINK("https://talan.bank.gov.ua/get-user-certificate/45CElUqc0K0PffcDFlKy","Завантажити сертифікат")</f>
        <v>Завантажити сертифікат</v>
      </c>
    </row>
    <row r="2834" spans="1:6" x14ac:dyDescent="0.3">
      <c r="A2834" t="s">
        <v>6081</v>
      </c>
      <c r="B2834" t="s">
        <v>6</v>
      </c>
      <c r="C2834" t="s">
        <v>6082</v>
      </c>
      <c r="D2834" t="s">
        <v>5943</v>
      </c>
      <c r="E2834" t="s">
        <v>5944</v>
      </c>
      <c r="F2834" t="str">
        <f>HYPERLINK("https://talan.bank.gov.ua/get-user-certificate/45CEliZNlGwyCjGfGBaD","Завантажити сертифікат")</f>
        <v>Завантажити сертифікат</v>
      </c>
    </row>
    <row r="2835" spans="1:6" x14ac:dyDescent="0.3">
      <c r="A2835" t="s">
        <v>6083</v>
      </c>
      <c r="B2835" t="s">
        <v>6</v>
      </c>
      <c r="C2835" t="s">
        <v>6084</v>
      </c>
      <c r="D2835" t="s">
        <v>5943</v>
      </c>
      <c r="E2835" t="s">
        <v>5944</v>
      </c>
      <c r="F2835" t="str">
        <f>HYPERLINK("https://talan.bank.gov.ua/get-user-certificate/45CEliRIGBBlRo6lKIB_","Завантажити сертифікат")</f>
        <v>Завантажити сертифікат</v>
      </c>
    </row>
    <row r="2836" spans="1:6" x14ac:dyDescent="0.3">
      <c r="A2836" t="s">
        <v>6085</v>
      </c>
      <c r="B2836" t="s">
        <v>6</v>
      </c>
      <c r="C2836" t="s">
        <v>6086</v>
      </c>
      <c r="D2836" t="s">
        <v>5943</v>
      </c>
      <c r="E2836" t="s">
        <v>5944</v>
      </c>
      <c r="F2836" t="str">
        <f>HYPERLINK("https://talan.bank.gov.ua/get-user-certificate/45CElwq-REnH227mDwVX","Завантажити сертифікат")</f>
        <v>Завантажити сертифікат</v>
      </c>
    </row>
    <row r="2837" spans="1:6" x14ac:dyDescent="0.3">
      <c r="A2837" t="s">
        <v>6087</v>
      </c>
      <c r="B2837" t="s">
        <v>6</v>
      </c>
      <c r="C2837" t="s">
        <v>6088</v>
      </c>
      <c r="D2837" t="s">
        <v>5943</v>
      </c>
      <c r="E2837" t="s">
        <v>5944</v>
      </c>
      <c r="F2837" t="str">
        <f>HYPERLINK("https://talan.bank.gov.ua/get-user-certificate/45CElfUO0DPW0iD2GfJJ","Завантажити сертифікат")</f>
        <v>Завантажити сертифікат</v>
      </c>
    </row>
    <row r="2838" spans="1:6" x14ac:dyDescent="0.3">
      <c r="A2838" t="s">
        <v>6089</v>
      </c>
      <c r="B2838" t="s">
        <v>6</v>
      </c>
      <c r="C2838" t="s">
        <v>6090</v>
      </c>
      <c r="D2838" t="s">
        <v>5943</v>
      </c>
      <c r="E2838" t="s">
        <v>5944</v>
      </c>
      <c r="F2838" t="str">
        <f>HYPERLINK("https://talan.bank.gov.ua/get-user-certificate/45CElpdu2XUYmZq0J0c7","Завантажити сертифікат")</f>
        <v>Завантажити сертифікат</v>
      </c>
    </row>
    <row r="2839" spans="1:6" x14ac:dyDescent="0.3">
      <c r="A2839" t="s">
        <v>6091</v>
      </c>
      <c r="B2839" t="s">
        <v>6</v>
      </c>
      <c r="C2839" t="s">
        <v>6092</v>
      </c>
      <c r="D2839" t="s">
        <v>5943</v>
      </c>
      <c r="E2839" t="s">
        <v>5944</v>
      </c>
      <c r="F2839" t="str">
        <f>HYPERLINK("https://talan.bank.gov.ua/get-user-certificate/45CEllJvjAATLF-TDb5u","Завантажити сертифікат")</f>
        <v>Завантажити сертифікат</v>
      </c>
    </row>
    <row r="2840" spans="1:6" x14ac:dyDescent="0.3">
      <c r="A2840" t="s">
        <v>6093</v>
      </c>
      <c r="B2840" t="s">
        <v>6</v>
      </c>
      <c r="C2840" t="s">
        <v>6094</v>
      </c>
      <c r="D2840" t="s">
        <v>6095</v>
      </c>
      <c r="E2840" t="s">
        <v>6096</v>
      </c>
      <c r="F2840" t="str">
        <f>HYPERLINK("https://talan.bank.gov.ua/get-user-certificate/45CEly_jsYrEq0Jnp2z_","Завантажити сертифікат")</f>
        <v>Завантажити сертифікат</v>
      </c>
    </row>
    <row r="2841" spans="1:6" x14ac:dyDescent="0.3">
      <c r="A2841" t="s">
        <v>6097</v>
      </c>
      <c r="B2841" t="s">
        <v>6</v>
      </c>
      <c r="C2841" t="s">
        <v>6098</v>
      </c>
      <c r="D2841" t="s">
        <v>6095</v>
      </c>
      <c r="E2841" t="s">
        <v>6096</v>
      </c>
      <c r="F2841" t="str">
        <f>HYPERLINK("https://talan.bank.gov.ua/get-user-certificate/45CElyzKtrennHTGDYcl","Завантажити сертифікат")</f>
        <v>Завантажити сертифікат</v>
      </c>
    </row>
    <row r="2842" spans="1:6" x14ac:dyDescent="0.3">
      <c r="A2842" t="s">
        <v>6099</v>
      </c>
      <c r="B2842" t="s">
        <v>6</v>
      </c>
      <c r="C2842" t="s">
        <v>6100</v>
      </c>
      <c r="D2842" t="s">
        <v>6095</v>
      </c>
      <c r="E2842" t="s">
        <v>6096</v>
      </c>
      <c r="F2842" t="str">
        <f>HYPERLINK("https://talan.bank.gov.ua/get-user-certificate/45CElLZosZN1xBe8M18X","Завантажити сертифікат")</f>
        <v>Завантажити сертифікат</v>
      </c>
    </row>
    <row r="2843" spans="1:6" x14ac:dyDescent="0.3">
      <c r="A2843" t="s">
        <v>6101</v>
      </c>
      <c r="B2843" t="s">
        <v>6</v>
      </c>
      <c r="C2843" t="s">
        <v>6102</v>
      </c>
      <c r="D2843" t="s">
        <v>6095</v>
      </c>
      <c r="E2843" t="s">
        <v>6096</v>
      </c>
      <c r="F2843" t="str">
        <f>HYPERLINK("https://talan.bank.gov.ua/get-user-certificate/45CEl-CRLMMcPjBsh8nL","Завантажити сертифікат")</f>
        <v>Завантажити сертифікат</v>
      </c>
    </row>
    <row r="2844" spans="1:6" x14ac:dyDescent="0.3">
      <c r="A2844" t="s">
        <v>6103</v>
      </c>
      <c r="B2844" t="s">
        <v>6</v>
      </c>
      <c r="C2844" t="s">
        <v>6104</v>
      </c>
      <c r="D2844" t="s">
        <v>6095</v>
      </c>
      <c r="E2844" t="s">
        <v>6096</v>
      </c>
      <c r="F2844" t="str">
        <f>HYPERLINK("https://talan.bank.gov.ua/get-user-certificate/45CElpUJUVA1curi2WKk","Завантажити сертифікат")</f>
        <v>Завантажити сертифікат</v>
      </c>
    </row>
    <row r="2845" spans="1:6" x14ac:dyDescent="0.3">
      <c r="A2845" t="s">
        <v>6105</v>
      </c>
      <c r="B2845" t="s">
        <v>6</v>
      </c>
      <c r="C2845" t="s">
        <v>6106</v>
      </c>
      <c r="D2845" t="s">
        <v>6095</v>
      </c>
      <c r="E2845" t="s">
        <v>6096</v>
      </c>
      <c r="F2845" t="str">
        <f>HYPERLINK("https://talan.bank.gov.ua/get-user-certificate/45CElzPhtIp4ZCirFrdg","Завантажити сертифікат")</f>
        <v>Завантажити сертифікат</v>
      </c>
    </row>
    <row r="2846" spans="1:6" x14ac:dyDescent="0.3">
      <c r="A2846" t="s">
        <v>6107</v>
      </c>
      <c r="B2846" t="s">
        <v>6</v>
      </c>
      <c r="C2846" t="s">
        <v>6108</v>
      </c>
      <c r="D2846" t="s">
        <v>6095</v>
      </c>
      <c r="E2846" t="s">
        <v>6096</v>
      </c>
      <c r="F2846" t="str">
        <f>HYPERLINK("https://talan.bank.gov.ua/get-user-certificate/45CElwcn1dn_BNz9BrNy","Завантажити сертифікат")</f>
        <v>Завантажити сертифікат</v>
      </c>
    </row>
    <row r="2847" spans="1:6" x14ac:dyDescent="0.3">
      <c r="A2847" t="s">
        <v>6109</v>
      </c>
      <c r="B2847" t="s">
        <v>6</v>
      </c>
      <c r="C2847" t="s">
        <v>6110</v>
      </c>
      <c r="D2847" t="s">
        <v>6095</v>
      </c>
      <c r="E2847" t="s">
        <v>6096</v>
      </c>
      <c r="F2847" t="str">
        <f>HYPERLINK("https://talan.bank.gov.ua/get-user-certificate/45CElmQlXSmHDrzqGgj9","Завантажити сертифікат")</f>
        <v>Завантажити сертифікат</v>
      </c>
    </row>
    <row r="2848" spans="1:6" x14ac:dyDescent="0.3">
      <c r="A2848" t="s">
        <v>6111</v>
      </c>
      <c r="B2848" t="s">
        <v>6</v>
      </c>
      <c r="C2848" t="s">
        <v>6112</v>
      </c>
      <c r="D2848" t="s">
        <v>6113</v>
      </c>
      <c r="E2848" t="s">
        <v>6114</v>
      </c>
      <c r="F2848" t="str">
        <f>HYPERLINK("https://talan.bank.gov.ua/get-user-certificate/45CElA_fqElKE_y0eHP9","Завантажити сертифікат")</f>
        <v>Завантажити сертифікат</v>
      </c>
    </row>
    <row r="2849" spans="1:6" x14ac:dyDescent="0.3">
      <c r="A2849" t="s">
        <v>6115</v>
      </c>
      <c r="B2849" t="s">
        <v>6</v>
      </c>
      <c r="C2849" t="s">
        <v>6116</v>
      </c>
      <c r="D2849" t="s">
        <v>6113</v>
      </c>
      <c r="E2849" t="s">
        <v>6114</v>
      </c>
      <c r="F2849" t="str">
        <f>HYPERLINK("https://talan.bank.gov.ua/get-user-certificate/45CElru9Gnc2lVBnmSlF","Завантажити сертифікат")</f>
        <v>Завантажити сертифікат</v>
      </c>
    </row>
    <row r="2850" spans="1:6" x14ac:dyDescent="0.3">
      <c r="A2850" t="s">
        <v>6117</v>
      </c>
      <c r="B2850" t="s">
        <v>6</v>
      </c>
      <c r="C2850" t="s">
        <v>6118</v>
      </c>
      <c r="D2850" t="s">
        <v>6113</v>
      </c>
      <c r="E2850" t="s">
        <v>6114</v>
      </c>
      <c r="F2850" t="str">
        <f>HYPERLINK("https://talan.bank.gov.ua/get-user-certificate/45CElZbJVD30dqaqon-S","Завантажити сертифікат")</f>
        <v>Завантажити сертифікат</v>
      </c>
    </row>
    <row r="2851" spans="1:6" x14ac:dyDescent="0.3">
      <c r="A2851" t="s">
        <v>6119</v>
      </c>
      <c r="B2851" t="s">
        <v>6</v>
      </c>
      <c r="C2851" t="s">
        <v>6120</v>
      </c>
      <c r="D2851" t="s">
        <v>6113</v>
      </c>
      <c r="E2851" t="s">
        <v>6114</v>
      </c>
      <c r="F2851" t="str">
        <f>HYPERLINK("https://talan.bank.gov.ua/get-user-certificate/45CElP_0H3rBNyoc4aBn","Завантажити сертифікат")</f>
        <v>Завантажити сертифікат</v>
      </c>
    </row>
    <row r="2852" spans="1:6" x14ac:dyDescent="0.3">
      <c r="A2852" t="s">
        <v>6121</v>
      </c>
      <c r="B2852" t="s">
        <v>6</v>
      </c>
      <c r="C2852" t="s">
        <v>6122</v>
      </c>
      <c r="D2852" t="s">
        <v>6113</v>
      </c>
      <c r="E2852" t="s">
        <v>6114</v>
      </c>
      <c r="F2852" t="str">
        <f>HYPERLINK("https://talan.bank.gov.ua/get-user-certificate/45CEli1JEYr6uGisdBKo","Завантажити сертифікат")</f>
        <v>Завантажити сертифікат</v>
      </c>
    </row>
    <row r="2853" spans="1:6" x14ac:dyDescent="0.3">
      <c r="A2853" t="s">
        <v>6123</v>
      </c>
      <c r="B2853" t="s">
        <v>6</v>
      </c>
      <c r="C2853" t="s">
        <v>6124</v>
      </c>
      <c r="D2853" t="s">
        <v>6113</v>
      </c>
      <c r="E2853" t="s">
        <v>6114</v>
      </c>
      <c r="F2853" t="str">
        <f>HYPERLINK("https://talan.bank.gov.ua/get-user-certificate/45CElJuYqjoioWyM_UIy","Завантажити сертифікат")</f>
        <v>Завантажити сертифікат</v>
      </c>
    </row>
    <row r="2854" spans="1:6" x14ac:dyDescent="0.3">
      <c r="A2854" t="s">
        <v>6125</v>
      </c>
      <c r="B2854" t="s">
        <v>6</v>
      </c>
      <c r="C2854" t="s">
        <v>6126</v>
      </c>
      <c r="D2854" t="s">
        <v>6113</v>
      </c>
      <c r="E2854" t="s">
        <v>6114</v>
      </c>
      <c r="F2854" t="str">
        <f>HYPERLINK("https://talan.bank.gov.ua/get-user-certificate/45CEl9fvWb8X1FBA72Ab","Завантажити сертифікат")</f>
        <v>Завантажити сертифікат</v>
      </c>
    </row>
    <row r="2855" spans="1:6" x14ac:dyDescent="0.3">
      <c r="A2855" t="s">
        <v>6127</v>
      </c>
      <c r="B2855" t="s">
        <v>6</v>
      </c>
      <c r="C2855" t="s">
        <v>6128</v>
      </c>
      <c r="D2855" t="s">
        <v>6113</v>
      </c>
      <c r="E2855" t="s">
        <v>6114</v>
      </c>
      <c r="F2855" t="str">
        <f>HYPERLINK("https://talan.bank.gov.ua/get-user-certificate/45CElodp2sP2XTvYQ2st","Завантажити сертифікат")</f>
        <v>Завантажити сертифікат</v>
      </c>
    </row>
    <row r="2856" spans="1:6" x14ac:dyDescent="0.3">
      <c r="A2856" t="s">
        <v>6129</v>
      </c>
      <c r="B2856" t="s">
        <v>6</v>
      </c>
      <c r="C2856" t="s">
        <v>6130</v>
      </c>
      <c r="D2856" t="s">
        <v>6113</v>
      </c>
      <c r="E2856" t="s">
        <v>6114</v>
      </c>
      <c r="F2856" t="str">
        <f>HYPERLINK("https://talan.bank.gov.ua/get-user-certificate/45CEl915pKJr0M4EadJb","Завантажити сертифікат")</f>
        <v>Завантажити сертифікат</v>
      </c>
    </row>
    <row r="2857" spans="1:6" x14ac:dyDescent="0.3">
      <c r="A2857" t="s">
        <v>6131</v>
      </c>
      <c r="B2857" t="s">
        <v>6</v>
      </c>
      <c r="C2857" t="s">
        <v>6132</v>
      </c>
      <c r="D2857" t="s">
        <v>6113</v>
      </c>
      <c r="E2857" t="s">
        <v>6114</v>
      </c>
      <c r="F2857" t="str">
        <f>HYPERLINK("https://talan.bank.gov.ua/get-user-certificate/45CEl4OiciKKxSirRT09","Завантажити сертифікат")</f>
        <v>Завантажити сертифікат</v>
      </c>
    </row>
    <row r="2858" spans="1:6" x14ac:dyDescent="0.3">
      <c r="A2858" t="s">
        <v>6133</v>
      </c>
      <c r="B2858" t="s">
        <v>6</v>
      </c>
      <c r="C2858" t="s">
        <v>6134</v>
      </c>
      <c r="D2858" t="s">
        <v>6113</v>
      </c>
      <c r="E2858" t="s">
        <v>6114</v>
      </c>
      <c r="F2858" t="str">
        <f>HYPERLINK("https://talan.bank.gov.ua/get-user-certificate/45CElakJ9SdrxdT4SRYX","Завантажити сертифікат")</f>
        <v>Завантажити сертифікат</v>
      </c>
    </row>
    <row r="2859" spans="1:6" x14ac:dyDescent="0.3">
      <c r="A2859" t="s">
        <v>6135</v>
      </c>
      <c r="B2859" t="s">
        <v>6</v>
      </c>
      <c r="C2859" t="s">
        <v>6136</v>
      </c>
      <c r="D2859" t="s">
        <v>6113</v>
      </c>
      <c r="E2859" t="s">
        <v>6114</v>
      </c>
      <c r="F2859" t="str">
        <f>HYPERLINK("https://talan.bank.gov.ua/get-user-certificate/45CElOAjGioN-v_5oqg_","Завантажити сертифікат")</f>
        <v>Завантажити сертифікат</v>
      </c>
    </row>
    <row r="2860" spans="1:6" x14ac:dyDescent="0.3">
      <c r="A2860" t="s">
        <v>6137</v>
      </c>
      <c r="B2860" t="s">
        <v>6</v>
      </c>
      <c r="C2860" t="s">
        <v>6138</v>
      </c>
      <c r="D2860" t="s">
        <v>6113</v>
      </c>
      <c r="E2860" t="s">
        <v>6114</v>
      </c>
      <c r="F2860" t="str">
        <f>HYPERLINK("https://talan.bank.gov.ua/get-user-certificate/45CEl1fEEtpZEk0hhNfF","Завантажити сертифікат")</f>
        <v>Завантажити сертифікат</v>
      </c>
    </row>
    <row r="2861" spans="1:6" x14ac:dyDescent="0.3">
      <c r="A2861" t="s">
        <v>6139</v>
      </c>
      <c r="B2861" t="s">
        <v>6</v>
      </c>
      <c r="C2861" t="s">
        <v>6140</v>
      </c>
      <c r="D2861" t="s">
        <v>6113</v>
      </c>
      <c r="E2861" t="s">
        <v>6114</v>
      </c>
      <c r="F2861" t="str">
        <f>HYPERLINK("https://talan.bank.gov.ua/get-user-certificate/45CElEUEnXQNsTS649_t","Завантажити сертифікат")</f>
        <v>Завантажити сертифікат</v>
      </c>
    </row>
    <row r="2862" spans="1:6" x14ac:dyDescent="0.3">
      <c r="A2862" t="s">
        <v>6141</v>
      </c>
      <c r="B2862" t="s">
        <v>6</v>
      </c>
      <c r="C2862" t="s">
        <v>6142</v>
      </c>
      <c r="D2862" t="s">
        <v>6113</v>
      </c>
      <c r="E2862" t="s">
        <v>6114</v>
      </c>
      <c r="F2862" t="str">
        <f>HYPERLINK("https://talan.bank.gov.ua/get-user-certificate/45CElCdm1Nxd27h7mFyG","Завантажити сертифікат")</f>
        <v>Завантажити сертифікат</v>
      </c>
    </row>
    <row r="2863" spans="1:6" x14ac:dyDescent="0.3">
      <c r="A2863" t="s">
        <v>6143</v>
      </c>
      <c r="B2863" t="s">
        <v>6</v>
      </c>
      <c r="C2863" t="s">
        <v>6144</v>
      </c>
      <c r="D2863" t="s">
        <v>6113</v>
      </c>
      <c r="E2863" t="s">
        <v>6114</v>
      </c>
      <c r="F2863" t="str">
        <f>HYPERLINK("https://talan.bank.gov.ua/get-user-certificate/45CEl047oUqSATuIqEHA","Завантажити сертифікат")</f>
        <v>Завантажити сертифікат</v>
      </c>
    </row>
    <row r="2864" spans="1:6" x14ac:dyDescent="0.3">
      <c r="A2864" t="s">
        <v>6145</v>
      </c>
      <c r="B2864" t="s">
        <v>6</v>
      </c>
      <c r="C2864" t="s">
        <v>6146</v>
      </c>
      <c r="D2864" t="s">
        <v>6113</v>
      </c>
      <c r="E2864" t="s">
        <v>6114</v>
      </c>
      <c r="F2864" t="str">
        <f>HYPERLINK("https://talan.bank.gov.ua/get-user-certificate/45CEljRHQDxNBNdbtj3R","Завантажити сертифікат")</f>
        <v>Завантажити сертифікат</v>
      </c>
    </row>
    <row r="2865" spans="1:6" x14ac:dyDescent="0.3">
      <c r="A2865" t="s">
        <v>6147</v>
      </c>
      <c r="B2865" t="s">
        <v>6</v>
      </c>
      <c r="C2865" t="s">
        <v>6148</v>
      </c>
      <c r="D2865" t="s">
        <v>6113</v>
      </c>
      <c r="E2865" t="s">
        <v>6114</v>
      </c>
      <c r="F2865" t="str">
        <f>HYPERLINK("https://talan.bank.gov.ua/get-user-certificate/45CEliI2fT-ujYBHM6_T","Завантажити сертифікат")</f>
        <v>Завантажити сертифікат</v>
      </c>
    </row>
    <row r="2866" spans="1:6" x14ac:dyDescent="0.3">
      <c r="A2866" t="s">
        <v>6149</v>
      </c>
      <c r="B2866" t="s">
        <v>6</v>
      </c>
      <c r="C2866" t="s">
        <v>6150</v>
      </c>
      <c r="D2866" t="s">
        <v>6113</v>
      </c>
      <c r="E2866" t="s">
        <v>6114</v>
      </c>
      <c r="F2866" t="str">
        <f>HYPERLINK("https://talan.bank.gov.ua/get-user-certificate/45CElr3VlpOFd3FlgLxM","Завантажити сертифікат")</f>
        <v>Завантажити сертифікат</v>
      </c>
    </row>
    <row r="2867" spans="1:6" x14ac:dyDescent="0.3">
      <c r="A2867" t="s">
        <v>6151</v>
      </c>
      <c r="B2867" t="s">
        <v>6</v>
      </c>
      <c r="C2867" t="s">
        <v>6152</v>
      </c>
      <c r="D2867" t="s">
        <v>6113</v>
      </c>
      <c r="E2867" t="s">
        <v>6114</v>
      </c>
      <c r="F2867" t="str">
        <f>HYPERLINK("https://talan.bank.gov.ua/get-user-certificate/45CElthTPVS_2ToLX6du","Завантажити сертифікат")</f>
        <v>Завантажити сертифікат</v>
      </c>
    </row>
    <row r="2868" spans="1:6" x14ac:dyDescent="0.3">
      <c r="A2868" t="s">
        <v>6153</v>
      </c>
      <c r="B2868" t="s">
        <v>6</v>
      </c>
      <c r="C2868" t="s">
        <v>6154</v>
      </c>
      <c r="D2868" t="s">
        <v>6113</v>
      </c>
      <c r="E2868" t="s">
        <v>6114</v>
      </c>
      <c r="F2868" t="str">
        <f>HYPERLINK("https://talan.bank.gov.ua/get-user-certificate/45CElo6ipdPAV3XynmyI","Завантажити сертифікат")</f>
        <v>Завантажити сертифікат</v>
      </c>
    </row>
    <row r="2869" spans="1:6" x14ac:dyDescent="0.3">
      <c r="A2869" t="s">
        <v>6155</v>
      </c>
      <c r="B2869" t="s">
        <v>6</v>
      </c>
      <c r="C2869" t="s">
        <v>6156</v>
      </c>
      <c r="D2869" t="s">
        <v>6113</v>
      </c>
      <c r="E2869" t="s">
        <v>6114</v>
      </c>
      <c r="F2869" t="str">
        <f>HYPERLINK("https://talan.bank.gov.ua/get-user-certificate/45CElfCGVTjjQXkXUXip","Завантажити сертифікат")</f>
        <v>Завантажити сертифікат</v>
      </c>
    </row>
    <row r="2870" spans="1:6" x14ac:dyDescent="0.3">
      <c r="A2870" t="s">
        <v>6157</v>
      </c>
      <c r="B2870" t="s">
        <v>6</v>
      </c>
      <c r="C2870" t="s">
        <v>6158</v>
      </c>
      <c r="D2870" t="s">
        <v>6113</v>
      </c>
      <c r="E2870" t="s">
        <v>6114</v>
      </c>
      <c r="F2870" t="str">
        <f>HYPERLINK("https://talan.bank.gov.ua/get-user-certificate/45CEl-TcKZ5UGJWzV4MC","Завантажити сертифікат")</f>
        <v>Завантажити сертифікат</v>
      </c>
    </row>
    <row r="2871" spans="1:6" x14ac:dyDescent="0.3">
      <c r="A2871" t="s">
        <v>6159</v>
      </c>
      <c r="B2871" t="s">
        <v>6</v>
      </c>
      <c r="C2871" t="s">
        <v>6160</v>
      </c>
      <c r="D2871" t="s">
        <v>6113</v>
      </c>
      <c r="E2871" t="s">
        <v>6114</v>
      </c>
      <c r="F2871" t="str">
        <f>HYPERLINK("https://talan.bank.gov.ua/get-user-certificate/45CEllsVh8tuq6wV_KdA","Завантажити сертифікат")</f>
        <v>Завантажити сертифікат</v>
      </c>
    </row>
    <row r="2872" spans="1:6" x14ac:dyDescent="0.3">
      <c r="A2872" t="s">
        <v>6161</v>
      </c>
      <c r="B2872" t="s">
        <v>6</v>
      </c>
      <c r="C2872" t="s">
        <v>6162</v>
      </c>
      <c r="D2872" t="s">
        <v>6113</v>
      </c>
      <c r="E2872" t="s">
        <v>6114</v>
      </c>
      <c r="F2872" t="str">
        <f>HYPERLINK("https://talan.bank.gov.ua/get-user-certificate/45CElJk1hRN-JdeLn2DM","Завантажити сертифікат")</f>
        <v>Завантажити сертифікат</v>
      </c>
    </row>
    <row r="2873" spans="1:6" x14ac:dyDescent="0.3">
      <c r="A2873" t="s">
        <v>6163</v>
      </c>
      <c r="B2873" t="s">
        <v>6</v>
      </c>
      <c r="C2873" t="s">
        <v>6164</v>
      </c>
      <c r="D2873" t="s">
        <v>6113</v>
      </c>
      <c r="E2873" t="s">
        <v>6114</v>
      </c>
      <c r="F2873" t="str">
        <f>HYPERLINK("https://talan.bank.gov.ua/get-user-certificate/45CEl6ZjfvAVi2Jzm7tx","Завантажити сертифікат")</f>
        <v>Завантажити сертифікат</v>
      </c>
    </row>
    <row r="2874" spans="1:6" x14ac:dyDescent="0.3">
      <c r="A2874" t="s">
        <v>6165</v>
      </c>
      <c r="B2874" t="s">
        <v>6</v>
      </c>
      <c r="C2874" t="s">
        <v>6166</v>
      </c>
      <c r="D2874" t="s">
        <v>6113</v>
      </c>
      <c r="E2874" t="s">
        <v>6114</v>
      </c>
      <c r="F2874" t="str">
        <f>HYPERLINK("https://talan.bank.gov.ua/get-user-certificate/45CEl_BhhqWAabEyNnIK","Завантажити сертифікат")</f>
        <v>Завантажити сертифікат</v>
      </c>
    </row>
    <row r="2875" spans="1:6" x14ac:dyDescent="0.3">
      <c r="A2875" t="s">
        <v>6167</v>
      </c>
      <c r="B2875" t="s">
        <v>6</v>
      </c>
      <c r="C2875" t="s">
        <v>6168</v>
      </c>
      <c r="D2875" t="s">
        <v>6113</v>
      </c>
      <c r="E2875" t="s">
        <v>6114</v>
      </c>
      <c r="F2875" t="str">
        <f>HYPERLINK("https://talan.bank.gov.ua/get-user-certificate/45CElHtyjHwFPoOL00r1","Завантажити сертифікат")</f>
        <v>Завантажити сертифікат</v>
      </c>
    </row>
    <row r="2876" spans="1:6" x14ac:dyDescent="0.3">
      <c r="A2876" t="s">
        <v>6169</v>
      </c>
      <c r="B2876" t="s">
        <v>6</v>
      </c>
      <c r="C2876" t="s">
        <v>6170</v>
      </c>
      <c r="D2876" t="s">
        <v>6113</v>
      </c>
      <c r="E2876" t="s">
        <v>6114</v>
      </c>
      <c r="F2876" t="str">
        <f>HYPERLINK("https://talan.bank.gov.ua/get-user-certificate/45CElqza51NDhuwhxS0s","Завантажити сертифікат")</f>
        <v>Завантажити сертифікат</v>
      </c>
    </row>
    <row r="2877" spans="1:6" x14ac:dyDescent="0.3">
      <c r="A2877" t="s">
        <v>6171</v>
      </c>
      <c r="B2877" t="s">
        <v>6</v>
      </c>
      <c r="C2877" t="s">
        <v>6172</v>
      </c>
      <c r="D2877" t="s">
        <v>6113</v>
      </c>
      <c r="E2877" t="s">
        <v>6114</v>
      </c>
      <c r="F2877" t="str">
        <f>HYPERLINK("https://talan.bank.gov.ua/get-user-certificate/45CEl2aU8SqPG2HPyBAZ","Завантажити сертифікат")</f>
        <v>Завантажити сертифікат</v>
      </c>
    </row>
    <row r="2878" spans="1:6" x14ac:dyDescent="0.3">
      <c r="A2878" t="s">
        <v>6173</v>
      </c>
      <c r="B2878" t="s">
        <v>6</v>
      </c>
      <c r="C2878" t="s">
        <v>6174</v>
      </c>
      <c r="D2878" t="s">
        <v>6113</v>
      </c>
      <c r="E2878" t="s">
        <v>6114</v>
      </c>
      <c r="F2878" t="str">
        <f>HYPERLINK("https://talan.bank.gov.ua/get-user-certificate/45CEl0LnYLnASh1vHgyM","Завантажити сертифікат")</f>
        <v>Завантажити сертифікат</v>
      </c>
    </row>
    <row r="2879" spans="1:6" x14ac:dyDescent="0.3">
      <c r="A2879" t="s">
        <v>6175</v>
      </c>
      <c r="B2879" t="s">
        <v>6</v>
      </c>
      <c r="C2879" t="s">
        <v>6176</v>
      </c>
      <c r="D2879" t="s">
        <v>6113</v>
      </c>
      <c r="E2879" t="s">
        <v>6114</v>
      </c>
      <c r="F2879" t="str">
        <f>HYPERLINK("https://talan.bank.gov.ua/get-user-certificate/45CEl7LQjsl0BQVHLeug","Завантажити сертифікат")</f>
        <v>Завантажити сертифікат</v>
      </c>
    </row>
    <row r="2880" spans="1:6" x14ac:dyDescent="0.3">
      <c r="A2880" t="s">
        <v>6177</v>
      </c>
      <c r="B2880" t="s">
        <v>6</v>
      </c>
      <c r="C2880" t="s">
        <v>6178</v>
      </c>
      <c r="D2880" t="s">
        <v>6113</v>
      </c>
      <c r="E2880" t="s">
        <v>6114</v>
      </c>
      <c r="F2880" t="str">
        <f>HYPERLINK("https://talan.bank.gov.ua/get-user-certificate/45CElNJlQy_GAQSsduiY","Завантажити сертифікат")</f>
        <v>Завантажити сертифікат</v>
      </c>
    </row>
    <row r="2881" spans="1:6" x14ac:dyDescent="0.3">
      <c r="A2881" t="s">
        <v>6179</v>
      </c>
      <c r="B2881" t="s">
        <v>6</v>
      </c>
      <c r="C2881" t="s">
        <v>6180</v>
      </c>
      <c r="D2881" t="s">
        <v>6113</v>
      </c>
      <c r="E2881" t="s">
        <v>6114</v>
      </c>
      <c r="F2881" t="str">
        <f>HYPERLINK("https://talan.bank.gov.ua/get-user-certificate/45CEl5XrxWf1f3lsaQ-M","Завантажити сертифікат")</f>
        <v>Завантажити сертифікат</v>
      </c>
    </row>
    <row r="2882" spans="1:6" x14ac:dyDescent="0.3">
      <c r="A2882" t="s">
        <v>6181</v>
      </c>
      <c r="B2882" t="s">
        <v>6</v>
      </c>
      <c r="C2882" t="s">
        <v>6182</v>
      </c>
      <c r="D2882" t="s">
        <v>6113</v>
      </c>
      <c r="E2882" t="s">
        <v>6114</v>
      </c>
      <c r="F2882" t="str">
        <f>HYPERLINK("https://talan.bank.gov.ua/get-user-certificate/45CElVQPqK-NZ_LL7obi","Завантажити сертифікат")</f>
        <v>Завантажити сертифікат</v>
      </c>
    </row>
    <row r="2883" spans="1:6" x14ac:dyDescent="0.3">
      <c r="A2883" t="s">
        <v>6183</v>
      </c>
      <c r="B2883" t="s">
        <v>6</v>
      </c>
      <c r="C2883" t="s">
        <v>6184</v>
      </c>
      <c r="D2883" t="s">
        <v>6185</v>
      </c>
      <c r="E2883" t="s">
        <v>6186</v>
      </c>
      <c r="F2883" t="str">
        <f>HYPERLINK("https://talan.bank.gov.ua/get-user-certificate/45CElNw-jjN8mSN56YAh","Завантажити сертифікат")</f>
        <v>Завантажити сертифікат</v>
      </c>
    </row>
    <row r="2884" spans="1:6" x14ac:dyDescent="0.3">
      <c r="A2884" t="s">
        <v>6187</v>
      </c>
      <c r="B2884" t="s">
        <v>6</v>
      </c>
      <c r="C2884" t="s">
        <v>6188</v>
      </c>
      <c r="D2884" t="s">
        <v>6185</v>
      </c>
      <c r="E2884" t="s">
        <v>6186</v>
      </c>
      <c r="F2884" t="str">
        <f>HYPERLINK("https://talan.bank.gov.ua/get-user-certificate/45CEl75ClJVz0om3SeXi","Завантажити сертифікат")</f>
        <v>Завантажити сертифікат</v>
      </c>
    </row>
    <row r="2885" spans="1:6" x14ac:dyDescent="0.3">
      <c r="A2885" t="s">
        <v>6189</v>
      </c>
      <c r="B2885" t="s">
        <v>6</v>
      </c>
      <c r="C2885" t="s">
        <v>6190</v>
      </c>
      <c r="D2885" t="s">
        <v>6185</v>
      </c>
      <c r="E2885" t="s">
        <v>6186</v>
      </c>
      <c r="F2885" t="str">
        <f>HYPERLINK("https://talan.bank.gov.ua/get-user-certificate/45CElGhbSWt1S5u3jv-F","Завантажити сертифікат")</f>
        <v>Завантажити сертифікат</v>
      </c>
    </row>
    <row r="2886" spans="1:6" x14ac:dyDescent="0.3">
      <c r="A2886" t="s">
        <v>6191</v>
      </c>
      <c r="B2886" t="s">
        <v>6</v>
      </c>
      <c r="C2886" t="s">
        <v>6192</v>
      </c>
      <c r="D2886" t="s">
        <v>6185</v>
      </c>
      <c r="E2886" t="s">
        <v>6186</v>
      </c>
      <c r="F2886" t="str">
        <f>HYPERLINK("https://talan.bank.gov.ua/get-user-certificate/45CElhB62vgXUa65dFfm","Завантажити сертифікат")</f>
        <v>Завантажити сертифікат</v>
      </c>
    </row>
    <row r="2887" spans="1:6" x14ac:dyDescent="0.3">
      <c r="A2887" t="s">
        <v>6193</v>
      </c>
      <c r="B2887" t="s">
        <v>6</v>
      </c>
      <c r="C2887" t="s">
        <v>6194</v>
      </c>
      <c r="D2887" t="s">
        <v>6185</v>
      </c>
      <c r="E2887" t="s">
        <v>6186</v>
      </c>
      <c r="F2887" t="str">
        <f>HYPERLINK("https://talan.bank.gov.ua/get-user-certificate/45CElxkyRj54mUnSZim-","Завантажити сертифікат")</f>
        <v>Завантажити сертифікат</v>
      </c>
    </row>
    <row r="2888" spans="1:6" x14ac:dyDescent="0.3">
      <c r="A2888" t="s">
        <v>6195</v>
      </c>
      <c r="B2888" t="s">
        <v>6</v>
      </c>
      <c r="C2888" t="s">
        <v>6196</v>
      </c>
      <c r="D2888" t="s">
        <v>6185</v>
      </c>
      <c r="E2888" t="s">
        <v>6186</v>
      </c>
      <c r="F2888" t="str">
        <f>HYPERLINK("https://talan.bank.gov.ua/get-user-certificate/45CElX2AfR9lBQkiUKG_","Завантажити сертифікат")</f>
        <v>Завантажити сертифікат</v>
      </c>
    </row>
    <row r="2889" spans="1:6" x14ac:dyDescent="0.3">
      <c r="A2889" t="s">
        <v>6197</v>
      </c>
      <c r="B2889" t="s">
        <v>6</v>
      </c>
      <c r="C2889" t="s">
        <v>6198</v>
      </c>
      <c r="D2889" t="s">
        <v>6199</v>
      </c>
      <c r="E2889" t="s">
        <v>6200</v>
      </c>
      <c r="F2889" t="str">
        <f>HYPERLINK("https://talan.bank.gov.ua/get-user-certificate/45CElp42N_oq2wc8qhPj","Завантажити сертифікат")</f>
        <v>Завантажити сертифікат</v>
      </c>
    </row>
    <row r="2890" spans="1:6" x14ac:dyDescent="0.3">
      <c r="A2890" t="s">
        <v>6201</v>
      </c>
      <c r="B2890" t="s">
        <v>6</v>
      </c>
      <c r="C2890" t="s">
        <v>6202</v>
      </c>
      <c r="D2890" t="s">
        <v>6199</v>
      </c>
      <c r="E2890" t="s">
        <v>6200</v>
      </c>
      <c r="F2890" t="str">
        <f>HYPERLINK("https://talan.bank.gov.ua/get-user-certificate/45CEl2akQT82eJlwCz4U","Завантажити сертифікат")</f>
        <v>Завантажити сертифікат</v>
      </c>
    </row>
    <row r="2891" spans="1:6" x14ac:dyDescent="0.3">
      <c r="A2891" t="s">
        <v>6203</v>
      </c>
      <c r="B2891" t="s">
        <v>6</v>
      </c>
      <c r="C2891" t="s">
        <v>6204</v>
      </c>
      <c r="D2891" t="s">
        <v>6199</v>
      </c>
      <c r="E2891" t="s">
        <v>6200</v>
      </c>
      <c r="F2891" t="str">
        <f>HYPERLINK("https://talan.bank.gov.ua/get-user-certificate/45CElZP7ddZPMd10Uh3i","Завантажити сертифікат")</f>
        <v>Завантажити сертифікат</v>
      </c>
    </row>
    <row r="2892" spans="1:6" x14ac:dyDescent="0.3">
      <c r="A2892" t="s">
        <v>6205</v>
      </c>
      <c r="B2892" t="s">
        <v>6</v>
      </c>
      <c r="C2892" t="s">
        <v>6206</v>
      </c>
      <c r="D2892" t="s">
        <v>6199</v>
      </c>
      <c r="E2892" t="s">
        <v>6200</v>
      </c>
      <c r="F2892" t="str">
        <f>HYPERLINK("https://talan.bank.gov.ua/get-user-certificate/45CElwQrF4saTd7k1Ymg","Завантажити сертифікат")</f>
        <v>Завантажити сертифікат</v>
      </c>
    </row>
    <row r="2893" spans="1:6" x14ac:dyDescent="0.3">
      <c r="A2893" t="s">
        <v>6207</v>
      </c>
      <c r="B2893" t="s">
        <v>6</v>
      </c>
      <c r="C2893" t="s">
        <v>6208</v>
      </c>
      <c r="D2893" t="s">
        <v>6199</v>
      </c>
      <c r="E2893" t="s">
        <v>6200</v>
      </c>
      <c r="F2893" t="str">
        <f>HYPERLINK("https://talan.bank.gov.ua/get-user-certificate/45CElQ9gbMRno1zHG386","Завантажити сертифікат")</f>
        <v>Завантажити сертифікат</v>
      </c>
    </row>
    <row r="2894" spans="1:6" x14ac:dyDescent="0.3">
      <c r="A2894" t="s">
        <v>6209</v>
      </c>
      <c r="B2894" t="s">
        <v>6</v>
      </c>
      <c r="C2894" t="s">
        <v>6210</v>
      </c>
      <c r="D2894" t="s">
        <v>6199</v>
      </c>
      <c r="E2894" t="s">
        <v>6200</v>
      </c>
      <c r="F2894" t="str">
        <f>HYPERLINK("https://talan.bank.gov.ua/get-user-certificate/45CElQgVBZ1OsCwoXj8P","Завантажити сертифікат")</f>
        <v>Завантажити сертифікат</v>
      </c>
    </row>
    <row r="2895" spans="1:6" x14ac:dyDescent="0.3">
      <c r="A2895" t="s">
        <v>6211</v>
      </c>
      <c r="B2895" t="s">
        <v>6</v>
      </c>
      <c r="C2895" t="s">
        <v>6212</v>
      </c>
      <c r="D2895" t="s">
        <v>6199</v>
      </c>
      <c r="E2895" t="s">
        <v>6200</v>
      </c>
      <c r="F2895" t="str">
        <f>HYPERLINK("https://talan.bank.gov.ua/get-user-certificate/45CElIDz4s8L3OK7dh3W","Завантажити сертифікат")</f>
        <v>Завантажити сертифікат</v>
      </c>
    </row>
    <row r="2896" spans="1:6" x14ac:dyDescent="0.3">
      <c r="A2896" t="s">
        <v>6213</v>
      </c>
      <c r="B2896" t="s">
        <v>6</v>
      </c>
      <c r="C2896" t="s">
        <v>6214</v>
      </c>
      <c r="D2896" t="s">
        <v>6199</v>
      </c>
      <c r="E2896" t="s">
        <v>6200</v>
      </c>
      <c r="F2896" t="str">
        <f>HYPERLINK("https://talan.bank.gov.ua/get-user-certificate/45CEll8tipkg-5gIks4w","Завантажити сертифікат")</f>
        <v>Завантажити сертифікат</v>
      </c>
    </row>
    <row r="2897" spans="1:6" x14ac:dyDescent="0.3">
      <c r="A2897" t="s">
        <v>6215</v>
      </c>
      <c r="B2897" t="s">
        <v>6</v>
      </c>
      <c r="C2897" t="s">
        <v>6216</v>
      </c>
      <c r="D2897" t="s">
        <v>6199</v>
      </c>
      <c r="E2897" t="s">
        <v>6200</v>
      </c>
      <c r="F2897" t="str">
        <f>HYPERLINK("https://talan.bank.gov.ua/get-user-certificate/45CElElIOXJQbMzjl0jH","Завантажити сертифікат")</f>
        <v>Завантажити сертифікат</v>
      </c>
    </row>
    <row r="2898" spans="1:6" x14ac:dyDescent="0.3">
      <c r="A2898" t="s">
        <v>6217</v>
      </c>
      <c r="B2898" t="s">
        <v>6</v>
      </c>
      <c r="C2898" t="s">
        <v>6218</v>
      </c>
      <c r="D2898" t="s">
        <v>6199</v>
      </c>
      <c r="E2898" t="s">
        <v>6200</v>
      </c>
      <c r="F2898" t="str">
        <f>HYPERLINK("https://talan.bank.gov.ua/get-user-certificate/45CElpyhPiodF2iDpXQ_","Завантажити сертифікат")</f>
        <v>Завантажити сертифікат</v>
      </c>
    </row>
    <row r="2899" spans="1:6" x14ac:dyDescent="0.3">
      <c r="A2899" t="s">
        <v>6219</v>
      </c>
      <c r="B2899" t="s">
        <v>6</v>
      </c>
      <c r="C2899" t="s">
        <v>6220</v>
      </c>
      <c r="D2899" t="s">
        <v>6199</v>
      </c>
      <c r="E2899" t="s">
        <v>6200</v>
      </c>
      <c r="F2899" t="str">
        <f>HYPERLINK("https://talan.bank.gov.ua/get-user-certificate/45CElxNS5jhMwBxWLakY","Завантажити сертифікат")</f>
        <v>Завантажити сертифікат</v>
      </c>
    </row>
    <row r="2900" spans="1:6" x14ac:dyDescent="0.3">
      <c r="A2900" t="s">
        <v>6221</v>
      </c>
      <c r="B2900" t="s">
        <v>6</v>
      </c>
      <c r="C2900" t="s">
        <v>6222</v>
      </c>
      <c r="D2900" t="s">
        <v>6223</v>
      </c>
      <c r="E2900" t="s">
        <v>6224</v>
      </c>
      <c r="F2900" t="str">
        <f>HYPERLINK("https://talan.bank.gov.ua/get-user-certificate/45CElI8qFKumjFNVRYa4","Завантажити сертифікат")</f>
        <v>Завантажити сертифікат</v>
      </c>
    </row>
    <row r="2901" spans="1:6" x14ac:dyDescent="0.3">
      <c r="A2901" t="s">
        <v>6225</v>
      </c>
      <c r="B2901" t="s">
        <v>6</v>
      </c>
      <c r="C2901" t="s">
        <v>6226</v>
      </c>
      <c r="D2901" t="s">
        <v>6223</v>
      </c>
      <c r="E2901" t="s">
        <v>6224</v>
      </c>
      <c r="F2901" t="str">
        <f>HYPERLINK("https://talan.bank.gov.ua/get-user-certificate/45CEl-uaA9G312Whs_4K","Завантажити сертифікат")</f>
        <v>Завантажити сертифікат</v>
      </c>
    </row>
    <row r="2902" spans="1:6" x14ac:dyDescent="0.3">
      <c r="A2902" t="s">
        <v>6227</v>
      </c>
      <c r="B2902" t="s">
        <v>6</v>
      </c>
      <c r="C2902" t="s">
        <v>6228</v>
      </c>
      <c r="D2902" t="s">
        <v>6223</v>
      </c>
      <c r="E2902" t="s">
        <v>6224</v>
      </c>
      <c r="F2902" t="str">
        <f>HYPERLINK("https://talan.bank.gov.ua/get-user-certificate/45CElPzzUEAfNQJ5OMg7","Завантажити сертифікат")</f>
        <v>Завантажити сертифікат</v>
      </c>
    </row>
    <row r="2903" spans="1:6" x14ac:dyDescent="0.3">
      <c r="A2903" t="s">
        <v>6229</v>
      </c>
      <c r="B2903" t="s">
        <v>6</v>
      </c>
      <c r="C2903" t="s">
        <v>6230</v>
      </c>
      <c r="D2903" t="s">
        <v>6223</v>
      </c>
      <c r="E2903" t="s">
        <v>6224</v>
      </c>
      <c r="F2903" t="str">
        <f>HYPERLINK("https://talan.bank.gov.ua/get-user-certificate/45CElFzbaA6CQtGrTaT5","Завантажити сертифікат")</f>
        <v>Завантажити сертифікат</v>
      </c>
    </row>
    <row r="2904" spans="1:6" x14ac:dyDescent="0.3">
      <c r="A2904" t="s">
        <v>6231</v>
      </c>
      <c r="B2904" t="s">
        <v>6</v>
      </c>
      <c r="C2904" t="s">
        <v>6232</v>
      </c>
      <c r="D2904" t="s">
        <v>6223</v>
      </c>
      <c r="E2904" t="s">
        <v>6224</v>
      </c>
      <c r="F2904" t="str">
        <f>HYPERLINK("https://talan.bank.gov.ua/get-user-certificate/45CElceDlQ8Ft9Zow39A","Завантажити сертифікат")</f>
        <v>Завантажити сертифікат</v>
      </c>
    </row>
    <row r="2905" spans="1:6" x14ac:dyDescent="0.3">
      <c r="A2905" t="s">
        <v>6233</v>
      </c>
      <c r="B2905" t="s">
        <v>6</v>
      </c>
      <c r="C2905" t="s">
        <v>6234</v>
      </c>
      <c r="D2905" t="s">
        <v>6223</v>
      </c>
      <c r="E2905" t="s">
        <v>6224</v>
      </c>
      <c r="F2905" t="str">
        <f>HYPERLINK("https://talan.bank.gov.ua/get-user-certificate/45CElntrBCZicmFwFJJt","Завантажити сертифікат")</f>
        <v>Завантажити сертифікат</v>
      </c>
    </row>
    <row r="2906" spans="1:6" x14ac:dyDescent="0.3">
      <c r="A2906" t="s">
        <v>6235</v>
      </c>
      <c r="B2906" t="s">
        <v>6</v>
      </c>
      <c r="C2906" t="s">
        <v>6236</v>
      </c>
      <c r="D2906" t="s">
        <v>6223</v>
      </c>
      <c r="E2906" t="s">
        <v>6224</v>
      </c>
      <c r="F2906" t="str">
        <f>HYPERLINK("https://talan.bank.gov.ua/get-user-certificate/45CElS1FcIasMcVVsozF","Завантажити сертифікат")</f>
        <v>Завантажити сертифікат</v>
      </c>
    </row>
    <row r="2907" spans="1:6" x14ac:dyDescent="0.3">
      <c r="A2907" t="s">
        <v>6237</v>
      </c>
      <c r="B2907" t="s">
        <v>6</v>
      </c>
      <c r="C2907" t="s">
        <v>6238</v>
      </c>
      <c r="D2907" t="s">
        <v>6223</v>
      </c>
      <c r="E2907" t="s">
        <v>6224</v>
      </c>
      <c r="F2907" t="str">
        <f>HYPERLINK("https://talan.bank.gov.ua/get-user-certificate/45CElQ_Jq5fd_lM9ICQD","Завантажити сертифікат")</f>
        <v>Завантажити сертифікат</v>
      </c>
    </row>
    <row r="2908" spans="1:6" x14ac:dyDescent="0.3">
      <c r="A2908" t="s">
        <v>6239</v>
      </c>
      <c r="B2908" t="s">
        <v>6</v>
      </c>
      <c r="C2908" t="s">
        <v>6240</v>
      </c>
      <c r="D2908" t="s">
        <v>6223</v>
      </c>
      <c r="E2908" t="s">
        <v>6224</v>
      </c>
      <c r="F2908" t="str">
        <f>HYPERLINK("https://talan.bank.gov.ua/get-user-certificate/45CElwo7MJYgH9Dx6jyS","Завантажити сертифікат")</f>
        <v>Завантажити сертифікат</v>
      </c>
    </row>
    <row r="2909" spans="1:6" x14ac:dyDescent="0.3">
      <c r="A2909" t="s">
        <v>6241</v>
      </c>
      <c r="B2909" t="s">
        <v>6</v>
      </c>
      <c r="C2909" t="s">
        <v>6242</v>
      </c>
      <c r="D2909" t="s">
        <v>6243</v>
      </c>
      <c r="E2909" t="s">
        <v>6244</v>
      </c>
      <c r="F2909" t="str">
        <f>HYPERLINK("https://talan.bank.gov.ua/get-user-certificate/45CElP0pa1V-_5IyqYpz","Завантажити сертифікат")</f>
        <v>Завантажити сертифікат</v>
      </c>
    </row>
    <row r="2910" spans="1:6" x14ac:dyDescent="0.3">
      <c r="A2910" t="s">
        <v>6245</v>
      </c>
      <c r="B2910" t="s">
        <v>6</v>
      </c>
      <c r="C2910" t="s">
        <v>6246</v>
      </c>
      <c r="D2910" t="s">
        <v>6243</v>
      </c>
      <c r="E2910" t="s">
        <v>6244</v>
      </c>
      <c r="F2910" t="str">
        <f>HYPERLINK("https://talan.bank.gov.ua/get-user-certificate/45CElIOjkNIvqvth7oxi","Завантажити сертифікат")</f>
        <v>Завантажити сертифікат</v>
      </c>
    </row>
    <row r="2911" spans="1:6" x14ac:dyDescent="0.3">
      <c r="A2911" t="s">
        <v>6247</v>
      </c>
      <c r="B2911" t="s">
        <v>6</v>
      </c>
      <c r="C2911" t="s">
        <v>6248</v>
      </c>
      <c r="D2911" t="s">
        <v>6243</v>
      </c>
      <c r="E2911" t="s">
        <v>6244</v>
      </c>
      <c r="F2911" t="str">
        <f>HYPERLINK("https://talan.bank.gov.ua/get-user-certificate/45CEleLESrHOOlrbQgQN","Завантажити сертифікат")</f>
        <v>Завантажити сертифікат</v>
      </c>
    </row>
    <row r="2912" spans="1:6" x14ac:dyDescent="0.3">
      <c r="A2912" t="s">
        <v>6249</v>
      </c>
      <c r="B2912" t="s">
        <v>6</v>
      </c>
      <c r="C2912" t="s">
        <v>6250</v>
      </c>
      <c r="D2912" t="s">
        <v>6243</v>
      </c>
      <c r="E2912" t="s">
        <v>6244</v>
      </c>
      <c r="F2912" t="str">
        <f>HYPERLINK("https://talan.bank.gov.ua/get-user-certificate/45CElPCWTikxhon8GYdp","Завантажити сертифікат")</f>
        <v>Завантажити сертифікат</v>
      </c>
    </row>
    <row r="2913" spans="1:6" x14ac:dyDescent="0.3">
      <c r="A2913" t="s">
        <v>6251</v>
      </c>
      <c r="B2913" t="s">
        <v>6</v>
      </c>
      <c r="C2913" t="s">
        <v>6252</v>
      </c>
      <c r="D2913" t="s">
        <v>6243</v>
      </c>
      <c r="E2913" t="s">
        <v>6244</v>
      </c>
      <c r="F2913" t="str">
        <f>HYPERLINK("https://talan.bank.gov.ua/get-user-certificate/45CElr1CrY_2feTtgnkD","Завантажити сертифікат")</f>
        <v>Завантажити сертифікат</v>
      </c>
    </row>
    <row r="2914" spans="1:6" x14ac:dyDescent="0.3">
      <c r="A2914" t="s">
        <v>6253</v>
      </c>
      <c r="B2914" t="s">
        <v>6</v>
      </c>
      <c r="C2914" t="s">
        <v>6254</v>
      </c>
      <c r="D2914" t="s">
        <v>6243</v>
      </c>
      <c r="E2914" t="s">
        <v>6244</v>
      </c>
      <c r="F2914" t="str">
        <f>HYPERLINK("https://talan.bank.gov.ua/get-user-certificate/45CEl5KbpfStWJpa--DI","Завантажити сертифікат")</f>
        <v>Завантажити сертифікат</v>
      </c>
    </row>
    <row r="2915" spans="1:6" x14ac:dyDescent="0.3">
      <c r="A2915" t="s">
        <v>6255</v>
      </c>
      <c r="B2915" t="s">
        <v>6</v>
      </c>
      <c r="C2915" t="s">
        <v>6256</v>
      </c>
      <c r="D2915" t="s">
        <v>6243</v>
      </c>
      <c r="E2915" t="s">
        <v>6244</v>
      </c>
      <c r="F2915" t="str">
        <f>HYPERLINK("https://talan.bank.gov.ua/get-user-certificate/45CElLu7h0-ohelfjI93","Завантажити сертифікат")</f>
        <v>Завантажити сертифікат</v>
      </c>
    </row>
    <row r="2916" spans="1:6" x14ac:dyDescent="0.3">
      <c r="A2916" t="s">
        <v>6257</v>
      </c>
      <c r="B2916" t="s">
        <v>6</v>
      </c>
      <c r="C2916" t="s">
        <v>6258</v>
      </c>
      <c r="D2916" t="s">
        <v>6243</v>
      </c>
      <c r="E2916" t="s">
        <v>6244</v>
      </c>
      <c r="F2916" t="str">
        <f>HYPERLINK("https://talan.bank.gov.ua/get-user-certificate/45CEl3JqDXj-AEprHdp1","Завантажити сертифікат")</f>
        <v>Завантажити сертифікат</v>
      </c>
    </row>
    <row r="2917" spans="1:6" x14ac:dyDescent="0.3">
      <c r="A2917" t="s">
        <v>6259</v>
      </c>
      <c r="B2917" t="s">
        <v>6</v>
      </c>
      <c r="C2917" t="s">
        <v>6260</v>
      </c>
      <c r="D2917" t="s">
        <v>6243</v>
      </c>
      <c r="E2917" t="s">
        <v>6244</v>
      </c>
      <c r="F2917" t="str">
        <f>HYPERLINK("https://talan.bank.gov.ua/get-user-certificate/45CElo0gnvcda9xTBblR","Завантажити сертифікат")</f>
        <v>Завантажити сертифікат</v>
      </c>
    </row>
    <row r="2918" spans="1:6" x14ac:dyDescent="0.3">
      <c r="A2918" t="s">
        <v>6261</v>
      </c>
      <c r="B2918" t="s">
        <v>6</v>
      </c>
      <c r="C2918" t="s">
        <v>6262</v>
      </c>
      <c r="D2918" t="s">
        <v>6243</v>
      </c>
      <c r="E2918" t="s">
        <v>6244</v>
      </c>
      <c r="F2918" t="str">
        <f>HYPERLINK("https://talan.bank.gov.ua/get-user-certificate/45CElkIiJC-72LYFigad","Завантажити сертифікат")</f>
        <v>Завантажити сертифікат</v>
      </c>
    </row>
    <row r="2919" spans="1:6" x14ac:dyDescent="0.3">
      <c r="A2919" t="s">
        <v>6263</v>
      </c>
      <c r="B2919" t="s">
        <v>6</v>
      </c>
      <c r="C2919" t="s">
        <v>6264</v>
      </c>
      <c r="D2919" t="s">
        <v>6243</v>
      </c>
      <c r="E2919" t="s">
        <v>6244</v>
      </c>
      <c r="F2919" t="str">
        <f>HYPERLINK("https://talan.bank.gov.ua/get-user-certificate/45CElD_RCeIQSAWmQcj5","Завантажити сертифікат")</f>
        <v>Завантажити сертифікат</v>
      </c>
    </row>
    <row r="2920" spans="1:6" x14ac:dyDescent="0.3">
      <c r="A2920" t="s">
        <v>6265</v>
      </c>
      <c r="B2920" t="s">
        <v>6</v>
      </c>
      <c r="C2920" t="s">
        <v>6266</v>
      </c>
      <c r="D2920" t="s">
        <v>6243</v>
      </c>
      <c r="E2920" t="s">
        <v>6244</v>
      </c>
      <c r="F2920" t="str">
        <f>HYPERLINK("https://talan.bank.gov.ua/get-user-certificate/45CElaQuAw6eqcHXvyhI","Завантажити сертифікат")</f>
        <v>Завантажити сертифікат</v>
      </c>
    </row>
    <row r="2921" spans="1:6" x14ac:dyDescent="0.3">
      <c r="A2921" t="s">
        <v>6267</v>
      </c>
      <c r="B2921" t="s">
        <v>6</v>
      </c>
      <c r="C2921" t="s">
        <v>6268</v>
      </c>
      <c r="D2921" t="s">
        <v>6243</v>
      </c>
      <c r="E2921" t="s">
        <v>6244</v>
      </c>
      <c r="F2921" t="str">
        <f>HYPERLINK("https://talan.bank.gov.ua/get-user-certificate/45CEl9OEfCIMe6S1r6ji","Завантажити сертифікат")</f>
        <v>Завантажити сертифікат</v>
      </c>
    </row>
    <row r="2922" spans="1:6" x14ac:dyDescent="0.3">
      <c r="A2922" t="s">
        <v>6269</v>
      </c>
      <c r="B2922" t="s">
        <v>6</v>
      </c>
      <c r="C2922" t="s">
        <v>6270</v>
      </c>
      <c r="D2922" t="s">
        <v>6243</v>
      </c>
      <c r="E2922" t="s">
        <v>6244</v>
      </c>
      <c r="F2922" t="str">
        <f>HYPERLINK("https://talan.bank.gov.ua/get-user-certificate/45CElfGHkqJ4uEvVUXjo","Завантажити сертифікат")</f>
        <v>Завантажити сертифікат</v>
      </c>
    </row>
    <row r="2923" spans="1:6" x14ac:dyDescent="0.3">
      <c r="A2923" t="s">
        <v>6271</v>
      </c>
      <c r="B2923" t="s">
        <v>6</v>
      </c>
      <c r="C2923" t="s">
        <v>6272</v>
      </c>
      <c r="D2923" t="s">
        <v>6243</v>
      </c>
      <c r="E2923" t="s">
        <v>6244</v>
      </c>
      <c r="F2923" t="str">
        <f>HYPERLINK("https://talan.bank.gov.ua/get-user-certificate/45CElFrh9rJsFMMQrvjB","Завантажити сертифікат")</f>
        <v>Завантажити сертифікат</v>
      </c>
    </row>
    <row r="2924" spans="1:6" x14ac:dyDescent="0.3">
      <c r="A2924" t="s">
        <v>6273</v>
      </c>
      <c r="B2924" t="s">
        <v>6</v>
      </c>
      <c r="C2924" t="s">
        <v>6274</v>
      </c>
      <c r="D2924" t="s">
        <v>6243</v>
      </c>
      <c r="E2924" t="s">
        <v>6244</v>
      </c>
      <c r="F2924" t="str">
        <f>HYPERLINK("https://talan.bank.gov.ua/get-user-certificate/45CEln94TmA_DGePSlmZ","Завантажити сертифікат")</f>
        <v>Завантажити сертифікат</v>
      </c>
    </row>
    <row r="2925" spans="1:6" x14ac:dyDescent="0.3">
      <c r="A2925" t="s">
        <v>6275</v>
      </c>
      <c r="B2925" t="s">
        <v>6</v>
      </c>
      <c r="C2925" t="s">
        <v>6276</v>
      </c>
      <c r="D2925" t="s">
        <v>6243</v>
      </c>
      <c r="E2925" t="s">
        <v>6244</v>
      </c>
      <c r="F2925" t="str">
        <f>HYPERLINK("https://talan.bank.gov.ua/get-user-certificate/45CElf-YhJMlufW9hEhB","Завантажити сертифікат")</f>
        <v>Завантажити сертифікат</v>
      </c>
    </row>
    <row r="2926" spans="1:6" x14ac:dyDescent="0.3">
      <c r="A2926" t="s">
        <v>6277</v>
      </c>
      <c r="B2926" t="s">
        <v>6</v>
      </c>
      <c r="C2926" t="s">
        <v>6278</v>
      </c>
      <c r="D2926" t="s">
        <v>6243</v>
      </c>
      <c r="E2926" t="s">
        <v>6244</v>
      </c>
      <c r="F2926" t="str">
        <f>HYPERLINK("https://talan.bank.gov.ua/get-user-certificate/45CElnJ6o6NbT1mvNaya","Завантажити сертифікат")</f>
        <v>Завантажити сертифікат</v>
      </c>
    </row>
    <row r="2927" spans="1:6" x14ac:dyDescent="0.3">
      <c r="A2927" t="s">
        <v>6279</v>
      </c>
      <c r="B2927" t="s">
        <v>6</v>
      </c>
      <c r="C2927" t="s">
        <v>6280</v>
      </c>
      <c r="D2927" t="s">
        <v>6243</v>
      </c>
      <c r="E2927" t="s">
        <v>6244</v>
      </c>
      <c r="F2927" t="str">
        <f>HYPERLINK("https://talan.bank.gov.ua/get-user-certificate/45CElxx6vkv8Ubg9KfIb","Завантажити сертифікат")</f>
        <v>Завантажити сертифікат</v>
      </c>
    </row>
    <row r="2928" spans="1:6" x14ac:dyDescent="0.3">
      <c r="A2928" t="s">
        <v>6281</v>
      </c>
      <c r="B2928" t="s">
        <v>6</v>
      </c>
      <c r="C2928" t="s">
        <v>6282</v>
      </c>
      <c r="D2928" t="s">
        <v>6243</v>
      </c>
      <c r="E2928" t="s">
        <v>6244</v>
      </c>
      <c r="F2928" t="str">
        <f>HYPERLINK("https://talan.bank.gov.ua/get-user-certificate/45CElhTVMVJmoT8F3GQp","Завантажити сертифікат")</f>
        <v>Завантажити сертифікат</v>
      </c>
    </row>
    <row r="2929" spans="1:6" x14ac:dyDescent="0.3">
      <c r="A2929" t="s">
        <v>6283</v>
      </c>
      <c r="B2929" t="s">
        <v>6</v>
      </c>
      <c r="C2929" t="s">
        <v>6284</v>
      </c>
      <c r="D2929" t="s">
        <v>6243</v>
      </c>
      <c r="E2929" t="s">
        <v>6244</v>
      </c>
      <c r="F2929" t="str">
        <f>HYPERLINK("https://talan.bank.gov.ua/get-user-certificate/45CElMj3Qp9SyIRbkm6N","Завантажити сертифікат")</f>
        <v>Завантажити сертифікат</v>
      </c>
    </row>
    <row r="2930" spans="1:6" x14ac:dyDescent="0.3">
      <c r="A2930" t="s">
        <v>6285</v>
      </c>
      <c r="B2930" t="s">
        <v>6</v>
      </c>
      <c r="C2930" t="s">
        <v>6286</v>
      </c>
      <c r="D2930" t="s">
        <v>6243</v>
      </c>
      <c r="E2930" t="s">
        <v>6244</v>
      </c>
      <c r="F2930" t="str">
        <f>HYPERLINK("https://talan.bank.gov.ua/get-user-certificate/45CElKE20sLP9p9Law_L","Завантажити сертифікат")</f>
        <v>Завантажити сертифікат</v>
      </c>
    </row>
    <row r="2931" spans="1:6" x14ac:dyDescent="0.3">
      <c r="A2931" t="s">
        <v>6287</v>
      </c>
      <c r="B2931" t="s">
        <v>6</v>
      </c>
      <c r="C2931" t="s">
        <v>6288</v>
      </c>
      <c r="D2931" t="s">
        <v>6243</v>
      </c>
      <c r="E2931" t="s">
        <v>6244</v>
      </c>
      <c r="F2931" t="str">
        <f>HYPERLINK("https://talan.bank.gov.ua/get-user-certificate/45CEle3GkvEpLP3Qff3i","Завантажити сертифікат")</f>
        <v>Завантажити сертифікат</v>
      </c>
    </row>
    <row r="2932" spans="1:6" x14ac:dyDescent="0.3">
      <c r="A2932" t="s">
        <v>6289</v>
      </c>
      <c r="B2932" t="s">
        <v>6</v>
      </c>
      <c r="C2932" t="s">
        <v>6290</v>
      </c>
      <c r="D2932" t="s">
        <v>6243</v>
      </c>
      <c r="E2932" t="s">
        <v>6244</v>
      </c>
      <c r="F2932" t="str">
        <f>HYPERLINK("https://talan.bank.gov.ua/get-user-certificate/45CElDyCvwBXjKGXkWm6","Завантажити сертифікат")</f>
        <v>Завантажити сертифікат</v>
      </c>
    </row>
    <row r="2933" spans="1:6" x14ac:dyDescent="0.3">
      <c r="A2933" t="s">
        <v>6291</v>
      </c>
      <c r="B2933" t="s">
        <v>6</v>
      </c>
      <c r="C2933" t="s">
        <v>6292</v>
      </c>
      <c r="D2933" t="s">
        <v>6243</v>
      </c>
      <c r="E2933" t="s">
        <v>6244</v>
      </c>
      <c r="F2933" t="str">
        <f>HYPERLINK("https://talan.bank.gov.ua/get-user-certificate/45CElSavgFd47-MEsM2f","Завантажити сертифікат")</f>
        <v>Завантажити сертифікат</v>
      </c>
    </row>
    <row r="2934" spans="1:6" x14ac:dyDescent="0.3">
      <c r="A2934" t="s">
        <v>6293</v>
      </c>
      <c r="B2934" t="s">
        <v>6</v>
      </c>
      <c r="C2934" t="s">
        <v>6294</v>
      </c>
      <c r="D2934" t="s">
        <v>6243</v>
      </c>
      <c r="E2934" t="s">
        <v>6244</v>
      </c>
      <c r="F2934" t="str">
        <f>HYPERLINK("https://talan.bank.gov.ua/get-user-certificate/45CEliYkc26Vefh1--O3","Завантажити сертифікат")</f>
        <v>Завантажити сертифікат</v>
      </c>
    </row>
    <row r="2935" spans="1:6" x14ac:dyDescent="0.3">
      <c r="A2935" t="s">
        <v>6295</v>
      </c>
      <c r="B2935" t="s">
        <v>6</v>
      </c>
      <c r="C2935" t="s">
        <v>6296</v>
      </c>
      <c r="D2935" t="s">
        <v>6243</v>
      </c>
      <c r="E2935" t="s">
        <v>6244</v>
      </c>
      <c r="F2935" t="str">
        <f>HYPERLINK("https://talan.bank.gov.ua/get-user-certificate/45CElszcV4afI6MBIACN","Завантажити сертифікат")</f>
        <v>Завантажити сертифікат</v>
      </c>
    </row>
    <row r="2936" spans="1:6" x14ac:dyDescent="0.3">
      <c r="A2936" t="s">
        <v>6297</v>
      </c>
      <c r="B2936" t="s">
        <v>6</v>
      </c>
      <c r="C2936" t="s">
        <v>6298</v>
      </c>
      <c r="D2936" t="s">
        <v>6243</v>
      </c>
      <c r="E2936" t="s">
        <v>6244</v>
      </c>
      <c r="F2936" t="str">
        <f>HYPERLINK("https://talan.bank.gov.ua/get-user-certificate/45CElBeu8r1KnUa6VLvL","Завантажити сертифікат")</f>
        <v>Завантажити сертифікат</v>
      </c>
    </row>
    <row r="2937" spans="1:6" x14ac:dyDescent="0.3">
      <c r="A2937" t="s">
        <v>6299</v>
      </c>
      <c r="B2937" t="s">
        <v>6</v>
      </c>
      <c r="C2937" t="s">
        <v>6300</v>
      </c>
      <c r="D2937" t="s">
        <v>6243</v>
      </c>
      <c r="E2937" t="s">
        <v>6244</v>
      </c>
      <c r="F2937" t="str">
        <f>HYPERLINK("https://talan.bank.gov.ua/get-user-certificate/45CElwIq_RGcoKlkQH2T","Завантажити сертифікат")</f>
        <v>Завантажити сертифікат</v>
      </c>
    </row>
    <row r="2938" spans="1:6" x14ac:dyDescent="0.3">
      <c r="A2938" t="s">
        <v>6301</v>
      </c>
      <c r="B2938" t="s">
        <v>6</v>
      </c>
      <c r="C2938" t="s">
        <v>6302</v>
      </c>
      <c r="D2938" t="s">
        <v>6243</v>
      </c>
      <c r="E2938" t="s">
        <v>6244</v>
      </c>
      <c r="F2938" t="str">
        <f>HYPERLINK("https://talan.bank.gov.ua/get-user-certificate/45CElPjFZdIlrGZq_952","Завантажити сертифікат")</f>
        <v>Завантажити сертифікат</v>
      </c>
    </row>
    <row r="2939" spans="1:6" x14ac:dyDescent="0.3">
      <c r="A2939" t="s">
        <v>6303</v>
      </c>
      <c r="B2939" t="s">
        <v>6</v>
      </c>
      <c r="C2939" t="s">
        <v>6304</v>
      </c>
      <c r="D2939" t="s">
        <v>6243</v>
      </c>
      <c r="E2939" t="s">
        <v>6244</v>
      </c>
      <c r="F2939" t="str">
        <f>HYPERLINK("https://talan.bank.gov.ua/get-user-certificate/45CEl3UWZJvLaH87rslb","Завантажити сертифікат")</f>
        <v>Завантажити сертифікат</v>
      </c>
    </row>
    <row r="2940" spans="1:6" x14ac:dyDescent="0.3">
      <c r="A2940" t="s">
        <v>6305</v>
      </c>
      <c r="B2940" t="s">
        <v>6</v>
      </c>
      <c r="C2940" t="s">
        <v>6306</v>
      </c>
      <c r="D2940" t="s">
        <v>6307</v>
      </c>
      <c r="E2940" t="s">
        <v>6308</v>
      </c>
      <c r="F2940" t="str">
        <f>HYPERLINK("https://talan.bank.gov.ua/get-user-certificate/45CEl3QUnDkUBAD_r5GC","Завантажити сертифікат")</f>
        <v>Завантажити сертифікат</v>
      </c>
    </row>
    <row r="2941" spans="1:6" x14ac:dyDescent="0.3">
      <c r="A2941" t="s">
        <v>6309</v>
      </c>
      <c r="B2941" t="s">
        <v>6</v>
      </c>
      <c r="C2941" t="s">
        <v>6310</v>
      </c>
      <c r="D2941" t="s">
        <v>6307</v>
      </c>
      <c r="E2941" t="s">
        <v>6308</v>
      </c>
      <c r="F2941" t="str">
        <f>HYPERLINK("https://talan.bank.gov.ua/get-user-certificate/45CEl78Fxom2AxOBy2Pp","Завантажити сертифікат")</f>
        <v>Завантажити сертифікат</v>
      </c>
    </row>
    <row r="2942" spans="1:6" x14ac:dyDescent="0.3">
      <c r="A2942" t="s">
        <v>6311</v>
      </c>
      <c r="B2942" t="s">
        <v>6</v>
      </c>
      <c r="C2942" t="s">
        <v>6312</v>
      </c>
      <c r="D2942" t="s">
        <v>6307</v>
      </c>
      <c r="E2942" t="s">
        <v>6308</v>
      </c>
      <c r="F2942" t="str">
        <f>HYPERLINK("https://talan.bank.gov.ua/get-user-certificate/45CElr_Q_8jdmVqLwQwI","Завантажити сертифікат")</f>
        <v>Завантажити сертифікат</v>
      </c>
    </row>
    <row r="2943" spans="1:6" x14ac:dyDescent="0.3">
      <c r="A2943" t="s">
        <v>6313</v>
      </c>
      <c r="B2943" t="s">
        <v>6</v>
      </c>
      <c r="C2943" t="s">
        <v>6314</v>
      </c>
      <c r="D2943" t="s">
        <v>6307</v>
      </c>
      <c r="E2943" t="s">
        <v>6308</v>
      </c>
      <c r="F2943" t="str">
        <f>HYPERLINK("https://talan.bank.gov.ua/get-user-certificate/45CElkATG_udoZoWspPo","Завантажити сертифікат")</f>
        <v>Завантажити сертифікат</v>
      </c>
    </row>
    <row r="2944" spans="1:6" x14ac:dyDescent="0.3">
      <c r="A2944" t="s">
        <v>6315</v>
      </c>
      <c r="B2944" t="s">
        <v>6</v>
      </c>
      <c r="C2944" t="s">
        <v>6316</v>
      </c>
      <c r="D2944" t="s">
        <v>6307</v>
      </c>
      <c r="E2944" t="s">
        <v>6308</v>
      </c>
      <c r="F2944" t="str">
        <f>HYPERLINK("https://talan.bank.gov.ua/get-user-certificate/45CElbyu8biEJHbsQAV6","Завантажити сертифікат")</f>
        <v>Завантажити сертифікат</v>
      </c>
    </row>
    <row r="2945" spans="1:6" x14ac:dyDescent="0.3">
      <c r="A2945" t="s">
        <v>6317</v>
      </c>
      <c r="B2945" t="s">
        <v>6</v>
      </c>
      <c r="C2945" t="s">
        <v>6318</v>
      </c>
      <c r="D2945" t="s">
        <v>6319</v>
      </c>
      <c r="E2945" t="s">
        <v>6320</v>
      </c>
      <c r="F2945" t="str">
        <f>HYPERLINK("https://talan.bank.gov.ua/get-user-certificate/45CEluSSnSH3kEikyvzn","Завантажити сертифікат")</f>
        <v>Завантажити сертифікат</v>
      </c>
    </row>
    <row r="2946" spans="1:6" x14ac:dyDescent="0.3">
      <c r="A2946" t="s">
        <v>6321</v>
      </c>
      <c r="B2946" t="s">
        <v>6</v>
      </c>
      <c r="C2946" t="s">
        <v>6322</v>
      </c>
      <c r="D2946" t="s">
        <v>6319</v>
      </c>
      <c r="E2946" t="s">
        <v>6320</v>
      </c>
      <c r="F2946" t="str">
        <f>HYPERLINK("https://talan.bank.gov.ua/get-user-certificate/45CEl2av6buYZigFD-lS","Завантажити сертифікат")</f>
        <v>Завантажити сертифікат</v>
      </c>
    </row>
    <row r="2947" spans="1:6" x14ac:dyDescent="0.3">
      <c r="A2947" t="s">
        <v>6323</v>
      </c>
      <c r="B2947" t="s">
        <v>6</v>
      </c>
      <c r="C2947" t="s">
        <v>6324</v>
      </c>
      <c r="D2947" t="s">
        <v>6319</v>
      </c>
      <c r="E2947" t="s">
        <v>6320</v>
      </c>
      <c r="F2947" t="str">
        <f>HYPERLINK("https://talan.bank.gov.ua/get-user-certificate/45CEl1sFVtCSAwN9kG1t","Завантажити сертифікат")</f>
        <v>Завантажити сертифікат</v>
      </c>
    </row>
    <row r="2948" spans="1:6" x14ac:dyDescent="0.3">
      <c r="A2948" t="s">
        <v>6325</v>
      </c>
      <c r="B2948" t="s">
        <v>6</v>
      </c>
      <c r="C2948" t="s">
        <v>6326</v>
      </c>
      <c r="D2948" t="s">
        <v>6319</v>
      </c>
      <c r="E2948" t="s">
        <v>6320</v>
      </c>
      <c r="F2948" t="str">
        <f>HYPERLINK("https://talan.bank.gov.ua/get-user-certificate/45CElDLpk1eUns5STXrd","Завантажити сертифікат")</f>
        <v>Завантажити сертифікат</v>
      </c>
    </row>
    <row r="2949" spans="1:6" x14ac:dyDescent="0.3">
      <c r="A2949" t="s">
        <v>6327</v>
      </c>
      <c r="B2949" t="s">
        <v>6</v>
      </c>
      <c r="C2949" t="s">
        <v>6328</v>
      </c>
      <c r="D2949" t="s">
        <v>6319</v>
      </c>
      <c r="E2949" t="s">
        <v>6320</v>
      </c>
      <c r="F2949" t="str">
        <f>HYPERLINK("https://talan.bank.gov.ua/get-user-certificate/45CElUenKj-BrZWzn-Oj","Завантажити сертифікат")</f>
        <v>Завантажити сертифікат</v>
      </c>
    </row>
    <row r="2950" spans="1:6" x14ac:dyDescent="0.3">
      <c r="A2950" t="s">
        <v>6329</v>
      </c>
      <c r="B2950" t="s">
        <v>6</v>
      </c>
      <c r="C2950" t="s">
        <v>6330</v>
      </c>
      <c r="D2950" t="s">
        <v>6319</v>
      </c>
      <c r="E2950" t="s">
        <v>6320</v>
      </c>
      <c r="F2950" t="str">
        <f>HYPERLINK("https://talan.bank.gov.ua/get-user-certificate/45CElJ6Pfx9Wk0_jIdV3","Завантажити сертифікат")</f>
        <v>Завантажити сертифікат</v>
      </c>
    </row>
    <row r="2951" spans="1:6" x14ac:dyDescent="0.3">
      <c r="A2951" t="s">
        <v>6331</v>
      </c>
      <c r="B2951" t="s">
        <v>6</v>
      </c>
      <c r="C2951" t="s">
        <v>6332</v>
      </c>
      <c r="D2951" t="s">
        <v>6319</v>
      </c>
      <c r="E2951" t="s">
        <v>6320</v>
      </c>
      <c r="F2951" t="str">
        <f>HYPERLINK("https://talan.bank.gov.ua/get-user-certificate/45CElgXVq2ilTVnSBvzz","Завантажити сертифікат")</f>
        <v>Завантажити сертифікат</v>
      </c>
    </row>
    <row r="2952" spans="1:6" x14ac:dyDescent="0.3">
      <c r="A2952" t="s">
        <v>6333</v>
      </c>
      <c r="B2952" t="s">
        <v>6</v>
      </c>
      <c r="C2952" t="s">
        <v>6334</v>
      </c>
      <c r="D2952" t="s">
        <v>6319</v>
      </c>
      <c r="E2952" t="s">
        <v>6320</v>
      </c>
      <c r="F2952" t="str">
        <f>HYPERLINK("https://talan.bank.gov.ua/get-user-certificate/45CEl_ubKy_L90yJsGKl","Завантажити сертифікат")</f>
        <v>Завантажити сертифікат</v>
      </c>
    </row>
    <row r="2953" spans="1:6" x14ac:dyDescent="0.3">
      <c r="A2953" t="s">
        <v>6335</v>
      </c>
      <c r="B2953" t="s">
        <v>6</v>
      </c>
      <c r="C2953" t="s">
        <v>6336</v>
      </c>
      <c r="D2953" t="s">
        <v>6319</v>
      </c>
      <c r="E2953" t="s">
        <v>6320</v>
      </c>
      <c r="F2953" t="str">
        <f>HYPERLINK("https://talan.bank.gov.ua/get-user-certificate/45CElqnvON0j86x1lNkq","Завантажити сертифікат")</f>
        <v>Завантажити сертифікат</v>
      </c>
    </row>
    <row r="2954" spans="1:6" x14ac:dyDescent="0.3">
      <c r="A2954" t="s">
        <v>6337</v>
      </c>
      <c r="B2954" t="s">
        <v>6</v>
      </c>
      <c r="C2954" t="s">
        <v>6338</v>
      </c>
      <c r="D2954" t="s">
        <v>6319</v>
      </c>
      <c r="E2954" t="s">
        <v>6320</v>
      </c>
      <c r="F2954" t="str">
        <f>HYPERLINK("https://talan.bank.gov.ua/get-user-certificate/45CElQdZ1O4GO6l8uqIG","Завантажити сертифікат")</f>
        <v>Завантажити сертифікат</v>
      </c>
    </row>
    <row r="2955" spans="1:6" x14ac:dyDescent="0.3">
      <c r="A2955" t="s">
        <v>6339</v>
      </c>
      <c r="B2955" t="s">
        <v>6</v>
      </c>
      <c r="C2955" t="s">
        <v>6340</v>
      </c>
      <c r="D2955" t="s">
        <v>6319</v>
      </c>
      <c r="E2955" t="s">
        <v>6320</v>
      </c>
      <c r="F2955" t="str">
        <f>HYPERLINK("https://talan.bank.gov.ua/get-user-certificate/45CElCOQ4ASg779oS409","Завантажити сертифікат")</f>
        <v>Завантажити сертифікат</v>
      </c>
    </row>
    <row r="2956" spans="1:6" x14ac:dyDescent="0.3">
      <c r="A2956" t="s">
        <v>6341</v>
      </c>
      <c r="B2956" t="s">
        <v>6</v>
      </c>
      <c r="C2956" t="s">
        <v>6342</v>
      </c>
      <c r="D2956" t="s">
        <v>6319</v>
      </c>
      <c r="E2956" t="s">
        <v>6320</v>
      </c>
      <c r="F2956" t="str">
        <f>HYPERLINK("https://talan.bank.gov.ua/get-user-certificate/45CElyPEiFcz3g7Yash3","Завантажити сертифікат")</f>
        <v>Завантажити сертифікат</v>
      </c>
    </row>
    <row r="2957" spans="1:6" x14ac:dyDescent="0.3">
      <c r="A2957" t="s">
        <v>6343</v>
      </c>
      <c r="B2957" t="s">
        <v>6</v>
      </c>
      <c r="C2957" t="s">
        <v>6344</v>
      </c>
      <c r="D2957" t="s">
        <v>6319</v>
      </c>
      <c r="E2957" t="s">
        <v>6320</v>
      </c>
      <c r="F2957" t="str">
        <f>HYPERLINK("https://talan.bank.gov.ua/get-user-certificate/45CElUI1FCM6CS6q7zXF","Завантажити сертифікат")</f>
        <v>Завантажити сертифікат</v>
      </c>
    </row>
    <row r="2958" spans="1:6" x14ac:dyDescent="0.3">
      <c r="A2958" t="s">
        <v>6345</v>
      </c>
      <c r="B2958" t="s">
        <v>6</v>
      </c>
      <c r="C2958" t="s">
        <v>6346</v>
      </c>
      <c r="D2958" t="s">
        <v>6319</v>
      </c>
      <c r="E2958" t="s">
        <v>6320</v>
      </c>
      <c r="F2958" t="str">
        <f>HYPERLINK("https://talan.bank.gov.ua/get-user-certificate/45CElBlDmVA_H_H51rej","Завантажити сертифікат")</f>
        <v>Завантажити сертифікат</v>
      </c>
    </row>
    <row r="2959" spans="1:6" x14ac:dyDescent="0.3">
      <c r="A2959" t="s">
        <v>6347</v>
      </c>
      <c r="B2959" t="s">
        <v>6</v>
      </c>
      <c r="C2959" t="s">
        <v>6348</v>
      </c>
      <c r="D2959" t="s">
        <v>6319</v>
      </c>
      <c r="E2959" t="s">
        <v>6320</v>
      </c>
      <c r="F2959" t="str">
        <f>HYPERLINK("https://talan.bank.gov.ua/get-user-certificate/45CEluFRYFOblC-fcFw4","Завантажити сертифікат")</f>
        <v>Завантажити сертифікат</v>
      </c>
    </row>
    <row r="2960" spans="1:6" x14ac:dyDescent="0.3">
      <c r="A2960" t="s">
        <v>6349</v>
      </c>
      <c r="B2960" t="s">
        <v>6</v>
      </c>
      <c r="C2960" t="s">
        <v>6350</v>
      </c>
      <c r="D2960" t="s">
        <v>6319</v>
      </c>
      <c r="E2960" t="s">
        <v>6320</v>
      </c>
      <c r="F2960" t="str">
        <f>HYPERLINK("https://talan.bank.gov.ua/get-user-certificate/45CElUhwkZpep52AT27m","Завантажити сертифікат")</f>
        <v>Завантажити сертифікат</v>
      </c>
    </row>
    <row r="2961" spans="1:6" x14ac:dyDescent="0.3">
      <c r="A2961" t="s">
        <v>6351</v>
      </c>
      <c r="B2961" t="s">
        <v>6</v>
      </c>
      <c r="C2961" t="s">
        <v>6352</v>
      </c>
      <c r="D2961" t="s">
        <v>6353</v>
      </c>
      <c r="E2961" t="s">
        <v>6354</v>
      </c>
      <c r="F2961" t="str">
        <f>HYPERLINK("https://talan.bank.gov.ua/get-user-certificate/45CElhMQc_w0paONtD3Z","Завантажити сертифікат")</f>
        <v>Завантажити сертифікат</v>
      </c>
    </row>
    <row r="2962" spans="1:6" x14ac:dyDescent="0.3">
      <c r="A2962" t="s">
        <v>6355</v>
      </c>
      <c r="B2962" t="s">
        <v>6</v>
      </c>
      <c r="C2962" t="s">
        <v>6356</v>
      </c>
      <c r="D2962" t="s">
        <v>6357</v>
      </c>
      <c r="E2962" t="s">
        <v>6358</v>
      </c>
      <c r="F2962" t="str">
        <f>HYPERLINK("https://talan.bank.gov.ua/get-user-certificate/45CElXDuTsh5NeRJ8fB9","Завантажити сертифікат")</f>
        <v>Завантажити сертифікат</v>
      </c>
    </row>
    <row r="2963" spans="1:6" x14ac:dyDescent="0.3">
      <c r="A2963" t="s">
        <v>6359</v>
      </c>
      <c r="B2963" t="s">
        <v>6</v>
      </c>
      <c r="C2963" t="s">
        <v>6360</v>
      </c>
      <c r="D2963" t="s">
        <v>6357</v>
      </c>
      <c r="E2963" t="s">
        <v>6358</v>
      </c>
      <c r="F2963" t="str">
        <f>HYPERLINK("https://talan.bank.gov.ua/get-user-certificate/45CEls41El9jYPK4qJBb","Завантажити сертифікат")</f>
        <v>Завантажити сертифікат</v>
      </c>
    </row>
    <row r="2964" spans="1:6" x14ac:dyDescent="0.3">
      <c r="A2964" t="s">
        <v>6361</v>
      </c>
      <c r="B2964" t="s">
        <v>6</v>
      </c>
      <c r="C2964" t="s">
        <v>6362</v>
      </c>
      <c r="D2964" t="s">
        <v>6357</v>
      </c>
      <c r="E2964" t="s">
        <v>6358</v>
      </c>
      <c r="F2964" t="str">
        <f>HYPERLINK("https://talan.bank.gov.ua/get-user-certificate/45CEl_guH37tmI3rIvTE","Завантажити сертифікат")</f>
        <v>Завантажити сертифікат</v>
      </c>
    </row>
    <row r="2965" spans="1:6" x14ac:dyDescent="0.3">
      <c r="A2965" t="s">
        <v>6363</v>
      </c>
      <c r="B2965" t="s">
        <v>6</v>
      </c>
      <c r="C2965" t="s">
        <v>6364</v>
      </c>
      <c r="D2965" t="s">
        <v>6357</v>
      </c>
      <c r="E2965" t="s">
        <v>6358</v>
      </c>
      <c r="F2965" t="str">
        <f>HYPERLINK("https://talan.bank.gov.ua/get-user-certificate/45CElsWdjWY9aySvCqwR","Завантажити сертифікат")</f>
        <v>Завантажити сертифікат</v>
      </c>
    </row>
    <row r="2966" spans="1:6" x14ac:dyDescent="0.3">
      <c r="A2966" t="s">
        <v>6365</v>
      </c>
      <c r="B2966" t="s">
        <v>6</v>
      </c>
      <c r="C2966" t="s">
        <v>6366</v>
      </c>
      <c r="D2966" t="s">
        <v>6357</v>
      </c>
      <c r="E2966" t="s">
        <v>6358</v>
      </c>
      <c r="F2966" t="str">
        <f>HYPERLINK("https://talan.bank.gov.ua/get-user-certificate/45CEl6rX0jURlwTmkbw7","Завантажити сертифікат")</f>
        <v>Завантажити сертифікат</v>
      </c>
    </row>
    <row r="2967" spans="1:6" x14ac:dyDescent="0.3">
      <c r="A2967" t="s">
        <v>6367</v>
      </c>
      <c r="B2967" t="s">
        <v>6</v>
      </c>
      <c r="C2967" t="s">
        <v>6368</v>
      </c>
      <c r="D2967" t="s">
        <v>6357</v>
      </c>
      <c r="E2967" t="s">
        <v>6358</v>
      </c>
      <c r="F2967" t="str">
        <f>HYPERLINK("https://talan.bank.gov.ua/get-user-certificate/45CElKkI6I8pfdPR7D_J","Завантажити сертифікат")</f>
        <v>Завантажити сертифікат</v>
      </c>
    </row>
    <row r="2968" spans="1:6" x14ac:dyDescent="0.3">
      <c r="A2968" t="s">
        <v>6369</v>
      </c>
      <c r="B2968" t="s">
        <v>6</v>
      </c>
      <c r="C2968" t="s">
        <v>6370</v>
      </c>
      <c r="D2968" t="s">
        <v>6357</v>
      </c>
      <c r="E2968" t="s">
        <v>6358</v>
      </c>
      <c r="F2968" t="str">
        <f>HYPERLINK("https://talan.bank.gov.ua/get-user-certificate/45CElYm-bRgUzTCtQUPh","Завантажити сертифікат")</f>
        <v>Завантажити сертифікат</v>
      </c>
    </row>
    <row r="2969" spans="1:6" x14ac:dyDescent="0.3">
      <c r="A2969" t="s">
        <v>6371</v>
      </c>
      <c r="B2969" t="s">
        <v>6</v>
      </c>
      <c r="C2969" t="s">
        <v>6372</v>
      </c>
      <c r="D2969" t="s">
        <v>6357</v>
      </c>
      <c r="E2969" t="s">
        <v>6358</v>
      </c>
      <c r="F2969" t="str">
        <f>HYPERLINK("https://talan.bank.gov.ua/get-user-certificate/45CElRzT9jLKR6Vv275f","Завантажити сертифікат")</f>
        <v>Завантажити сертифікат</v>
      </c>
    </row>
    <row r="2970" spans="1:6" x14ac:dyDescent="0.3">
      <c r="A2970" t="s">
        <v>6373</v>
      </c>
      <c r="B2970" t="s">
        <v>6</v>
      </c>
      <c r="C2970" t="s">
        <v>6374</v>
      </c>
      <c r="D2970" t="s">
        <v>6357</v>
      </c>
      <c r="E2970" t="s">
        <v>6358</v>
      </c>
      <c r="F2970" t="str">
        <f>HYPERLINK("https://talan.bank.gov.ua/get-user-certificate/45CEl3Fp_IYL6jgjJvr0","Завантажити сертифікат")</f>
        <v>Завантажити сертифікат</v>
      </c>
    </row>
    <row r="2971" spans="1:6" x14ac:dyDescent="0.3">
      <c r="A2971" t="s">
        <v>6375</v>
      </c>
      <c r="B2971" t="s">
        <v>6</v>
      </c>
      <c r="C2971" t="s">
        <v>6376</v>
      </c>
      <c r="D2971" t="s">
        <v>6357</v>
      </c>
      <c r="E2971" t="s">
        <v>6358</v>
      </c>
      <c r="F2971" t="str">
        <f>HYPERLINK("https://talan.bank.gov.ua/get-user-certificate/45CElGAIZqVFI8ix7LoC","Завантажити сертифікат")</f>
        <v>Завантажити сертифікат</v>
      </c>
    </row>
    <row r="2972" spans="1:6" x14ac:dyDescent="0.3">
      <c r="A2972" t="s">
        <v>6377</v>
      </c>
      <c r="B2972" t="s">
        <v>6</v>
      </c>
      <c r="C2972" t="s">
        <v>6378</v>
      </c>
      <c r="D2972" t="s">
        <v>6357</v>
      </c>
      <c r="E2972" t="s">
        <v>6358</v>
      </c>
      <c r="F2972" t="str">
        <f>HYPERLINK("https://talan.bank.gov.ua/get-user-certificate/45CElLV_QM0irf3Kl0be","Завантажити сертифікат")</f>
        <v>Завантажити сертифікат</v>
      </c>
    </row>
    <row r="2973" spans="1:6" x14ac:dyDescent="0.3">
      <c r="A2973" t="s">
        <v>6379</v>
      </c>
      <c r="B2973" t="s">
        <v>6</v>
      </c>
      <c r="C2973" t="s">
        <v>6380</v>
      </c>
      <c r="D2973" t="s">
        <v>6381</v>
      </c>
      <c r="E2973" t="s">
        <v>6382</v>
      </c>
      <c r="F2973" t="str">
        <f>HYPERLINK("https://talan.bank.gov.ua/get-user-certificate/45CElqxlXkkAxnzUxB90","Завантажити сертифікат")</f>
        <v>Завантажити сертифікат</v>
      </c>
    </row>
    <row r="2974" spans="1:6" x14ac:dyDescent="0.3">
      <c r="A2974" t="s">
        <v>6383</v>
      </c>
      <c r="B2974" t="s">
        <v>6</v>
      </c>
      <c r="C2974" t="s">
        <v>6384</v>
      </c>
      <c r="D2974" t="s">
        <v>6381</v>
      </c>
      <c r="E2974" t="s">
        <v>6382</v>
      </c>
      <c r="F2974" t="str">
        <f>HYPERLINK("https://talan.bank.gov.ua/get-user-certificate/45CEldBv1oqO-D9Iq1Jf","Завантажити сертифікат")</f>
        <v>Завантажити сертифікат</v>
      </c>
    </row>
    <row r="2975" spans="1:6" x14ac:dyDescent="0.3">
      <c r="A2975" t="s">
        <v>6385</v>
      </c>
      <c r="B2975" t="s">
        <v>6</v>
      </c>
      <c r="C2975" t="s">
        <v>6386</v>
      </c>
      <c r="D2975" t="s">
        <v>6381</v>
      </c>
      <c r="E2975" t="s">
        <v>6382</v>
      </c>
      <c r="F2975" t="str">
        <f>HYPERLINK("https://talan.bank.gov.ua/get-user-certificate/45CEl_Lu3HXhrDYngzZ8","Завантажити сертифікат")</f>
        <v>Завантажити сертифікат</v>
      </c>
    </row>
    <row r="2976" spans="1:6" x14ac:dyDescent="0.3">
      <c r="A2976" t="s">
        <v>6387</v>
      </c>
      <c r="B2976" t="s">
        <v>6</v>
      </c>
      <c r="C2976" t="s">
        <v>6388</v>
      </c>
      <c r="D2976" t="s">
        <v>6381</v>
      </c>
      <c r="E2976" t="s">
        <v>6382</v>
      </c>
      <c r="F2976" t="str">
        <f>HYPERLINK("https://talan.bank.gov.ua/get-user-certificate/45CElIC3xSvht5Z54y7X","Завантажити сертифікат")</f>
        <v>Завантажити сертифікат</v>
      </c>
    </row>
    <row r="2977" spans="1:6" x14ac:dyDescent="0.3">
      <c r="A2977" t="s">
        <v>6389</v>
      </c>
      <c r="B2977" t="s">
        <v>6</v>
      </c>
      <c r="C2977" t="s">
        <v>6390</v>
      </c>
      <c r="D2977" t="s">
        <v>6381</v>
      </c>
      <c r="E2977" t="s">
        <v>6382</v>
      </c>
      <c r="F2977" t="str">
        <f>HYPERLINK("https://talan.bank.gov.ua/get-user-certificate/45CElaniSBCJkf-a32uq","Завантажити сертифікат")</f>
        <v>Завантажити сертифікат</v>
      </c>
    </row>
    <row r="2978" spans="1:6" x14ac:dyDescent="0.3">
      <c r="A2978" t="s">
        <v>6391</v>
      </c>
      <c r="B2978" t="s">
        <v>6</v>
      </c>
      <c r="C2978" t="s">
        <v>6392</v>
      </c>
      <c r="D2978" t="s">
        <v>6381</v>
      </c>
      <c r="E2978" t="s">
        <v>6382</v>
      </c>
      <c r="F2978" t="str">
        <f>HYPERLINK("https://talan.bank.gov.ua/get-user-certificate/45CEldcp0blSFjRuAfbP","Завантажити сертифікат")</f>
        <v>Завантажити сертифікат</v>
      </c>
    </row>
    <row r="2979" spans="1:6" x14ac:dyDescent="0.3">
      <c r="A2979" t="s">
        <v>6393</v>
      </c>
      <c r="B2979" t="s">
        <v>6</v>
      </c>
      <c r="C2979" t="s">
        <v>6394</v>
      </c>
      <c r="D2979" t="s">
        <v>6381</v>
      </c>
      <c r="E2979" t="s">
        <v>6382</v>
      </c>
      <c r="F2979" t="str">
        <f>HYPERLINK("https://talan.bank.gov.ua/get-user-certificate/45CElxUG9GoDlfUYz6sT","Завантажити сертифікат")</f>
        <v>Завантажити сертифікат</v>
      </c>
    </row>
    <row r="2980" spans="1:6" x14ac:dyDescent="0.3">
      <c r="A2980" t="s">
        <v>6395</v>
      </c>
      <c r="B2980" t="s">
        <v>6</v>
      </c>
      <c r="C2980" t="s">
        <v>6396</v>
      </c>
      <c r="D2980" t="s">
        <v>6381</v>
      </c>
      <c r="E2980" t="s">
        <v>6382</v>
      </c>
      <c r="F2980" t="str">
        <f>HYPERLINK("https://talan.bank.gov.ua/get-user-certificate/45CElHcWvPukRlxwz42c","Завантажити сертифікат")</f>
        <v>Завантажити сертифікат</v>
      </c>
    </row>
    <row r="2981" spans="1:6" x14ac:dyDescent="0.3">
      <c r="A2981" t="s">
        <v>6397</v>
      </c>
      <c r="B2981" t="s">
        <v>6</v>
      </c>
      <c r="C2981" t="s">
        <v>6398</v>
      </c>
      <c r="D2981" t="s">
        <v>6381</v>
      </c>
      <c r="E2981" t="s">
        <v>6382</v>
      </c>
      <c r="F2981" t="str">
        <f>HYPERLINK("https://talan.bank.gov.ua/get-user-certificate/45CEln3Shlgkt_SjenMY","Завантажити сертифікат")</f>
        <v>Завантажити сертифікат</v>
      </c>
    </row>
    <row r="2982" spans="1:6" x14ac:dyDescent="0.3">
      <c r="A2982" t="s">
        <v>6399</v>
      </c>
      <c r="B2982" t="s">
        <v>6</v>
      </c>
      <c r="C2982" t="s">
        <v>6400</v>
      </c>
      <c r="D2982" t="s">
        <v>6381</v>
      </c>
      <c r="E2982" t="s">
        <v>6382</v>
      </c>
      <c r="F2982" t="str">
        <f>HYPERLINK("https://talan.bank.gov.ua/get-user-certificate/45CElCXln1weHjW7WgNy","Завантажити сертифікат")</f>
        <v>Завантажити сертифікат</v>
      </c>
    </row>
    <row r="2983" spans="1:6" x14ac:dyDescent="0.3">
      <c r="A2983" t="s">
        <v>6401</v>
      </c>
      <c r="B2983" t="s">
        <v>6</v>
      </c>
      <c r="C2983" t="s">
        <v>6402</v>
      </c>
      <c r="D2983" t="s">
        <v>6381</v>
      </c>
      <c r="E2983" t="s">
        <v>6382</v>
      </c>
      <c r="F2983" t="str">
        <f>HYPERLINK("https://talan.bank.gov.ua/get-user-certificate/45CEl4h9EFmpmH7aTfmx","Завантажити сертифікат")</f>
        <v>Завантажити сертифікат</v>
      </c>
    </row>
    <row r="2984" spans="1:6" x14ac:dyDescent="0.3">
      <c r="A2984" t="s">
        <v>6403</v>
      </c>
      <c r="B2984" t="s">
        <v>6</v>
      </c>
      <c r="C2984" t="s">
        <v>6404</v>
      </c>
      <c r="D2984" t="s">
        <v>6381</v>
      </c>
      <c r="E2984" t="s">
        <v>6382</v>
      </c>
      <c r="F2984" t="str">
        <f>HYPERLINK("https://talan.bank.gov.ua/get-user-certificate/45CElLQLQx3R5f1IWCr9","Завантажити сертифікат")</f>
        <v>Завантажити сертифікат</v>
      </c>
    </row>
    <row r="2985" spans="1:6" x14ac:dyDescent="0.3">
      <c r="A2985" t="s">
        <v>6405</v>
      </c>
      <c r="B2985" t="s">
        <v>6</v>
      </c>
      <c r="C2985" t="s">
        <v>6406</v>
      </c>
      <c r="D2985" t="s">
        <v>6381</v>
      </c>
      <c r="E2985" t="s">
        <v>6382</v>
      </c>
      <c r="F2985" t="str">
        <f>HYPERLINK("https://talan.bank.gov.ua/get-user-certificate/45CElw2-X4UyOgqrYioa","Завантажити сертифікат")</f>
        <v>Завантажити сертифікат</v>
      </c>
    </row>
    <row r="2986" spans="1:6" x14ac:dyDescent="0.3">
      <c r="A2986" t="s">
        <v>6407</v>
      </c>
      <c r="B2986" t="s">
        <v>6</v>
      </c>
      <c r="C2986" t="s">
        <v>6408</v>
      </c>
      <c r="D2986" t="s">
        <v>6409</v>
      </c>
      <c r="E2986" t="s">
        <v>6410</v>
      </c>
      <c r="F2986" t="str">
        <f>HYPERLINK("https://talan.bank.gov.ua/get-user-certificate/45CElNm64t3sB5HfdaKW","Завантажити сертифікат")</f>
        <v>Завантажити сертифікат</v>
      </c>
    </row>
    <row r="2987" spans="1:6" x14ac:dyDescent="0.3">
      <c r="A2987" t="s">
        <v>6411</v>
      </c>
      <c r="B2987" t="s">
        <v>6</v>
      </c>
      <c r="C2987" t="s">
        <v>6412</v>
      </c>
      <c r="D2987" t="s">
        <v>6409</v>
      </c>
      <c r="E2987" t="s">
        <v>6410</v>
      </c>
      <c r="F2987" t="str">
        <f>HYPERLINK("https://talan.bank.gov.ua/get-user-certificate/45CElWAnQ6AKkwiBGZjf","Завантажити сертифікат")</f>
        <v>Завантажити сертифікат</v>
      </c>
    </row>
    <row r="2988" spans="1:6" x14ac:dyDescent="0.3">
      <c r="A2988" t="s">
        <v>6413</v>
      </c>
      <c r="B2988" t="s">
        <v>6</v>
      </c>
      <c r="C2988" t="s">
        <v>6414</v>
      </c>
      <c r="D2988" t="s">
        <v>6409</v>
      </c>
      <c r="E2988" t="s">
        <v>6410</v>
      </c>
      <c r="F2988" t="str">
        <f>HYPERLINK("https://talan.bank.gov.ua/get-user-certificate/45CElCAPteHZrjAdnHjb","Завантажити сертифікат")</f>
        <v>Завантажити сертифікат</v>
      </c>
    </row>
    <row r="2989" spans="1:6" x14ac:dyDescent="0.3">
      <c r="A2989" t="s">
        <v>6415</v>
      </c>
      <c r="B2989" t="s">
        <v>6</v>
      </c>
      <c r="C2989" t="s">
        <v>6416</v>
      </c>
      <c r="D2989" t="s">
        <v>6409</v>
      </c>
      <c r="E2989" t="s">
        <v>6410</v>
      </c>
      <c r="F2989" t="str">
        <f>HYPERLINK("https://talan.bank.gov.ua/get-user-certificate/45CElFX15tYf5YeLwm1i","Завантажити сертифікат")</f>
        <v>Завантажити сертифікат</v>
      </c>
    </row>
    <row r="2990" spans="1:6" x14ac:dyDescent="0.3">
      <c r="A2990" t="s">
        <v>6417</v>
      </c>
      <c r="B2990" t="s">
        <v>6</v>
      </c>
      <c r="C2990" t="s">
        <v>6418</v>
      </c>
      <c r="D2990" t="s">
        <v>6409</v>
      </c>
      <c r="E2990" t="s">
        <v>6410</v>
      </c>
      <c r="F2990" t="str">
        <f>HYPERLINK("https://talan.bank.gov.ua/get-user-certificate/45CElyqemeaWUC3MBusI","Завантажити сертифікат")</f>
        <v>Завантажити сертифікат</v>
      </c>
    </row>
    <row r="2991" spans="1:6" x14ac:dyDescent="0.3">
      <c r="A2991" t="s">
        <v>6419</v>
      </c>
      <c r="B2991" t="s">
        <v>6</v>
      </c>
      <c r="C2991" t="s">
        <v>6420</v>
      </c>
      <c r="D2991" t="s">
        <v>6409</v>
      </c>
      <c r="E2991" t="s">
        <v>6410</v>
      </c>
      <c r="F2991" t="str">
        <f>HYPERLINK("https://talan.bank.gov.ua/get-user-certificate/45CEl0oxYxgqb0dFwpVv","Завантажити сертифікат")</f>
        <v>Завантажити сертифікат</v>
      </c>
    </row>
    <row r="2992" spans="1:6" x14ac:dyDescent="0.3">
      <c r="A2992" t="s">
        <v>6421</v>
      </c>
      <c r="B2992" t="s">
        <v>6</v>
      </c>
      <c r="C2992" t="s">
        <v>6422</v>
      </c>
      <c r="D2992" t="s">
        <v>6409</v>
      </c>
      <c r="E2992" t="s">
        <v>6410</v>
      </c>
      <c r="F2992" t="str">
        <f>HYPERLINK("https://talan.bank.gov.ua/get-user-certificate/45CElMbPZiVTbtDyjKnx","Завантажити сертифікат")</f>
        <v>Завантажити сертифікат</v>
      </c>
    </row>
    <row r="2993" spans="1:6" x14ac:dyDescent="0.3">
      <c r="A2993" t="s">
        <v>6423</v>
      </c>
      <c r="B2993" t="s">
        <v>6</v>
      </c>
      <c r="C2993" t="s">
        <v>6424</v>
      </c>
      <c r="D2993" t="s">
        <v>6409</v>
      </c>
      <c r="E2993" t="s">
        <v>6410</v>
      </c>
      <c r="F2993" t="str">
        <f>HYPERLINK("https://talan.bank.gov.ua/get-user-certificate/45CElhGZPAV9eDCF4fwv","Завантажити сертифікат")</f>
        <v>Завантажити сертифікат</v>
      </c>
    </row>
    <row r="2994" spans="1:6" x14ac:dyDescent="0.3">
      <c r="A2994" t="s">
        <v>6425</v>
      </c>
      <c r="B2994" t="s">
        <v>6</v>
      </c>
      <c r="C2994" t="s">
        <v>6426</v>
      </c>
      <c r="D2994" t="s">
        <v>6409</v>
      </c>
      <c r="E2994" t="s">
        <v>6410</v>
      </c>
      <c r="F2994" t="str">
        <f>HYPERLINK("https://talan.bank.gov.ua/get-user-certificate/45CEllFgNRXEU3l9UxCj","Завантажити сертифікат")</f>
        <v>Завантажити сертифікат</v>
      </c>
    </row>
    <row r="2995" spans="1:6" x14ac:dyDescent="0.3">
      <c r="A2995" t="s">
        <v>6427</v>
      </c>
      <c r="B2995" t="s">
        <v>6</v>
      </c>
      <c r="C2995" t="s">
        <v>6428</v>
      </c>
      <c r="D2995" t="s">
        <v>6409</v>
      </c>
      <c r="E2995" t="s">
        <v>6410</v>
      </c>
      <c r="F2995" t="str">
        <f>HYPERLINK("https://talan.bank.gov.ua/get-user-certificate/45CEl-i_AheLSf1xU-J0","Завантажити сертифікат")</f>
        <v>Завантажити сертифікат</v>
      </c>
    </row>
    <row r="2996" spans="1:6" x14ac:dyDescent="0.3">
      <c r="A2996" t="s">
        <v>6429</v>
      </c>
      <c r="B2996" t="s">
        <v>6</v>
      </c>
      <c r="C2996" t="s">
        <v>6430</v>
      </c>
      <c r="D2996" t="s">
        <v>6409</v>
      </c>
      <c r="E2996" t="s">
        <v>6410</v>
      </c>
      <c r="F2996" t="str">
        <f>HYPERLINK("https://talan.bank.gov.ua/get-user-certificate/45CEliIzCDmm1Qt16w7i","Завантажити сертифікат")</f>
        <v>Завантажити сертифікат</v>
      </c>
    </row>
    <row r="2997" spans="1:6" x14ac:dyDescent="0.3">
      <c r="A2997" t="s">
        <v>6431</v>
      </c>
      <c r="B2997" t="s">
        <v>6</v>
      </c>
      <c r="C2997" t="s">
        <v>6432</v>
      </c>
      <c r="D2997" t="s">
        <v>6409</v>
      </c>
      <c r="E2997" t="s">
        <v>6410</v>
      </c>
      <c r="F2997" t="str">
        <f>HYPERLINK("https://talan.bank.gov.ua/get-user-certificate/45CEl2HEGO1xGj0Sll24","Завантажити сертифікат")</f>
        <v>Завантажити сертифікат</v>
      </c>
    </row>
    <row r="2998" spans="1:6" x14ac:dyDescent="0.3">
      <c r="A2998" t="s">
        <v>6433</v>
      </c>
      <c r="B2998" t="s">
        <v>6</v>
      </c>
      <c r="C2998" t="s">
        <v>6434</v>
      </c>
      <c r="D2998" t="s">
        <v>6409</v>
      </c>
      <c r="E2998" t="s">
        <v>6410</v>
      </c>
      <c r="F2998" t="str">
        <f>HYPERLINK("https://talan.bank.gov.ua/get-user-certificate/45CElUr6UgEjkuTlw9Zf","Завантажити сертифікат")</f>
        <v>Завантажити сертифікат</v>
      </c>
    </row>
    <row r="2999" spans="1:6" x14ac:dyDescent="0.3">
      <c r="A2999" t="s">
        <v>6435</v>
      </c>
      <c r="B2999" t="s">
        <v>6</v>
      </c>
      <c r="C2999" t="s">
        <v>6436</v>
      </c>
      <c r="D2999" t="s">
        <v>6409</v>
      </c>
      <c r="E2999" t="s">
        <v>6410</v>
      </c>
      <c r="F2999" t="str">
        <f>HYPERLINK("https://talan.bank.gov.ua/get-user-certificate/45CElt6U9GZhyZlO9WJy","Завантажити сертифікат")</f>
        <v>Завантажити сертифікат</v>
      </c>
    </row>
    <row r="3000" spans="1:6" x14ac:dyDescent="0.3">
      <c r="A3000" t="s">
        <v>6437</v>
      </c>
      <c r="B3000" t="s">
        <v>6</v>
      </c>
      <c r="C3000" t="s">
        <v>6438</v>
      </c>
      <c r="D3000" t="s">
        <v>6409</v>
      </c>
      <c r="E3000" t="s">
        <v>6410</v>
      </c>
      <c r="F3000" t="str">
        <f>HYPERLINK("https://talan.bank.gov.ua/get-user-certificate/45CEl9iIelVeRgoI150k","Завантажити сертифікат")</f>
        <v>Завантажити сертифікат</v>
      </c>
    </row>
    <row r="3001" spans="1:6" x14ac:dyDescent="0.3">
      <c r="A3001" t="s">
        <v>6439</v>
      </c>
      <c r="B3001" t="s">
        <v>6</v>
      </c>
      <c r="C3001" t="s">
        <v>6440</v>
      </c>
      <c r="D3001" t="s">
        <v>6409</v>
      </c>
      <c r="E3001" t="s">
        <v>6410</v>
      </c>
      <c r="F3001" t="str">
        <f>HYPERLINK("https://talan.bank.gov.ua/get-user-certificate/45CElWxUi9cenO2Wi383","Завантажити сертифікат")</f>
        <v>Завантажити сертифікат</v>
      </c>
    </row>
    <row r="3002" spans="1:6" x14ac:dyDescent="0.3">
      <c r="A3002" t="s">
        <v>6441</v>
      </c>
      <c r="B3002" t="s">
        <v>6</v>
      </c>
      <c r="C3002" t="s">
        <v>6442</v>
      </c>
      <c r="D3002" t="s">
        <v>6409</v>
      </c>
      <c r="E3002" t="s">
        <v>6410</v>
      </c>
      <c r="F3002" t="str">
        <f>HYPERLINK("https://talan.bank.gov.ua/get-user-certificate/45CElGBNKtYJ6wbOYaVv","Завантажити сертифікат")</f>
        <v>Завантажити сертифікат</v>
      </c>
    </row>
    <row r="3003" spans="1:6" x14ac:dyDescent="0.3">
      <c r="A3003" t="s">
        <v>6443</v>
      </c>
      <c r="B3003" t="s">
        <v>6</v>
      </c>
      <c r="C3003" t="s">
        <v>6444</v>
      </c>
      <c r="D3003" t="s">
        <v>6409</v>
      </c>
      <c r="E3003" t="s">
        <v>6410</v>
      </c>
      <c r="F3003" t="str">
        <f>HYPERLINK("https://talan.bank.gov.ua/get-user-certificate/45CElE9oRKg9ZhJu7doX","Завантажити сертифікат")</f>
        <v>Завантажити сертифікат</v>
      </c>
    </row>
    <row r="3004" spans="1:6" x14ac:dyDescent="0.3">
      <c r="A3004" t="s">
        <v>6445</v>
      </c>
      <c r="B3004" t="s">
        <v>6</v>
      </c>
      <c r="C3004" t="s">
        <v>6446</v>
      </c>
      <c r="D3004" t="s">
        <v>6409</v>
      </c>
      <c r="E3004" t="s">
        <v>6410</v>
      </c>
      <c r="F3004" t="str">
        <f>HYPERLINK("https://talan.bank.gov.ua/get-user-certificate/45CElx9gAeXs9xbLvR_N","Завантажити сертифікат")</f>
        <v>Завантажити сертифікат</v>
      </c>
    </row>
    <row r="3005" spans="1:6" x14ac:dyDescent="0.3">
      <c r="A3005" t="s">
        <v>6447</v>
      </c>
      <c r="B3005" t="s">
        <v>6</v>
      </c>
      <c r="C3005" t="s">
        <v>6448</v>
      </c>
      <c r="D3005" t="s">
        <v>6409</v>
      </c>
      <c r="E3005" t="s">
        <v>6410</v>
      </c>
      <c r="F3005" t="str">
        <f>HYPERLINK("https://talan.bank.gov.ua/get-user-certificate/45CEla74dBwF0QbVFPOZ","Завантажити сертифікат")</f>
        <v>Завантажити сертифікат</v>
      </c>
    </row>
    <row r="3006" spans="1:6" x14ac:dyDescent="0.3">
      <c r="A3006" t="s">
        <v>6449</v>
      </c>
      <c r="B3006" t="s">
        <v>6</v>
      </c>
      <c r="C3006" t="s">
        <v>6450</v>
      </c>
      <c r="D3006" t="s">
        <v>6409</v>
      </c>
      <c r="E3006" t="s">
        <v>6410</v>
      </c>
      <c r="F3006" t="str">
        <f>HYPERLINK("https://talan.bank.gov.ua/get-user-certificate/45CElyKL9GOeDdlklaKO","Завантажити сертифікат")</f>
        <v>Завантажити сертифікат</v>
      </c>
    </row>
    <row r="3007" spans="1:6" x14ac:dyDescent="0.3">
      <c r="A3007" t="s">
        <v>6451</v>
      </c>
      <c r="B3007" t="s">
        <v>6</v>
      </c>
      <c r="C3007" t="s">
        <v>6452</v>
      </c>
      <c r="D3007" t="s">
        <v>6409</v>
      </c>
      <c r="E3007" t="s">
        <v>6410</v>
      </c>
      <c r="F3007" t="str">
        <f>HYPERLINK("https://talan.bank.gov.ua/get-user-certificate/45CElHBbvsbZVX5yj-Ww","Завантажити сертифікат")</f>
        <v>Завантажити сертифікат</v>
      </c>
    </row>
    <row r="3008" spans="1:6" x14ac:dyDescent="0.3">
      <c r="A3008" t="s">
        <v>6453</v>
      </c>
      <c r="B3008" t="s">
        <v>6</v>
      </c>
      <c r="C3008" t="s">
        <v>6454</v>
      </c>
      <c r="D3008" t="s">
        <v>6409</v>
      </c>
      <c r="E3008" t="s">
        <v>6410</v>
      </c>
      <c r="F3008" t="str">
        <f>HYPERLINK("https://talan.bank.gov.ua/get-user-certificate/45CEl4scwRLuVQzii8pE","Завантажити сертифікат")</f>
        <v>Завантажити сертифікат</v>
      </c>
    </row>
    <row r="3009" spans="1:6" x14ac:dyDescent="0.3">
      <c r="A3009" t="s">
        <v>6455</v>
      </c>
      <c r="B3009" t="s">
        <v>6</v>
      </c>
      <c r="C3009" t="s">
        <v>6456</v>
      </c>
      <c r="D3009" t="s">
        <v>6457</v>
      </c>
      <c r="E3009" t="s">
        <v>6458</v>
      </c>
      <c r="F3009" t="str">
        <f>HYPERLINK("https://talan.bank.gov.ua/get-user-certificate/45CElxsolbulLe4MQBdJ","Завантажити сертифікат")</f>
        <v>Завантажити сертифікат</v>
      </c>
    </row>
    <row r="3010" spans="1:6" x14ac:dyDescent="0.3">
      <c r="A3010" t="s">
        <v>6459</v>
      </c>
      <c r="B3010" t="s">
        <v>6</v>
      </c>
      <c r="C3010" t="s">
        <v>6460</v>
      </c>
      <c r="D3010" t="s">
        <v>6457</v>
      </c>
      <c r="E3010" t="s">
        <v>6458</v>
      </c>
      <c r="F3010" t="str">
        <f>HYPERLINK("https://talan.bank.gov.ua/get-user-certificate/45CElYaBQdhgQqyYSnGL","Завантажити сертифікат")</f>
        <v>Завантажити сертифікат</v>
      </c>
    </row>
    <row r="3011" spans="1:6" x14ac:dyDescent="0.3">
      <c r="A3011" t="s">
        <v>6461</v>
      </c>
      <c r="B3011" t="s">
        <v>6</v>
      </c>
      <c r="C3011" t="s">
        <v>6462</v>
      </c>
      <c r="D3011" t="s">
        <v>6457</v>
      </c>
      <c r="E3011" t="s">
        <v>6458</v>
      </c>
      <c r="F3011" t="str">
        <f>HYPERLINK("https://talan.bank.gov.ua/get-user-certificate/45CElQAn-_FFeER5vQ7-","Завантажити сертифікат")</f>
        <v>Завантажити сертифікат</v>
      </c>
    </row>
    <row r="3012" spans="1:6" x14ac:dyDescent="0.3">
      <c r="A3012" t="s">
        <v>6463</v>
      </c>
      <c r="B3012" t="s">
        <v>6</v>
      </c>
      <c r="C3012" t="s">
        <v>6464</v>
      </c>
      <c r="D3012" t="s">
        <v>6457</v>
      </c>
      <c r="E3012" t="s">
        <v>6458</v>
      </c>
      <c r="F3012" t="str">
        <f>HYPERLINK("https://talan.bank.gov.ua/get-user-certificate/45CElaXUqNIHUJNJtEci","Завантажити сертифікат")</f>
        <v>Завантажити сертифікат</v>
      </c>
    </row>
    <row r="3013" spans="1:6" x14ac:dyDescent="0.3">
      <c r="A3013" t="s">
        <v>6465</v>
      </c>
      <c r="B3013" t="s">
        <v>6</v>
      </c>
      <c r="C3013" t="s">
        <v>6466</v>
      </c>
      <c r="D3013" t="s">
        <v>6457</v>
      </c>
      <c r="E3013" t="s">
        <v>6458</v>
      </c>
      <c r="F3013" t="str">
        <f>HYPERLINK("https://talan.bank.gov.ua/get-user-certificate/45CElIV-Z1cvNhkYz7T3","Завантажити сертифікат")</f>
        <v>Завантажити сертифікат</v>
      </c>
    </row>
    <row r="3014" spans="1:6" x14ac:dyDescent="0.3">
      <c r="A3014" t="s">
        <v>6467</v>
      </c>
      <c r="B3014" t="s">
        <v>6</v>
      </c>
      <c r="C3014" t="s">
        <v>6468</v>
      </c>
      <c r="D3014" t="s">
        <v>6457</v>
      </c>
      <c r="E3014" t="s">
        <v>6458</v>
      </c>
      <c r="F3014" t="str">
        <f>HYPERLINK("https://talan.bank.gov.ua/get-user-certificate/45CElTVxF6M_SyhddxCb","Завантажити сертифікат")</f>
        <v>Завантажити сертифікат</v>
      </c>
    </row>
    <row r="3015" spans="1:6" x14ac:dyDescent="0.3">
      <c r="A3015" t="s">
        <v>6469</v>
      </c>
      <c r="B3015" t="s">
        <v>6</v>
      </c>
      <c r="C3015" t="s">
        <v>6470</v>
      </c>
      <c r="D3015" t="s">
        <v>6457</v>
      </c>
      <c r="E3015" t="s">
        <v>6458</v>
      </c>
      <c r="F3015" t="str">
        <f>HYPERLINK("https://talan.bank.gov.ua/get-user-certificate/45CEl0dFMrfEV7WUHX9W","Завантажити сертифікат")</f>
        <v>Завантажити сертифікат</v>
      </c>
    </row>
    <row r="3016" spans="1:6" x14ac:dyDescent="0.3">
      <c r="A3016" t="s">
        <v>6471</v>
      </c>
      <c r="B3016" t="s">
        <v>6</v>
      </c>
      <c r="C3016" t="s">
        <v>6472</v>
      </c>
      <c r="D3016" t="s">
        <v>6457</v>
      </c>
      <c r="E3016" t="s">
        <v>6458</v>
      </c>
      <c r="F3016" t="str">
        <f>HYPERLINK("https://talan.bank.gov.ua/get-user-certificate/45CElt-F3L6o4B8Co7KK","Завантажити сертифікат")</f>
        <v>Завантажити сертифікат</v>
      </c>
    </row>
    <row r="3017" spans="1:6" x14ac:dyDescent="0.3">
      <c r="A3017" t="s">
        <v>6473</v>
      </c>
      <c r="B3017" t="s">
        <v>6</v>
      </c>
      <c r="C3017" t="s">
        <v>6474</v>
      </c>
      <c r="D3017" t="s">
        <v>6457</v>
      </c>
      <c r="E3017" t="s">
        <v>6458</v>
      </c>
      <c r="F3017" t="str">
        <f>HYPERLINK("https://talan.bank.gov.ua/get-user-certificate/45CElJQGnajf_lASNPv-","Завантажити сертифікат")</f>
        <v>Завантажити сертифікат</v>
      </c>
    </row>
    <row r="3018" spans="1:6" x14ac:dyDescent="0.3">
      <c r="A3018" t="s">
        <v>6475</v>
      </c>
      <c r="B3018" t="s">
        <v>6</v>
      </c>
      <c r="C3018" t="s">
        <v>6476</v>
      </c>
      <c r="D3018" t="s">
        <v>6457</v>
      </c>
      <c r="E3018" t="s">
        <v>6458</v>
      </c>
      <c r="F3018" t="str">
        <f>HYPERLINK("https://talan.bank.gov.ua/get-user-certificate/45CEl0IIeOGw1vQa4lZj","Завантажити сертифікат")</f>
        <v>Завантажити сертифікат</v>
      </c>
    </row>
    <row r="3019" spans="1:6" x14ac:dyDescent="0.3">
      <c r="A3019" t="s">
        <v>6477</v>
      </c>
      <c r="B3019" t="s">
        <v>6</v>
      </c>
      <c r="C3019" t="s">
        <v>6478</v>
      </c>
      <c r="D3019" t="s">
        <v>6457</v>
      </c>
      <c r="E3019" t="s">
        <v>6458</v>
      </c>
      <c r="F3019" t="str">
        <f>HYPERLINK("https://talan.bank.gov.ua/get-user-certificate/45CElAnpECrwGgeg-Qse","Завантажити сертифікат")</f>
        <v>Завантажити сертифікат</v>
      </c>
    </row>
    <row r="3020" spans="1:6" x14ac:dyDescent="0.3">
      <c r="A3020" t="s">
        <v>6479</v>
      </c>
      <c r="B3020" t="s">
        <v>6</v>
      </c>
      <c r="C3020" t="s">
        <v>6480</v>
      </c>
      <c r="D3020" t="s">
        <v>6457</v>
      </c>
      <c r="E3020" t="s">
        <v>6458</v>
      </c>
      <c r="F3020" t="str">
        <f>HYPERLINK("https://talan.bank.gov.ua/get-user-certificate/45CElW3mIV-wK2SJjhF4","Завантажити сертифікат")</f>
        <v>Завантажити сертифікат</v>
      </c>
    </row>
    <row r="3021" spans="1:6" x14ac:dyDescent="0.3">
      <c r="A3021" t="s">
        <v>6481</v>
      </c>
      <c r="B3021" t="s">
        <v>6</v>
      </c>
      <c r="C3021" t="s">
        <v>6482</v>
      </c>
      <c r="D3021" t="s">
        <v>6457</v>
      </c>
      <c r="E3021" t="s">
        <v>6458</v>
      </c>
      <c r="F3021" t="str">
        <f>HYPERLINK("https://talan.bank.gov.ua/get-user-certificate/45CElqcQtBM5t-nWv_jG","Завантажити сертифікат")</f>
        <v>Завантажити сертифікат</v>
      </c>
    </row>
    <row r="3022" spans="1:6" x14ac:dyDescent="0.3">
      <c r="A3022" t="s">
        <v>6483</v>
      </c>
      <c r="B3022" t="s">
        <v>6</v>
      </c>
      <c r="C3022" t="s">
        <v>6484</v>
      </c>
      <c r="D3022" t="s">
        <v>6485</v>
      </c>
      <c r="E3022" t="s">
        <v>6486</v>
      </c>
      <c r="F3022" t="str">
        <f>HYPERLINK("https://talan.bank.gov.ua/get-user-certificate/45CElIYL-LMyoj7EGMKC","Завантажити сертифікат")</f>
        <v>Завантажити сертифікат</v>
      </c>
    </row>
    <row r="3023" spans="1:6" x14ac:dyDescent="0.3">
      <c r="A3023" t="s">
        <v>6487</v>
      </c>
      <c r="B3023" t="s">
        <v>6</v>
      </c>
      <c r="C3023" t="s">
        <v>6488</v>
      </c>
      <c r="D3023" t="s">
        <v>6485</v>
      </c>
      <c r="E3023" t="s">
        <v>6486</v>
      </c>
      <c r="F3023" t="str">
        <f>HYPERLINK("https://talan.bank.gov.ua/get-user-certificate/45CElwSXiBx2gASXMulq","Завантажити сертифікат")</f>
        <v>Завантажити сертифікат</v>
      </c>
    </row>
    <row r="3024" spans="1:6" x14ac:dyDescent="0.3">
      <c r="A3024" t="s">
        <v>6489</v>
      </c>
      <c r="B3024" t="s">
        <v>6</v>
      </c>
      <c r="C3024" t="s">
        <v>6490</v>
      </c>
      <c r="D3024" t="s">
        <v>6485</v>
      </c>
      <c r="E3024" t="s">
        <v>6486</v>
      </c>
      <c r="F3024" t="str">
        <f>HYPERLINK("https://talan.bank.gov.ua/get-user-certificate/45CEl8C_xaqqHdAlczX4","Завантажити сертифікат")</f>
        <v>Завантажити сертифікат</v>
      </c>
    </row>
    <row r="3025" spans="1:6" x14ac:dyDescent="0.3">
      <c r="A3025" t="s">
        <v>6491</v>
      </c>
      <c r="B3025" t="s">
        <v>6</v>
      </c>
      <c r="C3025" t="s">
        <v>6492</v>
      </c>
      <c r="D3025" t="s">
        <v>6485</v>
      </c>
      <c r="E3025" t="s">
        <v>6486</v>
      </c>
      <c r="F3025" t="str">
        <f>HYPERLINK("https://talan.bank.gov.ua/get-user-certificate/45CEl1LQ5090NDD7ySTe","Завантажити сертифікат")</f>
        <v>Завантажити сертифікат</v>
      </c>
    </row>
    <row r="3026" spans="1:6" x14ac:dyDescent="0.3">
      <c r="A3026" t="s">
        <v>6493</v>
      </c>
      <c r="B3026" t="s">
        <v>6</v>
      </c>
      <c r="C3026" t="s">
        <v>6494</v>
      </c>
      <c r="D3026" t="s">
        <v>6485</v>
      </c>
      <c r="E3026" t="s">
        <v>6486</v>
      </c>
      <c r="F3026" t="str">
        <f>HYPERLINK("https://talan.bank.gov.ua/get-user-certificate/45CElZuEsIMlN0dWpAhK","Завантажити сертифікат")</f>
        <v>Завантажити сертифікат</v>
      </c>
    </row>
    <row r="3027" spans="1:6" x14ac:dyDescent="0.3">
      <c r="A3027" t="s">
        <v>6495</v>
      </c>
      <c r="B3027" t="s">
        <v>6</v>
      </c>
      <c r="C3027" t="s">
        <v>6496</v>
      </c>
      <c r="D3027" t="s">
        <v>6485</v>
      </c>
      <c r="E3027" t="s">
        <v>6486</v>
      </c>
      <c r="F3027" t="str">
        <f>HYPERLINK("https://talan.bank.gov.ua/get-user-certificate/45CElWQ3o4RXMqz2mWoM","Завантажити сертифікат")</f>
        <v>Завантажити сертифікат</v>
      </c>
    </row>
    <row r="3028" spans="1:6" x14ac:dyDescent="0.3">
      <c r="A3028" t="s">
        <v>6497</v>
      </c>
      <c r="B3028" t="s">
        <v>6</v>
      </c>
      <c r="C3028" t="s">
        <v>6498</v>
      </c>
      <c r="D3028" t="s">
        <v>6485</v>
      </c>
      <c r="E3028" t="s">
        <v>6486</v>
      </c>
      <c r="F3028" t="str">
        <f>HYPERLINK("https://talan.bank.gov.ua/get-user-certificate/45CElkQLXQIQcfB1b1dx","Завантажити сертифікат")</f>
        <v>Завантажити сертифікат</v>
      </c>
    </row>
    <row r="3029" spans="1:6" x14ac:dyDescent="0.3">
      <c r="A3029" t="s">
        <v>6499</v>
      </c>
      <c r="B3029" t="s">
        <v>6</v>
      </c>
      <c r="C3029" t="s">
        <v>6500</v>
      </c>
      <c r="D3029" t="s">
        <v>6485</v>
      </c>
      <c r="E3029" t="s">
        <v>6486</v>
      </c>
      <c r="F3029" t="str">
        <f>HYPERLINK("https://talan.bank.gov.ua/get-user-certificate/45CElCE67AYCyic_txrc","Завантажити сертифікат")</f>
        <v>Завантажити сертифікат</v>
      </c>
    </row>
    <row r="3030" spans="1:6" x14ac:dyDescent="0.3">
      <c r="A3030" t="s">
        <v>6501</v>
      </c>
      <c r="B3030" t="s">
        <v>6</v>
      </c>
      <c r="C3030" t="s">
        <v>6502</v>
      </c>
      <c r="D3030" t="s">
        <v>6485</v>
      </c>
      <c r="E3030" t="s">
        <v>6486</v>
      </c>
      <c r="F3030" t="str">
        <f>HYPERLINK("https://talan.bank.gov.ua/get-user-certificate/45CEl6lpjPY7I2fvclLB","Завантажити сертифікат")</f>
        <v>Завантажити сертифікат</v>
      </c>
    </row>
    <row r="3031" spans="1:6" x14ac:dyDescent="0.3">
      <c r="A3031" t="s">
        <v>6503</v>
      </c>
      <c r="B3031" t="s">
        <v>6</v>
      </c>
      <c r="C3031" t="s">
        <v>6504</v>
      </c>
      <c r="D3031" t="s">
        <v>6485</v>
      </c>
      <c r="E3031" t="s">
        <v>6486</v>
      </c>
      <c r="F3031" t="str">
        <f>HYPERLINK("https://talan.bank.gov.ua/get-user-certificate/45CElmIg5-ORlHHpTAmt","Завантажити сертифікат")</f>
        <v>Завантажити сертифікат</v>
      </c>
    </row>
    <row r="3032" spans="1:6" x14ac:dyDescent="0.3">
      <c r="A3032" t="s">
        <v>6505</v>
      </c>
      <c r="B3032" t="s">
        <v>6</v>
      </c>
      <c r="C3032" t="s">
        <v>6506</v>
      </c>
      <c r="D3032" t="s">
        <v>6485</v>
      </c>
      <c r="E3032" t="s">
        <v>6486</v>
      </c>
      <c r="F3032" t="str">
        <f>HYPERLINK("https://talan.bank.gov.ua/get-user-certificate/45CElBJMP-1sNeLxiW0y","Завантажити сертифікат")</f>
        <v>Завантажити сертифікат</v>
      </c>
    </row>
    <row r="3033" spans="1:6" x14ac:dyDescent="0.3">
      <c r="A3033" t="s">
        <v>6507</v>
      </c>
      <c r="B3033" t="s">
        <v>6</v>
      </c>
      <c r="C3033" t="s">
        <v>6508</v>
      </c>
      <c r="D3033" t="s">
        <v>6485</v>
      </c>
      <c r="E3033" t="s">
        <v>6486</v>
      </c>
      <c r="F3033" t="str">
        <f>HYPERLINK("https://talan.bank.gov.ua/get-user-certificate/45CEl9966i2RaTUSBDhA","Завантажити сертифікат")</f>
        <v>Завантажити сертифікат</v>
      </c>
    </row>
    <row r="3034" spans="1:6" x14ac:dyDescent="0.3">
      <c r="A3034" t="s">
        <v>6509</v>
      </c>
      <c r="B3034" t="s">
        <v>6</v>
      </c>
      <c r="C3034" t="s">
        <v>6510</v>
      </c>
      <c r="D3034" t="s">
        <v>6485</v>
      </c>
      <c r="E3034" t="s">
        <v>6486</v>
      </c>
      <c r="F3034" t="str">
        <f>HYPERLINK("https://talan.bank.gov.ua/get-user-certificate/45CEl4Bdk1X27D__6xOw","Завантажити сертифікат")</f>
        <v>Завантажити сертифікат</v>
      </c>
    </row>
    <row r="3035" spans="1:6" x14ac:dyDescent="0.3">
      <c r="A3035" t="s">
        <v>6511</v>
      </c>
      <c r="B3035" t="s">
        <v>6</v>
      </c>
      <c r="C3035" t="s">
        <v>6512</v>
      </c>
      <c r="D3035" t="s">
        <v>6485</v>
      </c>
      <c r="E3035" t="s">
        <v>6486</v>
      </c>
      <c r="F3035" t="str">
        <f>HYPERLINK("https://talan.bank.gov.ua/get-user-certificate/45CEl1GGKhMJI36sogD6","Завантажити сертифікат")</f>
        <v>Завантажити сертифікат</v>
      </c>
    </row>
    <row r="3036" spans="1:6" x14ac:dyDescent="0.3">
      <c r="A3036" t="s">
        <v>6513</v>
      </c>
      <c r="B3036" t="s">
        <v>6</v>
      </c>
      <c r="C3036" t="s">
        <v>6514</v>
      </c>
      <c r="D3036" t="s">
        <v>6485</v>
      </c>
      <c r="E3036" t="s">
        <v>6486</v>
      </c>
      <c r="F3036" t="str">
        <f>HYPERLINK("https://talan.bank.gov.ua/get-user-certificate/45CElpQ3X4FAap7sRiQ3","Завантажити сертифікат")</f>
        <v>Завантажити сертифікат</v>
      </c>
    </row>
    <row r="3037" spans="1:6" x14ac:dyDescent="0.3">
      <c r="A3037" t="s">
        <v>6515</v>
      </c>
      <c r="B3037" t="s">
        <v>6</v>
      </c>
      <c r="C3037" t="s">
        <v>6516</v>
      </c>
      <c r="D3037" t="s">
        <v>6485</v>
      </c>
      <c r="E3037" t="s">
        <v>6486</v>
      </c>
      <c r="F3037" t="str">
        <f>HYPERLINK("https://talan.bank.gov.ua/get-user-certificate/45CElbFPID5wAQKQlsiM","Завантажити сертифікат")</f>
        <v>Завантажити сертифікат</v>
      </c>
    </row>
    <row r="3038" spans="1:6" x14ac:dyDescent="0.3">
      <c r="A3038" t="s">
        <v>6517</v>
      </c>
      <c r="B3038" t="s">
        <v>6</v>
      </c>
      <c r="C3038" t="s">
        <v>6518</v>
      </c>
      <c r="D3038" t="s">
        <v>6485</v>
      </c>
      <c r="E3038" t="s">
        <v>6486</v>
      </c>
      <c r="F3038" t="str">
        <f>HYPERLINK("https://talan.bank.gov.ua/get-user-certificate/45CElQotjOo5da8COD2b","Завантажити сертифікат")</f>
        <v>Завантажити сертифікат</v>
      </c>
    </row>
    <row r="3039" spans="1:6" x14ac:dyDescent="0.3">
      <c r="A3039" t="s">
        <v>6519</v>
      </c>
      <c r="B3039" t="s">
        <v>6</v>
      </c>
      <c r="C3039" t="s">
        <v>6520</v>
      </c>
      <c r="D3039" t="s">
        <v>6485</v>
      </c>
      <c r="E3039" t="s">
        <v>6486</v>
      </c>
      <c r="F3039" t="str">
        <f>HYPERLINK("https://talan.bank.gov.ua/get-user-certificate/45CEl35ip-0tZLnQTseR","Завантажити сертифікат")</f>
        <v>Завантажити сертифікат</v>
      </c>
    </row>
    <row r="3040" spans="1:6" x14ac:dyDescent="0.3">
      <c r="A3040" t="s">
        <v>6521</v>
      </c>
      <c r="B3040" t="s">
        <v>6</v>
      </c>
      <c r="C3040" t="s">
        <v>6522</v>
      </c>
      <c r="D3040" t="s">
        <v>6485</v>
      </c>
      <c r="E3040" t="s">
        <v>6486</v>
      </c>
      <c r="F3040" t="str">
        <f>HYPERLINK("https://talan.bank.gov.ua/get-user-certificate/45CEls1TQZCnwbZXhS87","Завантажити сертифікат")</f>
        <v>Завантажити сертифікат</v>
      </c>
    </row>
    <row r="3041" spans="1:6" x14ac:dyDescent="0.3">
      <c r="A3041" t="s">
        <v>6523</v>
      </c>
      <c r="B3041" t="s">
        <v>6</v>
      </c>
      <c r="C3041" t="s">
        <v>6524</v>
      </c>
      <c r="D3041" t="s">
        <v>6485</v>
      </c>
      <c r="E3041" t="s">
        <v>6486</v>
      </c>
      <c r="F3041" t="str">
        <f>HYPERLINK("https://talan.bank.gov.ua/get-user-certificate/45CEloDgnWH7cHCjtwHR","Завантажити сертифікат")</f>
        <v>Завантажити сертифікат</v>
      </c>
    </row>
    <row r="3042" spans="1:6" x14ac:dyDescent="0.3">
      <c r="A3042" t="s">
        <v>6525</v>
      </c>
      <c r="B3042" t="s">
        <v>6</v>
      </c>
      <c r="C3042" t="s">
        <v>6526</v>
      </c>
      <c r="D3042" t="s">
        <v>6485</v>
      </c>
      <c r="E3042" t="s">
        <v>6486</v>
      </c>
      <c r="F3042" t="str">
        <f>HYPERLINK("https://talan.bank.gov.ua/get-user-certificate/45CElGvyBMlXt5RK7LId","Завантажити сертифікат")</f>
        <v>Завантажити сертифікат</v>
      </c>
    </row>
    <row r="3043" spans="1:6" x14ac:dyDescent="0.3">
      <c r="A3043" t="s">
        <v>6527</v>
      </c>
      <c r="B3043" t="s">
        <v>6</v>
      </c>
      <c r="C3043" t="s">
        <v>6528</v>
      </c>
      <c r="D3043" t="s">
        <v>6485</v>
      </c>
      <c r="E3043" t="s">
        <v>6486</v>
      </c>
      <c r="F3043" t="str">
        <f>HYPERLINK("https://talan.bank.gov.ua/get-user-certificate/45CElbKKD4S6sDKyhkHu","Завантажити сертифікат")</f>
        <v>Завантажити сертифікат</v>
      </c>
    </row>
    <row r="3044" spans="1:6" x14ac:dyDescent="0.3">
      <c r="A3044" t="s">
        <v>6529</v>
      </c>
      <c r="B3044" t="s">
        <v>6</v>
      </c>
      <c r="C3044" t="s">
        <v>6530</v>
      </c>
      <c r="D3044" t="s">
        <v>6485</v>
      </c>
      <c r="E3044" t="s">
        <v>6486</v>
      </c>
      <c r="F3044" t="str">
        <f>HYPERLINK("https://talan.bank.gov.ua/get-user-certificate/45CEl5KxIuOO_rVS-1W-","Завантажити сертифікат")</f>
        <v>Завантажити сертифікат</v>
      </c>
    </row>
    <row r="3045" spans="1:6" x14ac:dyDescent="0.3">
      <c r="A3045" t="s">
        <v>6531</v>
      </c>
      <c r="B3045" t="s">
        <v>6</v>
      </c>
      <c r="C3045" t="s">
        <v>6532</v>
      </c>
      <c r="D3045" t="s">
        <v>6485</v>
      </c>
      <c r="E3045" t="s">
        <v>6486</v>
      </c>
      <c r="F3045" t="str">
        <f>HYPERLINK("https://talan.bank.gov.ua/get-user-certificate/45CElOvEiX7qXRLxw4zz","Завантажити сертифікат")</f>
        <v>Завантажити сертифікат</v>
      </c>
    </row>
    <row r="3046" spans="1:6" x14ac:dyDescent="0.3">
      <c r="A3046" t="s">
        <v>6533</v>
      </c>
      <c r="B3046" t="s">
        <v>6</v>
      </c>
      <c r="C3046" t="s">
        <v>6534</v>
      </c>
      <c r="D3046" t="s">
        <v>6485</v>
      </c>
      <c r="E3046" t="s">
        <v>6486</v>
      </c>
      <c r="F3046" t="str">
        <f>HYPERLINK("https://talan.bank.gov.ua/get-user-certificate/45CEl9AqSig2MSgsf-8l","Завантажити сертифікат")</f>
        <v>Завантажити сертифікат</v>
      </c>
    </row>
    <row r="3047" spans="1:6" x14ac:dyDescent="0.3">
      <c r="A3047" t="s">
        <v>6535</v>
      </c>
      <c r="B3047" t="s">
        <v>6</v>
      </c>
      <c r="C3047" t="s">
        <v>6536</v>
      </c>
      <c r="D3047" t="s">
        <v>6485</v>
      </c>
      <c r="E3047" t="s">
        <v>6486</v>
      </c>
      <c r="F3047" t="str">
        <f>HYPERLINK("https://talan.bank.gov.ua/get-user-certificate/45CElBtcMys2Mv0L8ufS","Завантажити сертифікат")</f>
        <v>Завантажити сертифікат</v>
      </c>
    </row>
    <row r="3048" spans="1:6" x14ac:dyDescent="0.3">
      <c r="A3048" t="s">
        <v>6537</v>
      </c>
      <c r="B3048" t="s">
        <v>6</v>
      </c>
      <c r="C3048" t="s">
        <v>6538</v>
      </c>
      <c r="D3048" t="s">
        <v>6485</v>
      </c>
      <c r="E3048" t="s">
        <v>6486</v>
      </c>
      <c r="F3048" t="str">
        <f>HYPERLINK("https://talan.bank.gov.ua/get-user-certificate/45CElCfpuCR3LHzui4Al","Завантажити сертифікат")</f>
        <v>Завантажити сертифікат</v>
      </c>
    </row>
    <row r="3049" spans="1:6" x14ac:dyDescent="0.3">
      <c r="A3049" t="s">
        <v>6539</v>
      </c>
      <c r="B3049" t="s">
        <v>6</v>
      </c>
      <c r="C3049" t="s">
        <v>6540</v>
      </c>
      <c r="D3049" t="s">
        <v>6485</v>
      </c>
      <c r="E3049" t="s">
        <v>6486</v>
      </c>
      <c r="F3049" t="str">
        <f>HYPERLINK("https://talan.bank.gov.ua/get-user-certificate/45CElD60-2-RkSXeQfdf","Завантажити сертифікат")</f>
        <v>Завантажити сертифікат</v>
      </c>
    </row>
    <row r="3050" spans="1:6" x14ac:dyDescent="0.3">
      <c r="A3050" t="s">
        <v>6541</v>
      </c>
      <c r="B3050" t="s">
        <v>6</v>
      </c>
      <c r="C3050" t="s">
        <v>6542</v>
      </c>
      <c r="D3050" t="s">
        <v>6485</v>
      </c>
      <c r="E3050" t="s">
        <v>6486</v>
      </c>
      <c r="F3050" t="str">
        <f>HYPERLINK("https://talan.bank.gov.ua/get-user-certificate/45CElRIwpl8yOTKS8AvL","Завантажити сертифікат")</f>
        <v>Завантажити сертифікат</v>
      </c>
    </row>
    <row r="3051" spans="1:6" x14ac:dyDescent="0.3">
      <c r="A3051" t="s">
        <v>6543</v>
      </c>
      <c r="B3051" t="s">
        <v>6</v>
      </c>
      <c r="C3051" t="s">
        <v>6544</v>
      </c>
      <c r="D3051" t="s">
        <v>6485</v>
      </c>
      <c r="E3051" t="s">
        <v>6486</v>
      </c>
      <c r="F3051" t="str">
        <f>HYPERLINK("https://talan.bank.gov.ua/get-user-certificate/45CEllPGxY-Tom3lbIlO","Завантажити сертифікат")</f>
        <v>Завантажити сертифікат</v>
      </c>
    </row>
    <row r="3052" spans="1:6" x14ac:dyDescent="0.3">
      <c r="A3052" t="s">
        <v>6545</v>
      </c>
      <c r="B3052" t="s">
        <v>6</v>
      </c>
      <c r="C3052" t="s">
        <v>6546</v>
      </c>
      <c r="D3052" t="s">
        <v>6547</v>
      </c>
      <c r="E3052" t="s">
        <v>6548</v>
      </c>
      <c r="F3052" t="str">
        <f>HYPERLINK("https://talan.bank.gov.ua/get-user-certificate/45CEl5BNyfVTUppeOmdY","Завантажити сертифікат")</f>
        <v>Завантажити сертифікат</v>
      </c>
    </row>
    <row r="3053" spans="1:6" x14ac:dyDescent="0.3">
      <c r="A3053" t="s">
        <v>6549</v>
      </c>
      <c r="B3053" t="s">
        <v>6</v>
      </c>
      <c r="C3053" t="s">
        <v>6550</v>
      </c>
      <c r="D3053" t="s">
        <v>6547</v>
      </c>
      <c r="E3053" t="s">
        <v>6548</v>
      </c>
      <c r="F3053" t="str">
        <f>HYPERLINK("https://talan.bank.gov.ua/get-user-certificate/45CEly0HtIPS2jCt0xOR","Завантажити сертифікат")</f>
        <v>Завантажити сертифікат</v>
      </c>
    </row>
    <row r="3054" spans="1:6" x14ac:dyDescent="0.3">
      <c r="A3054" t="s">
        <v>6551</v>
      </c>
      <c r="B3054" t="s">
        <v>6</v>
      </c>
      <c r="C3054" t="s">
        <v>6552</v>
      </c>
      <c r="D3054" t="s">
        <v>6547</v>
      </c>
      <c r="E3054" t="s">
        <v>6548</v>
      </c>
      <c r="F3054" t="str">
        <f>HYPERLINK("https://talan.bank.gov.ua/get-user-certificate/45CEl27HCt2Tc1cEz3kP","Завантажити сертифікат")</f>
        <v>Завантажити сертифікат</v>
      </c>
    </row>
    <row r="3055" spans="1:6" x14ac:dyDescent="0.3">
      <c r="A3055" t="s">
        <v>6553</v>
      </c>
      <c r="B3055" t="s">
        <v>6</v>
      </c>
      <c r="C3055" t="s">
        <v>6554</v>
      </c>
      <c r="D3055" t="s">
        <v>6547</v>
      </c>
      <c r="E3055" t="s">
        <v>6548</v>
      </c>
      <c r="F3055" t="str">
        <f>HYPERLINK("https://talan.bank.gov.ua/get-user-certificate/45CEl966q-Ix3TbIRpps","Завантажити сертифікат")</f>
        <v>Завантажити сертифікат</v>
      </c>
    </row>
    <row r="3056" spans="1:6" x14ac:dyDescent="0.3">
      <c r="A3056" t="s">
        <v>6555</v>
      </c>
      <c r="B3056" t="s">
        <v>6</v>
      </c>
      <c r="C3056" t="s">
        <v>6556</v>
      </c>
      <c r="D3056" t="s">
        <v>6547</v>
      </c>
      <c r="E3056" t="s">
        <v>6548</v>
      </c>
      <c r="F3056" t="str">
        <f>HYPERLINK("https://talan.bank.gov.ua/get-user-certificate/45CElZuobIbTikqT83kF","Завантажити сертифікат")</f>
        <v>Завантажити сертифікат</v>
      </c>
    </row>
    <row r="3057" spans="1:6" x14ac:dyDescent="0.3">
      <c r="A3057" t="s">
        <v>6557</v>
      </c>
      <c r="B3057" t="s">
        <v>6</v>
      </c>
      <c r="C3057" t="s">
        <v>6558</v>
      </c>
      <c r="D3057" t="s">
        <v>6547</v>
      </c>
      <c r="E3057" t="s">
        <v>6548</v>
      </c>
      <c r="F3057" t="str">
        <f>HYPERLINK("https://talan.bank.gov.ua/get-user-certificate/45CElC-sexxG9yIEvHGl","Завантажити сертифікат")</f>
        <v>Завантажити сертифікат</v>
      </c>
    </row>
    <row r="3058" spans="1:6" x14ac:dyDescent="0.3">
      <c r="A3058" t="s">
        <v>6559</v>
      </c>
      <c r="B3058" t="s">
        <v>6</v>
      </c>
      <c r="C3058" t="s">
        <v>6560</v>
      </c>
      <c r="D3058" t="s">
        <v>6547</v>
      </c>
      <c r="E3058" t="s">
        <v>6548</v>
      </c>
      <c r="F3058" t="str">
        <f>HYPERLINK("https://talan.bank.gov.ua/get-user-certificate/45CElrbIMInt9UOKVXJh","Завантажити сертифікат")</f>
        <v>Завантажити сертифікат</v>
      </c>
    </row>
    <row r="3059" spans="1:6" x14ac:dyDescent="0.3">
      <c r="A3059" t="s">
        <v>6561</v>
      </c>
      <c r="B3059" t="s">
        <v>6</v>
      </c>
      <c r="C3059" t="s">
        <v>6562</v>
      </c>
      <c r="D3059" t="s">
        <v>6547</v>
      </c>
      <c r="E3059" t="s">
        <v>6548</v>
      </c>
      <c r="F3059" t="str">
        <f>HYPERLINK("https://talan.bank.gov.ua/get-user-certificate/45CElpUUz1OUBNN-K1nW","Завантажити сертифікат")</f>
        <v>Завантажити сертифікат</v>
      </c>
    </row>
    <row r="3060" spans="1:6" x14ac:dyDescent="0.3">
      <c r="A3060" t="s">
        <v>6563</v>
      </c>
      <c r="B3060" t="s">
        <v>6</v>
      </c>
      <c r="C3060" t="s">
        <v>6564</v>
      </c>
      <c r="D3060" t="s">
        <v>6547</v>
      </c>
      <c r="E3060" t="s">
        <v>6548</v>
      </c>
      <c r="F3060" t="str">
        <f>HYPERLINK("https://talan.bank.gov.ua/get-user-certificate/45CElxpAbSSZLDcBFKKG","Завантажити сертифікат")</f>
        <v>Завантажити сертифікат</v>
      </c>
    </row>
    <row r="3061" spans="1:6" x14ac:dyDescent="0.3">
      <c r="A3061" t="s">
        <v>6565</v>
      </c>
      <c r="B3061" t="s">
        <v>6</v>
      </c>
      <c r="C3061" t="s">
        <v>6566</v>
      </c>
      <c r="D3061" t="s">
        <v>6547</v>
      </c>
      <c r="E3061" t="s">
        <v>6548</v>
      </c>
      <c r="F3061" t="str">
        <f>HYPERLINK("https://talan.bank.gov.ua/get-user-certificate/45CEl_rYcu2z9g3AJS40","Завантажити сертифікат")</f>
        <v>Завантажити сертифікат</v>
      </c>
    </row>
    <row r="3062" spans="1:6" x14ac:dyDescent="0.3">
      <c r="A3062" t="s">
        <v>6567</v>
      </c>
      <c r="B3062" t="s">
        <v>6</v>
      </c>
      <c r="C3062" t="s">
        <v>6568</v>
      </c>
      <c r="D3062" t="s">
        <v>6547</v>
      </c>
      <c r="E3062" t="s">
        <v>6548</v>
      </c>
      <c r="F3062" t="str">
        <f>HYPERLINK("https://talan.bank.gov.ua/get-user-certificate/45CElQgNuzogrrmDmUWj","Завантажити сертифікат")</f>
        <v>Завантажити сертифікат</v>
      </c>
    </row>
    <row r="3063" spans="1:6" x14ac:dyDescent="0.3">
      <c r="A3063" t="s">
        <v>6569</v>
      </c>
      <c r="B3063" t="s">
        <v>6</v>
      </c>
      <c r="C3063" t="s">
        <v>6570</v>
      </c>
      <c r="D3063" t="s">
        <v>6547</v>
      </c>
      <c r="E3063" t="s">
        <v>6548</v>
      </c>
      <c r="F3063" t="str">
        <f>HYPERLINK("https://talan.bank.gov.ua/get-user-certificate/45CEl97-uB3CETW2NXpY","Завантажити сертифікат")</f>
        <v>Завантажити сертифікат</v>
      </c>
    </row>
    <row r="3064" spans="1:6" x14ac:dyDescent="0.3">
      <c r="A3064" t="s">
        <v>6571</v>
      </c>
      <c r="B3064" t="s">
        <v>6</v>
      </c>
      <c r="C3064" t="s">
        <v>6572</v>
      </c>
      <c r="D3064" t="s">
        <v>6547</v>
      </c>
      <c r="E3064" t="s">
        <v>6548</v>
      </c>
      <c r="F3064" t="str">
        <f>HYPERLINK("https://talan.bank.gov.ua/get-user-certificate/45CElxy-3GEdQz7Da3IN","Завантажити сертифікат")</f>
        <v>Завантажити сертифікат</v>
      </c>
    </row>
    <row r="3065" spans="1:6" x14ac:dyDescent="0.3">
      <c r="A3065" t="s">
        <v>6573</v>
      </c>
      <c r="B3065" t="s">
        <v>6</v>
      </c>
      <c r="C3065" t="s">
        <v>6574</v>
      </c>
      <c r="D3065" t="s">
        <v>6547</v>
      </c>
      <c r="E3065" t="s">
        <v>6548</v>
      </c>
      <c r="F3065" t="str">
        <f>HYPERLINK("https://talan.bank.gov.ua/get-user-certificate/45CEl6IhYrEOslQhuUP4","Завантажити сертифікат")</f>
        <v>Завантажити сертифікат</v>
      </c>
    </row>
    <row r="3066" spans="1:6" x14ac:dyDescent="0.3">
      <c r="A3066" t="s">
        <v>6575</v>
      </c>
      <c r="B3066" t="s">
        <v>6</v>
      </c>
      <c r="C3066" t="s">
        <v>6576</v>
      </c>
      <c r="D3066" t="s">
        <v>6547</v>
      </c>
      <c r="E3066" t="s">
        <v>6548</v>
      </c>
      <c r="F3066" t="str">
        <f>HYPERLINK("https://talan.bank.gov.ua/get-user-certificate/45CElnleEJ1C6U52jVg3","Завантажити сертифікат")</f>
        <v>Завантажити сертифікат</v>
      </c>
    </row>
    <row r="3067" spans="1:6" x14ac:dyDescent="0.3">
      <c r="A3067" t="s">
        <v>6577</v>
      </c>
      <c r="B3067" t="s">
        <v>6</v>
      </c>
      <c r="C3067" t="s">
        <v>6578</v>
      </c>
      <c r="D3067" t="s">
        <v>6547</v>
      </c>
      <c r="E3067" t="s">
        <v>6548</v>
      </c>
      <c r="F3067" t="str">
        <f>HYPERLINK("https://talan.bank.gov.ua/get-user-certificate/45CEloxrDe6YnKox0iFU","Завантажити сертифікат")</f>
        <v>Завантажити сертифікат</v>
      </c>
    </row>
    <row r="3068" spans="1:6" x14ac:dyDescent="0.3">
      <c r="A3068" t="s">
        <v>6579</v>
      </c>
      <c r="B3068" t="s">
        <v>6</v>
      </c>
      <c r="C3068" t="s">
        <v>6580</v>
      </c>
      <c r="D3068" t="s">
        <v>6547</v>
      </c>
      <c r="E3068" t="s">
        <v>6548</v>
      </c>
      <c r="F3068" t="str">
        <f>HYPERLINK("https://talan.bank.gov.ua/get-user-certificate/45CElWMqASf5OC4OkCz2","Завантажити сертифікат")</f>
        <v>Завантажити сертифікат</v>
      </c>
    </row>
    <row r="3069" spans="1:6" x14ac:dyDescent="0.3">
      <c r="A3069" t="s">
        <v>6581</v>
      </c>
      <c r="B3069" t="s">
        <v>6</v>
      </c>
      <c r="C3069" t="s">
        <v>6582</v>
      </c>
      <c r="D3069" t="s">
        <v>6547</v>
      </c>
      <c r="E3069" t="s">
        <v>6548</v>
      </c>
      <c r="F3069" t="str">
        <f>HYPERLINK("https://talan.bank.gov.ua/get-user-certificate/45CEly1c34Q4EH0P9clh","Завантажити сертифікат")</f>
        <v>Завантажити сертифікат</v>
      </c>
    </row>
    <row r="3070" spans="1:6" x14ac:dyDescent="0.3">
      <c r="A3070" t="s">
        <v>6583</v>
      </c>
      <c r="B3070" t="s">
        <v>6</v>
      </c>
      <c r="C3070" t="s">
        <v>6584</v>
      </c>
      <c r="D3070" t="s">
        <v>6547</v>
      </c>
      <c r="E3070" t="s">
        <v>6548</v>
      </c>
      <c r="F3070" t="str">
        <f>HYPERLINK("https://talan.bank.gov.ua/get-user-certificate/45CElGtXMspwGWDVgw_k","Завантажити сертифікат")</f>
        <v>Завантажити сертифікат</v>
      </c>
    </row>
    <row r="3071" spans="1:6" x14ac:dyDescent="0.3">
      <c r="A3071" t="s">
        <v>6585</v>
      </c>
      <c r="B3071" t="s">
        <v>6</v>
      </c>
      <c r="C3071" t="s">
        <v>6586</v>
      </c>
      <c r="D3071" t="s">
        <v>6547</v>
      </c>
      <c r="E3071" t="s">
        <v>6548</v>
      </c>
      <c r="F3071" t="str">
        <f>HYPERLINK("https://talan.bank.gov.ua/get-user-certificate/45CElgrpXGxhMfFsNGBx","Завантажити сертифікат")</f>
        <v>Завантажити сертифікат</v>
      </c>
    </row>
    <row r="3072" spans="1:6" x14ac:dyDescent="0.3">
      <c r="A3072" t="s">
        <v>6587</v>
      </c>
      <c r="B3072" t="s">
        <v>6</v>
      </c>
      <c r="C3072" t="s">
        <v>6588</v>
      </c>
      <c r="D3072" t="s">
        <v>6547</v>
      </c>
      <c r="E3072" t="s">
        <v>6548</v>
      </c>
      <c r="F3072" t="str">
        <f>HYPERLINK("https://talan.bank.gov.ua/get-user-certificate/45CElQRoLrfZRc1WLonh","Завантажити сертифікат")</f>
        <v>Завантажити сертифікат</v>
      </c>
    </row>
    <row r="3073" spans="1:6" x14ac:dyDescent="0.3">
      <c r="A3073" t="s">
        <v>6589</v>
      </c>
      <c r="B3073" t="s">
        <v>6</v>
      </c>
      <c r="C3073" t="s">
        <v>6590</v>
      </c>
      <c r="D3073" t="s">
        <v>6547</v>
      </c>
      <c r="E3073" t="s">
        <v>6548</v>
      </c>
      <c r="F3073" t="str">
        <f>HYPERLINK("https://talan.bank.gov.ua/get-user-certificate/45CEl6HtXmU7XcN38DiH","Завантажити сертифікат")</f>
        <v>Завантажити сертифікат</v>
      </c>
    </row>
    <row r="3074" spans="1:6" x14ac:dyDescent="0.3">
      <c r="A3074" t="s">
        <v>6591</v>
      </c>
      <c r="B3074" t="s">
        <v>6</v>
      </c>
      <c r="C3074" t="s">
        <v>6592</v>
      </c>
      <c r="D3074" t="s">
        <v>6547</v>
      </c>
      <c r="E3074" t="s">
        <v>6548</v>
      </c>
      <c r="F3074" t="str">
        <f>HYPERLINK("https://talan.bank.gov.ua/get-user-certificate/45CElcHn2qXiy_AqdjLh","Завантажити сертифікат")</f>
        <v>Завантажити сертифікат</v>
      </c>
    </row>
    <row r="3075" spans="1:6" x14ac:dyDescent="0.3">
      <c r="A3075" t="s">
        <v>6593</v>
      </c>
      <c r="B3075" t="s">
        <v>6</v>
      </c>
      <c r="C3075" t="s">
        <v>6594</v>
      </c>
      <c r="D3075" t="s">
        <v>6547</v>
      </c>
      <c r="E3075" t="s">
        <v>6548</v>
      </c>
      <c r="F3075" t="str">
        <f>HYPERLINK("https://talan.bank.gov.ua/get-user-certificate/45CElLyVSC5ao8zOQiGI","Завантажити сертифікат")</f>
        <v>Завантажити сертифікат</v>
      </c>
    </row>
    <row r="3076" spans="1:6" x14ac:dyDescent="0.3">
      <c r="A3076" t="s">
        <v>6595</v>
      </c>
      <c r="B3076" t="s">
        <v>6</v>
      </c>
      <c r="C3076" t="s">
        <v>6596</v>
      </c>
      <c r="D3076" t="s">
        <v>6597</v>
      </c>
      <c r="E3076" t="s">
        <v>6598</v>
      </c>
      <c r="F3076" t="str">
        <f>HYPERLINK("https://talan.bank.gov.ua/get-user-certificate/45CEl4woPzjKQfGQ512P","Завантажити сертифікат")</f>
        <v>Завантажити сертифікат</v>
      </c>
    </row>
    <row r="3077" spans="1:6" x14ac:dyDescent="0.3">
      <c r="A3077" t="s">
        <v>6599</v>
      </c>
      <c r="B3077" t="s">
        <v>6</v>
      </c>
      <c r="C3077" t="s">
        <v>6600</v>
      </c>
      <c r="D3077" t="s">
        <v>6597</v>
      </c>
      <c r="E3077" t="s">
        <v>6598</v>
      </c>
      <c r="F3077" t="str">
        <f>HYPERLINK("https://talan.bank.gov.ua/get-user-certificate/45CElY2eYSkf6laJjI6I","Завантажити сертифікат")</f>
        <v>Завантажити сертифікат</v>
      </c>
    </row>
    <row r="3078" spans="1:6" x14ac:dyDescent="0.3">
      <c r="A3078" t="s">
        <v>6601</v>
      </c>
      <c r="B3078" t="s">
        <v>6</v>
      </c>
      <c r="C3078" t="s">
        <v>6602</v>
      </c>
      <c r="D3078" t="s">
        <v>6597</v>
      </c>
      <c r="E3078" t="s">
        <v>6598</v>
      </c>
      <c r="F3078" t="str">
        <f>HYPERLINK("https://talan.bank.gov.ua/get-user-certificate/45CElgHT_rywRazS79Mj","Завантажити сертифікат")</f>
        <v>Завантажити сертифікат</v>
      </c>
    </row>
    <row r="3079" spans="1:6" x14ac:dyDescent="0.3">
      <c r="A3079" t="s">
        <v>6603</v>
      </c>
      <c r="B3079" t="s">
        <v>6</v>
      </c>
      <c r="C3079" t="s">
        <v>6604</v>
      </c>
      <c r="D3079" t="s">
        <v>6597</v>
      </c>
      <c r="E3079" t="s">
        <v>6598</v>
      </c>
      <c r="F3079" t="str">
        <f>HYPERLINK("https://talan.bank.gov.ua/get-user-certificate/45CElrQltnB_kiUFfEyf","Завантажити сертифікат")</f>
        <v>Завантажити сертифікат</v>
      </c>
    </row>
    <row r="3080" spans="1:6" x14ac:dyDescent="0.3">
      <c r="A3080" t="s">
        <v>6605</v>
      </c>
      <c r="B3080" t="s">
        <v>6</v>
      </c>
      <c r="C3080" t="s">
        <v>6606</v>
      </c>
      <c r="D3080" t="s">
        <v>6597</v>
      </c>
      <c r="E3080" t="s">
        <v>6598</v>
      </c>
      <c r="F3080" t="str">
        <f>HYPERLINK("https://talan.bank.gov.ua/get-user-certificate/45CElczTt8AKMY8hol62","Завантажити сертифікат")</f>
        <v>Завантажити сертифікат</v>
      </c>
    </row>
    <row r="3081" spans="1:6" x14ac:dyDescent="0.3">
      <c r="A3081" t="s">
        <v>6607</v>
      </c>
      <c r="B3081" t="s">
        <v>6</v>
      </c>
      <c r="C3081" t="s">
        <v>6608</v>
      </c>
      <c r="D3081" t="s">
        <v>6597</v>
      </c>
      <c r="E3081" t="s">
        <v>6598</v>
      </c>
      <c r="F3081" t="str">
        <f>HYPERLINK("https://talan.bank.gov.ua/get-user-certificate/45CElqNmMTgPQ5dJ1fxK","Завантажити сертифікат")</f>
        <v>Завантажити сертифікат</v>
      </c>
    </row>
    <row r="3082" spans="1:6" x14ac:dyDescent="0.3">
      <c r="A3082" t="s">
        <v>6609</v>
      </c>
      <c r="B3082" t="s">
        <v>6</v>
      </c>
      <c r="C3082" t="s">
        <v>6610</v>
      </c>
      <c r="D3082" t="s">
        <v>6597</v>
      </c>
      <c r="E3082" t="s">
        <v>6598</v>
      </c>
      <c r="F3082" t="str">
        <f>HYPERLINK("https://talan.bank.gov.ua/get-user-certificate/45CElZwi6WTzkHD7kubG","Завантажити сертифікат")</f>
        <v>Завантажити сертифікат</v>
      </c>
    </row>
    <row r="3083" spans="1:6" x14ac:dyDescent="0.3">
      <c r="A3083" t="s">
        <v>6611</v>
      </c>
      <c r="B3083" t="s">
        <v>6</v>
      </c>
      <c r="C3083" t="s">
        <v>6612</v>
      </c>
      <c r="D3083" t="s">
        <v>6597</v>
      </c>
      <c r="E3083" t="s">
        <v>6598</v>
      </c>
      <c r="F3083" t="str">
        <f>HYPERLINK("https://talan.bank.gov.ua/get-user-certificate/45CElqHwZ8RB0SsdCJmo","Завантажити сертифікат")</f>
        <v>Завантажити сертифікат</v>
      </c>
    </row>
    <row r="3084" spans="1:6" x14ac:dyDescent="0.3">
      <c r="A3084" t="s">
        <v>6613</v>
      </c>
      <c r="B3084" t="s">
        <v>6</v>
      </c>
      <c r="C3084" t="s">
        <v>6614</v>
      </c>
      <c r="D3084" t="s">
        <v>6597</v>
      </c>
      <c r="E3084" t="s">
        <v>6598</v>
      </c>
      <c r="F3084" t="str">
        <f>HYPERLINK("https://talan.bank.gov.ua/get-user-certificate/45CEliBSy3adTVdbvxwl","Завантажити сертифікат")</f>
        <v>Завантажити сертифікат</v>
      </c>
    </row>
    <row r="3085" spans="1:6" x14ac:dyDescent="0.3">
      <c r="A3085" t="s">
        <v>6615</v>
      </c>
      <c r="B3085" t="s">
        <v>6</v>
      </c>
      <c r="C3085" t="s">
        <v>6616</v>
      </c>
      <c r="D3085" t="s">
        <v>6597</v>
      </c>
      <c r="E3085" t="s">
        <v>6598</v>
      </c>
      <c r="F3085" t="str">
        <f>HYPERLINK("https://talan.bank.gov.ua/get-user-certificate/45CElaIHB2nxcBqF2HEY","Завантажити сертифікат")</f>
        <v>Завантажити сертифікат</v>
      </c>
    </row>
    <row r="3086" spans="1:6" x14ac:dyDescent="0.3">
      <c r="A3086" t="s">
        <v>6617</v>
      </c>
      <c r="B3086" t="s">
        <v>6</v>
      </c>
      <c r="C3086" t="s">
        <v>6618</v>
      </c>
      <c r="D3086" t="s">
        <v>6597</v>
      </c>
      <c r="E3086" t="s">
        <v>6598</v>
      </c>
      <c r="F3086" t="str">
        <f>HYPERLINK("https://talan.bank.gov.ua/get-user-certificate/45CElEEgZUfDEL23zKDv","Завантажити сертифікат")</f>
        <v>Завантажити сертифікат</v>
      </c>
    </row>
    <row r="3087" spans="1:6" x14ac:dyDescent="0.3">
      <c r="A3087" t="s">
        <v>6619</v>
      </c>
      <c r="B3087" t="s">
        <v>6</v>
      </c>
      <c r="C3087" t="s">
        <v>6620</v>
      </c>
      <c r="D3087" t="s">
        <v>6597</v>
      </c>
      <c r="E3087" t="s">
        <v>6598</v>
      </c>
      <c r="F3087" t="str">
        <f>HYPERLINK("https://talan.bank.gov.ua/get-user-certificate/45CEl5HKJhhh2_CxLTjn","Завантажити сертифікат")</f>
        <v>Завантажити сертифікат</v>
      </c>
    </row>
    <row r="3088" spans="1:6" x14ac:dyDescent="0.3">
      <c r="A3088" t="s">
        <v>6621</v>
      </c>
      <c r="B3088" t="s">
        <v>6</v>
      </c>
      <c r="C3088" t="s">
        <v>6622</v>
      </c>
      <c r="D3088" t="s">
        <v>6597</v>
      </c>
      <c r="E3088" t="s">
        <v>6598</v>
      </c>
      <c r="F3088" t="str">
        <f>HYPERLINK("https://talan.bank.gov.ua/get-user-certificate/45CEl9zzUvfXGBAZS4hj","Завантажити сертифікат")</f>
        <v>Завантажити сертифікат</v>
      </c>
    </row>
    <row r="3089" spans="1:6" x14ac:dyDescent="0.3">
      <c r="A3089" t="s">
        <v>6623</v>
      </c>
      <c r="B3089" t="s">
        <v>6</v>
      </c>
      <c r="C3089" t="s">
        <v>6624</v>
      </c>
      <c r="D3089" t="s">
        <v>6597</v>
      </c>
      <c r="E3089" t="s">
        <v>6598</v>
      </c>
      <c r="F3089" t="str">
        <f>HYPERLINK("https://talan.bank.gov.ua/get-user-certificate/45CElyJ5a_m02MA9QAwE","Завантажити сертифікат")</f>
        <v>Завантажити сертифікат</v>
      </c>
    </row>
    <row r="3090" spans="1:6" x14ac:dyDescent="0.3">
      <c r="A3090" t="s">
        <v>6625</v>
      </c>
      <c r="B3090" t="s">
        <v>6</v>
      </c>
      <c r="C3090" t="s">
        <v>6626</v>
      </c>
      <c r="D3090" t="s">
        <v>6597</v>
      </c>
      <c r="E3090" t="s">
        <v>6598</v>
      </c>
      <c r="F3090" t="str">
        <f>HYPERLINK("https://talan.bank.gov.ua/get-user-certificate/45CElBpA1DGOpGTq6Qef","Завантажити сертифікат")</f>
        <v>Завантажити сертифікат</v>
      </c>
    </row>
    <row r="3091" spans="1:6" x14ac:dyDescent="0.3">
      <c r="A3091" t="s">
        <v>6627</v>
      </c>
      <c r="B3091" t="s">
        <v>6</v>
      </c>
      <c r="C3091" t="s">
        <v>6628</v>
      </c>
      <c r="D3091" t="s">
        <v>6597</v>
      </c>
      <c r="E3091" t="s">
        <v>6598</v>
      </c>
      <c r="F3091" t="str">
        <f>HYPERLINK("https://talan.bank.gov.ua/get-user-certificate/45CEl2zk180DIV-CTYOA","Завантажити сертифікат")</f>
        <v>Завантажити сертифікат</v>
      </c>
    </row>
    <row r="3092" spans="1:6" x14ac:dyDescent="0.3">
      <c r="A3092" t="s">
        <v>6629</v>
      </c>
      <c r="B3092" t="s">
        <v>6</v>
      </c>
      <c r="C3092" t="s">
        <v>6630</v>
      </c>
      <c r="D3092" t="s">
        <v>6597</v>
      </c>
      <c r="E3092" t="s">
        <v>6598</v>
      </c>
      <c r="F3092" t="str">
        <f>HYPERLINK("https://talan.bank.gov.ua/get-user-certificate/45CEleimgpi5VGVvsV80","Завантажити сертифікат")</f>
        <v>Завантажити сертифікат</v>
      </c>
    </row>
    <row r="3093" spans="1:6" x14ac:dyDescent="0.3">
      <c r="A3093" t="s">
        <v>6631</v>
      </c>
      <c r="B3093" t="s">
        <v>6</v>
      </c>
      <c r="C3093" t="s">
        <v>6632</v>
      </c>
      <c r="D3093" t="s">
        <v>6597</v>
      </c>
      <c r="E3093" t="s">
        <v>6598</v>
      </c>
      <c r="F3093" t="str">
        <f>HYPERLINK("https://talan.bank.gov.ua/get-user-certificate/45CEluFn51b7EzVr7WAW","Завантажити сертифікат")</f>
        <v>Завантажити сертифікат</v>
      </c>
    </row>
    <row r="3094" spans="1:6" x14ac:dyDescent="0.3">
      <c r="A3094" t="s">
        <v>6633</v>
      </c>
      <c r="B3094" t="s">
        <v>6</v>
      </c>
      <c r="C3094" t="s">
        <v>6634</v>
      </c>
      <c r="D3094" t="s">
        <v>6597</v>
      </c>
      <c r="E3094" t="s">
        <v>6598</v>
      </c>
      <c r="F3094" t="str">
        <f>HYPERLINK("https://talan.bank.gov.ua/get-user-certificate/45CElHURjgMBSgL14zu8","Завантажити сертифікат")</f>
        <v>Завантажити сертифікат</v>
      </c>
    </row>
    <row r="3095" spans="1:6" x14ac:dyDescent="0.3">
      <c r="A3095" t="s">
        <v>6635</v>
      </c>
      <c r="B3095" t="s">
        <v>6</v>
      </c>
      <c r="C3095" t="s">
        <v>6636</v>
      </c>
      <c r="D3095" t="s">
        <v>6597</v>
      </c>
      <c r="E3095" t="s">
        <v>6598</v>
      </c>
      <c r="F3095" t="str">
        <f>HYPERLINK("https://talan.bank.gov.ua/get-user-certificate/45CElhjlItoo4t8aB_ey","Завантажити сертифікат")</f>
        <v>Завантажити сертифікат</v>
      </c>
    </row>
    <row r="3096" spans="1:6" x14ac:dyDescent="0.3">
      <c r="A3096" t="s">
        <v>6637</v>
      </c>
      <c r="B3096" t="s">
        <v>6</v>
      </c>
      <c r="C3096" t="s">
        <v>6638</v>
      </c>
      <c r="D3096" t="s">
        <v>6597</v>
      </c>
      <c r="E3096" t="s">
        <v>6598</v>
      </c>
      <c r="F3096" t="str">
        <f>HYPERLINK("https://talan.bank.gov.ua/get-user-certificate/45CEl0X_Le6JZllmtD5W","Завантажити сертифікат")</f>
        <v>Завантажити сертифікат</v>
      </c>
    </row>
    <row r="3097" spans="1:6" x14ac:dyDescent="0.3">
      <c r="A3097" t="s">
        <v>6639</v>
      </c>
      <c r="B3097" t="s">
        <v>6</v>
      </c>
      <c r="C3097" t="s">
        <v>6640</v>
      </c>
      <c r="D3097" t="s">
        <v>6597</v>
      </c>
      <c r="E3097" t="s">
        <v>6598</v>
      </c>
      <c r="F3097" t="str">
        <f>HYPERLINK("https://talan.bank.gov.ua/get-user-certificate/45CElUNbG8vpEjceyDXZ","Завантажити сертифікат")</f>
        <v>Завантажити сертифікат</v>
      </c>
    </row>
    <row r="3098" spans="1:6" x14ac:dyDescent="0.3">
      <c r="A3098" t="s">
        <v>6641</v>
      </c>
      <c r="B3098" t="s">
        <v>6</v>
      </c>
      <c r="C3098" t="s">
        <v>6642</v>
      </c>
      <c r="D3098" t="s">
        <v>6597</v>
      </c>
      <c r="E3098" t="s">
        <v>6598</v>
      </c>
      <c r="F3098" t="str">
        <f>HYPERLINK("https://talan.bank.gov.ua/get-user-certificate/45CElCMAW_fm9m4WdqUK","Завантажити сертифікат")</f>
        <v>Завантажити сертифікат</v>
      </c>
    </row>
    <row r="3099" spans="1:6" x14ac:dyDescent="0.3">
      <c r="A3099" t="s">
        <v>6643</v>
      </c>
      <c r="B3099" t="s">
        <v>6</v>
      </c>
      <c r="C3099" t="s">
        <v>6644</v>
      </c>
      <c r="D3099" t="s">
        <v>6597</v>
      </c>
      <c r="E3099" t="s">
        <v>6598</v>
      </c>
      <c r="F3099" t="str">
        <f>HYPERLINK("https://talan.bank.gov.ua/get-user-certificate/45CElRCo0JSTT613pu87","Завантажити сертифікат")</f>
        <v>Завантажити сертифікат</v>
      </c>
    </row>
    <row r="3100" spans="1:6" x14ac:dyDescent="0.3">
      <c r="A3100" t="s">
        <v>6645</v>
      </c>
      <c r="B3100" t="s">
        <v>6</v>
      </c>
      <c r="C3100" t="s">
        <v>6646</v>
      </c>
      <c r="D3100" t="s">
        <v>6597</v>
      </c>
      <c r="E3100" t="s">
        <v>6598</v>
      </c>
      <c r="F3100" t="str">
        <f>HYPERLINK("https://talan.bank.gov.ua/get-user-certificate/45CEllzvLpZW5QkcHxeX","Завантажити сертифікат")</f>
        <v>Завантажити сертифікат</v>
      </c>
    </row>
    <row r="3101" spans="1:6" x14ac:dyDescent="0.3">
      <c r="A3101" t="s">
        <v>6647</v>
      </c>
      <c r="B3101" t="s">
        <v>6</v>
      </c>
      <c r="C3101" t="s">
        <v>6648</v>
      </c>
      <c r="D3101" t="s">
        <v>6597</v>
      </c>
      <c r="E3101" t="s">
        <v>6598</v>
      </c>
      <c r="F3101" t="str">
        <f>HYPERLINK("https://talan.bank.gov.ua/get-user-certificate/45CElQR37hUz2Ng3TyAa","Завантажити сертифікат")</f>
        <v>Завантажити сертифікат</v>
      </c>
    </row>
    <row r="3102" spans="1:6" x14ac:dyDescent="0.3">
      <c r="A3102" t="s">
        <v>6649</v>
      </c>
      <c r="B3102" t="s">
        <v>6</v>
      </c>
      <c r="C3102" t="s">
        <v>6650</v>
      </c>
      <c r="D3102" t="s">
        <v>6597</v>
      </c>
      <c r="E3102" t="s">
        <v>6598</v>
      </c>
      <c r="F3102" t="str">
        <f>HYPERLINK("https://talan.bank.gov.ua/get-user-certificate/45CEldU3acBONQ1aTJ0R","Завантажити сертифікат")</f>
        <v>Завантажити сертифікат</v>
      </c>
    </row>
    <row r="3103" spans="1:6" x14ac:dyDescent="0.3">
      <c r="A3103" t="s">
        <v>6651</v>
      </c>
      <c r="B3103" t="s">
        <v>6</v>
      </c>
      <c r="C3103" t="s">
        <v>6652</v>
      </c>
      <c r="D3103" t="s">
        <v>6597</v>
      </c>
      <c r="E3103" t="s">
        <v>6598</v>
      </c>
      <c r="F3103" t="str">
        <f>HYPERLINK("https://talan.bank.gov.ua/get-user-certificate/45CElaRY8oftPyZ3aiZm","Завантажити сертифікат")</f>
        <v>Завантажити сертифікат</v>
      </c>
    </row>
    <row r="3104" spans="1:6" x14ac:dyDescent="0.3">
      <c r="A3104" t="s">
        <v>6653</v>
      </c>
      <c r="B3104" t="s">
        <v>6</v>
      </c>
      <c r="C3104" t="s">
        <v>6654</v>
      </c>
      <c r="D3104" t="s">
        <v>6597</v>
      </c>
      <c r="E3104" t="s">
        <v>6598</v>
      </c>
      <c r="F3104" t="str">
        <f>HYPERLINK("https://talan.bank.gov.ua/get-user-certificate/45CElrjZFmbccmLDSc1l","Завантажити сертифікат")</f>
        <v>Завантажити сертифікат</v>
      </c>
    </row>
    <row r="3105" spans="1:6" x14ac:dyDescent="0.3">
      <c r="A3105" t="s">
        <v>6655</v>
      </c>
      <c r="B3105" t="s">
        <v>6</v>
      </c>
      <c r="C3105" t="s">
        <v>6656</v>
      </c>
      <c r="D3105" t="s">
        <v>6597</v>
      </c>
      <c r="E3105" t="s">
        <v>6598</v>
      </c>
      <c r="F3105" t="str">
        <f>HYPERLINK("https://talan.bank.gov.ua/get-user-certificate/45CEloB1SkJKNSV7GPUs","Завантажити сертифікат")</f>
        <v>Завантажити сертифікат</v>
      </c>
    </row>
    <row r="3106" spans="1:6" x14ac:dyDescent="0.3">
      <c r="A3106" t="s">
        <v>6657</v>
      </c>
      <c r="B3106" t="s">
        <v>6</v>
      </c>
      <c r="C3106" t="s">
        <v>6658</v>
      </c>
      <c r="D3106" t="s">
        <v>6597</v>
      </c>
      <c r="E3106" t="s">
        <v>6598</v>
      </c>
      <c r="F3106" t="str">
        <f>HYPERLINK("https://talan.bank.gov.ua/get-user-certificate/45CEldRUiB7KuUKP_zvA","Завантажити сертифікат")</f>
        <v>Завантажити сертифікат</v>
      </c>
    </row>
    <row r="3107" spans="1:6" x14ac:dyDescent="0.3">
      <c r="A3107" t="s">
        <v>6659</v>
      </c>
      <c r="B3107" t="s">
        <v>6</v>
      </c>
      <c r="C3107" t="s">
        <v>6660</v>
      </c>
      <c r="D3107" t="s">
        <v>6597</v>
      </c>
      <c r="E3107" t="s">
        <v>6598</v>
      </c>
      <c r="F3107" t="str">
        <f>HYPERLINK("https://talan.bank.gov.ua/get-user-certificate/45CEld2TSXGYi0xPJBL_","Завантажити сертифікат")</f>
        <v>Завантажити сертифікат</v>
      </c>
    </row>
    <row r="3108" spans="1:6" x14ac:dyDescent="0.3">
      <c r="A3108" t="s">
        <v>6661</v>
      </c>
      <c r="B3108" t="s">
        <v>6</v>
      </c>
      <c r="C3108" t="s">
        <v>6662</v>
      </c>
      <c r="D3108" t="s">
        <v>6597</v>
      </c>
      <c r="E3108" t="s">
        <v>6598</v>
      </c>
      <c r="F3108" t="str">
        <f>HYPERLINK("https://talan.bank.gov.ua/get-user-certificate/45CEl7a70jfUghuaMRXF","Завантажити сертифікат")</f>
        <v>Завантажити сертифікат</v>
      </c>
    </row>
    <row r="3109" spans="1:6" x14ac:dyDescent="0.3">
      <c r="A3109" t="s">
        <v>6663</v>
      </c>
      <c r="B3109" t="s">
        <v>6</v>
      </c>
      <c r="C3109" t="s">
        <v>6664</v>
      </c>
      <c r="D3109" t="s">
        <v>6597</v>
      </c>
      <c r="E3109" t="s">
        <v>6598</v>
      </c>
      <c r="F3109" t="str">
        <f>HYPERLINK("https://talan.bank.gov.ua/get-user-certificate/45CEl-ZJjs_HOYr58jkE","Завантажити сертифікат")</f>
        <v>Завантажити сертифікат</v>
      </c>
    </row>
    <row r="3110" spans="1:6" x14ac:dyDescent="0.3">
      <c r="A3110" t="s">
        <v>6665</v>
      </c>
      <c r="B3110" t="s">
        <v>6</v>
      </c>
      <c r="C3110" t="s">
        <v>6666</v>
      </c>
      <c r="D3110" t="s">
        <v>6597</v>
      </c>
      <c r="E3110" t="s">
        <v>6598</v>
      </c>
      <c r="F3110" t="str">
        <f>HYPERLINK("https://talan.bank.gov.ua/get-user-certificate/45CElyUuXO4Yolch_LPc","Завантажити сертифікат")</f>
        <v>Завантажити сертифікат</v>
      </c>
    </row>
    <row r="3111" spans="1:6" x14ac:dyDescent="0.3">
      <c r="A3111" t="s">
        <v>6667</v>
      </c>
      <c r="B3111" t="s">
        <v>6</v>
      </c>
      <c r="C3111" t="s">
        <v>6668</v>
      </c>
      <c r="D3111" t="s">
        <v>6597</v>
      </c>
      <c r="E3111" t="s">
        <v>6598</v>
      </c>
      <c r="F3111" t="str">
        <f>HYPERLINK("https://talan.bank.gov.ua/get-user-certificate/45CElMkKmTsYXdDBNeU-","Завантажити сертифікат")</f>
        <v>Завантажити сертифікат</v>
      </c>
    </row>
    <row r="3112" spans="1:6" x14ac:dyDescent="0.3">
      <c r="A3112" t="s">
        <v>6669</v>
      </c>
      <c r="B3112" t="s">
        <v>6</v>
      </c>
      <c r="C3112" t="s">
        <v>6670</v>
      </c>
      <c r="D3112" t="s">
        <v>6597</v>
      </c>
      <c r="E3112" t="s">
        <v>6598</v>
      </c>
      <c r="F3112" t="str">
        <f>HYPERLINK("https://talan.bank.gov.ua/get-user-certificate/45CEl92cvDEX_ZKgoqmp","Завантажити сертифікат")</f>
        <v>Завантажити сертифікат</v>
      </c>
    </row>
    <row r="3113" spans="1:6" x14ac:dyDescent="0.3">
      <c r="A3113" t="s">
        <v>6671</v>
      </c>
      <c r="B3113" t="s">
        <v>6</v>
      </c>
      <c r="C3113" t="s">
        <v>6672</v>
      </c>
      <c r="D3113" t="s">
        <v>6597</v>
      </c>
      <c r="E3113" t="s">
        <v>6598</v>
      </c>
      <c r="F3113" t="str">
        <f>HYPERLINK("https://talan.bank.gov.ua/get-user-certificate/45CEl74bLuDGkVoTeQ_R","Завантажити сертифікат")</f>
        <v>Завантажити сертифікат</v>
      </c>
    </row>
    <row r="3114" spans="1:6" x14ac:dyDescent="0.3">
      <c r="A3114" t="s">
        <v>6673</v>
      </c>
      <c r="B3114" t="s">
        <v>6</v>
      </c>
      <c r="C3114" t="s">
        <v>6674</v>
      </c>
      <c r="D3114" t="s">
        <v>6597</v>
      </c>
      <c r="E3114" t="s">
        <v>6598</v>
      </c>
      <c r="F3114" t="str">
        <f>HYPERLINK("https://talan.bank.gov.ua/get-user-certificate/45CElWpdZ4DwbOo24vdG","Завантажити сертифікат")</f>
        <v>Завантажити сертифікат</v>
      </c>
    </row>
    <row r="3115" spans="1:6" x14ac:dyDescent="0.3">
      <c r="A3115" t="s">
        <v>6675</v>
      </c>
      <c r="B3115" t="s">
        <v>6</v>
      </c>
      <c r="C3115" t="s">
        <v>6676</v>
      </c>
      <c r="D3115" t="s">
        <v>6597</v>
      </c>
      <c r="E3115" t="s">
        <v>6598</v>
      </c>
      <c r="F3115" t="str">
        <f>HYPERLINK("https://talan.bank.gov.ua/get-user-certificate/45CElWBshi3QU4oZMdFH","Завантажити сертифікат")</f>
        <v>Завантажити сертифікат</v>
      </c>
    </row>
    <row r="3116" spans="1:6" x14ac:dyDescent="0.3">
      <c r="A3116" t="s">
        <v>6677</v>
      </c>
      <c r="B3116" t="s">
        <v>6</v>
      </c>
      <c r="C3116" t="s">
        <v>6678</v>
      </c>
      <c r="D3116" t="s">
        <v>6597</v>
      </c>
      <c r="E3116" t="s">
        <v>6598</v>
      </c>
      <c r="F3116" t="str">
        <f>HYPERLINK("https://talan.bank.gov.ua/get-user-certificate/45CEl2C2kzmAQEU9d3k6","Завантажити сертифікат")</f>
        <v>Завантажити сертифікат</v>
      </c>
    </row>
    <row r="3117" spans="1:6" x14ac:dyDescent="0.3">
      <c r="A3117" t="s">
        <v>6679</v>
      </c>
      <c r="B3117" t="s">
        <v>6</v>
      </c>
      <c r="C3117" t="s">
        <v>6680</v>
      </c>
      <c r="D3117" t="s">
        <v>6597</v>
      </c>
      <c r="E3117" t="s">
        <v>6598</v>
      </c>
      <c r="F3117" t="str">
        <f>HYPERLINK("https://talan.bank.gov.ua/get-user-certificate/45CElQ5dLP-8d53avsXq","Завантажити сертифікат")</f>
        <v>Завантажити сертифікат</v>
      </c>
    </row>
    <row r="3118" spans="1:6" x14ac:dyDescent="0.3">
      <c r="A3118" t="s">
        <v>6681</v>
      </c>
      <c r="B3118" t="s">
        <v>6</v>
      </c>
      <c r="C3118" t="s">
        <v>6682</v>
      </c>
      <c r="D3118" t="s">
        <v>6597</v>
      </c>
      <c r="E3118" t="s">
        <v>6598</v>
      </c>
      <c r="F3118" t="str">
        <f>HYPERLINK("https://talan.bank.gov.ua/get-user-certificate/45CElj_tAUov83DRCfku","Завантажити сертифікат")</f>
        <v>Завантажити сертифікат</v>
      </c>
    </row>
    <row r="3119" spans="1:6" x14ac:dyDescent="0.3">
      <c r="A3119" t="s">
        <v>6683</v>
      </c>
      <c r="B3119" t="s">
        <v>6</v>
      </c>
      <c r="C3119" t="s">
        <v>6684</v>
      </c>
      <c r="D3119" t="s">
        <v>6597</v>
      </c>
      <c r="E3119" t="s">
        <v>6598</v>
      </c>
      <c r="F3119" t="str">
        <f>HYPERLINK("https://talan.bank.gov.ua/get-user-certificate/45CElxZDAEf9OTlSXQB5","Завантажити сертифікат")</f>
        <v>Завантажити сертифікат</v>
      </c>
    </row>
    <row r="3120" spans="1:6" x14ac:dyDescent="0.3">
      <c r="A3120" t="s">
        <v>6685</v>
      </c>
      <c r="B3120" t="s">
        <v>6</v>
      </c>
      <c r="C3120" t="s">
        <v>6686</v>
      </c>
      <c r="D3120" t="s">
        <v>6597</v>
      </c>
      <c r="E3120" t="s">
        <v>6598</v>
      </c>
      <c r="F3120" t="str">
        <f>HYPERLINK("https://talan.bank.gov.ua/get-user-certificate/45CElukjbCU4T3HGQjlj","Завантажити сертифікат")</f>
        <v>Завантажити сертифікат</v>
      </c>
    </row>
    <row r="3121" spans="1:6" x14ac:dyDescent="0.3">
      <c r="A3121" t="s">
        <v>6687</v>
      </c>
      <c r="B3121" t="s">
        <v>6</v>
      </c>
      <c r="C3121" t="s">
        <v>6688</v>
      </c>
      <c r="D3121" t="s">
        <v>6597</v>
      </c>
      <c r="E3121" t="s">
        <v>6598</v>
      </c>
      <c r="F3121" t="str">
        <f>HYPERLINK("https://talan.bank.gov.ua/get-user-certificate/45CEly-PNS8HUkw5z3-q","Завантажити сертифікат")</f>
        <v>Завантажити сертифікат</v>
      </c>
    </row>
    <row r="3122" spans="1:6" x14ac:dyDescent="0.3">
      <c r="A3122" t="s">
        <v>6689</v>
      </c>
      <c r="B3122" t="s">
        <v>6</v>
      </c>
      <c r="C3122" t="s">
        <v>6690</v>
      </c>
      <c r="D3122" t="s">
        <v>6597</v>
      </c>
      <c r="E3122" t="s">
        <v>6598</v>
      </c>
      <c r="F3122" t="str">
        <f>HYPERLINK("https://talan.bank.gov.ua/get-user-certificate/45CElH2tCYkjg79KLoyv","Завантажити сертифікат")</f>
        <v>Завантажити сертифікат</v>
      </c>
    </row>
    <row r="3123" spans="1:6" x14ac:dyDescent="0.3">
      <c r="A3123" t="s">
        <v>6691</v>
      </c>
      <c r="B3123" t="s">
        <v>6</v>
      </c>
      <c r="C3123" t="s">
        <v>6692</v>
      </c>
      <c r="D3123" t="s">
        <v>6597</v>
      </c>
      <c r="E3123" t="s">
        <v>6598</v>
      </c>
      <c r="F3123" t="str">
        <f>HYPERLINK("https://talan.bank.gov.ua/get-user-certificate/45CEllGg8bG2sfbwP3o8","Завантажити сертифікат")</f>
        <v>Завантажити сертифікат</v>
      </c>
    </row>
    <row r="3124" spans="1:6" x14ac:dyDescent="0.3">
      <c r="A3124" t="s">
        <v>6693</v>
      </c>
      <c r="B3124" t="s">
        <v>6</v>
      </c>
      <c r="C3124" t="s">
        <v>6694</v>
      </c>
      <c r="D3124" t="s">
        <v>6597</v>
      </c>
      <c r="E3124" t="s">
        <v>6598</v>
      </c>
      <c r="F3124" t="str">
        <f>HYPERLINK("https://talan.bank.gov.ua/get-user-certificate/45CElTaQWp640hY1y429","Завантажити сертифікат")</f>
        <v>Завантажити сертифікат</v>
      </c>
    </row>
    <row r="3125" spans="1:6" x14ac:dyDescent="0.3">
      <c r="A3125" t="s">
        <v>6695</v>
      </c>
      <c r="B3125" t="s">
        <v>6</v>
      </c>
      <c r="C3125" t="s">
        <v>6696</v>
      </c>
      <c r="D3125" t="s">
        <v>6597</v>
      </c>
      <c r="E3125" t="s">
        <v>6598</v>
      </c>
      <c r="F3125" t="str">
        <f>HYPERLINK("https://talan.bank.gov.ua/get-user-certificate/45CElArvG4IoAzyemOyS","Завантажити сертифікат")</f>
        <v>Завантажити сертифікат</v>
      </c>
    </row>
    <row r="3126" spans="1:6" x14ac:dyDescent="0.3">
      <c r="A3126" t="s">
        <v>6697</v>
      </c>
      <c r="B3126" t="s">
        <v>6</v>
      </c>
      <c r="C3126" t="s">
        <v>6698</v>
      </c>
      <c r="D3126" t="s">
        <v>6597</v>
      </c>
      <c r="E3126" t="s">
        <v>6598</v>
      </c>
      <c r="F3126" t="str">
        <f>HYPERLINK("https://talan.bank.gov.ua/get-user-certificate/45CElzT57eUuwODnP6vl","Завантажити сертифікат")</f>
        <v>Завантажити сертифікат</v>
      </c>
    </row>
    <row r="3127" spans="1:6" x14ac:dyDescent="0.3">
      <c r="A3127" t="s">
        <v>6699</v>
      </c>
      <c r="B3127" t="s">
        <v>6</v>
      </c>
      <c r="C3127" t="s">
        <v>6700</v>
      </c>
      <c r="D3127" t="s">
        <v>6597</v>
      </c>
      <c r="E3127" t="s">
        <v>6598</v>
      </c>
      <c r="F3127" t="str">
        <f>HYPERLINK("https://talan.bank.gov.ua/get-user-certificate/45CElL5HEYXqW_vPMvVO","Завантажити сертифікат")</f>
        <v>Завантажити сертифікат</v>
      </c>
    </row>
    <row r="3128" spans="1:6" x14ac:dyDescent="0.3">
      <c r="A3128" t="s">
        <v>6701</v>
      </c>
      <c r="B3128" t="s">
        <v>6</v>
      </c>
      <c r="C3128" t="s">
        <v>6702</v>
      </c>
      <c r="D3128" t="s">
        <v>6597</v>
      </c>
      <c r="E3128" t="s">
        <v>6598</v>
      </c>
      <c r="F3128" t="str">
        <f>HYPERLINK("https://talan.bank.gov.ua/get-user-certificate/45CEl52ZrDPH-3r7YPdg","Завантажити сертифікат")</f>
        <v>Завантажити сертифікат</v>
      </c>
    </row>
    <row r="3129" spans="1:6" x14ac:dyDescent="0.3">
      <c r="A3129" t="s">
        <v>6703</v>
      </c>
      <c r="B3129" t="s">
        <v>6</v>
      </c>
      <c r="C3129" t="s">
        <v>6704</v>
      </c>
      <c r="D3129" t="s">
        <v>6597</v>
      </c>
      <c r="E3129" t="s">
        <v>6598</v>
      </c>
      <c r="F3129" t="str">
        <f>HYPERLINK("https://talan.bank.gov.ua/get-user-certificate/45CElrWYME4N9NUm8_08","Завантажити сертифікат")</f>
        <v>Завантажити сертифікат</v>
      </c>
    </row>
    <row r="3130" spans="1:6" x14ac:dyDescent="0.3">
      <c r="A3130" t="s">
        <v>6705</v>
      </c>
      <c r="B3130" t="s">
        <v>6</v>
      </c>
      <c r="C3130" t="s">
        <v>6706</v>
      </c>
      <c r="D3130" t="s">
        <v>6597</v>
      </c>
      <c r="E3130" t="s">
        <v>6598</v>
      </c>
      <c r="F3130" t="str">
        <f>HYPERLINK("https://talan.bank.gov.ua/get-user-certificate/45CElodxH7pwHWNi9-3G","Завантажити сертифікат")</f>
        <v>Завантажити сертифікат</v>
      </c>
    </row>
    <row r="3131" spans="1:6" x14ac:dyDescent="0.3">
      <c r="A3131" t="s">
        <v>6707</v>
      </c>
      <c r="B3131" t="s">
        <v>6</v>
      </c>
      <c r="C3131" t="s">
        <v>6708</v>
      </c>
      <c r="D3131" t="s">
        <v>6597</v>
      </c>
      <c r="E3131" t="s">
        <v>6598</v>
      </c>
      <c r="F3131" t="str">
        <f>HYPERLINK("https://talan.bank.gov.ua/get-user-certificate/45CElGglFG_Qm3ZcCe9U","Завантажити сертифікат")</f>
        <v>Завантажити сертифікат</v>
      </c>
    </row>
    <row r="3132" spans="1:6" x14ac:dyDescent="0.3">
      <c r="A3132" t="s">
        <v>6709</v>
      </c>
      <c r="B3132" t="s">
        <v>6</v>
      </c>
      <c r="C3132" t="s">
        <v>6710</v>
      </c>
      <c r="D3132" t="s">
        <v>6597</v>
      </c>
      <c r="E3132" t="s">
        <v>6598</v>
      </c>
      <c r="F3132" t="str">
        <f>HYPERLINK("https://talan.bank.gov.ua/get-user-certificate/45CElf4d6ycLdvnzXeH5","Завантажити сертифікат")</f>
        <v>Завантажити сертифікат</v>
      </c>
    </row>
    <row r="3133" spans="1:6" x14ac:dyDescent="0.3">
      <c r="A3133" t="s">
        <v>6711</v>
      </c>
      <c r="B3133" t="s">
        <v>6</v>
      </c>
      <c r="C3133" t="s">
        <v>6712</v>
      </c>
      <c r="D3133" t="s">
        <v>6597</v>
      </c>
      <c r="E3133" t="s">
        <v>6598</v>
      </c>
      <c r="F3133" t="str">
        <f>HYPERLINK("https://talan.bank.gov.ua/get-user-certificate/45CElljjTnWH9uv3clPo","Завантажити сертифікат")</f>
        <v>Завантажити сертифікат</v>
      </c>
    </row>
    <row r="3134" spans="1:6" x14ac:dyDescent="0.3">
      <c r="A3134" t="s">
        <v>6713</v>
      </c>
      <c r="B3134" t="s">
        <v>6</v>
      </c>
      <c r="C3134" t="s">
        <v>6714</v>
      </c>
      <c r="D3134" t="s">
        <v>6597</v>
      </c>
      <c r="E3134" t="s">
        <v>6598</v>
      </c>
      <c r="F3134" t="str">
        <f>HYPERLINK("https://talan.bank.gov.ua/get-user-certificate/45CElAK2BRHRReOgmVp2","Завантажити сертифікат")</f>
        <v>Завантажити сертифікат</v>
      </c>
    </row>
    <row r="3135" spans="1:6" x14ac:dyDescent="0.3">
      <c r="A3135" t="s">
        <v>6715</v>
      </c>
      <c r="B3135" t="s">
        <v>6</v>
      </c>
      <c r="C3135" t="s">
        <v>6716</v>
      </c>
      <c r="D3135" t="s">
        <v>6597</v>
      </c>
      <c r="E3135" t="s">
        <v>6598</v>
      </c>
      <c r="F3135" t="str">
        <f>HYPERLINK("https://talan.bank.gov.ua/get-user-certificate/45CElmRbyZcex131WGCW","Завантажити сертифікат")</f>
        <v>Завантажити сертифікат</v>
      </c>
    </row>
    <row r="3136" spans="1:6" x14ac:dyDescent="0.3">
      <c r="A3136" t="s">
        <v>6717</v>
      </c>
      <c r="B3136" t="s">
        <v>6</v>
      </c>
      <c r="C3136" t="s">
        <v>6718</v>
      </c>
      <c r="D3136" t="s">
        <v>6597</v>
      </c>
      <c r="E3136" t="s">
        <v>6598</v>
      </c>
      <c r="F3136" t="str">
        <f>HYPERLINK("https://talan.bank.gov.ua/get-user-certificate/45CEld_5StkbJgH2oeJ8","Завантажити сертифікат")</f>
        <v>Завантажити сертифікат</v>
      </c>
    </row>
    <row r="3137" spans="1:6" x14ac:dyDescent="0.3">
      <c r="A3137" t="s">
        <v>6719</v>
      </c>
      <c r="B3137" t="s">
        <v>6</v>
      </c>
      <c r="C3137" t="s">
        <v>6720</v>
      </c>
      <c r="D3137" t="s">
        <v>6597</v>
      </c>
      <c r="E3137" t="s">
        <v>6598</v>
      </c>
      <c r="F3137" t="str">
        <f>HYPERLINK("https://talan.bank.gov.ua/get-user-certificate/45CElocDqz_lUAcxay15","Завантажити сертифікат")</f>
        <v>Завантажити сертифікат</v>
      </c>
    </row>
    <row r="3138" spans="1:6" x14ac:dyDescent="0.3">
      <c r="A3138" t="s">
        <v>6721</v>
      </c>
      <c r="B3138" t="s">
        <v>6</v>
      </c>
      <c r="C3138" t="s">
        <v>6722</v>
      </c>
      <c r="D3138" t="s">
        <v>6597</v>
      </c>
      <c r="E3138" t="s">
        <v>6598</v>
      </c>
      <c r="F3138" t="str">
        <f>HYPERLINK("https://talan.bank.gov.ua/get-user-certificate/45CElWMpBxtyyoW3cvmo","Завантажити сертифікат")</f>
        <v>Завантажити сертифікат</v>
      </c>
    </row>
    <row r="3139" spans="1:6" x14ac:dyDescent="0.3">
      <c r="A3139" t="s">
        <v>6723</v>
      </c>
      <c r="B3139" t="s">
        <v>6</v>
      </c>
      <c r="C3139" t="s">
        <v>6724</v>
      </c>
      <c r="D3139" t="s">
        <v>6597</v>
      </c>
      <c r="E3139" t="s">
        <v>6598</v>
      </c>
      <c r="F3139" t="str">
        <f>HYPERLINK("https://talan.bank.gov.ua/get-user-certificate/45CElGBoyx9ye6g3G3jV","Завантажити сертифікат")</f>
        <v>Завантажити сертифікат</v>
      </c>
    </row>
    <row r="3140" spans="1:6" x14ac:dyDescent="0.3">
      <c r="A3140" t="s">
        <v>6725</v>
      </c>
      <c r="B3140" t="s">
        <v>6</v>
      </c>
      <c r="C3140" t="s">
        <v>6726</v>
      </c>
      <c r="D3140" t="s">
        <v>6597</v>
      </c>
      <c r="E3140" t="s">
        <v>6598</v>
      </c>
      <c r="F3140" t="str">
        <f>HYPERLINK("https://talan.bank.gov.ua/get-user-certificate/45CElu0H_LNLQ-d4yqZC","Завантажити сертифікат")</f>
        <v>Завантажити сертифікат</v>
      </c>
    </row>
    <row r="3141" spans="1:6" x14ac:dyDescent="0.3">
      <c r="A3141" t="s">
        <v>6727</v>
      </c>
      <c r="B3141" t="s">
        <v>6</v>
      </c>
      <c r="C3141" t="s">
        <v>6728</v>
      </c>
      <c r="D3141" t="s">
        <v>6597</v>
      </c>
      <c r="E3141" t="s">
        <v>6598</v>
      </c>
      <c r="F3141" t="str">
        <f>HYPERLINK("https://talan.bank.gov.ua/get-user-certificate/45CElnqS0_7rK5LYeIAK","Завантажити сертифікат")</f>
        <v>Завантажити сертифікат</v>
      </c>
    </row>
    <row r="3142" spans="1:6" x14ac:dyDescent="0.3">
      <c r="A3142" t="s">
        <v>6729</v>
      </c>
      <c r="B3142" t="s">
        <v>6</v>
      </c>
      <c r="C3142" t="s">
        <v>6730</v>
      </c>
      <c r="D3142" t="s">
        <v>6597</v>
      </c>
      <c r="E3142" t="s">
        <v>6598</v>
      </c>
      <c r="F3142" t="str">
        <f>HYPERLINK("https://talan.bank.gov.ua/get-user-certificate/45CEl6gnURjiVgq3kOu1","Завантажити сертифікат")</f>
        <v>Завантажити сертифікат</v>
      </c>
    </row>
    <row r="3143" spans="1:6" x14ac:dyDescent="0.3">
      <c r="A3143" t="s">
        <v>6731</v>
      </c>
      <c r="B3143" t="s">
        <v>6</v>
      </c>
      <c r="C3143" t="s">
        <v>6732</v>
      </c>
      <c r="D3143" t="s">
        <v>6597</v>
      </c>
      <c r="E3143" t="s">
        <v>6598</v>
      </c>
      <c r="F3143" t="str">
        <f>HYPERLINK("https://talan.bank.gov.ua/get-user-certificate/45CElOTRW02JLyzvBYmf","Завантажити сертифікат")</f>
        <v>Завантажити сертифікат</v>
      </c>
    </row>
    <row r="3144" spans="1:6" x14ac:dyDescent="0.3">
      <c r="A3144" t="s">
        <v>6733</v>
      </c>
      <c r="B3144" t="s">
        <v>6</v>
      </c>
      <c r="C3144" t="s">
        <v>6734</v>
      </c>
      <c r="D3144" t="s">
        <v>6735</v>
      </c>
      <c r="E3144" t="s">
        <v>6736</v>
      </c>
      <c r="F3144" t="str">
        <f>HYPERLINK("https://talan.bank.gov.ua/get-user-certificate/45CEl4HcuWdfEww-El9y","Завантажити сертифікат")</f>
        <v>Завантажити сертифікат</v>
      </c>
    </row>
    <row r="3145" spans="1:6" x14ac:dyDescent="0.3">
      <c r="A3145" t="s">
        <v>6737</v>
      </c>
      <c r="B3145" t="s">
        <v>6</v>
      </c>
      <c r="C3145" t="s">
        <v>6738</v>
      </c>
      <c r="D3145" t="s">
        <v>6735</v>
      </c>
      <c r="E3145" t="s">
        <v>6736</v>
      </c>
      <c r="F3145" t="str">
        <f>HYPERLINK("https://talan.bank.gov.ua/get-user-certificate/45CEl8D7Vlt0hjZbr6H2","Завантажити сертифікат")</f>
        <v>Завантажити сертифікат</v>
      </c>
    </row>
    <row r="3146" spans="1:6" x14ac:dyDescent="0.3">
      <c r="A3146" t="s">
        <v>6739</v>
      </c>
      <c r="B3146" t="s">
        <v>6</v>
      </c>
      <c r="C3146" t="s">
        <v>6740</v>
      </c>
      <c r="D3146" t="s">
        <v>6735</v>
      </c>
      <c r="E3146" t="s">
        <v>6736</v>
      </c>
      <c r="F3146" t="str">
        <f>HYPERLINK("https://talan.bank.gov.ua/get-user-certificate/45CElgrOAkeikeH_VTr6","Завантажити сертифікат")</f>
        <v>Завантажити сертифікат</v>
      </c>
    </row>
    <row r="3147" spans="1:6" x14ac:dyDescent="0.3">
      <c r="A3147" t="s">
        <v>6741</v>
      </c>
      <c r="B3147" t="s">
        <v>6</v>
      </c>
      <c r="C3147" t="s">
        <v>6742</v>
      </c>
      <c r="D3147" t="s">
        <v>6735</v>
      </c>
      <c r="E3147" t="s">
        <v>6736</v>
      </c>
      <c r="F3147" t="str">
        <f>HYPERLINK("https://talan.bank.gov.ua/get-user-certificate/45CElC5uos7m9swhmoOl","Завантажити сертифікат")</f>
        <v>Завантажити сертифікат</v>
      </c>
    </row>
    <row r="3148" spans="1:6" x14ac:dyDescent="0.3">
      <c r="A3148" t="s">
        <v>6743</v>
      </c>
      <c r="B3148" t="s">
        <v>6</v>
      </c>
      <c r="C3148" t="s">
        <v>6744</v>
      </c>
      <c r="D3148" t="s">
        <v>6745</v>
      </c>
      <c r="E3148" t="s">
        <v>6746</v>
      </c>
      <c r="F3148" t="str">
        <f>HYPERLINK("https://talan.bank.gov.ua/get-user-certificate/45CElu_WrJV_FgtLAXxq","Завантажити сертифікат")</f>
        <v>Завантажити сертифікат</v>
      </c>
    </row>
    <row r="3149" spans="1:6" x14ac:dyDescent="0.3">
      <c r="A3149" t="s">
        <v>6747</v>
      </c>
      <c r="B3149" t="s">
        <v>6</v>
      </c>
      <c r="C3149" t="s">
        <v>6748</v>
      </c>
      <c r="D3149" t="s">
        <v>6745</v>
      </c>
      <c r="E3149" t="s">
        <v>6746</v>
      </c>
      <c r="F3149" t="str">
        <f>HYPERLINK("https://talan.bank.gov.ua/get-user-certificate/45CElM1z2YKDIKrY3Hor","Завантажити сертифікат")</f>
        <v>Завантажити сертифікат</v>
      </c>
    </row>
    <row r="3150" spans="1:6" x14ac:dyDescent="0.3">
      <c r="A3150" t="s">
        <v>6749</v>
      </c>
      <c r="B3150" t="s">
        <v>6</v>
      </c>
      <c r="C3150" t="s">
        <v>6750</v>
      </c>
      <c r="D3150" t="s">
        <v>6745</v>
      </c>
      <c r="E3150" t="s">
        <v>6746</v>
      </c>
      <c r="F3150" t="str">
        <f>HYPERLINK("https://talan.bank.gov.ua/get-user-certificate/45CElsvZ498kOSyi2-_k","Завантажити сертифікат")</f>
        <v>Завантажити сертифікат</v>
      </c>
    </row>
    <row r="3151" spans="1:6" x14ac:dyDescent="0.3">
      <c r="A3151" t="s">
        <v>6751</v>
      </c>
      <c r="B3151" t="s">
        <v>6</v>
      </c>
      <c r="C3151" t="s">
        <v>6752</v>
      </c>
      <c r="D3151" t="s">
        <v>6745</v>
      </c>
      <c r="E3151" t="s">
        <v>6746</v>
      </c>
      <c r="F3151" t="str">
        <f>HYPERLINK("https://talan.bank.gov.ua/get-user-certificate/45CEl7eSpC5Ud-02tIbe","Завантажити сертифікат")</f>
        <v>Завантажити сертифікат</v>
      </c>
    </row>
    <row r="3152" spans="1:6" x14ac:dyDescent="0.3">
      <c r="A3152" t="s">
        <v>6753</v>
      </c>
      <c r="B3152" t="s">
        <v>6</v>
      </c>
      <c r="C3152" t="s">
        <v>6754</v>
      </c>
      <c r="D3152" t="s">
        <v>6745</v>
      </c>
      <c r="E3152" t="s">
        <v>6746</v>
      </c>
      <c r="F3152" t="str">
        <f>HYPERLINK("https://talan.bank.gov.ua/get-user-certificate/45CElu6jjiOZf8gSm9qf","Завантажити сертифікат")</f>
        <v>Завантажити сертифікат</v>
      </c>
    </row>
    <row r="3153" spans="1:6" x14ac:dyDescent="0.3">
      <c r="A3153" t="s">
        <v>6755</v>
      </c>
      <c r="B3153" t="s">
        <v>6</v>
      </c>
      <c r="C3153" t="s">
        <v>6756</v>
      </c>
      <c r="D3153" t="s">
        <v>6745</v>
      </c>
      <c r="E3153" t="s">
        <v>6746</v>
      </c>
      <c r="F3153" t="str">
        <f>HYPERLINK("https://talan.bank.gov.ua/get-user-certificate/45CElIDVXOhr8ECbRUDS","Завантажити сертифікат")</f>
        <v>Завантажити сертифікат</v>
      </c>
    </row>
    <row r="3154" spans="1:6" x14ac:dyDescent="0.3">
      <c r="A3154" t="s">
        <v>6757</v>
      </c>
      <c r="B3154" t="s">
        <v>6</v>
      </c>
      <c r="C3154" t="s">
        <v>6758</v>
      </c>
      <c r="D3154" t="s">
        <v>6745</v>
      </c>
      <c r="E3154" t="s">
        <v>6746</v>
      </c>
      <c r="F3154" t="str">
        <f>HYPERLINK("https://talan.bank.gov.ua/get-user-certificate/45CElwb6mvIQg9OX4sY6","Завантажити сертифікат")</f>
        <v>Завантажити сертифікат</v>
      </c>
    </row>
    <row r="3155" spans="1:6" x14ac:dyDescent="0.3">
      <c r="A3155" t="s">
        <v>6759</v>
      </c>
      <c r="B3155" t="s">
        <v>6</v>
      </c>
      <c r="C3155" t="s">
        <v>6760</v>
      </c>
      <c r="D3155" t="s">
        <v>6745</v>
      </c>
      <c r="E3155" t="s">
        <v>6746</v>
      </c>
      <c r="F3155" t="str">
        <f>HYPERLINK("https://talan.bank.gov.ua/get-user-certificate/45CEl21dlHr6mtT74K1R","Завантажити сертифікат")</f>
        <v>Завантажити сертифікат</v>
      </c>
    </row>
    <row r="3156" spans="1:6" x14ac:dyDescent="0.3">
      <c r="A3156" t="s">
        <v>6761</v>
      </c>
      <c r="B3156" t="s">
        <v>6</v>
      </c>
      <c r="C3156" t="s">
        <v>6762</v>
      </c>
      <c r="D3156" t="s">
        <v>6745</v>
      </c>
      <c r="E3156" t="s">
        <v>6746</v>
      </c>
      <c r="F3156" t="str">
        <f>HYPERLINK("https://talan.bank.gov.ua/get-user-certificate/45CElVgZRosx6vcMQpz6","Завантажити сертифікат")</f>
        <v>Завантажити сертифікат</v>
      </c>
    </row>
    <row r="3157" spans="1:6" x14ac:dyDescent="0.3">
      <c r="A3157" t="s">
        <v>6763</v>
      </c>
      <c r="B3157" t="s">
        <v>6</v>
      </c>
      <c r="C3157" t="s">
        <v>6764</v>
      </c>
      <c r="D3157" t="s">
        <v>6745</v>
      </c>
      <c r="E3157" t="s">
        <v>6746</v>
      </c>
      <c r="F3157" t="str">
        <f>HYPERLINK("https://talan.bank.gov.ua/get-user-certificate/45CElGJ4zld3C_SMSyEi","Завантажити сертифікат")</f>
        <v>Завантажити сертифікат</v>
      </c>
    </row>
    <row r="3158" spans="1:6" x14ac:dyDescent="0.3">
      <c r="A3158" t="s">
        <v>6765</v>
      </c>
      <c r="B3158" t="s">
        <v>6</v>
      </c>
      <c r="C3158" t="s">
        <v>6766</v>
      </c>
      <c r="D3158" t="s">
        <v>6745</v>
      </c>
      <c r="E3158" t="s">
        <v>6746</v>
      </c>
      <c r="F3158" t="str">
        <f>HYPERLINK("https://talan.bank.gov.ua/get-user-certificate/45CElm3QPngXCJF0Hx2k","Завантажити сертифікат")</f>
        <v>Завантажити сертифікат</v>
      </c>
    </row>
    <row r="3159" spans="1:6" x14ac:dyDescent="0.3">
      <c r="A3159" t="s">
        <v>6767</v>
      </c>
      <c r="B3159" t="s">
        <v>6</v>
      </c>
      <c r="C3159" t="s">
        <v>6768</v>
      </c>
      <c r="D3159" t="s">
        <v>6745</v>
      </c>
      <c r="E3159" t="s">
        <v>6746</v>
      </c>
      <c r="F3159" t="str">
        <f>HYPERLINK("https://talan.bank.gov.ua/get-user-certificate/45CElu2aKWXtksAs7l7W","Завантажити сертифікат")</f>
        <v>Завантажити сертифікат</v>
      </c>
    </row>
    <row r="3160" spans="1:6" x14ac:dyDescent="0.3">
      <c r="A3160" t="s">
        <v>6769</v>
      </c>
      <c r="B3160" t="s">
        <v>6</v>
      </c>
      <c r="C3160" t="s">
        <v>6770</v>
      </c>
      <c r="D3160" t="s">
        <v>6745</v>
      </c>
      <c r="E3160" t="s">
        <v>6746</v>
      </c>
      <c r="F3160" t="str">
        <f>HYPERLINK("https://talan.bank.gov.ua/get-user-certificate/45CElxe1NJKv-zeFiG5m","Завантажити сертифікат")</f>
        <v>Завантажити сертифікат</v>
      </c>
    </row>
    <row r="3161" spans="1:6" x14ac:dyDescent="0.3">
      <c r="A3161" t="s">
        <v>6771</v>
      </c>
      <c r="B3161" t="s">
        <v>6</v>
      </c>
      <c r="C3161" t="s">
        <v>6772</v>
      </c>
      <c r="D3161" t="s">
        <v>6745</v>
      </c>
      <c r="E3161" t="s">
        <v>6746</v>
      </c>
      <c r="F3161" t="str">
        <f>HYPERLINK("https://talan.bank.gov.ua/get-user-certificate/45CEl3aOEvE9wToV72NN","Завантажити сертифікат")</f>
        <v>Завантажити сертифікат</v>
      </c>
    </row>
    <row r="3162" spans="1:6" x14ac:dyDescent="0.3">
      <c r="A3162" t="s">
        <v>6773</v>
      </c>
      <c r="B3162" t="s">
        <v>6</v>
      </c>
      <c r="C3162" t="s">
        <v>6774</v>
      </c>
      <c r="D3162" t="s">
        <v>6745</v>
      </c>
      <c r="E3162" t="s">
        <v>6746</v>
      </c>
      <c r="F3162" t="str">
        <f>HYPERLINK("https://talan.bank.gov.ua/get-user-certificate/45CEl13JF8N5qqoMc_Cc","Завантажити сертифікат")</f>
        <v>Завантажити сертифікат</v>
      </c>
    </row>
    <row r="3163" spans="1:6" x14ac:dyDescent="0.3">
      <c r="A3163" t="s">
        <v>6775</v>
      </c>
      <c r="B3163" t="s">
        <v>6</v>
      </c>
      <c r="C3163" t="s">
        <v>6776</v>
      </c>
      <c r="D3163" t="s">
        <v>6745</v>
      </c>
      <c r="E3163" t="s">
        <v>6746</v>
      </c>
      <c r="F3163" t="str">
        <f>HYPERLINK("https://talan.bank.gov.ua/get-user-certificate/45CElFuem5uh9L2JL7lj","Завантажити сертифікат")</f>
        <v>Завантажити сертифікат</v>
      </c>
    </row>
    <row r="3164" spans="1:6" x14ac:dyDescent="0.3">
      <c r="A3164" t="s">
        <v>6777</v>
      </c>
      <c r="B3164" t="s">
        <v>6</v>
      </c>
      <c r="C3164" t="s">
        <v>6778</v>
      </c>
      <c r="D3164" t="s">
        <v>6745</v>
      </c>
      <c r="E3164" t="s">
        <v>6746</v>
      </c>
      <c r="F3164" t="str">
        <f>HYPERLINK("https://talan.bank.gov.ua/get-user-certificate/45CElOYq9TqvWvHXw2kv","Завантажити сертифікат")</f>
        <v>Завантажити сертифікат</v>
      </c>
    </row>
    <row r="3165" spans="1:6" x14ac:dyDescent="0.3">
      <c r="A3165" t="s">
        <v>6779</v>
      </c>
      <c r="B3165" t="s">
        <v>6</v>
      </c>
      <c r="C3165" t="s">
        <v>6780</v>
      </c>
      <c r="D3165" t="s">
        <v>6781</v>
      </c>
      <c r="E3165" t="s">
        <v>6782</v>
      </c>
      <c r="F3165" t="str">
        <f>HYPERLINK("https://talan.bank.gov.ua/get-user-certificate/45CElCvu7HjNcTBk3HM_","Завантажити сертифікат")</f>
        <v>Завантажити сертифікат</v>
      </c>
    </row>
    <row r="3166" spans="1:6" x14ac:dyDescent="0.3">
      <c r="A3166" t="s">
        <v>6783</v>
      </c>
      <c r="B3166" t="s">
        <v>6</v>
      </c>
      <c r="C3166" t="s">
        <v>6784</v>
      </c>
      <c r="D3166" t="s">
        <v>6781</v>
      </c>
      <c r="E3166" t="s">
        <v>6782</v>
      </c>
      <c r="F3166" t="str">
        <f>HYPERLINK("https://talan.bank.gov.ua/get-user-certificate/45CElExaNdNCRoil99kX","Завантажити сертифікат")</f>
        <v>Завантажити сертифікат</v>
      </c>
    </row>
    <row r="3167" spans="1:6" x14ac:dyDescent="0.3">
      <c r="A3167" t="s">
        <v>6785</v>
      </c>
      <c r="B3167" t="s">
        <v>6</v>
      </c>
      <c r="C3167" t="s">
        <v>6786</v>
      </c>
      <c r="D3167" t="s">
        <v>6781</v>
      </c>
      <c r="E3167" t="s">
        <v>6782</v>
      </c>
      <c r="F3167" t="str">
        <f>HYPERLINK("https://talan.bank.gov.ua/get-user-certificate/45CElVDOD1A_mfPeH8s_","Завантажити сертифікат")</f>
        <v>Завантажити сертифікат</v>
      </c>
    </row>
    <row r="3168" spans="1:6" x14ac:dyDescent="0.3">
      <c r="A3168" t="s">
        <v>6787</v>
      </c>
      <c r="B3168" t="s">
        <v>6</v>
      </c>
      <c r="C3168" t="s">
        <v>6788</v>
      </c>
      <c r="D3168" t="s">
        <v>6781</v>
      </c>
      <c r="E3168" t="s">
        <v>6782</v>
      </c>
      <c r="F3168" t="str">
        <f>HYPERLINK("https://talan.bank.gov.ua/get-user-certificate/45CElUj7zsAJcguDSueQ","Завантажити сертифікат")</f>
        <v>Завантажити сертифікат</v>
      </c>
    </row>
    <row r="3169" spans="1:6" x14ac:dyDescent="0.3">
      <c r="A3169" t="s">
        <v>6789</v>
      </c>
      <c r="B3169" t="s">
        <v>6</v>
      </c>
      <c r="C3169" t="s">
        <v>6790</v>
      </c>
      <c r="D3169" t="s">
        <v>6781</v>
      </c>
      <c r="E3169" t="s">
        <v>6782</v>
      </c>
      <c r="F3169" t="str">
        <f>HYPERLINK("https://talan.bank.gov.ua/get-user-certificate/45CElef2VJV0EqNA7gy7","Завантажити сертифікат")</f>
        <v>Завантажити сертифікат</v>
      </c>
    </row>
    <row r="3170" spans="1:6" x14ac:dyDescent="0.3">
      <c r="A3170" t="s">
        <v>6791</v>
      </c>
      <c r="B3170" t="s">
        <v>6</v>
      </c>
      <c r="C3170" t="s">
        <v>6792</v>
      </c>
      <c r="D3170" t="s">
        <v>6781</v>
      </c>
      <c r="E3170" t="s">
        <v>6782</v>
      </c>
      <c r="F3170" t="str">
        <f>HYPERLINK("https://talan.bank.gov.ua/get-user-certificate/45CElUiM07BLJOjo5au2","Завантажити сертифікат")</f>
        <v>Завантажити сертифікат</v>
      </c>
    </row>
    <row r="3171" spans="1:6" x14ac:dyDescent="0.3">
      <c r="A3171" t="s">
        <v>6793</v>
      </c>
      <c r="B3171" t="s">
        <v>6</v>
      </c>
      <c r="C3171" t="s">
        <v>6794</v>
      </c>
      <c r="D3171" t="s">
        <v>6781</v>
      </c>
      <c r="E3171" t="s">
        <v>6782</v>
      </c>
      <c r="F3171" t="str">
        <f>HYPERLINK("https://talan.bank.gov.ua/get-user-certificate/45CElFlYLnVY7StaZuKk","Завантажити сертифікат")</f>
        <v>Завантажити сертифікат</v>
      </c>
    </row>
    <row r="3172" spans="1:6" x14ac:dyDescent="0.3">
      <c r="A3172" t="s">
        <v>6795</v>
      </c>
      <c r="B3172" t="s">
        <v>6</v>
      </c>
      <c r="C3172" t="s">
        <v>6796</v>
      </c>
      <c r="D3172" t="s">
        <v>6781</v>
      </c>
      <c r="E3172" t="s">
        <v>6782</v>
      </c>
      <c r="F3172" t="str">
        <f>HYPERLINK("https://talan.bank.gov.ua/get-user-certificate/45CElXYSOeoCevAMM98z","Завантажити сертифікат")</f>
        <v>Завантажити сертифікат</v>
      </c>
    </row>
    <row r="3173" spans="1:6" x14ac:dyDescent="0.3">
      <c r="A3173" t="s">
        <v>6797</v>
      </c>
      <c r="B3173" t="s">
        <v>6</v>
      </c>
      <c r="C3173" t="s">
        <v>6798</v>
      </c>
      <c r="D3173" t="s">
        <v>6781</v>
      </c>
      <c r="E3173" t="s">
        <v>6782</v>
      </c>
      <c r="F3173" t="str">
        <f>HYPERLINK("https://talan.bank.gov.ua/get-user-certificate/45CElV2IrdDq8J74vKrB","Завантажити сертифікат")</f>
        <v>Завантажити сертифікат</v>
      </c>
    </row>
    <row r="3174" spans="1:6" x14ac:dyDescent="0.3">
      <c r="A3174" t="s">
        <v>6799</v>
      </c>
      <c r="B3174" t="s">
        <v>6</v>
      </c>
      <c r="C3174" t="s">
        <v>6800</v>
      </c>
      <c r="D3174" t="s">
        <v>6781</v>
      </c>
      <c r="E3174" t="s">
        <v>6782</v>
      </c>
      <c r="F3174" t="str">
        <f>HYPERLINK("https://talan.bank.gov.ua/get-user-certificate/45CElpu2l3e2d7qYX4id","Завантажити сертифікат")</f>
        <v>Завантажити сертифікат</v>
      </c>
    </row>
    <row r="3175" spans="1:6" x14ac:dyDescent="0.3">
      <c r="A3175" t="s">
        <v>6801</v>
      </c>
      <c r="B3175" t="s">
        <v>6</v>
      </c>
      <c r="C3175" t="s">
        <v>6802</v>
      </c>
      <c r="D3175" t="s">
        <v>6781</v>
      </c>
      <c r="E3175" t="s">
        <v>6782</v>
      </c>
      <c r="F3175" t="str">
        <f>HYPERLINK("https://talan.bank.gov.ua/get-user-certificate/45CElHTudx2NPHNkdmms","Завантажити сертифікат")</f>
        <v>Завантажити сертифікат</v>
      </c>
    </row>
    <row r="3176" spans="1:6" x14ac:dyDescent="0.3">
      <c r="A3176" t="s">
        <v>6803</v>
      </c>
      <c r="B3176" t="s">
        <v>6</v>
      </c>
      <c r="C3176" t="s">
        <v>6804</v>
      </c>
      <c r="D3176" t="s">
        <v>6781</v>
      </c>
      <c r="E3176" t="s">
        <v>6782</v>
      </c>
      <c r="F3176" t="str">
        <f>HYPERLINK("https://talan.bank.gov.ua/get-user-certificate/45CElA2xx8rjiUtZ9A85","Завантажити сертифікат")</f>
        <v>Завантажити сертифікат</v>
      </c>
    </row>
    <row r="3177" spans="1:6" x14ac:dyDescent="0.3">
      <c r="A3177" t="s">
        <v>6805</v>
      </c>
      <c r="B3177" t="s">
        <v>6</v>
      </c>
      <c r="C3177" t="s">
        <v>6806</v>
      </c>
      <c r="D3177" t="s">
        <v>6781</v>
      </c>
      <c r="E3177" t="s">
        <v>6782</v>
      </c>
      <c r="F3177" t="str">
        <f>HYPERLINK("https://talan.bank.gov.ua/get-user-certificate/45CElMEXnDmwRe6qERaX","Завантажити сертифікат")</f>
        <v>Завантажити сертифікат</v>
      </c>
    </row>
    <row r="3178" spans="1:6" x14ac:dyDescent="0.3">
      <c r="A3178" t="s">
        <v>6807</v>
      </c>
      <c r="B3178" t="s">
        <v>6</v>
      </c>
      <c r="C3178" t="s">
        <v>6808</v>
      </c>
      <c r="D3178" t="s">
        <v>6781</v>
      </c>
      <c r="E3178" t="s">
        <v>6782</v>
      </c>
      <c r="F3178" t="str">
        <f>HYPERLINK("https://talan.bank.gov.ua/get-user-certificate/45CElNHE_kN5RX-pEswU","Завантажити сертифікат")</f>
        <v>Завантажити сертифікат</v>
      </c>
    </row>
    <row r="3179" spans="1:6" x14ac:dyDescent="0.3">
      <c r="A3179" t="s">
        <v>6809</v>
      </c>
      <c r="B3179" t="s">
        <v>6</v>
      </c>
      <c r="C3179" t="s">
        <v>6810</v>
      </c>
      <c r="D3179" t="s">
        <v>6781</v>
      </c>
      <c r="E3179" t="s">
        <v>6782</v>
      </c>
      <c r="F3179" t="str">
        <f>HYPERLINK("https://talan.bank.gov.ua/get-user-certificate/45CElqYDpVsSR7HQS8uq","Завантажити сертифікат")</f>
        <v>Завантажити сертифікат</v>
      </c>
    </row>
    <row r="3180" spans="1:6" x14ac:dyDescent="0.3">
      <c r="A3180" t="s">
        <v>6811</v>
      </c>
      <c r="B3180" t="s">
        <v>6</v>
      </c>
      <c r="C3180" t="s">
        <v>6812</v>
      </c>
      <c r="D3180" t="s">
        <v>6781</v>
      </c>
      <c r="E3180" t="s">
        <v>6782</v>
      </c>
      <c r="F3180" t="str">
        <f>HYPERLINK("https://talan.bank.gov.ua/get-user-certificate/45CElxKHi9gz11LWvO8L","Завантажити сертифікат")</f>
        <v>Завантажити сертифікат</v>
      </c>
    </row>
    <row r="3181" spans="1:6" x14ac:dyDescent="0.3">
      <c r="A3181" t="s">
        <v>6813</v>
      </c>
      <c r="B3181" t="s">
        <v>6</v>
      </c>
      <c r="C3181" t="s">
        <v>6814</v>
      </c>
      <c r="D3181" t="s">
        <v>6781</v>
      </c>
      <c r="E3181" t="s">
        <v>6782</v>
      </c>
      <c r="F3181" t="str">
        <f>HYPERLINK("https://talan.bank.gov.ua/get-user-certificate/45CEl6874PKQUDSjeHXu","Завантажити сертифікат")</f>
        <v>Завантажити сертифікат</v>
      </c>
    </row>
    <row r="3182" spans="1:6" x14ac:dyDescent="0.3">
      <c r="A3182" t="s">
        <v>6815</v>
      </c>
      <c r="B3182" t="s">
        <v>6</v>
      </c>
      <c r="C3182" t="s">
        <v>6816</v>
      </c>
      <c r="D3182" t="s">
        <v>6781</v>
      </c>
      <c r="E3182" t="s">
        <v>6782</v>
      </c>
      <c r="F3182" t="str">
        <f>HYPERLINK("https://talan.bank.gov.ua/get-user-certificate/45CEl08glm-HNU6xPGhW","Завантажити сертифікат")</f>
        <v>Завантажити сертифікат</v>
      </c>
    </row>
    <row r="3183" spans="1:6" x14ac:dyDescent="0.3">
      <c r="A3183" t="s">
        <v>6817</v>
      </c>
      <c r="B3183" t="s">
        <v>6</v>
      </c>
      <c r="C3183" t="s">
        <v>6818</v>
      </c>
      <c r="D3183" t="s">
        <v>6781</v>
      </c>
      <c r="E3183" t="s">
        <v>6782</v>
      </c>
      <c r="F3183" t="str">
        <f>HYPERLINK("https://talan.bank.gov.ua/get-user-certificate/45CElGv13vUqecjLup_s","Завантажити сертифікат")</f>
        <v>Завантажити сертифікат</v>
      </c>
    </row>
    <row r="3184" spans="1:6" x14ac:dyDescent="0.3">
      <c r="A3184" t="s">
        <v>6819</v>
      </c>
      <c r="B3184" t="s">
        <v>6</v>
      </c>
      <c r="C3184" t="s">
        <v>6820</v>
      </c>
      <c r="D3184" t="s">
        <v>6821</v>
      </c>
      <c r="E3184" t="s">
        <v>6822</v>
      </c>
      <c r="F3184" t="str">
        <f>HYPERLINK("https://talan.bank.gov.ua/get-user-certificate/45CElqoVtXv9-BZA7NbK","Завантажити сертифікат")</f>
        <v>Завантажити сертифікат</v>
      </c>
    </row>
    <row r="3185" spans="1:6" x14ac:dyDescent="0.3">
      <c r="A3185" t="s">
        <v>6823</v>
      </c>
      <c r="B3185" t="s">
        <v>6</v>
      </c>
      <c r="C3185" t="s">
        <v>6824</v>
      </c>
      <c r="D3185" t="s">
        <v>6821</v>
      </c>
      <c r="E3185" t="s">
        <v>6822</v>
      </c>
      <c r="F3185" t="str">
        <f>HYPERLINK("https://talan.bank.gov.ua/get-user-certificate/45CElKxttIB9At8s3I7l","Завантажити сертифікат")</f>
        <v>Завантажити сертифікат</v>
      </c>
    </row>
    <row r="3186" spans="1:6" x14ac:dyDescent="0.3">
      <c r="A3186" t="s">
        <v>6825</v>
      </c>
      <c r="B3186" t="s">
        <v>6</v>
      </c>
      <c r="C3186" t="s">
        <v>6826</v>
      </c>
      <c r="D3186" t="s">
        <v>6821</v>
      </c>
      <c r="E3186" t="s">
        <v>6822</v>
      </c>
      <c r="F3186" t="str">
        <f>HYPERLINK("https://talan.bank.gov.ua/get-user-certificate/45CEl30NnviVQAC0bKw0","Завантажити сертифікат")</f>
        <v>Завантажити сертифікат</v>
      </c>
    </row>
    <row r="3187" spans="1:6" x14ac:dyDescent="0.3">
      <c r="A3187" t="s">
        <v>6827</v>
      </c>
      <c r="B3187" t="s">
        <v>6</v>
      </c>
      <c r="C3187" t="s">
        <v>6828</v>
      </c>
      <c r="D3187" t="s">
        <v>6821</v>
      </c>
      <c r="E3187" t="s">
        <v>6822</v>
      </c>
      <c r="F3187" t="str">
        <f>HYPERLINK("https://talan.bank.gov.ua/get-user-certificate/45CElY-vX7-sv2Dy-mjm","Завантажити сертифікат")</f>
        <v>Завантажити сертифікат</v>
      </c>
    </row>
    <row r="3188" spans="1:6" x14ac:dyDescent="0.3">
      <c r="A3188" t="s">
        <v>6829</v>
      </c>
      <c r="B3188" t="s">
        <v>6</v>
      </c>
      <c r="C3188" t="s">
        <v>6830</v>
      </c>
      <c r="D3188" t="s">
        <v>6821</v>
      </c>
      <c r="E3188" t="s">
        <v>6822</v>
      </c>
      <c r="F3188" t="str">
        <f>HYPERLINK("https://talan.bank.gov.ua/get-user-certificate/45CElzsClgJeQJ5NB0UV","Завантажити сертифікат")</f>
        <v>Завантажити сертифікат</v>
      </c>
    </row>
    <row r="3189" spans="1:6" x14ac:dyDescent="0.3">
      <c r="A3189" t="s">
        <v>6831</v>
      </c>
      <c r="B3189" t="s">
        <v>6</v>
      </c>
      <c r="C3189" t="s">
        <v>6832</v>
      </c>
      <c r="D3189" t="s">
        <v>6821</v>
      </c>
      <c r="E3189" t="s">
        <v>6822</v>
      </c>
      <c r="F3189" t="str">
        <f>HYPERLINK("https://talan.bank.gov.ua/get-user-certificate/45CEl_talXTP4kxBCUbw","Завантажити сертифікат")</f>
        <v>Завантажити сертифікат</v>
      </c>
    </row>
    <row r="3190" spans="1:6" x14ac:dyDescent="0.3">
      <c r="A3190" t="s">
        <v>6833</v>
      </c>
      <c r="B3190" t="s">
        <v>6</v>
      </c>
      <c r="C3190" t="s">
        <v>6834</v>
      </c>
      <c r="D3190" t="s">
        <v>6821</v>
      </c>
      <c r="E3190" t="s">
        <v>6822</v>
      </c>
      <c r="F3190" t="str">
        <f>HYPERLINK("https://talan.bank.gov.ua/get-user-certificate/45CElTuHzRaUe15184F1","Завантажити сертифікат")</f>
        <v>Завантажити сертифікат</v>
      </c>
    </row>
    <row r="3191" spans="1:6" x14ac:dyDescent="0.3">
      <c r="A3191" t="s">
        <v>6835</v>
      </c>
      <c r="B3191" t="s">
        <v>6</v>
      </c>
      <c r="C3191" t="s">
        <v>6836</v>
      </c>
      <c r="D3191" t="s">
        <v>6821</v>
      </c>
      <c r="E3191" t="s">
        <v>6822</v>
      </c>
      <c r="F3191" t="str">
        <f>HYPERLINK("https://talan.bank.gov.ua/get-user-certificate/45CElIzR5tZZlrfaQYSw","Завантажити сертифікат")</f>
        <v>Завантажити сертифікат</v>
      </c>
    </row>
    <row r="3192" spans="1:6" x14ac:dyDescent="0.3">
      <c r="A3192" t="s">
        <v>6837</v>
      </c>
      <c r="B3192" t="s">
        <v>6</v>
      </c>
      <c r="C3192" t="s">
        <v>6838</v>
      </c>
      <c r="D3192" t="s">
        <v>6821</v>
      </c>
      <c r="E3192" t="s">
        <v>6822</v>
      </c>
      <c r="F3192" t="str">
        <f>HYPERLINK("https://talan.bank.gov.ua/get-user-certificate/45CEls-5l0-qlQ86d0gy","Завантажити сертифікат")</f>
        <v>Завантажити сертифікат</v>
      </c>
    </row>
    <row r="3193" spans="1:6" x14ac:dyDescent="0.3">
      <c r="A3193" t="s">
        <v>6839</v>
      </c>
      <c r="B3193" t="s">
        <v>6</v>
      </c>
      <c r="C3193" t="s">
        <v>6840</v>
      </c>
      <c r="D3193" t="s">
        <v>6821</v>
      </c>
      <c r="E3193" t="s">
        <v>6822</v>
      </c>
      <c r="F3193" t="str">
        <f>HYPERLINK("https://talan.bank.gov.ua/get-user-certificate/45CEl7W0lizkMf3Qym_E","Завантажити сертифікат")</f>
        <v>Завантажити сертифікат</v>
      </c>
    </row>
    <row r="3194" spans="1:6" x14ac:dyDescent="0.3">
      <c r="A3194" t="s">
        <v>6841</v>
      </c>
      <c r="B3194" t="s">
        <v>6</v>
      </c>
      <c r="C3194" t="s">
        <v>6842</v>
      </c>
      <c r="D3194" t="s">
        <v>6821</v>
      </c>
      <c r="E3194" t="s">
        <v>6822</v>
      </c>
      <c r="F3194" t="str">
        <f>HYPERLINK("https://talan.bank.gov.ua/get-user-certificate/45CElpHeRHV_Rd3I8xxt","Завантажити сертифікат")</f>
        <v>Завантажити сертифікат</v>
      </c>
    </row>
    <row r="3195" spans="1:6" x14ac:dyDescent="0.3">
      <c r="A3195" t="s">
        <v>6843</v>
      </c>
      <c r="B3195" t="s">
        <v>6</v>
      </c>
      <c r="C3195" t="s">
        <v>6844</v>
      </c>
      <c r="D3195" t="s">
        <v>6821</v>
      </c>
      <c r="E3195" t="s">
        <v>6822</v>
      </c>
      <c r="F3195" t="str">
        <f>HYPERLINK("https://talan.bank.gov.ua/get-user-certificate/45CEl9F3udv0OutkcU_5","Завантажити сертифікат")</f>
        <v>Завантажити сертифікат</v>
      </c>
    </row>
    <row r="3196" spans="1:6" x14ac:dyDescent="0.3">
      <c r="A3196" t="s">
        <v>6845</v>
      </c>
      <c r="B3196" t="s">
        <v>6</v>
      </c>
      <c r="C3196" t="s">
        <v>6846</v>
      </c>
      <c r="D3196" t="s">
        <v>6821</v>
      </c>
      <c r="E3196" t="s">
        <v>6822</v>
      </c>
      <c r="F3196" t="str">
        <f>HYPERLINK("https://talan.bank.gov.ua/get-user-certificate/45CElvFei2M2BtyWNJbq","Завантажити сертифікат")</f>
        <v>Завантажити сертифікат</v>
      </c>
    </row>
    <row r="3197" spans="1:6" x14ac:dyDescent="0.3">
      <c r="A3197" t="s">
        <v>6847</v>
      </c>
      <c r="B3197" t="s">
        <v>6</v>
      </c>
      <c r="C3197" t="s">
        <v>6848</v>
      </c>
      <c r="D3197" t="s">
        <v>6821</v>
      </c>
      <c r="E3197" t="s">
        <v>6822</v>
      </c>
      <c r="F3197" t="str">
        <f>HYPERLINK("https://talan.bank.gov.ua/get-user-certificate/45CElE_K4iuX65DfbXF4","Завантажити сертифікат")</f>
        <v>Завантажити сертифікат</v>
      </c>
    </row>
    <row r="3198" spans="1:6" x14ac:dyDescent="0.3">
      <c r="A3198" t="s">
        <v>6849</v>
      </c>
      <c r="B3198" t="s">
        <v>6</v>
      </c>
      <c r="C3198" t="s">
        <v>6850</v>
      </c>
      <c r="D3198" t="s">
        <v>6821</v>
      </c>
      <c r="E3198" t="s">
        <v>6822</v>
      </c>
      <c r="F3198" t="str">
        <f>HYPERLINK("https://talan.bank.gov.ua/get-user-certificate/45CEls1m8HDY26dhJ-8s","Завантажити сертифікат")</f>
        <v>Завантажити сертифікат</v>
      </c>
    </row>
    <row r="3199" spans="1:6" x14ac:dyDescent="0.3">
      <c r="A3199" t="s">
        <v>6851</v>
      </c>
      <c r="B3199" t="s">
        <v>6</v>
      </c>
      <c r="C3199" t="s">
        <v>6852</v>
      </c>
      <c r="D3199" t="s">
        <v>6821</v>
      </c>
      <c r="E3199" t="s">
        <v>6822</v>
      </c>
      <c r="F3199" t="str">
        <f>HYPERLINK("https://talan.bank.gov.ua/get-user-certificate/45CElgfl99P8Tzpc6eVi","Завантажити сертифікат")</f>
        <v>Завантажити сертифікат</v>
      </c>
    </row>
    <row r="3200" spans="1:6" x14ac:dyDescent="0.3">
      <c r="A3200" t="s">
        <v>6853</v>
      </c>
      <c r="B3200" t="s">
        <v>6</v>
      </c>
      <c r="C3200" t="s">
        <v>6854</v>
      </c>
      <c r="D3200" t="s">
        <v>6821</v>
      </c>
      <c r="E3200" t="s">
        <v>6822</v>
      </c>
      <c r="F3200" t="str">
        <f>HYPERLINK("https://talan.bank.gov.ua/get-user-certificate/45CElFSLhvb8DgKyGlzz","Завантажити сертифікат")</f>
        <v>Завантажити сертифікат</v>
      </c>
    </row>
    <row r="3201" spans="1:6" x14ac:dyDescent="0.3">
      <c r="A3201" t="s">
        <v>6855</v>
      </c>
      <c r="B3201" t="s">
        <v>6</v>
      </c>
      <c r="C3201" t="s">
        <v>6856</v>
      </c>
      <c r="D3201" t="s">
        <v>6821</v>
      </c>
      <c r="E3201" t="s">
        <v>6822</v>
      </c>
      <c r="F3201" t="str">
        <f>HYPERLINK("https://talan.bank.gov.ua/get-user-certificate/45CEliks5F324BenqAmq","Завантажити сертифікат")</f>
        <v>Завантажити сертифікат</v>
      </c>
    </row>
    <row r="3202" spans="1:6" x14ac:dyDescent="0.3">
      <c r="A3202" t="s">
        <v>6857</v>
      </c>
      <c r="B3202" t="s">
        <v>6</v>
      </c>
      <c r="C3202" t="s">
        <v>6858</v>
      </c>
      <c r="D3202" t="s">
        <v>6821</v>
      </c>
      <c r="E3202" t="s">
        <v>6822</v>
      </c>
      <c r="F3202" t="str">
        <f>HYPERLINK("https://talan.bank.gov.ua/get-user-certificate/45CElg-A6TNXqv4j2ieb","Завантажити сертифікат")</f>
        <v>Завантажити сертифікат</v>
      </c>
    </row>
    <row r="3203" spans="1:6" x14ac:dyDescent="0.3">
      <c r="A3203" t="s">
        <v>6859</v>
      </c>
      <c r="B3203" t="s">
        <v>6</v>
      </c>
      <c r="C3203" t="s">
        <v>6860</v>
      </c>
      <c r="D3203" t="s">
        <v>6821</v>
      </c>
      <c r="E3203" t="s">
        <v>6822</v>
      </c>
      <c r="F3203" t="str">
        <f>HYPERLINK("https://talan.bank.gov.ua/get-user-certificate/45CElOZmgYy43mdGKbon","Завантажити сертифікат")</f>
        <v>Завантажити сертифікат</v>
      </c>
    </row>
    <row r="3204" spans="1:6" x14ac:dyDescent="0.3">
      <c r="A3204" t="s">
        <v>6861</v>
      </c>
      <c r="B3204" t="s">
        <v>6</v>
      </c>
      <c r="C3204" t="s">
        <v>6862</v>
      </c>
      <c r="D3204" t="s">
        <v>6821</v>
      </c>
      <c r="E3204" t="s">
        <v>6822</v>
      </c>
      <c r="F3204" t="str">
        <f>HYPERLINK("https://talan.bank.gov.ua/get-user-certificate/45CElq0SO2nblRtcBUzY","Завантажити сертифікат")</f>
        <v>Завантажити сертифікат</v>
      </c>
    </row>
    <row r="3205" spans="1:6" x14ac:dyDescent="0.3">
      <c r="A3205" t="s">
        <v>6863</v>
      </c>
      <c r="B3205" t="s">
        <v>6</v>
      </c>
      <c r="C3205" t="s">
        <v>6864</v>
      </c>
      <c r="D3205" t="s">
        <v>6821</v>
      </c>
      <c r="E3205" t="s">
        <v>6822</v>
      </c>
      <c r="F3205" t="str">
        <f>HYPERLINK("https://talan.bank.gov.ua/get-user-certificate/45CEluxq0rbAdzy5LwhM","Завантажити сертифікат")</f>
        <v>Завантажити сертифікат</v>
      </c>
    </row>
    <row r="3206" spans="1:6" x14ac:dyDescent="0.3">
      <c r="A3206" t="s">
        <v>6865</v>
      </c>
      <c r="B3206" t="s">
        <v>6</v>
      </c>
      <c r="C3206" t="s">
        <v>6866</v>
      </c>
      <c r="D3206" t="s">
        <v>6821</v>
      </c>
      <c r="E3206" t="s">
        <v>6822</v>
      </c>
      <c r="F3206" t="str">
        <f>HYPERLINK("https://talan.bank.gov.ua/get-user-certificate/45CElVwCuY1ZztqrN2FL","Завантажити сертифікат")</f>
        <v>Завантажити сертифікат</v>
      </c>
    </row>
    <row r="3207" spans="1:6" x14ac:dyDescent="0.3">
      <c r="A3207" t="s">
        <v>6867</v>
      </c>
      <c r="B3207" t="s">
        <v>6</v>
      </c>
      <c r="C3207" t="s">
        <v>6868</v>
      </c>
      <c r="D3207" t="s">
        <v>6869</v>
      </c>
      <c r="E3207" t="s">
        <v>6870</v>
      </c>
      <c r="F3207" t="str">
        <f>HYPERLINK("https://talan.bank.gov.ua/get-user-certificate/45CElkfDP_7i9ucGZW_x","Завантажити сертифікат")</f>
        <v>Завантажити сертифікат</v>
      </c>
    </row>
    <row r="3208" spans="1:6" x14ac:dyDescent="0.3">
      <c r="A3208" t="s">
        <v>6871</v>
      </c>
      <c r="B3208" t="s">
        <v>6</v>
      </c>
      <c r="C3208" t="s">
        <v>6872</v>
      </c>
      <c r="D3208" t="s">
        <v>6869</v>
      </c>
      <c r="E3208" t="s">
        <v>6870</v>
      </c>
      <c r="F3208" t="str">
        <f>HYPERLINK("https://talan.bank.gov.ua/get-user-certificate/45CElGaeWUX9K0yiESai","Завантажити сертифікат")</f>
        <v>Завантажити сертифікат</v>
      </c>
    </row>
    <row r="3209" spans="1:6" x14ac:dyDescent="0.3">
      <c r="A3209" t="s">
        <v>6873</v>
      </c>
      <c r="B3209" t="s">
        <v>6</v>
      </c>
      <c r="C3209" t="s">
        <v>6874</v>
      </c>
      <c r="D3209" t="s">
        <v>6869</v>
      </c>
      <c r="E3209" t="s">
        <v>6870</v>
      </c>
      <c r="F3209" t="str">
        <f>HYPERLINK("https://talan.bank.gov.ua/get-user-certificate/45CElWrIyXNZQp1h7WhO","Завантажити сертифікат")</f>
        <v>Завантажити сертифікат</v>
      </c>
    </row>
    <row r="3210" spans="1:6" x14ac:dyDescent="0.3">
      <c r="A3210" t="s">
        <v>6875</v>
      </c>
      <c r="B3210" t="s">
        <v>6</v>
      </c>
      <c r="C3210" t="s">
        <v>6876</v>
      </c>
      <c r="D3210" t="s">
        <v>6869</v>
      </c>
      <c r="E3210" t="s">
        <v>6870</v>
      </c>
      <c r="F3210" t="str">
        <f>HYPERLINK("https://talan.bank.gov.ua/get-user-certificate/45CElhCLvRogcbPJuVla","Завантажити сертифікат")</f>
        <v>Завантажити сертифікат</v>
      </c>
    </row>
    <row r="3211" spans="1:6" x14ac:dyDescent="0.3">
      <c r="A3211" t="s">
        <v>6877</v>
      </c>
      <c r="B3211" t="s">
        <v>6</v>
      </c>
      <c r="C3211" t="s">
        <v>6878</v>
      </c>
      <c r="D3211" t="s">
        <v>6869</v>
      </c>
      <c r="E3211" t="s">
        <v>6870</v>
      </c>
      <c r="F3211" t="str">
        <f>HYPERLINK("https://talan.bank.gov.ua/get-user-certificate/45CElH0Ad4nKU6XMS6_n","Завантажити сертифікат")</f>
        <v>Завантажити сертифікат</v>
      </c>
    </row>
    <row r="3212" spans="1:6" x14ac:dyDescent="0.3">
      <c r="A3212" t="s">
        <v>6879</v>
      </c>
      <c r="B3212" t="s">
        <v>6</v>
      </c>
      <c r="C3212" t="s">
        <v>6880</v>
      </c>
      <c r="D3212" t="s">
        <v>6869</v>
      </c>
      <c r="E3212" t="s">
        <v>6870</v>
      </c>
      <c r="F3212" t="str">
        <f>HYPERLINK("https://talan.bank.gov.ua/get-user-certificate/45CEl9HmVls0SnCXRVCK","Завантажити сертифікат")</f>
        <v>Завантажити сертифікат</v>
      </c>
    </row>
    <row r="3213" spans="1:6" x14ac:dyDescent="0.3">
      <c r="A3213" t="s">
        <v>6881</v>
      </c>
      <c r="B3213" t="s">
        <v>6</v>
      </c>
      <c r="C3213" t="s">
        <v>6882</v>
      </c>
      <c r="D3213" t="s">
        <v>6869</v>
      </c>
      <c r="E3213" t="s">
        <v>6870</v>
      </c>
      <c r="F3213" t="str">
        <f>HYPERLINK("https://talan.bank.gov.ua/get-user-certificate/45CEl3TA2IIGzViMghZF","Завантажити сертифікат")</f>
        <v>Завантажити сертифікат</v>
      </c>
    </row>
    <row r="3214" spans="1:6" x14ac:dyDescent="0.3">
      <c r="A3214" t="s">
        <v>6883</v>
      </c>
      <c r="B3214" t="s">
        <v>6</v>
      </c>
      <c r="C3214" t="s">
        <v>6884</v>
      </c>
      <c r="D3214" t="s">
        <v>6869</v>
      </c>
      <c r="E3214" t="s">
        <v>6870</v>
      </c>
      <c r="F3214" t="str">
        <f>HYPERLINK("https://talan.bank.gov.ua/get-user-certificate/45CEl2N9pvbZqHNIIUuU","Завантажити сертифікат")</f>
        <v>Завантажити сертифікат</v>
      </c>
    </row>
    <row r="3215" spans="1:6" x14ac:dyDescent="0.3">
      <c r="A3215" t="s">
        <v>6885</v>
      </c>
      <c r="B3215" t="s">
        <v>6</v>
      </c>
      <c r="C3215" t="s">
        <v>6886</v>
      </c>
      <c r="D3215" t="s">
        <v>6869</v>
      </c>
      <c r="E3215" t="s">
        <v>6870</v>
      </c>
      <c r="F3215" t="str">
        <f>HYPERLINK("https://talan.bank.gov.ua/get-user-certificate/45CElWqOvIJR3mB206bK","Завантажити сертифікат")</f>
        <v>Завантажити сертифікат</v>
      </c>
    </row>
    <row r="3216" spans="1:6" x14ac:dyDescent="0.3">
      <c r="A3216" t="s">
        <v>6887</v>
      </c>
      <c r="B3216" t="s">
        <v>6</v>
      </c>
      <c r="C3216" t="s">
        <v>6888</v>
      </c>
      <c r="D3216" t="s">
        <v>6869</v>
      </c>
      <c r="E3216" t="s">
        <v>6870</v>
      </c>
      <c r="F3216" t="str">
        <f>HYPERLINK("https://talan.bank.gov.ua/get-user-certificate/45CEl7woToEOWA12Bb9m","Завантажити сертифікат")</f>
        <v>Завантажити сертифікат</v>
      </c>
    </row>
    <row r="3217" spans="1:6" x14ac:dyDescent="0.3">
      <c r="A3217" t="s">
        <v>6889</v>
      </c>
      <c r="B3217" t="s">
        <v>6</v>
      </c>
      <c r="C3217" t="s">
        <v>6890</v>
      </c>
      <c r="D3217" t="s">
        <v>6869</v>
      </c>
      <c r="E3217" t="s">
        <v>6870</v>
      </c>
      <c r="F3217" t="str">
        <f>HYPERLINK("https://talan.bank.gov.ua/get-user-certificate/45CElkeqO5TM6E0xoZWC","Завантажити сертифікат")</f>
        <v>Завантажити сертифікат</v>
      </c>
    </row>
    <row r="3218" spans="1:6" x14ac:dyDescent="0.3">
      <c r="A3218" t="s">
        <v>6891</v>
      </c>
      <c r="B3218" t="s">
        <v>6</v>
      </c>
      <c r="C3218" t="s">
        <v>6892</v>
      </c>
      <c r="D3218" t="s">
        <v>6869</v>
      </c>
      <c r="E3218" t="s">
        <v>6870</v>
      </c>
      <c r="F3218" t="str">
        <f>HYPERLINK("https://talan.bank.gov.ua/get-user-certificate/45CEl7X-r2PL2EeimplS","Завантажити сертифікат")</f>
        <v>Завантажити сертифікат</v>
      </c>
    </row>
    <row r="3219" spans="1:6" x14ac:dyDescent="0.3">
      <c r="A3219" t="s">
        <v>6893</v>
      </c>
      <c r="B3219" t="s">
        <v>6</v>
      </c>
      <c r="C3219" t="s">
        <v>6894</v>
      </c>
      <c r="D3219" t="s">
        <v>6869</v>
      </c>
      <c r="E3219" t="s">
        <v>6870</v>
      </c>
      <c r="F3219" t="str">
        <f>HYPERLINK("https://talan.bank.gov.ua/get-user-certificate/45CEl-p7wZjeMl0V9bwm","Завантажити сертифікат")</f>
        <v>Завантажити сертифікат</v>
      </c>
    </row>
    <row r="3220" spans="1:6" x14ac:dyDescent="0.3">
      <c r="A3220" t="s">
        <v>6895</v>
      </c>
      <c r="B3220" t="s">
        <v>6</v>
      </c>
      <c r="C3220" t="s">
        <v>6896</v>
      </c>
      <c r="D3220" t="s">
        <v>6869</v>
      </c>
      <c r="E3220" t="s">
        <v>6870</v>
      </c>
      <c r="F3220" t="str">
        <f>HYPERLINK("https://talan.bank.gov.ua/get-user-certificate/45CElOsLY0j3MfIH7uB5","Завантажити сертифікат")</f>
        <v>Завантажити сертифікат</v>
      </c>
    </row>
    <row r="3221" spans="1:6" x14ac:dyDescent="0.3">
      <c r="A3221" t="s">
        <v>6897</v>
      </c>
      <c r="B3221" t="s">
        <v>6</v>
      </c>
      <c r="C3221" t="s">
        <v>6898</v>
      </c>
      <c r="D3221" t="s">
        <v>6869</v>
      </c>
      <c r="E3221" t="s">
        <v>6870</v>
      </c>
      <c r="F3221" t="str">
        <f>HYPERLINK("https://talan.bank.gov.ua/get-user-certificate/45CEllnaAU9T2gUg0OpP","Завантажити сертифікат")</f>
        <v>Завантажити сертифікат</v>
      </c>
    </row>
    <row r="3222" spans="1:6" x14ac:dyDescent="0.3">
      <c r="A3222" t="s">
        <v>6899</v>
      </c>
      <c r="B3222" t="s">
        <v>6</v>
      </c>
      <c r="C3222" t="s">
        <v>6900</v>
      </c>
      <c r="D3222" t="s">
        <v>6869</v>
      </c>
      <c r="E3222" t="s">
        <v>6870</v>
      </c>
      <c r="F3222" t="str">
        <f>HYPERLINK("https://talan.bank.gov.ua/get-user-certificate/45CElbdiJt8xQfnHuW9X","Завантажити сертифікат")</f>
        <v>Завантажити сертифікат</v>
      </c>
    </row>
    <row r="3223" spans="1:6" x14ac:dyDescent="0.3">
      <c r="A3223" t="s">
        <v>6901</v>
      </c>
      <c r="B3223" t="s">
        <v>6</v>
      </c>
      <c r="C3223" t="s">
        <v>6902</v>
      </c>
      <c r="D3223" t="s">
        <v>6869</v>
      </c>
      <c r="E3223" t="s">
        <v>6870</v>
      </c>
      <c r="F3223" t="str">
        <f>HYPERLINK("https://talan.bank.gov.ua/get-user-certificate/45CEl8V3u8yhtqsGYL4u","Завантажити сертифікат")</f>
        <v>Завантажити сертифікат</v>
      </c>
    </row>
    <row r="3224" spans="1:6" x14ac:dyDescent="0.3">
      <c r="A3224" t="s">
        <v>6903</v>
      </c>
      <c r="B3224" t="s">
        <v>6</v>
      </c>
      <c r="C3224" t="s">
        <v>6904</v>
      </c>
      <c r="D3224" t="s">
        <v>6869</v>
      </c>
      <c r="E3224" t="s">
        <v>6870</v>
      </c>
      <c r="F3224" t="str">
        <f>HYPERLINK("https://talan.bank.gov.ua/get-user-certificate/45CElAFTWY4wgyZkUUyG","Завантажити сертифікат")</f>
        <v>Завантажити сертифікат</v>
      </c>
    </row>
    <row r="3225" spans="1:6" x14ac:dyDescent="0.3">
      <c r="A3225" t="s">
        <v>6905</v>
      </c>
      <c r="B3225" t="s">
        <v>6</v>
      </c>
      <c r="C3225" t="s">
        <v>6906</v>
      </c>
      <c r="D3225" t="s">
        <v>6869</v>
      </c>
      <c r="E3225" t="s">
        <v>6870</v>
      </c>
      <c r="F3225" t="str">
        <f>HYPERLINK("https://talan.bank.gov.ua/get-user-certificate/45CElpkA04L2JhY_Jpgt","Завантажити сертифікат")</f>
        <v>Завантажити сертифікат</v>
      </c>
    </row>
    <row r="3226" spans="1:6" x14ac:dyDescent="0.3">
      <c r="A3226" t="s">
        <v>6907</v>
      </c>
      <c r="B3226" t="s">
        <v>6</v>
      </c>
      <c r="C3226" t="s">
        <v>6908</v>
      </c>
      <c r="D3226" t="s">
        <v>6869</v>
      </c>
      <c r="E3226" t="s">
        <v>6870</v>
      </c>
      <c r="F3226" t="str">
        <f>HYPERLINK("https://talan.bank.gov.ua/get-user-certificate/45CElFR4sRSlr0RbHbba","Завантажити сертифікат")</f>
        <v>Завантажити сертифікат</v>
      </c>
    </row>
    <row r="3227" spans="1:6" x14ac:dyDescent="0.3">
      <c r="A3227" t="s">
        <v>6909</v>
      </c>
      <c r="B3227" t="s">
        <v>6</v>
      </c>
      <c r="C3227" t="s">
        <v>6910</v>
      </c>
      <c r="D3227" t="s">
        <v>6869</v>
      </c>
      <c r="E3227" t="s">
        <v>6870</v>
      </c>
      <c r="F3227" t="str">
        <f>HYPERLINK("https://talan.bank.gov.ua/get-user-certificate/45CElaSpX_CyelDrS1Wi","Завантажити сертифікат")</f>
        <v>Завантажити сертифікат</v>
      </c>
    </row>
    <row r="3228" spans="1:6" x14ac:dyDescent="0.3">
      <c r="A3228" t="s">
        <v>6911</v>
      </c>
      <c r="B3228" t="s">
        <v>6</v>
      </c>
      <c r="C3228" t="s">
        <v>6912</v>
      </c>
      <c r="D3228" t="s">
        <v>6869</v>
      </c>
      <c r="E3228" t="s">
        <v>6870</v>
      </c>
      <c r="F3228" t="str">
        <f>HYPERLINK("https://talan.bank.gov.ua/get-user-certificate/45CElznuHEbs1lae8Lr8","Завантажити сертифікат")</f>
        <v>Завантажити сертифікат</v>
      </c>
    </row>
    <row r="3229" spans="1:6" x14ac:dyDescent="0.3">
      <c r="A3229" t="s">
        <v>6913</v>
      </c>
      <c r="B3229" t="s">
        <v>6</v>
      </c>
      <c r="C3229" t="s">
        <v>6914</v>
      </c>
      <c r="D3229" t="s">
        <v>6869</v>
      </c>
      <c r="E3229" t="s">
        <v>6870</v>
      </c>
      <c r="F3229" t="str">
        <f>HYPERLINK("https://talan.bank.gov.ua/get-user-certificate/45CEl7HcPCG-0DESry2z","Завантажити сертифікат")</f>
        <v>Завантажити сертифікат</v>
      </c>
    </row>
    <row r="3230" spans="1:6" x14ac:dyDescent="0.3">
      <c r="A3230" t="s">
        <v>6915</v>
      </c>
      <c r="B3230" t="s">
        <v>6</v>
      </c>
      <c r="C3230" t="s">
        <v>6916</v>
      </c>
      <c r="D3230" t="s">
        <v>6869</v>
      </c>
      <c r="E3230" t="s">
        <v>6870</v>
      </c>
      <c r="F3230" t="str">
        <f>HYPERLINK("https://talan.bank.gov.ua/get-user-certificate/45CElAJ8ZRMKJjdj3SLB","Завантажити сертифікат")</f>
        <v>Завантажити сертифікат</v>
      </c>
    </row>
    <row r="3231" spans="1:6" x14ac:dyDescent="0.3">
      <c r="A3231" t="s">
        <v>6917</v>
      </c>
      <c r="B3231" t="s">
        <v>6</v>
      </c>
      <c r="C3231" t="s">
        <v>6918</v>
      </c>
      <c r="D3231" t="s">
        <v>6869</v>
      </c>
      <c r="E3231" t="s">
        <v>6870</v>
      </c>
      <c r="F3231" t="str">
        <f>HYPERLINK("https://talan.bank.gov.ua/get-user-certificate/45CElUEOS0PX86YFomTX","Завантажити сертифікат")</f>
        <v>Завантажити сертифікат</v>
      </c>
    </row>
    <row r="3232" spans="1:6" x14ac:dyDescent="0.3">
      <c r="A3232" t="s">
        <v>6919</v>
      </c>
      <c r="B3232" t="s">
        <v>6</v>
      </c>
      <c r="C3232" t="s">
        <v>6920</v>
      </c>
      <c r="D3232" t="s">
        <v>6869</v>
      </c>
      <c r="E3232" t="s">
        <v>6870</v>
      </c>
      <c r="F3232" t="str">
        <f>HYPERLINK("https://talan.bank.gov.ua/get-user-certificate/45CEluTL2GYBqKnhubig","Завантажити сертифікат")</f>
        <v>Завантажити сертифікат</v>
      </c>
    </row>
    <row r="3233" spans="1:6" x14ac:dyDescent="0.3">
      <c r="A3233" t="s">
        <v>6921</v>
      </c>
      <c r="B3233" t="s">
        <v>6</v>
      </c>
      <c r="C3233" t="s">
        <v>6922</v>
      </c>
      <c r="D3233" t="s">
        <v>6869</v>
      </c>
      <c r="E3233" t="s">
        <v>6870</v>
      </c>
      <c r="F3233" t="str">
        <f>HYPERLINK("https://talan.bank.gov.ua/get-user-certificate/45CElg5bbGyrtNCM_6GJ","Завантажити сертифікат")</f>
        <v>Завантажити сертифікат</v>
      </c>
    </row>
    <row r="3234" spans="1:6" x14ac:dyDescent="0.3">
      <c r="A3234" t="s">
        <v>6923</v>
      </c>
      <c r="B3234" t="s">
        <v>6</v>
      </c>
      <c r="C3234" t="s">
        <v>6924</v>
      </c>
      <c r="D3234" t="s">
        <v>6869</v>
      </c>
      <c r="E3234" t="s">
        <v>6870</v>
      </c>
      <c r="F3234" t="str">
        <f>HYPERLINK("https://talan.bank.gov.ua/get-user-certificate/45CElgQzOZunnvUmvXB8","Завантажити сертифікат")</f>
        <v>Завантажити сертифікат</v>
      </c>
    </row>
    <row r="3235" spans="1:6" x14ac:dyDescent="0.3">
      <c r="A3235" t="s">
        <v>6925</v>
      </c>
      <c r="B3235" t="s">
        <v>6</v>
      </c>
      <c r="C3235" t="s">
        <v>6926</v>
      </c>
      <c r="D3235" t="s">
        <v>6869</v>
      </c>
      <c r="E3235" t="s">
        <v>6870</v>
      </c>
      <c r="F3235" t="str">
        <f>HYPERLINK("https://talan.bank.gov.ua/get-user-certificate/45CElWwc0subQghkW2pr","Завантажити сертифікат")</f>
        <v>Завантажити сертифікат</v>
      </c>
    </row>
    <row r="3236" spans="1:6" x14ac:dyDescent="0.3">
      <c r="A3236" t="s">
        <v>6927</v>
      </c>
      <c r="B3236" t="s">
        <v>6</v>
      </c>
      <c r="C3236" t="s">
        <v>6928</v>
      </c>
      <c r="D3236" t="s">
        <v>6869</v>
      </c>
      <c r="E3236" t="s">
        <v>6870</v>
      </c>
      <c r="F3236" t="str">
        <f>HYPERLINK("https://talan.bank.gov.ua/get-user-certificate/45CElQfwJqWDanthyLaF","Завантажити сертифікат")</f>
        <v>Завантажити сертифікат</v>
      </c>
    </row>
    <row r="3237" spans="1:6" x14ac:dyDescent="0.3">
      <c r="A3237" t="s">
        <v>6929</v>
      </c>
      <c r="B3237" t="s">
        <v>6</v>
      </c>
      <c r="C3237" t="s">
        <v>6930</v>
      </c>
      <c r="D3237" t="s">
        <v>6931</v>
      </c>
      <c r="E3237" t="s">
        <v>6932</v>
      </c>
      <c r="F3237" t="str">
        <f>HYPERLINK("https://talan.bank.gov.ua/get-user-certificate/45CEl8tnj2xQU4OvlQAE","Завантажити сертифікат")</f>
        <v>Завантажити сертифікат</v>
      </c>
    </row>
    <row r="3238" spans="1:6" x14ac:dyDescent="0.3">
      <c r="A3238" t="s">
        <v>6933</v>
      </c>
      <c r="B3238" t="s">
        <v>6</v>
      </c>
      <c r="C3238" t="s">
        <v>6934</v>
      </c>
      <c r="D3238" t="s">
        <v>6931</v>
      </c>
      <c r="E3238" t="s">
        <v>6932</v>
      </c>
      <c r="F3238" t="str">
        <f>HYPERLINK("https://talan.bank.gov.ua/get-user-certificate/45CElIURkHIcq0OIcgJk","Завантажити сертифікат")</f>
        <v>Завантажити сертифікат</v>
      </c>
    </row>
    <row r="3239" spans="1:6" x14ac:dyDescent="0.3">
      <c r="A3239" t="s">
        <v>6935</v>
      </c>
      <c r="B3239" t="s">
        <v>6</v>
      </c>
      <c r="C3239" t="s">
        <v>6936</v>
      </c>
      <c r="D3239" t="s">
        <v>6931</v>
      </c>
      <c r="E3239" t="s">
        <v>6932</v>
      </c>
      <c r="F3239" t="str">
        <f>HYPERLINK("https://talan.bank.gov.ua/get-user-certificate/45CElUTlvMgFG9a_guKh","Завантажити сертифікат")</f>
        <v>Завантажити сертифікат</v>
      </c>
    </row>
    <row r="3240" spans="1:6" x14ac:dyDescent="0.3">
      <c r="A3240" t="s">
        <v>6937</v>
      </c>
      <c r="B3240" t="s">
        <v>6</v>
      </c>
      <c r="C3240" t="s">
        <v>6938</v>
      </c>
      <c r="D3240" t="s">
        <v>6931</v>
      </c>
      <c r="E3240" t="s">
        <v>6932</v>
      </c>
      <c r="F3240" t="str">
        <f>HYPERLINK("https://talan.bank.gov.ua/get-user-certificate/45CElv3fBCmfAGnRz1ly","Завантажити сертифікат")</f>
        <v>Завантажити сертифікат</v>
      </c>
    </row>
    <row r="3241" spans="1:6" x14ac:dyDescent="0.3">
      <c r="A3241" t="s">
        <v>6939</v>
      </c>
      <c r="B3241" t="s">
        <v>6</v>
      </c>
      <c r="C3241" t="s">
        <v>6940</v>
      </c>
      <c r="D3241" t="s">
        <v>6931</v>
      </c>
      <c r="E3241" t="s">
        <v>6932</v>
      </c>
      <c r="F3241" t="str">
        <f>HYPERLINK("https://talan.bank.gov.ua/get-user-certificate/45CElqHOFcnpBXBZrpS8","Завантажити сертифікат")</f>
        <v>Завантажити сертифікат</v>
      </c>
    </row>
    <row r="3242" spans="1:6" x14ac:dyDescent="0.3">
      <c r="A3242" t="s">
        <v>6941</v>
      </c>
      <c r="B3242" t="s">
        <v>6</v>
      </c>
      <c r="C3242" t="s">
        <v>6942</v>
      </c>
      <c r="D3242" t="s">
        <v>6931</v>
      </c>
      <c r="E3242" t="s">
        <v>6932</v>
      </c>
      <c r="F3242" t="str">
        <f>HYPERLINK("https://talan.bank.gov.ua/get-user-certificate/45CEle0m3khd63A-GARw","Завантажити сертифікат")</f>
        <v>Завантажити сертифікат</v>
      </c>
    </row>
    <row r="3243" spans="1:6" x14ac:dyDescent="0.3">
      <c r="A3243" t="s">
        <v>6943</v>
      </c>
      <c r="B3243" t="s">
        <v>6</v>
      </c>
      <c r="C3243" t="s">
        <v>6944</v>
      </c>
      <c r="D3243" t="s">
        <v>6931</v>
      </c>
      <c r="E3243" t="s">
        <v>6932</v>
      </c>
      <c r="F3243" t="str">
        <f>HYPERLINK("https://talan.bank.gov.ua/get-user-certificate/45CElQC0Kfo-RunXMQgc","Завантажити сертифікат")</f>
        <v>Завантажити сертифікат</v>
      </c>
    </row>
    <row r="3244" spans="1:6" x14ac:dyDescent="0.3">
      <c r="A3244" t="s">
        <v>6945</v>
      </c>
      <c r="B3244" t="s">
        <v>6</v>
      </c>
      <c r="C3244" t="s">
        <v>6946</v>
      </c>
      <c r="D3244" t="s">
        <v>6931</v>
      </c>
      <c r="E3244" t="s">
        <v>6932</v>
      </c>
      <c r="F3244" t="str">
        <f>HYPERLINK("https://talan.bank.gov.ua/get-user-certificate/45CElynZk88TTUQugUL9","Завантажити сертифікат")</f>
        <v>Завантажити сертифікат</v>
      </c>
    </row>
    <row r="3245" spans="1:6" x14ac:dyDescent="0.3">
      <c r="A3245" t="s">
        <v>6947</v>
      </c>
      <c r="B3245" t="s">
        <v>6</v>
      </c>
      <c r="C3245" t="s">
        <v>6948</v>
      </c>
      <c r="D3245" t="s">
        <v>6931</v>
      </c>
      <c r="E3245" t="s">
        <v>6932</v>
      </c>
      <c r="F3245" t="str">
        <f>HYPERLINK("https://talan.bank.gov.ua/get-user-certificate/45CEl43nXFVtm2Y6_bKH","Завантажити сертифікат")</f>
        <v>Завантажити сертифікат</v>
      </c>
    </row>
    <row r="3246" spans="1:6" x14ac:dyDescent="0.3">
      <c r="A3246" t="s">
        <v>6949</v>
      </c>
      <c r="B3246" t="s">
        <v>6</v>
      </c>
      <c r="C3246" t="s">
        <v>6950</v>
      </c>
      <c r="D3246" t="s">
        <v>6931</v>
      </c>
      <c r="E3246" t="s">
        <v>6932</v>
      </c>
      <c r="F3246" t="str">
        <f>HYPERLINK("https://talan.bank.gov.ua/get-user-certificate/45CElhwn4owSxpOM0Rxk","Завантажити сертифікат")</f>
        <v>Завантажити сертифікат</v>
      </c>
    </row>
    <row r="3247" spans="1:6" x14ac:dyDescent="0.3">
      <c r="A3247" t="s">
        <v>6951</v>
      </c>
      <c r="B3247" t="s">
        <v>6</v>
      </c>
      <c r="C3247" t="s">
        <v>6952</v>
      </c>
      <c r="D3247" t="s">
        <v>6931</v>
      </c>
      <c r="E3247" t="s">
        <v>6932</v>
      </c>
      <c r="F3247" t="str">
        <f>HYPERLINK("https://talan.bank.gov.ua/get-user-certificate/45CElzLe4FdHTl7IpT94","Завантажити сертифікат")</f>
        <v>Завантажити сертифікат</v>
      </c>
    </row>
    <row r="3248" spans="1:6" x14ac:dyDescent="0.3">
      <c r="A3248" t="s">
        <v>6953</v>
      </c>
      <c r="B3248" t="s">
        <v>6</v>
      </c>
      <c r="C3248" t="s">
        <v>6954</v>
      </c>
      <c r="D3248" t="s">
        <v>6931</v>
      </c>
      <c r="E3248" t="s">
        <v>6932</v>
      </c>
      <c r="F3248" t="str">
        <f>HYPERLINK("https://talan.bank.gov.ua/get-user-certificate/45CElarwQkJlpB6tJlyk","Завантажити сертифікат")</f>
        <v>Завантажити сертифікат</v>
      </c>
    </row>
    <row r="3249" spans="1:6" x14ac:dyDescent="0.3">
      <c r="A3249" t="s">
        <v>6955</v>
      </c>
      <c r="B3249" t="s">
        <v>6</v>
      </c>
      <c r="C3249" t="s">
        <v>6956</v>
      </c>
      <c r="D3249" t="s">
        <v>6931</v>
      </c>
      <c r="E3249" t="s">
        <v>6932</v>
      </c>
      <c r="F3249" t="str">
        <f>HYPERLINK("https://talan.bank.gov.ua/get-user-certificate/45CElcMKX5RUCXl9l3Jg","Завантажити сертифікат")</f>
        <v>Завантажити сертифікат</v>
      </c>
    </row>
    <row r="3250" spans="1:6" x14ac:dyDescent="0.3">
      <c r="A3250" t="s">
        <v>6957</v>
      </c>
      <c r="B3250" t="s">
        <v>6</v>
      </c>
      <c r="C3250" t="s">
        <v>6958</v>
      </c>
      <c r="D3250" t="s">
        <v>6931</v>
      </c>
      <c r="E3250" t="s">
        <v>6932</v>
      </c>
      <c r="F3250" t="str">
        <f>HYPERLINK("https://talan.bank.gov.ua/get-user-certificate/45CElCLYPm-Ndx7uEt-i","Завантажити сертифікат")</f>
        <v>Завантажити сертифікат</v>
      </c>
    </row>
    <row r="3251" spans="1:6" x14ac:dyDescent="0.3">
      <c r="A3251" t="s">
        <v>6959</v>
      </c>
      <c r="B3251" t="s">
        <v>6</v>
      </c>
      <c r="C3251" t="s">
        <v>6960</v>
      </c>
      <c r="D3251" t="s">
        <v>6931</v>
      </c>
      <c r="E3251" t="s">
        <v>6932</v>
      </c>
      <c r="F3251" t="str">
        <f>HYPERLINK("https://talan.bank.gov.ua/get-user-certificate/45CElUx-FpDlaZlm6-zh","Завантажити сертифікат")</f>
        <v>Завантажити сертифікат</v>
      </c>
    </row>
    <row r="3252" spans="1:6" x14ac:dyDescent="0.3">
      <c r="A3252" t="s">
        <v>6961</v>
      </c>
      <c r="B3252" t="s">
        <v>6</v>
      </c>
      <c r="C3252" t="s">
        <v>6962</v>
      </c>
      <c r="D3252" t="s">
        <v>6931</v>
      </c>
      <c r="E3252" t="s">
        <v>6932</v>
      </c>
      <c r="F3252" t="str">
        <f>HYPERLINK("https://talan.bank.gov.ua/get-user-certificate/45CEl8oslRneFcHMNSbw","Завантажити сертифікат")</f>
        <v>Завантажити сертифікат</v>
      </c>
    </row>
    <row r="3253" spans="1:6" x14ac:dyDescent="0.3">
      <c r="A3253" t="s">
        <v>6963</v>
      </c>
      <c r="B3253" t="s">
        <v>6</v>
      </c>
      <c r="C3253" t="s">
        <v>6964</v>
      </c>
      <c r="D3253" t="s">
        <v>6931</v>
      </c>
      <c r="E3253" t="s">
        <v>6932</v>
      </c>
      <c r="F3253" t="str">
        <f>HYPERLINK("https://talan.bank.gov.ua/get-user-certificate/45CElg7-_02Qrznnl-0Z","Завантажити сертифікат")</f>
        <v>Завантажити сертифікат</v>
      </c>
    </row>
    <row r="3254" spans="1:6" x14ac:dyDescent="0.3">
      <c r="A3254" t="s">
        <v>6965</v>
      </c>
      <c r="B3254" t="s">
        <v>6</v>
      </c>
      <c r="C3254" t="s">
        <v>6966</v>
      </c>
      <c r="D3254" t="s">
        <v>6931</v>
      </c>
      <c r="E3254" t="s">
        <v>6932</v>
      </c>
      <c r="F3254" t="str">
        <f>HYPERLINK("https://talan.bank.gov.ua/get-user-certificate/45CEl8Puo-9NkXr0TqdY","Завантажити сертифікат")</f>
        <v>Завантажити сертифікат</v>
      </c>
    </row>
    <row r="3255" spans="1:6" x14ac:dyDescent="0.3">
      <c r="A3255" t="s">
        <v>6967</v>
      </c>
      <c r="B3255" t="s">
        <v>6</v>
      </c>
      <c r="C3255" t="s">
        <v>6968</v>
      </c>
      <c r="D3255" t="s">
        <v>6931</v>
      </c>
      <c r="E3255" t="s">
        <v>6932</v>
      </c>
      <c r="F3255" t="str">
        <f>HYPERLINK("https://talan.bank.gov.ua/get-user-certificate/45CElt-kgqzi4UJBzAqt","Завантажити сертифікат")</f>
        <v>Завантажити сертифікат</v>
      </c>
    </row>
    <row r="3256" spans="1:6" x14ac:dyDescent="0.3">
      <c r="A3256" t="s">
        <v>6969</v>
      </c>
      <c r="B3256" t="s">
        <v>6</v>
      </c>
      <c r="C3256" t="s">
        <v>6970</v>
      </c>
      <c r="D3256" t="s">
        <v>6931</v>
      </c>
      <c r="E3256" t="s">
        <v>6932</v>
      </c>
      <c r="F3256" t="str">
        <f>HYPERLINK("https://talan.bank.gov.ua/get-user-certificate/45CEl97VGw7APYdXfqBG","Завантажити сертифікат")</f>
        <v>Завантажити сертифікат</v>
      </c>
    </row>
    <row r="3257" spans="1:6" x14ac:dyDescent="0.3">
      <c r="A3257" t="s">
        <v>6971</v>
      </c>
      <c r="B3257" t="s">
        <v>6</v>
      </c>
      <c r="C3257" t="s">
        <v>6972</v>
      </c>
      <c r="D3257" t="s">
        <v>6931</v>
      </c>
      <c r="E3257" t="s">
        <v>6932</v>
      </c>
      <c r="F3257" t="str">
        <f>HYPERLINK("https://talan.bank.gov.ua/get-user-certificate/45CEls6iccD5S1aJkI0R","Завантажити сертифікат")</f>
        <v>Завантажити сертифікат</v>
      </c>
    </row>
    <row r="3258" spans="1:6" x14ac:dyDescent="0.3">
      <c r="A3258" t="s">
        <v>6973</v>
      </c>
      <c r="B3258" t="s">
        <v>6</v>
      </c>
      <c r="C3258" t="s">
        <v>6974</v>
      </c>
      <c r="D3258" t="s">
        <v>6931</v>
      </c>
      <c r="E3258" t="s">
        <v>6932</v>
      </c>
      <c r="F3258" t="str">
        <f>HYPERLINK("https://talan.bank.gov.ua/get-user-certificate/45CElkhzgcyVgweovoSn","Завантажити сертифікат")</f>
        <v>Завантажити сертифікат</v>
      </c>
    </row>
    <row r="3259" spans="1:6" x14ac:dyDescent="0.3">
      <c r="A3259" t="s">
        <v>6975</v>
      </c>
      <c r="B3259" t="s">
        <v>6</v>
      </c>
      <c r="C3259" t="s">
        <v>6976</v>
      </c>
      <c r="D3259" t="s">
        <v>6931</v>
      </c>
      <c r="E3259" t="s">
        <v>6932</v>
      </c>
      <c r="F3259" t="str">
        <f>HYPERLINK("https://talan.bank.gov.ua/get-user-certificate/45CElSs30wt2Vsveepp8","Завантажити сертифікат")</f>
        <v>Завантажити сертифікат</v>
      </c>
    </row>
    <row r="3260" spans="1:6" x14ac:dyDescent="0.3">
      <c r="A3260" t="s">
        <v>6977</v>
      </c>
      <c r="B3260" t="s">
        <v>6</v>
      </c>
      <c r="C3260" t="s">
        <v>6978</v>
      </c>
      <c r="D3260" t="s">
        <v>6931</v>
      </c>
      <c r="E3260" t="s">
        <v>6932</v>
      </c>
      <c r="F3260" t="str">
        <f>HYPERLINK("https://talan.bank.gov.ua/get-user-certificate/45CEll-7vX0TCh1PDbSa","Завантажити сертифікат")</f>
        <v>Завантажити сертифікат</v>
      </c>
    </row>
    <row r="3261" spans="1:6" x14ac:dyDescent="0.3">
      <c r="A3261" t="s">
        <v>6979</v>
      </c>
      <c r="B3261" t="s">
        <v>6</v>
      </c>
      <c r="C3261" t="s">
        <v>6980</v>
      </c>
      <c r="D3261" t="s">
        <v>6931</v>
      </c>
      <c r="E3261" t="s">
        <v>6932</v>
      </c>
      <c r="F3261" t="str">
        <f>HYPERLINK("https://talan.bank.gov.ua/get-user-certificate/45CElaVHHTowuDXeL0Tp","Завантажити сертифікат")</f>
        <v>Завантажити сертифікат</v>
      </c>
    </row>
    <row r="3262" spans="1:6" x14ac:dyDescent="0.3">
      <c r="A3262" t="s">
        <v>6981</v>
      </c>
      <c r="B3262" t="s">
        <v>6</v>
      </c>
      <c r="C3262" t="s">
        <v>6982</v>
      </c>
      <c r="D3262" t="s">
        <v>6931</v>
      </c>
      <c r="E3262" t="s">
        <v>6932</v>
      </c>
      <c r="F3262" t="str">
        <f>HYPERLINK("https://talan.bank.gov.ua/get-user-certificate/45CEldCn4fmb1Ko6DeDE","Завантажити сертифікат")</f>
        <v>Завантажити сертифікат</v>
      </c>
    </row>
    <row r="3263" spans="1:6" x14ac:dyDescent="0.3">
      <c r="A3263" t="s">
        <v>6983</v>
      </c>
      <c r="B3263" t="s">
        <v>6</v>
      </c>
      <c r="C3263" t="s">
        <v>6984</v>
      </c>
      <c r="D3263" t="s">
        <v>6931</v>
      </c>
      <c r="E3263" t="s">
        <v>6932</v>
      </c>
      <c r="F3263" t="str">
        <f>HYPERLINK("https://talan.bank.gov.ua/get-user-certificate/45CElkcV-mUebdMLhMCE","Завантажити сертифікат")</f>
        <v>Завантажити сертифікат</v>
      </c>
    </row>
    <row r="3264" spans="1:6" x14ac:dyDescent="0.3">
      <c r="A3264" t="s">
        <v>6985</v>
      </c>
      <c r="B3264" t="s">
        <v>6</v>
      </c>
      <c r="C3264" t="s">
        <v>6986</v>
      </c>
      <c r="D3264" t="s">
        <v>6931</v>
      </c>
      <c r="E3264" t="s">
        <v>6932</v>
      </c>
      <c r="F3264" t="str">
        <f>HYPERLINK("https://talan.bank.gov.ua/get-user-certificate/45CEl_VXJHAS4iB7cjC3","Завантажити сертифікат")</f>
        <v>Завантажити сертифікат</v>
      </c>
    </row>
    <row r="3265" spans="1:6" x14ac:dyDescent="0.3">
      <c r="A3265" t="s">
        <v>6987</v>
      </c>
      <c r="B3265" t="s">
        <v>6</v>
      </c>
      <c r="C3265" t="s">
        <v>6988</v>
      </c>
      <c r="D3265" t="s">
        <v>6931</v>
      </c>
      <c r="E3265" t="s">
        <v>6932</v>
      </c>
      <c r="F3265" t="str">
        <f>HYPERLINK("https://talan.bank.gov.ua/get-user-certificate/45CElr4V3vO41o4MFuGO","Завантажити сертифікат")</f>
        <v>Завантажити сертифікат</v>
      </c>
    </row>
    <row r="3266" spans="1:6" x14ac:dyDescent="0.3">
      <c r="A3266" t="s">
        <v>6989</v>
      </c>
      <c r="B3266" t="s">
        <v>6</v>
      </c>
      <c r="C3266" t="s">
        <v>6990</v>
      </c>
      <c r="D3266" t="s">
        <v>6931</v>
      </c>
      <c r="E3266" t="s">
        <v>6932</v>
      </c>
      <c r="F3266" t="str">
        <f>HYPERLINK("https://talan.bank.gov.ua/get-user-certificate/45CEldlDHcyREKqR0S7T","Завантажити сертифікат")</f>
        <v>Завантажити сертифікат</v>
      </c>
    </row>
    <row r="3267" spans="1:6" x14ac:dyDescent="0.3">
      <c r="A3267" t="s">
        <v>6991</v>
      </c>
      <c r="B3267" t="s">
        <v>6</v>
      </c>
      <c r="C3267" t="s">
        <v>6992</v>
      </c>
      <c r="D3267" t="s">
        <v>6931</v>
      </c>
      <c r="E3267" t="s">
        <v>6932</v>
      </c>
      <c r="F3267" t="str">
        <f>HYPERLINK("https://talan.bank.gov.ua/get-user-certificate/45CEltQq1N1jM-MJIqrf","Завантажити сертифікат")</f>
        <v>Завантажити сертифікат</v>
      </c>
    </row>
    <row r="3268" spans="1:6" x14ac:dyDescent="0.3">
      <c r="A3268" t="s">
        <v>6993</v>
      </c>
      <c r="B3268" t="s">
        <v>6</v>
      </c>
      <c r="C3268" t="s">
        <v>6994</v>
      </c>
      <c r="D3268" t="s">
        <v>6931</v>
      </c>
      <c r="E3268" t="s">
        <v>6932</v>
      </c>
      <c r="F3268" t="str">
        <f>HYPERLINK("https://talan.bank.gov.ua/get-user-certificate/45CElgfhC1Ze1cukczV0","Завантажити сертифікат")</f>
        <v>Завантажити сертифікат</v>
      </c>
    </row>
    <row r="3269" spans="1:6" x14ac:dyDescent="0.3">
      <c r="A3269" t="s">
        <v>6995</v>
      </c>
      <c r="B3269" t="s">
        <v>6</v>
      </c>
      <c r="C3269" t="s">
        <v>6996</v>
      </c>
      <c r="D3269" t="s">
        <v>6931</v>
      </c>
      <c r="E3269" t="s">
        <v>6932</v>
      </c>
      <c r="F3269" t="str">
        <f>HYPERLINK("https://talan.bank.gov.ua/get-user-certificate/45CElZWcGW2Wl0wTXatr","Завантажити сертифікат")</f>
        <v>Завантажити сертифікат</v>
      </c>
    </row>
    <row r="3270" spans="1:6" x14ac:dyDescent="0.3">
      <c r="A3270" t="s">
        <v>6997</v>
      </c>
      <c r="B3270" t="s">
        <v>6</v>
      </c>
      <c r="C3270" t="s">
        <v>6998</v>
      </c>
      <c r="D3270" t="s">
        <v>6931</v>
      </c>
      <c r="E3270" t="s">
        <v>6932</v>
      </c>
      <c r="F3270" t="str">
        <f>HYPERLINK("https://talan.bank.gov.ua/get-user-certificate/45CElr0NgdJHQZFdTv5K","Завантажити сертифікат")</f>
        <v>Завантажити сертифікат</v>
      </c>
    </row>
    <row r="3271" spans="1:6" x14ac:dyDescent="0.3">
      <c r="A3271" t="s">
        <v>6999</v>
      </c>
      <c r="B3271" t="s">
        <v>6</v>
      </c>
      <c r="C3271" t="s">
        <v>7000</v>
      </c>
      <c r="D3271" t="s">
        <v>6931</v>
      </c>
      <c r="E3271" t="s">
        <v>6932</v>
      </c>
      <c r="F3271" t="str">
        <f>HYPERLINK("https://talan.bank.gov.ua/get-user-certificate/45CElhilwe2CQLrEZcad","Завантажити сертифікат")</f>
        <v>Завантажити сертифікат</v>
      </c>
    </row>
    <row r="3272" spans="1:6" x14ac:dyDescent="0.3">
      <c r="A3272" t="s">
        <v>7001</v>
      </c>
      <c r="B3272" t="s">
        <v>6</v>
      </c>
      <c r="C3272" t="s">
        <v>7002</v>
      </c>
      <c r="D3272" t="s">
        <v>6931</v>
      </c>
      <c r="E3272" t="s">
        <v>6932</v>
      </c>
      <c r="F3272" t="str">
        <f>HYPERLINK("https://talan.bank.gov.ua/get-user-certificate/45CElVDi0GUxA3Q8KTJp","Завантажити сертифікат")</f>
        <v>Завантажити сертифікат</v>
      </c>
    </row>
    <row r="3273" spans="1:6" x14ac:dyDescent="0.3">
      <c r="A3273" t="s">
        <v>7003</v>
      </c>
      <c r="B3273" t="s">
        <v>6</v>
      </c>
      <c r="C3273" t="s">
        <v>7004</v>
      </c>
      <c r="D3273" t="s">
        <v>6931</v>
      </c>
      <c r="E3273" t="s">
        <v>6932</v>
      </c>
      <c r="F3273" t="str">
        <f>HYPERLINK("https://talan.bank.gov.ua/get-user-certificate/45CElXjct8H_nI8_Lfn4","Завантажити сертифікат")</f>
        <v>Завантажити сертифікат</v>
      </c>
    </row>
    <row r="3274" spans="1:6" x14ac:dyDescent="0.3">
      <c r="A3274" t="s">
        <v>7005</v>
      </c>
      <c r="B3274" t="s">
        <v>6</v>
      </c>
      <c r="C3274" t="s">
        <v>7006</v>
      </c>
      <c r="D3274" t="s">
        <v>6931</v>
      </c>
      <c r="E3274" t="s">
        <v>6932</v>
      </c>
      <c r="F3274" t="str">
        <f>HYPERLINK("https://talan.bank.gov.ua/get-user-certificate/45CElQKrEuThe0iprMjl","Завантажити сертифікат")</f>
        <v>Завантажити сертифікат</v>
      </c>
    </row>
    <row r="3275" spans="1:6" x14ac:dyDescent="0.3">
      <c r="A3275" t="s">
        <v>7007</v>
      </c>
      <c r="B3275" t="s">
        <v>6</v>
      </c>
      <c r="C3275" t="s">
        <v>7008</v>
      </c>
      <c r="D3275" t="s">
        <v>6931</v>
      </c>
      <c r="E3275" t="s">
        <v>6932</v>
      </c>
      <c r="F3275" t="str">
        <f>HYPERLINK("https://talan.bank.gov.ua/get-user-certificate/45CElJHFLSaS5UjfURli","Завантажити сертифікат")</f>
        <v>Завантажити сертифікат</v>
      </c>
    </row>
    <row r="3276" spans="1:6" x14ac:dyDescent="0.3">
      <c r="A3276" t="s">
        <v>7009</v>
      </c>
      <c r="B3276" t="s">
        <v>6</v>
      </c>
      <c r="C3276" t="s">
        <v>7010</v>
      </c>
      <c r="D3276" t="s">
        <v>6931</v>
      </c>
      <c r="E3276" t="s">
        <v>6932</v>
      </c>
      <c r="F3276" t="str">
        <f>HYPERLINK("https://talan.bank.gov.ua/get-user-certificate/45CElVVfbc3kd0r-WCig","Завантажити сертифікат")</f>
        <v>Завантажити сертифікат</v>
      </c>
    </row>
    <row r="3277" spans="1:6" x14ac:dyDescent="0.3">
      <c r="A3277" t="s">
        <v>7011</v>
      </c>
      <c r="B3277" t="s">
        <v>6</v>
      </c>
      <c r="C3277" t="s">
        <v>7012</v>
      </c>
      <c r="D3277" t="s">
        <v>6931</v>
      </c>
      <c r="E3277" t="s">
        <v>6932</v>
      </c>
      <c r="F3277" t="str">
        <f>HYPERLINK("https://talan.bank.gov.ua/get-user-certificate/45CElX8y_-kGOJxztZKS","Завантажити сертифікат")</f>
        <v>Завантажити сертифікат</v>
      </c>
    </row>
    <row r="3278" spans="1:6" x14ac:dyDescent="0.3">
      <c r="A3278" t="s">
        <v>7013</v>
      </c>
      <c r="B3278" t="s">
        <v>6</v>
      </c>
      <c r="C3278" t="s">
        <v>7014</v>
      </c>
      <c r="D3278" t="s">
        <v>6931</v>
      </c>
      <c r="E3278" t="s">
        <v>6932</v>
      </c>
      <c r="F3278" t="str">
        <f>HYPERLINK("https://talan.bank.gov.ua/get-user-certificate/45CElII68rVmZtYm7Qdi","Завантажити сертифікат")</f>
        <v>Завантажити сертифікат</v>
      </c>
    </row>
    <row r="3279" spans="1:6" x14ac:dyDescent="0.3">
      <c r="A3279" t="s">
        <v>7015</v>
      </c>
      <c r="B3279" t="s">
        <v>6</v>
      </c>
      <c r="C3279" t="s">
        <v>7016</v>
      </c>
      <c r="D3279" t="s">
        <v>6931</v>
      </c>
      <c r="E3279" t="s">
        <v>6932</v>
      </c>
      <c r="F3279" t="str">
        <f>HYPERLINK("https://talan.bank.gov.ua/get-user-certificate/45CEl1dAVf2H3r0Fd1pF","Завантажити сертифікат")</f>
        <v>Завантажити сертифікат</v>
      </c>
    </row>
    <row r="3280" spans="1:6" x14ac:dyDescent="0.3">
      <c r="A3280" t="s">
        <v>7017</v>
      </c>
      <c r="B3280" t="s">
        <v>6</v>
      </c>
      <c r="C3280" t="s">
        <v>7018</v>
      </c>
      <c r="D3280" t="s">
        <v>6931</v>
      </c>
      <c r="E3280" t="s">
        <v>6932</v>
      </c>
      <c r="F3280" t="str">
        <f>HYPERLINK("https://talan.bank.gov.ua/get-user-certificate/45CEl5OB5KeKq6VJtW98","Завантажити сертифікат")</f>
        <v>Завантажити сертифікат</v>
      </c>
    </row>
    <row r="3281" spans="1:6" x14ac:dyDescent="0.3">
      <c r="A3281" t="s">
        <v>7019</v>
      </c>
      <c r="B3281" t="s">
        <v>6</v>
      </c>
      <c r="C3281" t="s">
        <v>7020</v>
      </c>
      <c r="D3281" t="s">
        <v>6931</v>
      </c>
      <c r="E3281" t="s">
        <v>6932</v>
      </c>
      <c r="F3281" t="str">
        <f>HYPERLINK("https://talan.bank.gov.ua/get-user-certificate/45CEleIr3vias8rYSJYa","Завантажити сертифікат")</f>
        <v>Завантажити сертифікат</v>
      </c>
    </row>
    <row r="3282" spans="1:6" x14ac:dyDescent="0.3">
      <c r="A3282" t="s">
        <v>7021</v>
      </c>
      <c r="B3282" t="s">
        <v>6</v>
      </c>
      <c r="C3282" t="s">
        <v>7022</v>
      </c>
      <c r="D3282" t="s">
        <v>6931</v>
      </c>
      <c r="E3282" t="s">
        <v>6932</v>
      </c>
      <c r="F3282" t="str">
        <f>HYPERLINK("https://talan.bank.gov.ua/get-user-certificate/45CElTE_-gvA-MFpvnDN","Завантажити сертифікат")</f>
        <v>Завантажити сертифікат</v>
      </c>
    </row>
    <row r="3283" spans="1:6" x14ac:dyDescent="0.3">
      <c r="A3283" t="s">
        <v>7023</v>
      </c>
      <c r="B3283" t="s">
        <v>6</v>
      </c>
      <c r="C3283" t="s">
        <v>7024</v>
      </c>
      <c r="D3283" t="s">
        <v>6931</v>
      </c>
      <c r="E3283" t="s">
        <v>6932</v>
      </c>
      <c r="F3283" t="str">
        <f>HYPERLINK("https://talan.bank.gov.ua/get-user-certificate/45CElHQ3m5n9CJcYwRDl","Завантажити сертифікат")</f>
        <v>Завантажити сертифікат</v>
      </c>
    </row>
    <row r="3284" spans="1:6" x14ac:dyDescent="0.3">
      <c r="A3284" t="s">
        <v>7025</v>
      </c>
      <c r="B3284" t="s">
        <v>6</v>
      </c>
      <c r="C3284" t="s">
        <v>7026</v>
      </c>
      <c r="D3284" t="s">
        <v>6931</v>
      </c>
      <c r="E3284" t="s">
        <v>6932</v>
      </c>
      <c r="F3284" t="str">
        <f>HYPERLINK("https://talan.bank.gov.ua/get-user-certificate/45CEllcSZN1NySTdTiq4","Завантажити сертифікат")</f>
        <v>Завантажити сертифікат</v>
      </c>
    </row>
    <row r="3285" spans="1:6" x14ac:dyDescent="0.3">
      <c r="A3285" t="s">
        <v>7027</v>
      </c>
      <c r="B3285" t="s">
        <v>6</v>
      </c>
      <c r="C3285" t="s">
        <v>7028</v>
      </c>
      <c r="D3285" t="s">
        <v>6931</v>
      </c>
      <c r="E3285" t="s">
        <v>6932</v>
      </c>
      <c r="F3285" t="str">
        <f>HYPERLINK("https://talan.bank.gov.ua/get-user-certificate/45CEle3-tjxlCk0Rm0pC","Завантажити сертифікат")</f>
        <v>Завантажити сертифікат</v>
      </c>
    </row>
    <row r="3286" spans="1:6" x14ac:dyDescent="0.3">
      <c r="A3286" t="s">
        <v>7029</v>
      </c>
      <c r="B3286" t="s">
        <v>6</v>
      </c>
      <c r="C3286" t="s">
        <v>7030</v>
      </c>
      <c r="D3286" t="s">
        <v>6931</v>
      </c>
      <c r="E3286" t="s">
        <v>6932</v>
      </c>
      <c r="F3286" t="str">
        <f>HYPERLINK("https://talan.bank.gov.ua/get-user-certificate/45CElgcLItQG0pJuKBlp","Завантажити сертифікат")</f>
        <v>Завантажити сертифікат</v>
      </c>
    </row>
    <row r="3287" spans="1:6" x14ac:dyDescent="0.3">
      <c r="A3287" t="s">
        <v>7031</v>
      </c>
      <c r="B3287" t="s">
        <v>6</v>
      </c>
      <c r="C3287" t="s">
        <v>7032</v>
      </c>
      <c r="D3287" t="s">
        <v>6931</v>
      </c>
      <c r="E3287" t="s">
        <v>6932</v>
      </c>
      <c r="F3287" t="str">
        <f>HYPERLINK("https://talan.bank.gov.ua/get-user-certificate/45CEli5N6GSouSc4tpUt","Завантажити сертифікат")</f>
        <v>Завантажити сертифікат</v>
      </c>
    </row>
    <row r="3288" spans="1:6" x14ac:dyDescent="0.3">
      <c r="A3288" t="s">
        <v>7033</v>
      </c>
      <c r="B3288" t="s">
        <v>6</v>
      </c>
      <c r="C3288" t="s">
        <v>7034</v>
      </c>
      <c r="D3288" t="s">
        <v>6931</v>
      </c>
      <c r="E3288" t="s">
        <v>6932</v>
      </c>
      <c r="F3288" t="str">
        <f>HYPERLINK("https://talan.bank.gov.ua/get-user-certificate/45CEl-Vh4pja-U4hYzv_","Завантажити сертифікат")</f>
        <v>Завантажити сертифікат</v>
      </c>
    </row>
    <row r="3289" spans="1:6" x14ac:dyDescent="0.3">
      <c r="A3289" t="s">
        <v>7035</v>
      </c>
      <c r="B3289" t="s">
        <v>6</v>
      </c>
      <c r="C3289" t="s">
        <v>7036</v>
      </c>
      <c r="D3289" t="s">
        <v>6931</v>
      </c>
      <c r="E3289" t="s">
        <v>6932</v>
      </c>
      <c r="F3289" t="str">
        <f>HYPERLINK("https://talan.bank.gov.ua/get-user-certificate/45CElY3kFEqXGHNOOfDM","Завантажити сертифікат")</f>
        <v>Завантажити сертифікат</v>
      </c>
    </row>
    <row r="3290" spans="1:6" x14ac:dyDescent="0.3">
      <c r="A3290" t="s">
        <v>7037</v>
      </c>
      <c r="B3290" t="s">
        <v>6</v>
      </c>
      <c r="C3290" t="s">
        <v>7038</v>
      </c>
      <c r="D3290" t="s">
        <v>6931</v>
      </c>
      <c r="E3290" t="s">
        <v>6932</v>
      </c>
      <c r="F3290" t="str">
        <f>HYPERLINK("https://talan.bank.gov.ua/get-user-certificate/45CElXdL1THkui2ib7VP","Завантажити сертифікат")</f>
        <v>Завантажити сертифікат</v>
      </c>
    </row>
    <row r="3291" spans="1:6" x14ac:dyDescent="0.3">
      <c r="A3291" t="s">
        <v>7039</v>
      </c>
      <c r="B3291" t="s">
        <v>6</v>
      </c>
      <c r="C3291" t="s">
        <v>7040</v>
      </c>
      <c r="D3291" t="s">
        <v>6931</v>
      </c>
      <c r="E3291" t="s">
        <v>6932</v>
      </c>
      <c r="F3291" t="str">
        <f>HYPERLINK("https://talan.bank.gov.ua/get-user-certificate/45CEl6Pwj44gV_M0PgZV","Завантажити сертифікат")</f>
        <v>Завантажити сертифікат</v>
      </c>
    </row>
    <row r="3292" spans="1:6" x14ac:dyDescent="0.3">
      <c r="A3292" t="s">
        <v>7041</v>
      </c>
      <c r="B3292" t="s">
        <v>6</v>
      </c>
      <c r="C3292" t="s">
        <v>7042</v>
      </c>
      <c r="D3292" t="s">
        <v>6931</v>
      </c>
      <c r="E3292" t="s">
        <v>6932</v>
      </c>
      <c r="F3292" t="str">
        <f>HYPERLINK("https://talan.bank.gov.ua/get-user-certificate/45CElD6graE5XDZnjiqP","Завантажити сертифікат")</f>
        <v>Завантажити сертифікат</v>
      </c>
    </row>
    <row r="3293" spans="1:6" x14ac:dyDescent="0.3">
      <c r="A3293" t="s">
        <v>7043</v>
      </c>
      <c r="B3293" t="s">
        <v>6</v>
      </c>
      <c r="C3293" t="s">
        <v>7044</v>
      </c>
      <c r="D3293" t="s">
        <v>6931</v>
      </c>
      <c r="E3293" t="s">
        <v>6932</v>
      </c>
      <c r="F3293" t="str">
        <f>HYPERLINK("https://talan.bank.gov.ua/get-user-certificate/45CElD6PsuebcQsp8Gsk","Завантажити сертифікат")</f>
        <v>Завантажити сертифікат</v>
      </c>
    </row>
    <row r="3294" spans="1:6" x14ac:dyDescent="0.3">
      <c r="A3294" t="s">
        <v>7045</v>
      </c>
      <c r="B3294" t="s">
        <v>6</v>
      </c>
      <c r="C3294" t="s">
        <v>7046</v>
      </c>
      <c r="D3294" t="s">
        <v>7047</v>
      </c>
      <c r="E3294" t="s">
        <v>7048</v>
      </c>
      <c r="F3294" t="str">
        <f>HYPERLINK("https://talan.bank.gov.ua/get-user-certificate/45CElyKxUA0syT1LIQt2","Завантажити сертифікат")</f>
        <v>Завантажити сертифікат</v>
      </c>
    </row>
    <row r="3295" spans="1:6" x14ac:dyDescent="0.3">
      <c r="A3295" t="s">
        <v>7049</v>
      </c>
      <c r="B3295" t="s">
        <v>6</v>
      </c>
      <c r="C3295" t="s">
        <v>7050</v>
      </c>
      <c r="D3295" t="s">
        <v>7047</v>
      </c>
      <c r="E3295" t="s">
        <v>7048</v>
      </c>
      <c r="F3295" t="str">
        <f>HYPERLINK("https://talan.bank.gov.ua/get-user-certificate/45CElxk--jrL4wrkve8g","Завантажити сертифікат")</f>
        <v>Завантажити сертифікат</v>
      </c>
    </row>
    <row r="3296" spans="1:6" x14ac:dyDescent="0.3">
      <c r="A3296" t="s">
        <v>7051</v>
      </c>
      <c r="B3296" t="s">
        <v>6</v>
      </c>
      <c r="C3296" t="s">
        <v>7052</v>
      </c>
      <c r="D3296" t="s">
        <v>7047</v>
      </c>
      <c r="E3296" t="s">
        <v>7048</v>
      </c>
      <c r="F3296" t="str">
        <f>HYPERLINK("https://talan.bank.gov.ua/get-user-certificate/45CEl7G5KMi6_zmZJLgb","Завантажити сертифікат")</f>
        <v>Завантажити сертифікат</v>
      </c>
    </row>
    <row r="3297" spans="1:6" x14ac:dyDescent="0.3">
      <c r="A3297" t="s">
        <v>7053</v>
      </c>
      <c r="B3297" t="s">
        <v>6</v>
      </c>
      <c r="C3297" t="s">
        <v>7054</v>
      </c>
      <c r="D3297" t="s">
        <v>7055</v>
      </c>
      <c r="E3297" t="s">
        <v>7056</v>
      </c>
      <c r="F3297" t="str">
        <f>HYPERLINK("https://talan.bank.gov.ua/get-user-certificate/45CEl3qIXuqN94_KD4SQ","Завантажити сертифікат")</f>
        <v>Завантажити сертифікат</v>
      </c>
    </row>
    <row r="3298" spans="1:6" x14ac:dyDescent="0.3">
      <c r="A3298" t="s">
        <v>7057</v>
      </c>
      <c r="B3298" t="s">
        <v>6</v>
      </c>
      <c r="C3298" t="s">
        <v>7058</v>
      </c>
      <c r="D3298" t="s">
        <v>7055</v>
      </c>
      <c r="E3298" t="s">
        <v>7056</v>
      </c>
      <c r="F3298" t="str">
        <f>HYPERLINK("https://talan.bank.gov.ua/get-user-certificate/45CElM9XCEBA9q2YwZrQ","Завантажити сертифікат")</f>
        <v>Завантажити сертифікат</v>
      </c>
    </row>
    <row r="3299" spans="1:6" x14ac:dyDescent="0.3">
      <c r="A3299" t="s">
        <v>7059</v>
      </c>
      <c r="B3299" t="s">
        <v>6</v>
      </c>
      <c r="C3299" t="s">
        <v>7060</v>
      </c>
      <c r="D3299" t="s">
        <v>7055</v>
      </c>
      <c r="E3299" t="s">
        <v>7056</v>
      </c>
      <c r="F3299" t="str">
        <f>HYPERLINK("https://talan.bank.gov.ua/get-user-certificate/45CElkaNNdGKi4z0KLIr","Завантажити сертифікат")</f>
        <v>Завантажити сертифікат</v>
      </c>
    </row>
    <row r="3300" spans="1:6" x14ac:dyDescent="0.3">
      <c r="A3300" t="s">
        <v>7061</v>
      </c>
      <c r="B3300" t="s">
        <v>6</v>
      </c>
      <c r="C3300" t="s">
        <v>7062</v>
      </c>
      <c r="D3300" t="s">
        <v>7055</v>
      </c>
      <c r="E3300" t="s">
        <v>7056</v>
      </c>
      <c r="F3300" t="str">
        <f>HYPERLINK("https://talan.bank.gov.ua/get-user-certificate/45CElT5JkuYYusJ25hc6","Завантажити сертифікат")</f>
        <v>Завантажити сертифікат</v>
      </c>
    </row>
    <row r="3301" spans="1:6" x14ac:dyDescent="0.3">
      <c r="A3301" t="s">
        <v>7063</v>
      </c>
      <c r="B3301" t="s">
        <v>6</v>
      </c>
      <c r="C3301" t="s">
        <v>7064</v>
      </c>
      <c r="D3301" t="s">
        <v>7055</v>
      </c>
      <c r="E3301" t="s">
        <v>7056</v>
      </c>
      <c r="F3301" t="str">
        <f>HYPERLINK("https://talan.bank.gov.ua/get-user-certificate/45CElnxpBLtl1ahYYQ_0","Завантажити сертифікат")</f>
        <v>Завантажити сертифікат</v>
      </c>
    </row>
    <row r="3302" spans="1:6" x14ac:dyDescent="0.3">
      <c r="A3302" t="s">
        <v>7065</v>
      </c>
      <c r="B3302" t="s">
        <v>6</v>
      </c>
      <c r="C3302" t="s">
        <v>7066</v>
      </c>
      <c r="D3302" t="s">
        <v>7055</v>
      </c>
      <c r="E3302" t="s">
        <v>7056</v>
      </c>
      <c r="F3302" t="str">
        <f>HYPERLINK("https://talan.bank.gov.ua/get-user-certificate/45CEliqMD2ZFgWuusfY8","Завантажити сертифікат")</f>
        <v>Завантажити сертифікат</v>
      </c>
    </row>
    <row r="3303" spans="1:6" x14ac:dyDescent="0.3">
      <c r="A3303" t="s">
        <v>7067</v>
      </c>
      <c r="B3303" t="s">
        <v>6</v>
      </c>
      <c r="C3303" t="s">
        <v>7068</v>
      </c>
      <c r="D3303" t="s">
        <v>7069</v>
      </c>
      <c r="E3303" t="s">
        <v>7070</v>
      </c>
      <c r="F3303" t="str">
        <f>HYPERLINK("https://talan.bank.gov.ua/get-user-certificate/45CElHg49WKAYmr-D67D","Завантажити сертифікат")</f>
        <v>Завантажити сертифікат</v>
      </c>
    </row>
    <row r="3304" spans="1:6" x14ac:dyDescent="0.3">
      <c r="A3304" t="s">
        <v>7071</v>
      </c>
      <c r="B3304" t="s">
        <v>6</v>
      </c>
      <c r="C3304" t="s">
        <v>7072</v>
      </c>
      <c r="D3304" t="s">
        <v>7073</v>
      </c>
      <c r="E3304" t="s">
        <v>7074</v>
      </c>
      <c r="F3304" t="str">
        <f>HYPERLINK("https://talan.bank.gov.ua/get-user-certificate/45CElCy30d5sBwp6LYRZ","Завантажити сертифікат")</f>
        <v>Завантажити сертифікат</v>
      </c>
    </row>
    <row r="3305" spans="1:6" x14ac:dyDescent="0.3">
      <c r="A3305" t="s">
        <v>7075</v>
      </c>
      <c r="B3305" t="s">
        <v>6</v>
      </c>
      <c r="C3305" t="s">
        <v>7076</v>
      </c>
      <c r="D3305" t="s">
        <v>7073</v>
      </c>
      <c r="E3305" t="s">
        <v>7074</v>
      </c>
      <c r="F3305" t="str">
        <f>HYPERLINK("https://talan.bank.gov.ua/get-user-certificate/45CElg6Ycbkc7Mntx0ze","Завантажити сертифікат")</f>
        <v>Завантажити сертифікат</v>
      </c>
    </row>
    <row r="3306" spans="1:6" x14ac:dyDescent="0.3">
      <c r="A3306" t="s">
        <v>7077</v>
      </c>
      <c r="B3306" t="s">
        <v>6</v>
      </c>
      <c r="C3306" t="s">
        <v>7078</v>
      </c>
      <c r="D3306" t="s">
        <v>7073</v>
      </c>
      <c r="E3306" t="s">
        <v>7074</v>
      </c>
      <c r="F3306" t="str">
        <f>HYPERLINK("https://talan.bank.gov.ua/get-user-certificate/45CEl8BDbbSzw6XY6mzz","Завантажити сертифікат")</f>
        <v>Завантажити сертифікат</v>
      </c>
    </row>
    <row r="3307" spans="1:6" x14ac:dyDescent="0.3">
      <c r="A3307" t="s">
        <v>7079</v>
      </c>
      <c r="B3307" t="s">
        <v>6</v>
      </c>
      <c r="C3307" t="s">
        <v>7080</v>
      </c>
      <c r="D3307" t="s">
        <v>7073</v>
      </c>
      <c r="E3307" t="s">
        <v>7074</v>
      </c>
      <c r="F3307" t="str">
        <f>HYPERLINK("https://talan.bank.gov.ua/get-user-certificate/45CElxj5HuOb-WUSnQ3J","Завантажити сертифікат")</f>
        <v>Завантажити сертифікат</v>
      </c>
    </row>
    <row r="3308" spans="1:6" x14ac:dyDescent="0.3">
      <c r="A3308" t="s">
        <v>7081</v>
      </c>
      <c r="B3308" t="s">
        <v>6</v>
      </c>
      <c r="C3308" t="s">
        <v>7082</v>
      </c>
      <c r="D3308" t="s">
        <v>7073</v>
      </c>
      <c r="E3308" t="s">
        <v>7074</v>
      </c>
      <c r="F3308" t="str">
        <f>HYPERLINK("https://talan.bank.gov.ua/get-user-certificate/45CEll1dSsrrBiOnpk2t","Завантажити сертифікат")</f>
        <v>Завантажити сертифікат</v>
      </c>
    </row>
    <row r="3309" spans="1:6" x14ac:dyDescent="0.3">
      <c r="A3309" t="s">
        <v>7083</v>
      </c>
      <c r="B3309" t="s">
        <v>6</v>
      </c>
      <c r="C3309" t="s">
        <v>7084</v>
      </c>
      <c r="D3309" t="s">
        <v>7073</v>
      </c>
      <c r="E3309" t="s">
        <v>7074</v>
      </c>
      <c r="F3309" t="str">
        <f>HYPERLINK("https://talan.bank.gov.ua/get-user-certificate/45CEliZjcU03iGKLh-Pv","Завантажити сертифікат")</f>
        <v>Завантажити сертифікат</v>
      </c>
    </row>
    <row r="3310" spans="1:6" x14ac:dyDescent="0.3">
      <c r="A3310" t="s">
        <v>7085</v>
      </c>
      <c r="B3310" t="s">
        <v>6</v>
      </c>
      <c r="C3310" t="s">
        <v>7086</v>
      </c>
      <c r="D3310" t="s">
        <v>7073</v>
      </c>
      <c r="E3310" t="s">
        <v>7074</v>
      </c>
      <c r="F3310" t="str">
        <f>HYPERLINK("https://talan.bank.gov.ua/get-user-certificate/45CEl0YvjEDXIrUUF45W","Завантажити сертифікат")</f>
        <v>Завантажити сертифікат</v>
      </c>
    </row>
    <row r="3311" spans="1:6" x14ac:dyDescent="0.3">
      <c r="A3311" t="s">
        <v>7087</v>
      </c>
      <c r="B3311" t="s">
        <v>6</v>
      </c>
      <c r="C3311" t="s">
        <v>7088</v>
      </c>
      <c r="D3311" t="s">
        <v>7073</v>
      </c>
      <c r="E3311" t="s">
        <v>7074</v>
      </c>
      <c r="F3311" t="str">
        <f>HYPERLINK("https://talan.bank.gov.ua/get-user-certificate/45CEluSaE1LZWqtI4Wm5","Завантажити сертифікат")</f>
        <v>Завантажити сертифікат</v>
      </c>
    </row>
    <row r="3312" spans="1:6" x14ac:dyDescent="0.3">
      <c r="A3312" t="s">
        <v>7089</v>
      </c>
      <c r="B3312" t="s">
        <v>6</v>
      </c>
      <c r="C3312" t="s">
        <v>7090</v>
      </c>
      <c r="D3312" t="s">
        <v>7091</v>
      </c>
      <c r="E3312" t="s">
        <v>7092</v>
      </c>
      <c r="F3312" t="str">
        <f>HYPERLINK("https://talan.bank.gov.ua/get-user-certificate/45CEltmQziWZmwCdX-Rz","Завантажити сертифікат")</f>
        <v>Завантажити сертифікат</v>
      </c>
    </row>
    <row r="3313" spans="1:6" x14ac:dyDescent="0.3">
      <c r="A3313" t="s">
        <v>7093</v>
      </c>
      <c r="B3313" t="s">
        <v>6</v>
      </c>
      <c r="C3313" t="s">
        <v>7094</v>
      </c>
      <c r="D3313" t="s">
        <v>7091</v>
      </c>
      <c r="E3313" t="s">
        <v>7092</v>
      </c>
      <c r="F3313" t="str">
        <f>HYPERLINK("https://talan.bank.gov.ua/get-user-certificate/45CElryO5e4m8t7J6RoN","Завантажити сертифікат")</f>
        <v>Завантажити сертифікат</v>
      </c>
    </row>
    <row r="3314" spans="1:6" x14ac:dyDescent="0.3">
      <c r="A3314" t="s">
        <v>7095</v>
      </c>
      <c r="B3314" t="s">
        <v>6</v>
      </c>
      <c r="C3314" t="s">
        <v>7096</v>
      </c>
      <c r="D3314" t="s">
        <v>7091</v>
      </c>
      <c r="E3314" t="s">
        <v>7092</v>
      </c>
      <c r="F3314" t="str">
        <f>HYPERLINK("https://talan.bank.gov.ua/get-user-certificate/45CElG2xjBSHND3D_0Qp","Завантажити сертифікат")</f>
        <v>Завантажити сертифікат</v>
      </c>
    </row>
    <row r="3315" spans="1:6" x14ac:dyDescent="0.3">
      <c r="A3315" t="s">
        <v>7097</v>
      </c>
      <c r="B3315" t="s">
        <v>6</v>
      </c>
      <c r="C3315" t="s">
        <v>7098</v>
      </c>
      <c r="D3315" t="s">
        <v>7099</v>
      </c>
      <c r="E3315" t="s">
        <v>7100</v>
      </c>
      <c r="F3315" t="str">
        <f>HYPERLINK("https://talan.bank.gov.ua/get-user-certificate/45CElKgLn-Q5Qesqj1lR","Завантажити сертифікат")</f>
        <v>Завантажити сертифікат</v>
      </c>
    </row>
    <row r="3316" spans="1:6" x14ac:dyDescent="0.3">
      <c r="A3316" t="s">
        <v>7101</v>
      </c>
      <c r="B3316" t="s">
        <v>6</v>
      </c>
      <c r="C3316" t="s">
        <v>7102</v>
      </c>
      <c r="D3316" t="s">
        <v>7099</v>
      </c>
      <c r="E3316" t="s">
        <v>7100</v>
      </c>
      <c r="F3316" t="str">
        <f>HYPERLINK("https://talan.bank.gov.ua/get-user-certificate/45CEleWP6jn3-iLC0jX_","Завантажити сертифікат")</f>
        <v>Завантажити сертифікат</v>
      </c>
    </row>
    <row r="3317" spans="1:6" x14ac:dyDescent="0.3">
      <c r="A3317" t="s">
        <v>7103</v>
      </c>
      <c r="B3317" t="s">
        <v>6</v>
      </c>
      <c r="C3317" t="s">
        <v>7104</v>
      </c>
      <c r="D3317" t="s">
        <v>7105</v>
      </c>
      <c r="E3317" t="s">
        <v>7106</v>
      </c>
      <c r="F3317" t="str">
        <f>HYPERLINK("https://talan.bank.gov.ua/get-user-certificate/45CEl9A26yvjzQ8pBkyi","Завантажити сертифікат")</f>
        <v>Завантажити сертифікат</v>
      </c>
    </row>
    <row r="3318" spans="1:6" x14ac:dyDescent="0.3">
      <c r="A3318" t="s">
        <v>7107</v>
      </c>
      <c r="B3318" t="s">
        <v>6</v>
      </c>
      <c r="C3318" t="s">
        <v>7108</v>
      </c>
      <c r="D3318" t="s">
        <v>7105</v>
      </c>
      <c r="E3318" t="s">
        <v>7106</v>
      </c>
      <c r="F3318" t="str">
        <f>HYPERLINK("https://talan.bank.gov.ua/get-user-certificate/45CElwInrfIZFwnuF-Je","Завантажити сертифікат")</f>
        <v>Завантажити сертифікат</v>
      </c>
    </row>
    <row r="3319" spans="1:6" x14ac:dyDescent="0.3">
      <c r="A3319" t="s">
        <v>7109</v>
      </c>
      <c r="B3319" t="s">
        <v>6</v>
      </c>
      <c r="C3319" t="s">
        <v>7110</v>
      </c>
      <c r="D3319" t="s">
        <v>7105</v>
      </c>
      <c r="E3319" t="s">
        <v>7106</v>
      </c>
      <c r="F3319" t="str">
        <f>HYPERLINK("https://talan.bank.gov.ua/get-user-certificate/45CElAAyU1nu8R-J3nHt","Завантажити сертифікат")</f>
        <v>Завантажити сертифікат</v>
      </c>
    </row>
    <row r="3320" spans="1:6" x14ac:dyDescent="0.3">
      <c r="A3320" t="s">
        <v>7111</v>
      </c>
      <c r="B3320" t="s">
        <v>6</v>
      </c>
      <c r="C3320" t="s">
        <v>7112</v>
      </c>
      <c r="D3320" t="s">
        <v>7105</v>
      </c>
      <c r="E3320" t="s">
        <v>7106</v>
      </c>
      <c r="F3320" t="str">
        <f>HYPERLINK("https://talan.bank.gov.ua/get-user-certificate/45CEldYNpgafIRmlemRM","Завантажити сертифікат")</f>
        <v>Завантажити сертифікат</v>
      </c>
    </row>
    <row r="3321" spans="1:6" x14ac:dyDescent="0.3">
      <c r="A3321" t="s">
        <v>7113</v>
      </c>
      <c r="B3321" t="s">
        <v>6</v>
      </c>
      <c r="C3321" t="s">
        <v>7114</v>
      </c>
      <c r="D3321" t="s">
        <v>7105</v>
      </c>
      <c r="E3321" t="s">
        <v>7106</v>
      </c>
      <c r="F3321" t="str">
        <f>HYPERLINK("https://talan.bank.gov.ua/get-user-certificate/45CElaM8XvGFBQWObDUD","Завантажити сертифікат")</f>
        <v>Завантажити сертифікат</v>
      </c>
    </row>
    <row r="3322" spans="1:6" x14ac:dyDescent="0.3">
      <c r="A3322" t="s">
        <v>7115</v>
      </c>
      <c r="B3322" t="s">
        <v>6</v>
      </c>
      <c r="C3322" t="s">
        <v>7116</v>
      </c>
      <c r="D3322" t="s">
        <v>7105</v>
      </c>
      <c r="E3322" t="s">
        <v>7106</v>
      </c>
      <c r="F3322" t="str">
        <f>HYPERLINK("https://talan.bank.gov.ua/get-user-certificate/45CElexqIYvo79gEcwD-","Завантажити сертифікат")</f>
        <v>Завантажити сертифікат</v>
      </c>
    </row>
    <row r="3323" spans="1:6" x14ac:dyDescent="0.3">
      <c r="A3323" t="s">
        <v>7117</v>
      </c>
      <c r="B3323" t="s">
        <v>6</v>
      </c>
      <c r="C3323" t="s">
        <v>7118</v>
      </c>
      <c r="D3323" t="s">
        <v>7105</v>
      </c>
      <c r="E3323" t="s">
        <v>7106</v>
      </c>
      <c r="F3323" t="str">
        <f>HYPERLINK("https://talan.bank.gov.ua/get-user-certificate/45CElPCJRZImkxVs79NL","Завантажити сертифікат")</f>
        <v>Завантажити сертифікат</v>
      </c>
    </row>
    <row r="3324" spans="1:6" x14ac:dyDescent="0.3">
      <c r="A3324" t="s">
        <v>7119</v>
      </c>
      <c r="B3324" t="s">
        <v>6</v>
      </c>
      <c r="C3324" t="s">
        <v>7120</v>
      </c>
      <c r="D3324" t="s">
        <v>7105</v>
      </c>
      <c r="E3324" t="s">
        <v>7106</v>
      </c>
      <c r="F3324" t="str">
        <f>HYPERLINK("https://talan.bank.gov.ua/get-user-certificate/45CElIOpcC7ZAYZ7wsED","Завантажити сертифікат")</f>
        <v>Завантажити сертифікат</v>
      </c>
    </row>
    <row r="3325" spans="1:6" x14ac:dyDescent="0.3">
      <c r="A3325" t="s">
        <v>7121</v>
      </c>
      <c r="B3325" t="s">
        <v>6</v>
      </c>
      <c r="C3325" t="s">
        <v>7122</v>
      </c>
      <c r="D3325" t="s">
        <v>7105</v>
      </c>
      <c r="E3325" t="s">
        <v>7106</v>
      </c>
      <c r="F3325" t="str">
        <f>HYPERLINK("https://talan.bank.gov.ua/get-user-certificate/45CElkv7j-GsqHY4FEZ8","Завантажити сертифікат")</f>
        <v>Завантажити сертифікат</v>
      </c>
    </row>
    <row r="3326" spans="1:6" x14ac:dyDescent="0.3">
      <c r="A3326" t="s">
        <v>7123</v>
      </c>
      <c r="B3326" t="s">
        <v>6</v>
      </c>
      <c r="C3326" t="s">
        <v>7124</v>
      </c>
      <c r="D3326" t="s">
        <v>7105</v>
      </c>
      <c r="E3326" t="s">
        <v>7106</v>
      </c>
      <c r="F3326" t="str">
        <f>HYPERLINK("https://talan.bank.gov.ua/get-user-certificate/45CElgh1VRklnCz8cg0X","Завантажити сертифікат")</f>
        <v>Завантажити сертифікат</v>
      </c>
    </row>
    <row r="3327" spans="1:6" x14ac:dyDescent="0.3">
      <c r="A3327" t="s">
        <v>7125</v>
      </c>
      <c r="B3327" t="s">
        <v>6</v>
      </c>
      <c r="C3327" t="s">
        <v>7126</v>
      </c>
      <c r="D3327" t="s">
        <v>7105</v>
      </c>
      <c r="E3327" t="s">
        <v>7106</v>
      </c>
      <c r="F3327" t="str">
        <f>HYPERLINK("https://talan.bank.gov.ua/get-user-certificate/45CEl98sK0N7AGcGapmX","Завантажити сертифікат")</f>
        <v>Завантажити сертифікат</v>
      </c>
    </row>
    <row r="3328" spans="1:6" x14ac:dyDescent="0.3">
      <c r="A3328" t="s">
        <v>7127</v>
      </c>
      <c r="B3328" t="s">
        <v>6</v>
      </c>
      <c r="C3328" t="s">
        <v>7128</v>
      </c>
      <c r="D3328" t="s">
        <v>7105</v>
      </c>
      <c r="E3328" t="s">
        <v>7106</v>
      </c>
      <c r="F3328" t="str">
        <f>HYPERLINK("https://talan.bank.gov.ua/get-user-certificate/45CEl4sLOaM2itpkDVcK","Завантажити сертифікат")</f>
        <v>Завантажити сертифікат</v>
      </c>
    </row>
    <row r="3329" spans="1:6" x14ac:dyDescent="0.3">
      <c r="A3329" t="s">
        <v>7129</v>
      </c>
      <c r="B3329" t="s">
        <v>6</v>
      </c>
      <c r="C3329" t="s">
        <v>7130</v>
      </c>
      <c r="D3329" t="s">
        <v>7105</v>
      </c>
      <c r="E3329" t="s">
        <v>7106</v>
      </c>
      <c r="F3329" t="str">
        <f>HYPERLINK("https://talan.bank.gov.ua/get-user-certificate/45CElDHYWyBVwmCdVORb","Завантажити сертифікат")</f>
        <v>Завантажити сертифікат</v>
      </c>
    </row>
    <row r="3330" spans="1:6" x14ac:dyDescent="0.3">
      <c r="A3330" t="s">
        <v>7131</v>
      </c>
      <c r="B3330" t="s">
        <v>6</v>
      </c>
      <c r="C3330" t="s">
        <v>7132</v>
      </c>
      <c r="D3330" t="s">
        <v>7105</v>
      </c>
      <c r="E3330" t="s">
        <v>7106</v>
      </c>
      <c r="F3330" t="str">
        <f>HYPERLINK("https://talan.bank.gov.ua/get-user-certificate/45CEli9_nfLqKcEC_ByI","Завантажити сертифікат")</f>
        <v>Завантажити сертифікат</v>
      </c>
    </row>
    <row r="3331" spans="1:6" x14ac:dyDescent="0.3">
      <c r="A3331" t="s">
        <v>7133</v>
      </c>
      <c r="B3331" t="s">
        <v>6</v>
      </c>
      <c r="C3331" t="s">
        <v>7134</v>
      </c>
      <c r="D3331" t="s">
        <v>7105</v>
      </c>
      <c r="E3331" t="s">
        <v>7106</v>
      </c>
      <c r="F3331" t="str">
        <f>HYPERLINK("https://talan.bank.gov.ua/get-user-certificate/45CElkVdcqo_IXVRdkuH","Завантажити сертифікат")</f>
        <v>Завантажити сертифікат</v>
      </c>
    </row>
    <row r="3332" spans="1:6" x14ac:dyDescent="0.3">
      <c r="A3332" t="s">
        <v>7135</v>
      </c>
      <c r="B3332" t="s">
        <v>6</v>
      </c>
      <c r="C3332" t="s">
        <v>7136</v>
      </c>
      <c r="D3332" t="s">
        <v>7105</v>
      </c>
      <c r="E3332" t="s">
        <v>7106</v>
      </c>
      <c r="F3332" t="str">
        <f>HYPERLINK("https://talan.bank.gov.ua/get-user-certificate/45CElm3v9I4cLhuhlWHY","Завантажити сертифікат")</f>
        <v>Завантажити сертифікат</v>
      </c>
    </row>
    <row r="3333" spans="1:6" x14ac:dyDescent="0.3">
      <c r="A3333" t="s">
        <v>7137</v>
      </c>
      <c r="B3333" t="s">
        <v>6</v>
      </c>
      <c r="C3333" t="s">
        <v>7138</v>
      </c>
      <c r="D3333" t="s">
        <v>7105</v>
      </c>
      <c r="E3333" t="s">
        <v>7106</v>
      </c>
      <c r="F3333" t="str">
        <f>HYPERLINK("https://talan.bank.gov.ua/get-user-certificate/45CElUAVQ_6RhGa5jLrS","Завантажити сертифікат")</f>
        <v>Завантажити сертифікат</v>
      </c>
    </row>
    <row r="3334" spans="1:6" x14ac:dyDescent="0.3">
      <c r="A3334" t="s">
        <v>7139</v>
      </c>
      <c r="B3334" t="s">
        <v>6</v>
      </c>
      <c r="C3334" t="s">
        <v>7140</v>
      </c>
      <c r="D3334" t="s">
        <v>7105</v>
      </c>
      <c r="E3334" t="s">
        <v>7106</v>
      </c>
      <c r="F3334" t="str">
        <f>HYPERLINK("https://talan.bank.gov.ua/get-user-certificate/45CElEVd3iL-Ke_Bzo8L","Завантажити сертифікат")</f>
        <v>Завантажити сертифікат</v>
      </c>
    </row>
    <row r="3335" spans="1:6" x14ac:dyDescent="0.3">
      <c r="A3335" t="s">
        <v>7141</v>
      </c>
      <c r="B3335" t="s">
        <v>6</v>
      </c>
      <c r="C3335" t="s">
        <v>7142</v>
      </c>
      <c r="D3335" t="s">
        <v>7105</v>
      </c>
      <c r="E3335" t="s">
        <v>7106</v>
      </c>
      <c r="F3335" t="str">
        <f>HYPERLINK("https://talan.bank.gov.ua/get-user-certificate/45CElQsPilBwQJcS15Pr","Завантажити сертифікат")</f>
        <v>Завантажити сертифікат</v>
      </c>
    </row>
    <row r="3336" spans="1:6" x14ac:dyDescent="0.3">
      <c r="A3336" t="s">
        <v>7143</v>
      </c>
      <c r="B3336" t="s">
        <v>6</v>
      </c>
      <c r="C3336" t="s">
        <v>7144</v>
      </c>
      <c r="D3336" t="s">
        <v>7105</v>
      </c>
      <c r="E3336" t="s">
        <v>7106</v>
      </c>
      <c r="F3336" t="str">
        <f>HYPERLINK("https://talan.bank.gov.ua/get-user-certificate/45CEl5CDPa2pWgHBCFWb","Завантажити сертифікат")</f>
        <v>Завантажити сертифікат</v>
      </c>
    </row>
    <row r="3337" spans="1:6" x14ac:dyDescent="0.3">
      <c r="A3337" t="s">
        <v>7145</v>
      </c>
      <c r="B3337" t="s">
        <v>6</v>
      </c>
      <c r="C3337" t="s">
        <v>7146</v>
      </c>
      <c r="D3337" t="s">
        <v>7105</v>
      </c>
      <c r="E3337" t="s">
        <v>7106</v>
      </c>
      <c r="F3337" t="str">
        <f>HYPERLINK("https://talan.bank.gov.ua/get-user-certificate/45CElDbL6Twb4PSu1M2G","Завантажити сертифікат")</f>
        <v>Завантажити сертифікат</v>
      </c>
    </row>
    <row r="3338" spans="1:6" x14ac:dyDescent="0.3">
      <c r="A3338" t="s">
        <v>7147</v>
      </c>
      <c r="B3338" t="s">
        <v>6</v>
      </c>
      <c r="C3338" t="s">
        <v>7148</v>
      </c>
      <c r="D3338" t="s">
        <v>7105</v>
      </c>
      <c r="E3338" t="s">
        <v>7106</v>
      </c>
      <c r="F3338" t="str">
        <f>HYPERLINK("https://talan.bank.gov.ua/get-user-certificate/45CEl1uu-jc122kLnMNE","Завантажити сертифікат")</f>
        <v>Завантажити сертифікат</v>
      </c>
    </row>
    <row r="3339" spans="1:6" x14ac:dyDescent="0.3">
      <c r="A3339" t="s">
        <v>7149</v>
      </c>
      <c r="B3339" t="s">
        <v>6</v>
      </c>
      <c r="C3339" t="s">
        <v>7150</v>
      </c>
      <c r="D3339" t="s">
        <v>7105</v>
      </c>
      <c r="E3339" t="s">
        <v>7106</v>
      </c>
      <c r="F3339" t="str">
        <f>HYPERLINK("https://talan.bank.gov.ua/get-user-certificate/45CElPdDd_Yozcxr2cqt","Завантажити сертифікат")</f>
        <v>Завантажити сертифікат</v>
      </c>
    </row>
    <row r="3340" spans="1:6" x14ac:dyDescent="0.3">
      <c r="A3340" t="s">
        <v>7151</v>
      </c>
      <c r="B3340" t="s">
        <v>6</v>
      </c>
      <c r="C3340" t="s">
        <v>7152</v>
      </c>
      <c r="D3340" t="s">
        <v>7105</v>
      </c>
      <c r="E3340" t="s">
        <v>7106</v>
      </c>
      <c r="F3340" t="str">
        <f>HYPERLINK("https://talan.bank.gov.ua/get-user-certificate/45CEleEZJErKapDjMW0L","Завантажити сертифікат")</f>
        <v>Завантажити сертифікат</v>
      </c>
    </row>
    <row r="3341" spans="1:6" x14ac:dyDescent="0.3">
      <c r="A3341" t="s">
        <v>7153</v>
      </c>
      <c r="B3341" t="s">
        <v>6</v>
      </c>
      <c r="C3341" t="s">
        <v>7154</v>
      </c>
      <c r="D3341" t="s">
        <v>7105</v>
      </c>
      <c r="E3341" t="s">
        <v>7106</v>
      </c>
      <c r="F3341" t="str">
        <f>HYPERLINK("https://talan.bank.gov.ua/get-user-certificate/45CElCrr0POEui_VmIiE","Завантажити сертифікат")</f>
        <v>Завантажити сертифікат</v>
      </c>
    </row>
    <row r="3342" spans="1:6" x14ac:dyDescent="0.3">
      <c r="A3342" t="s">
        <v>7155</v>
      </c>
      <c r="B3342" t="s">
        <v>6</v>
      </c>
      <c r="C3342" t="s">
        <v>7156</v>
      </c>
      <c r="D3342" t="s">
        <v>7105</v>
      </c>
      <c r="E3342" t="s">
        <v>7106</v>
      </c>
      <c r="F3342" t="str">
        <f>HYPERLINK("https://talan.bank.gov.ua/get-user-certificate/45CElXETPmFoN9jQKfNJ","Завантажити сертифікат")</f>
        <v>Завантажити сертифікат</v>
      </c>
    </row>
    <row r="3343" spans="1:6" x14ac:dyDescent="0.3">
      <c r="A3343" t="s">
        <v>7157</v>
      </c>
      <c r="B3343" t="s">
        <v>6</v>
      </c>
      <c r="C3343" t="s">
        <v>7158</v>
      </c>
      <c r="D3343" t="s">
        <v>7159</v>
      </c>
      <c r="E3343" t="s">
        <v>7160</v>
      </c>
      <c r="F3343" t="str">
        <f>HYPERLINK("https://talan.bank.gov.ua/get-user-certificate/45CElibPfVkTDVYynqfS","Завантажити сертифікат")</f>
        <v>Завантажити сертифікат</v>
      </c>
    </row>
    <row r="3344" spans="1:6" x14ac:dyDescent="0.3">
      <c r="A3344" t="s">
        <v>7161</v>
      </c>
      <c r="B3344" t="s">
        <v>6</v>
      </c>
      <c r="C3344" t="s">
        <v>7162</v>
      </c>
      <c r="D3344" t="s">
        <v>7159</v>
      </c>
      <c r="E3344" t="s">
        <v>7160</v>
      </c>
      <c r="F3344" t="str">
        <f>HYPERLINK("https://talan.bank.gov.ua/get-user-certificate/45CElQUZFmL0QWxhtqOK","Завантажити сертифікат")</f>
        <v>Завантажити сертифікат</v>
      </c>
    </row>
    <row r="3345" spans="1:6" x14ac:dyDescent="0.3">
      <c r="A3345" t="s">
        <v>7163</v>
      </c>
      <c r="B3345" t="s">
        <v>6</v>
      </c>
      <c r="C3345" t="s">
        <v>7164</v>
      </c>
      <c r="D3345" t="s">
        <v>7159</v>
      </c>
      <c r="E3345" t="s">
        <v>7160</v>
      </c>
      <c r="F3345" t="str">
        <f>HYPERLINK("https://talan.bank.gov.ua/get-user-certificate/45CElZqPQ6iS6aYSCoAF","Завантажити сертифікат")</f>
        <v>Завантажити сертифікат</v>
      </c>
    </row>
    <row r="3346" spans="1:6" x14ac:dyDescent="0.3">
      <c r="A3346" t="s">
        <v>7165</v>
      </c>
      <c r="B3346" t="s">
        <v>6</v>
      </c>
      <c r="C3346" t="s">
        <v>7166</v>
      </c>
      <c r="D3346" t="s">
        <v>7159</v>
      </c>
      <c r="E3346" t="s">
        <v>7160</v>
      </c>
      <c r="F3346" t="str">
        <f>HYPERLINK("https://talan.bank.gov.ua/get-user-certificate/45CElbktwKQP28X0q3L8","Завантажити сертифікат")</f>
        <v>Завантажити сертифікат</v>
      </c>
    </row>
    <row r="3347" spans="1:6" x14ac:dyDescent="0.3">
      <c r="A3347" t="s">
        <v>7167</v>
      </c>
      <c r="B3347" t="s">
        <v>6</v>
      </c>
      <c r="C3347" t="s">
        <v>7168</v>
      </c>
      <c r="D3347" t="s">
        <v>7169</v>
      </c>
      <c r="E3347" t="s">
        <v>7170</v>
      </c>
      <c r="F3347" t="str">
        <f>HYPERLINK("https://talan.bank.gov.ua/get-user-certificate/45CElyAB4ZhMQxtyZ8DB","Завантажити сертифікат")</f>
        <v>Завантажити сертифікат</v>
      </c>
    </row>
    <row r="3348" spans="1:6" x14ac:dyDescent="0.3">
      <c r="A3348" t="s">
        <v>7171</v>
      </c>
      <c r="B3348" t="s">
        <v>6</v>
      </c>
      <c r="C3348" t="s">
        <v>7172</v>
      </c>
      <c r="D3348" t="s">
        <v>7169</v>
      </c>
      <c r="E3348" t="s">
        <v>7170</v>
      </c>
      <c r="F3348" t="str">
        <f>HYPERLINK("https://talan.bank.gov.ua/get-user-certificate/45CElBF4HU9uaQbZaj2q","Завантажити сертифікат")</f>
        <v>Завантажити сертифікат</v>
      </c>
    </row>
    <row r="3349" spans="1:6" x14ac:dyDescent="0.3">
      <c r="A3349" t="s">
        <v>7173</v>
      </c>
      <c r="B3349" t="s">
        <v>6</v>
      </c>
      <c r="C3349" t="s">
        <v>7174</v>
      </c>
      <c r="D3349" t="s">
        <v>7169</v>
      </c>
      <c r="E3349" t="s">
        <v>7170</v>
      </c>
      <c r="F3349" t="str">
        <f>HYPERLINK("https://talan.bank.gov.ua/get-user-certificate/45CElwLYhh5T4vm-ujuY","Завантажити сертифікат")</f>
        <v>Завантажити сертифікат</v>
      </c>
    </row>
    <row r="3350" spans="1:6" x14ac:dyDescent="0.3">
      <c r="A3350" t="s">
        <v>7175</v>
      </c>
      <c r="B3350" t="s">
        <v>6</v>
      </c>
      <c r="C3350" t="s">
        <v>7176</v>
      </c>
      <c r="D3350" t="s">
        <v>7169</v>
      </c>
      <c r="E3350" t="s">
        <v>7170</v>
      </c>
      <c r="F3350" t="str">
        <f>HYPERLINK("https://talan.bank.gov.ua/get-user-certificate/45CElPtQNiABvXB5sVbW","Завантажити сертифікат")</f>
        <v>Завантажити сертифікат</v>
      </c>
    </row>
    <row r="3351" spans="1:6" x14ac:dyDescent="0.3">
      <c r="A3351" t="s">
        <v>7177</v>
      </c>
      <c r="B3351" t="s">
        <v>6</v>
      </c>
      <c r="C3351" t="s">
        <v>7178</v>
      </c>
      <c r="D3351" t="s">
        <v>7169</v>
      </c>
      <c r="E3351" t="s">
        <v>7170</v>
      </c>
      <c r="F3351" t="str">
        <f>HYPERLINK("https://talan.bank.gov.ua/get-user-certificate/45CElTAJYNhE6tUOTmrJ","Завантажити сертифікат")</f>
        <v>Завантажити сертифікат</v>
      </c>
    </row>
    <row r="3352" spans="1:6" x14ac:dyDescent="0.3">
      <c r="A3352" t="s">
        <v>7179</v>
      </c>
      <c r="B3352" t="s">
        <v>6</v>
      </c>
      <c r="C3352" t="s">
        <v>7180</v>
      </c>
      <c r="D3352" t="s">
        <v>7169</v>
      </c>
      <c r="E3352" t="s">
        <v>7170</v>
      </c>
      <c r="F3352" t="str">
        <f>HYPERLINK("https://talan.bank.gov.ua/get-user-certificate/45CElm7yl5kTsFFWZQ5B","Завантажити сертифікат")</f>
        <v>Завантажити сертифікат</v>
      </c>
    </row>
    <row r="3353" spans="1:6" x14ac:dyDescent="0.3">
      <c r="A3353" t="s">
        <v>7181</v>
      </c>
      <c r="B3353" t="s">
        <v>6</v>
      </c>
      <c r="C3353" t="s">
        <v>7182</v>
      </c>
      <c r="D3353" t="s">
        <v>7169</v>
      </c>
      <c r="E3353" t="s">
        <v>7170</v>
      </c>
      <c r="F3353" t="str">
        <f>HYPERLINK("https://talan.bank.gov.ua/get-user-certificate/45CEl0dbN9wOATkT97Bh","Завантажити сертифікат")</f>
        <v>Завантажити сертифікат</v>
      </c>
    </row>
    <row r="3354" spans="1:6" x14ac:dyDescent="0.3">
      <c r="A3354" t="s">
        <v>7183</v>
      </c>
      <c r="B3354" t="s">
        <v>6</v>
      </c>
      <c r="C3354" t="s">
        <v>7184</v>
      </c>
      <c r="D3354" t="s">
        <v>7169</v>
      </c>
      <c r="E3354" t="s">
        <v>7170</v>
      </c>
      <c r="F3354" t="str">
        <f>HYPERLINK("https://talan.bank.gov.ua/get-user-certificate/45CEl59dbRlOybXBLQlQ","Завантажити сертифікат")</f>
        <v>Завантажити сертифікат</v>
      </c>
    </row>
    <row r="3355" spans="1:6" x14ac:dyDescent="0.3">
      <c r="A3355" t="s">
        <v>7185</v>
      </c>
      <c r="B3355" t="s">
        <v>6</v>
      </c>
      <c r="C3355" t="s">
        <v>7186</v>
      </c>
      <c r="D3355" t="s">
        <v>7169</v>
      </c>
      <c r="E3355" t="s">
        <v>7170</v>
      </c>
      <c r="F3355" t="str">
        <f>HYPERLINK("https://talan.bank.gov.ua/get-user-certificate/45CEl3upSSezqi_FEd7q","Завантажити сертифікат")</f>
        <v>Завантажити сертифікат</v>
      </c>
    </row>
    <row r="3356" spans="1:6" x14ac:dyDescent="0.3">
      <c r="A3356" t="s">
        <v>7187</v>
      </c>
      <c r="B3356" t="s">
        <v>6</v>
      </c>
      <c r="C3356" t="s">
        <v>7188</v>
      </c>
      <c r="D3356" t="s">
        <v>7169</v>
      </c>
      <c r="E3356" t="s">
        <v>7170</v>
      </c>
      <c r="F3356" t="str">
        <f>HYPERLINK("https://talan.bank.gov.ua/get-user-certificate/45CElx-TUXiFzb3GcE76","Завантажити сертифікат")</f>
        <v>Завантажити сертифікат</v>
      </c>
    </row>
    <row r="3357" spans="1:6" x14ac:dyDescent="0.3">
      <c r="A3357" t="s">
        <v>7189</v>
      </c>
      <c r="B3357" t="s">
        <v>6</v>
      </c>
      <c r="C3357" t="s">
        <v>7190</v>
      </c>
      <c r="D3357" t="s">
        <v>7169</v>
      </c>
      <c r="E3357" t="s">
        <v>7170</v>
      </c>
      <c r="F3357" t="str">
        <f>HYPERLINK("https://talan.bank.gov.ua/get-user-certificate/45CEl7HukIh-GRNpshuC","Завантажити сертифікат")</f>
        <v>Завантажити сертифікат</v>
      </c>
    </row>
    <row r="3358" spans="1:6" x14ac:dyDescent="0.3">
      <c r="A3358" t="s">
        <v>7191</v>
      </c>
      <c r="B3358" t="s">
        <v>6</v>
      </c>
      <c r="C3358" t="s">
        <v>7192</v>
      </c>
      <c r="D3358" t="s">
        <v>7169</v>
      </c>
      <c r="E3358" t="s">
        <v>7170</v>
      </c>
      <c r="F3358" t="str">
        <f>HYPERLINK("https://talan.bank.gov.ua/get-user-certificate/45CElFYz5rYSl4_7F7Sj","Завантажити сертифікат")</f>
        <v>Завантажити сертифікат</v>
      </c>
    </row>
    <row r="3359" spans="1:6" x14ac:dyDescent="0.3">
      <c r="A3359" t="s">
        <v>7193</v>
      </c>
      <c r="B3359" t="s">
        <v>6</v>
      </c>
      <c r="C3359" t="s">
        <v>7194</v>
      </c>
      <c r="D3359" t="s">
        <v>7169</v>
      </c>
      <c r="E3359" t="s">
        <v>7170</v>
      </c>
      <c r="F3359" t="str">
        <f>HYPERLINK("https://talan.bank.gov.ua/get-user-certificate/45CElxAJGyE3vlV7k5y3","Завантажити сертифікат")</f>
        <v>Завантажити сертифікат</v>
      </c>
    </row>
    <row r="3360" spans="1:6" x14ac:dyDescent="0.3">
      <c r="A3360" t="s">
        <v>7195</v>
      </c>
      <c r="B3360" t="s">
        <v>6</v>
      </c>
      <c r="C3360" t="s">
        <v>7196</v>
      </c>
      <c r="D3360" t="s">
        <v>7169</v>
      </c>
      <c r="E3360" t="s">
        <v>7170</v>
      </c>
      <c r="F3360" t="str">
        <f>HYPERLINK("https://talan.bank.gov.ua/get-user-certificate/45CElIJdbw7djZdlUGLD","Завантажити сертифікат")</f>
        <v>Завантажити сертифікат</v>
      </c>
    </row>
    <row r="3361" spans="1:6" x14ac:dyDescent="0.3">
      <c r="A3361" t="s">
        <v>7197</v>
      </c>
      <c r="B3361" t="s">
        <v>6</v>
      </c>
      <c r="C3361" t="s">
        <v>7198</v>
      </c>
      <c r="D3361" t="s">
        <v>7169</v>
      </c>
      <c r="E3361" t="s">
        <v>7170</v>
      </c>
      <c r="F3361" t="str">
        <f>HYPERLINK("https://talan.bank.gov.ua/get-user-certificate/45CElINkrd7YjZbCS4KI","Завантажити сертифікат")</f>
        <v>Завантажити сертифікат</v>
      </c>
    </row>
    <row r="3362" spans="1:6" x14ac:dyDescent="0.3">
      <c r="A3362" t="s">
        <v>7199</v>
      </c>
      <c r="B3362" t="s">
        <v>6</v>
      </c>
      <c r="C3362" t="s">
        <v>7200</v>
      </c>
      <c r="D3362" t="s">
        <v>7169</v>
      </c>
      <c r="E3362" t="s">
        <v>7170</v>
      </c>
      <c r="F3362" t="str">
        <f>HYPERLINK("https://talan.bank.gov.ua/get-user-certificate/45CEl8ENFv0rW1lmM_DK","Завантажити сертифікат")</f>
        <v>Завантажити сертифікат</v>
      </c>
    </row>
    <row r="3363" spans="1:6" x14ac:dyDescent="0.3">
      <c r="A3363" t="s">
        <v>7201</v>
      </c>
      <c r="B3363" t="s">
        <v>6</v>
      </c>
      <c r="C3363" t="s">
        <v>7202</v>
      </c>
      <c r="D3363" t="s">
        <v>7169</v>
      </c>
      <c r="E3363" t="s">
        <v>7170</v>
      </c>
      <c r="F3363" t="str">
        <f>HYPERLINK("https://talan.bank.gov.ua/get-user-certificate/45CElbx3s2Xjqg41nGwT","Завантажити сертифікат")</f>
        <v>Завантажити сертифікат</v>
      </c>
    </row>
    <row r="3364" spans="1:6" x14ac:dyDescent="0.3">
      <c r="A3364" t="s">
        <v>7203</v>
      </c>
      <c r="B3364" t="s">
        <v>6</v>
      </c>
      <c r="C3364" t="s">
        <v>7204</v>
      </c>
      <c r="D3364" t="s">
        <v>7169</v>
      </c>
      <c r="E3364" t="s">
        <v>7170</v>
      </c>
      <c r="F3364" t="str">
        <f>HYPERLINK("https://talan.bank.gov.ua/get-user-certificate/45CEl-N5ORaofO9eKQHS","Завантажити сертифікат")</f>
        <v>Завантажити сертифікат</v>
      </c>
    </row>
    <row r="3365" spans="1:6" x14ac:dyDescent="0.3">
      <c r="A3365" t="s">
        <v>7205</v>
      </c>
      <c r="B3365" t="s">
        <v>6</v>
      </c>
      <c r="C3365" t="s">
        <v>7206</v>
      </c>
      <c r="D3365" t="s">
        <v>7169</v>
      </c>
      <c r="E3365" t="s">
        <v>7170</v>
      </c>
      <c r="F3365" t="str">
        <f>HYPERLINK("https://talan.bank.gov.ua/get-user-certificate/45CElDnh_MrcccLKD8p8","Завантажити сертифікат")</f>
        <v>Завантажити сертифікат</v>
      </c>
    </row>
    <row r="3366" spans="1:6" x14ac:dyDescent="0.3">
      <c r="A3366" t="s">
        <v>7207</v>
      </c>
      <c r="B3366" t="s">
        <v>6</v>
      </c>
      <c r="C3366" t="s">
        <v>7208</v>
      </c>
      <c r="D3366" t="s">
        <v>7169</v>
      </c>
      <c r="E3366" t="s">
        <v>7170</v>
      </c>
      <c r="F3366" t="str">
        <f>HYPERLINK("https://talan.bank.gov.ua/get-user-certificate/45CElLEtHr0yTEVdse-r","Завантажити сертифікат")</f>
        <v>Завантажити сертифікат</v>
      </c>
    </row>
    <row r="3367" spans="1:6" x14ac:dyDescent="0.3">
      <c r="A3367" t="s">
        <v>7209</v>
      </c>
      <c r="B3367" t="s">
        <v>6</v>
      </c>
      <c r="C3367" t="s">
        <v>7210</v>
      </c>
      <c r="D3367" t="s">
        <v>7169</v>
      </c>
      <c r="E3367" t="s">
        <v>7170</v>
      </c>
      <c r="F3367" t="str">
        <f>HYPERLINK("https://talan.bank.gov.ua/get-user-certificate/45CElQ3NqOXoiS0f_0xa","Завантажити сертифікат")</f>
        <v>Завантажити сертифікат</v>
      </c>
    </row>
    <row r="3368" spans="1:6" x14ac:dyDescent="0.3">
      <c r="A3368" t="s">
        <v>7211</v>
      </c>
      <c r="B3368" t="s">
        <v>6</v>
      </c>
      <c r="C3368" t="s">
        <v>7212</v>
      </c>
      <c r="D3368" t="s">
        <v>7169</v>
      </c>
      <c r="E3368" t="s">
        <v>7170</v>
      </c>
      <c r="F3368" t="str">
        <f>HYPERLINK("https://talan.bank.gov.ua/get-user-certificate/45CElSx6aCCJueH5PHj9","Завантажити сертифікат")</f>
        <v>Завантажити сертифікат</v>
      </c>
    </row>
    <row r="3369" spans="1:6" x14ac:dyDescent="0.3">
      <c r="A3369" t="s">
        <v>7213</v>
      </c>
      <c r="B3369" t="s">
        <v>6</v>
      </c>
      <c r="C3369" t="s">
        <v>7214</v>
      </c>
      <c r="D3369" t="s">
        <v>7169</v>
      </c>
      <c r="E3369" t="s">
        <v>7170</v>
      </c>
      <c r="F3369" t="str">
        <f>HYPERLINK("https://talan.bank.gov.ua/get-user-certificate/45CElUPjJoa-LQmcU1X4","Завантажити сертифікат")</f>
        <v>Завантажити сертифікат</v>
      </c>
    </row>
    <row r="3370" spans="1:6" x14ac:dyDescent="0.3">
      <c r="A3370" t="s">
        <v>7215</v>
      </c>
      <c r="B3370" t="s">
        <v>6</v>
      </c>
      <c r="C3370" t="s">
        <v>7216</v>
      </c>
      <c r="D3370" t="s">
        <v>7169</v>
      </c>
      <c r="E3370" t="s">
        <v>7170</v>
      </c>
      <c r="F3370" t="str">
        <f>HYPERLINK("https://talan.bank.gov.ua/get-user-certificate/45CElDJizh7F3qV8hn0D","Завантажити сертифікат")</f>
        <v>Завантажити сертифікат</v>
      </c>
    </row>
    <row r="3371" spans="1:6" x14ac:dyDescent="0.3">
      <c r="A3371" t="s">
        <v>7217</v>
      </c>
      <c r="B3371" t="s">
        <v>6</v>
      </c>
      <c r="C3371" t="s">
        <v>7218</v>
      </c>
      <c r="D3371" t="s">
        <v>7169</v>
      </c>
      <c r="E3371" t="s">
        <v>7170</v>
      </c>
      <c r="F3371" t="str">
        <f>HYPERLINK("https://talan.bank.gov.ua/get-user-certificate/45CElSI9QicYurGoDvMY","Завантажити сертифікат")</f>
        <v>Завантажити сертифікат</v>
      </c>
    </row>
    <row r="3372" spans="1:6" x14ac:dyDescent="0.3">
      <c r="A3372" t="s">
        <v>7219</v>
      </c>
      <c r="B3372" t="s">
        <v>6</v>
      </c>
      <c r="C3372" t="s">
        <v>7220</v>
      </c>
      <c r="D3372" t="s">
        <v>7169</v>
      </c>
      <c r="E3372" t="s">
        <v>7170</v>
      </c>
      <c r="F3372" t="str">
        <f>HYPERLINK("https://talan.bank.gov.ua/get-user-certificate/45CElF_7pRsMqiQ0A-fR","Завантажити сертифікат")</f>
        <v>Завантажити сертифікат</v>
      </c>
    </row>
    <row r="3373" spans="1:6" x14ac:dyDescent="0.3">
      <c r="A3373" t="s">
        <v>7221</v>
      </c>
      <c r="B3373" t="s">
        <v>6</v>
      </c>
      <c r="C3373" t="s">
        <v>7222</v>
      </c>
      <c r="D3373" t="s">
        <v>7169</v>
      </c>
      <c r="E3373" t="s">
        <v>7170</v>
      </c>
      <c r="F3373" t="str">
        <f>HYPERLINK("https://talan.bank.gov.ua/get-user-certificate/45CElL3XCjFigrVlyiNZ","Завантажити сертифікат")</f>
        <v>Завантажити сертифікат</v>
      </c>
    </row>
    <row r="3374" spans="1:6" x14ac:dyDescent="0.3">
      <c r="A3374" t="s">
        <v>7223</v>
      </c>
      <c r="B3374" t="s">
        <v>6</v>
      </c>
      <c r="C3374" t="s">
        <v>7224</v>
      </c>
      <c r="D3374" t="s">
        <v>7169</v>
      </c>
      <c r="E3374" t="s">
        <v>7170</v>
      </c>
      <c r="F3374" t="str">
        <f>HYPERLINK("https://talan.bank.gov.ua/get-user-certificate/45CElNp43tw1bhBQq0-o","Завантажити сертифікат")</f>
        <v>Завантажити сертифікат</v>
      </c>
    </row>
    <row r="3375" spans="1:6" x14ac:dyDescent="0.3">
      <c r="A3375" t="s">
        <v>7225</v>
      </c>
      <c r="B3375" t="s">
        <v>6</v>
      </c>
      <c r="C3375" t="s">
        <v>7226</v>
      </c>
      <c r="D3375" t="s">
        <v>7227</v>
      </c>
      <c r="E3375" t="s">
        <v>7228</v>
      </c>
      <c r="F3375" t="str">
        <f>HYPERLINK("https://talan.bank.gov.ua/get-user-certificate/45CEl48fGzJ5RoJ5u125","Завантажити сертифікат")</f>
        <v>Завантажити сертифікат</v>
      </c>
    </row>
    <row r="3376" spans="1:6" x14ac:dyDescent="0.3">
      <c r="A3376" t="s">
        <v>7229</v>
      </c>
      <c r="B3376" t="s">
        <v>6</v>
      </c>
      <c r="C3376" t="s">
        <v>7230</v>
      </c>
      <c r="D3376" t="s">
        <v>7227</v>
      </c>
      <c r="E3376" t="s">
        <v>7228</v>
      </c>
      <c r="F3376" t="str">
        <f>HYPERLINK("https://talan.bank.gov.ua/get-user-certificate/45CEl6581Ht-v-M4E_SH","Завантажити сертифікат")</f>
        <v>Завантажити сертифікат</v>
      </c>
    </row>
    <row r="3377" spans="1:6" x14ac:dyDescent="0.3">
      <c r="A3377" t="s">
        <v>7231</v>
      </c>
      <c r="B3377" t="s">
        <v>6</v>
      </c>
      <c r="C3377" t="s">
        <v>7232</v>
      </c>
      <c r="D3377" t="s">
        <v>7227</v>
      </c>
      <c r="E3377" t="s">
        <v>7228</v>
      </c>
      <c r="F3377" t="str">
        <f>HYPERLINK("https://talan.bank.gov.ua/get-user-certificate/45CElSVKaDfcBDRYRPgq","Завантажити сертифікат")</f>
        <v>Завантажити сертифікат</v>
      </c>
    </row>
    <row r="3378" spans="1:6" x14ac:dyDescent="0.3">
      <c r="A3378" t="s">
        <v>7233</v>
      </c>
      <c r="B3378" t="s">
        <v>6</v>
      </c>
      <c r="C3378" t="s">
        <v>7234</v>
      </c>
      <c r="D3378" t="s">
        <v>7227</v>
      </c>
      <c r="E3378" t="s">
        <v>7228</v>
      </c>
      <c r="F3378" t="str">
        <f>HYPERLINK("https://talan.bank.gov.ua/get-user-certificate/45CEltbR6-RmBx1cgWC0","Завантажити сертифікат")</f>
        <v>Завантажити сертифікат</v>
      </c>
    </row>
    <row r="3379" spans="1:6" x14ac:dyDescent="0.3">
      <c r="A3379" t="s">
        <v>7235</v>
      </c>
      <c r="B3379" t="s">
        <v>6</v>
      </c>
      <c r="C3379" t="s">
        <v>7236</v>
      </c>
      <c r="D3379" t="s">
        <v>7227</v>
      </c>
      <c r="E3379" t="s">
        <v>7228</v>
      </c>
      <c r="F3379" t="str">
        <f>HYPERLINK("https://talan.bank.gov.ua/get-user-certificate/45CElV8XtA3MzigSvffK","Завантажити сертифікат")</f>
        <v>Завантажити сертифікат</v>
      </c>
    </row>
    <row r="3380" spans="1:6" x14ac:dyDescent="0.3">
      <c r="A3380" t="s">
        <v>7237</v>
      </c>
      <c r="B3380" t="s">
        <v>6</v>
      </c>
      <c r="C3380" t="s">
        <v>7238</v>
      </c>
      <c r="D3380" t="s">
        <v>7227</v>
      </c>
      <c r="E3380" t="s">
        <v>7228</v>
      </c>
      <c r="F3380" t="str">
        <f>HYPERLINK("https://talan.bank.gov.ua/get-user-certificate/45CElG64n-KCpzW6dm2G","Завантажити сертифікат")</f>
        <v>Завантажити сертифікат</v>
      </c>
    </row>
    <row r="3381" spans="1:6" x14ac:dyDescent="0.3">
      <c r="A3381" t="s">
        <v>7239</v>
      </c>
      <c r="B3381" t="s">
        <v>6</v>
      </c>
      <c r="C3381" t="s">
        <v>7240</v>
      </c>
      <c r="D3381" t="s">
        <v>7227</v>
      </c>
      <c r="E3381" t="s">
        <v>7228</v>
      </c>
      <c r="F3381" t="str">
        <f>HYPERLINK("https://talan.bank.gov.ua/get-user-certificate/45CElK1XpGubRn52cR7s","Завантажити сертифікат")</f>
        <v>Завантажити сертифікат</v>
      </c>
    </row>
    <row r="3382" spans="1:6" x14ac:dyDescent="0.3">
      <c r="A3382" t="s">
        <v>7241</v>
      </c>
      <c r="B3382" t="s">
        <v>6</v>
      </c>
      <c r="C3382" t="s">
        <v>7242</v>
      </c>
      <c r="D3382" t="s">
        <v>7243</v>
      </c>
      <c r="E3382" t="s">
        <v>7244</v>
      </c>
      <c r="F3382" t="str">
        <f>HYPERLINK("https://talan.bank.gov.ua/get-user-certificate/45CEl-AsTr5iWezyGnaV","Завантажити сертифікат")</f>
        <v>Завантажити сертифікат</v>
      </c>
    </row>
    <row r="3383" spans="1:6" x14ac:dyDescent="0.3">
      <c r="A3383" t="s">
        <v>7245</v>
      </c>
      <c r="B3383" t="s">
        <v>6</v>
      </c>
      <c r="C3383" t="s">
        <v>4794</v>
      </c>
      <c r="D3383" t="s">
        <v>7243</v>
      </c>
      <c r="E3383" t="s">
        <v>7244</v>
      </c>
      <c r="F3383" t="str">
        <f>HYPERLINK("https://talan.bank.gov.ua/get-user-certificate/45CElT_-87CZB6-Ely5d","Завантажити сертифікат")</f>
        <v>Завантажити сертифікат</v>
      </c>
    </row>
    <row r="3384" spans="1:6" x14ac:dyDescent="0.3">
      <c r="A3384" t="s">
        <v>7246</v>
      </c>
      <c r="B3384" t="s">
        <v>6</v>
      </c>
      <c r="C3384" t="s">
        <v>7247</v>
      </c>
      <c r="D3384" t="s">
        <v>7243</v>
      </c>
      <c r="E3384" t="s">
        <v>7244</v>
      </c>
      <c r="F3384" t="str">
        <f>HYPERLINK("https://talan.bank.gov.ua/get-user-certificate/45CEls7Ywe0zWEtHKMty","Завантажити сертифікат")</f>
        <v>Завантажити сертифікат</v>
      </c>
    </row>
    <row r="3385" spans="1:6" x14ac:dyDescent="0.3">
      <c r="A3385" t="s">
        <v>7248</v>
      </c>
      <c r="B3385" t="s">
        <v>6</v>
      </c>
      <c r="C3385" t="s">
        <v>7249</v>
      </c>
      <c r="D3385" t="s">
        <v>7243</v>
      </c>
      <c r="E3385" t="s">
        <v>7244</v>
      </c>
      <c r="F3385" t="str">
        <f>HYPERLINK("https://talan.bank.gov.ua/get-user-certificate/45CEl0OvWKKqF4aXCQPr","Завантажити сертифікат")</f>
        <v>Завантажити сертифікат</v>
      </c>
    </row>
    <row r="3386" spans="1:6" x14ac:dyDescent="0.3">
      <c r="A3386" t="s">
        <v>7250</v>
      </c>
      <c r="B3386" t="s">
        <v>6</v>
      </c>
      <c r="C3386" t="s">
        <v>7251</v>
      </c>
      <c r="D3386" t="s">
        <v>7243</v>
      </c>
      <c r="E3386" t="s">
        <v>7244</v>
      </c>
      <c r="F3386" t="str">
        <f>HYPERLINK("https://talan.bank.gov.ua/get-user-certificate/45CElOrokipsoGc8s8EA","Завантажити сертифікат")</f>
        <v>Завантажити сертифікат</v>
      </c>
    </row>
    <row r="3387" spans="1:6" x14ac:dyDescent="0.3">
      <c r="A3387" t="s">
        <v>7252</v>
      </c>
      <c r="B3387" t="s">
        <v>6</v>
      </c>
      <c r="C3387" t="s">
        <v>7253</v>
      </c>
      <c r="D3387" t="s">
        <v>7243</v>
      </c>
      <c r="E3387" t="s">
        <v>7244</v>
      </c>
      <c r="F3387" t="str">
        <f>HYPERLINK("https://talan.bank.gov.ua/get-user-certificate/45CElCfTlvbcnGLP6AKp","Завантажити сертифікат")</f>
        <v>Завантажити сертифікат</v>
      </c>
    </row>
    <row r="3388" spans="1:6" x14ac:dyDescent="0.3">
      <c r="A3388" t="s">
        <v>7254</v>
      </c>
      <c r="B3388" t="s">
        <v>6</v>
      </c>
      <c r="C3388" t="s">
        <v>7255</v>
      </c>
      <c r="D3388" t="s">
        <v>7243</v>
      </c>
      <c r="E3388" t="s">
        <v>7244</v>
      </c>
      <c r="F3388" t="str">
        <f>HYPERLINK("https://talan.bank.gov.ua/get-user-certificate/45CEl2Qo9KhpPZq_8lLf","Завантажити сертифікат")</f>
        <v>Завантажити сертифікат</v>
      </c>
    </row>
    <row r="3389" spans="1:6" x14ac:dyDescent="0.3">
      <c r="A3389" t="s">
        <v>7256</v>
      </c>
      <c r="B3389" t="s">
        <v>6</v>
      </c>
      <c r="C3389" t="s">
        <v>7257</v>
      </c>
      <c r="D3389" t="s">
        <v>7243</v>
      </c>
      <c r="E3389" t="s">
        <v>7244</v>
      </c>
      <c r="F3389" t="str">
        <f>HYPERLINK("https://talan.bank.gov.ua/get-user-certificate/45CElVDzpUF7nq_D-oQk","Завантажити сертифікат")</f>
        <v>Завантажити сертифікат</v>
      </c>
    </row>
    <row r="3390" spans="1:6" x14ac:dyDescent="0.3">
      <c r="A3390" t="s">
        <v>7258</v>
      </c>
      <c r="B3390" t="s">
        <v>6</v>
      </c>
      <c r="C3390" t="s">
        <v>7259</v>
      </c>
      <c r="D3390" t="s">
        <v>7260</v>
      </c>
      <c r="E3390" t="s">
        <v>7261</v>
      </c>
      <c r="F3390" t="str">
        <f>HYPERLINK("https://talan.bank.gov.ua/get-user-certificate/45CElhm7jsBCXRAT7_Ox","Завантажити сертифікат")</f>
        <v>Завантажити сертифікат</v>
      </c>
    </row>
    <row r="3391" spans="1:6" x14ac:dyDescent="0.3">
      <c r="A3391" t="s">
        <v>7262</v>
      </c>
      <c r="B3391" t="s">
        <v>6</v>
      </c>
      <c r="C3391" t="s">
        <v>7263</v>
      </c>
      <c r="D3391" t="s">
        <v>7260</v>
      </c>
      <c r="E3391" t="s">
        <v>7261</v>
      </c>
      <c r="F3391" t="str">
        <f>HYPERLINK("https://talan.bank.gov.ua/get-user-certificate/45CElMVthOzrbe-uwsru","Завантажити сертифікат")</f>
        <v>Завантажити сертифікат</v>
      </c>
    </row>
    <row r="3392" spans="1:6" x14ac:dyDescent="0.3">
      <c r="A3392" t="s">
        <v>7264</v>
      </c>
      <c r="B3392" t="s">
        <v>6</v>
      </c>
      <c r="C3392" t="s">
        <v>7265</v>
      </c>
      <c r="D3392" t="s">
        <v>7260</v>
      </c>
      <c r="E3392" t="s">
        <v>7261</v>
      </c>
      <c r="F3392" t="str">
        <f>HYPERLINK("https://talan.bank.gov.ua/get-user-certificate/45CEl91fKbw8hRu1e1zy","Завантажити сертифікат")</f>
        <v>Завантажити сертифікат</v>
      </c>
    </row>
    <row r="3393" spans="1:6" x14ac:dyDescent="0.3">
      <c r="A3393" t="s">
        <v>7266</v>
      </c>
      <c r="B3393" t="s">
        <v>6</v>
      </c>
      <c r="C3393" t="s">
        <v>7267</v>
      </c>
      <c r="D3393" t="s">
        <v>7260</v>
      </c>
      <c r="E3393" t="s">
        <v>7261</v>
      </c>
      <c r="F3393" t="str">
        <f>HYPERLINK("https://talan.bank.gov.ua/get-user-certificate/45CElhpdAXDCFpp1jY3c","Завантажити сертифікат")</f>
        <v>Завантажити сертифікат</v>
      </c>
    </row>
    <row r="3394" spans="1:6" x14ac:dyDescent="0.3">
      <c r="A3394" t="s">
        <v>7268</v>
      </c>
      <c r="B3394" t="s">
        <v>6</v>
      </c>
      <c r="C3394" t="s">
        <v>7269</v>
      </c>
      <c r="D3394" t="s">
        <v>7260</v>
      </c>
      <c r="E3394" t="s">
        <v>7261</v>
      </c>
      <c r="F3394" t="str">
        <f>HYPERLINK("https://talan.bank.gov.ua/get-user-certificate/45CEl0ShRNUmaV6BNFcw","Завантажити сертифікат")</f>
        <v>Завантажити сертифікат</v>
      </c>
    </row>
    <row r="3395" spans="1:6" x14ac:dyDescent="0.3">
      <c r="A3395" t="s">
        <v>7270</v>
      </c>
      <c r="B3395" t="s">
        <v>6</v>
      </c>
      <c r="C3395" t="s">
        <v>7271</v>
      </c>
      <c r="D3395" t="s">
        <v>7260</v>
      </c>
      <c r="E3395" t="s">
        <v>7261</v>
      </c>
      <c r="F3395" t="str">
        <f>HYPERLINK("https://talan.bank.gov.ua/get-user-certificate/45CElFYefjUgl51V_QP2","Завантажити сертифікат")</f>
        <v>Завантажити сертифікат</v>
      </c>
    </row>
    <row r="3396" spans="1:6" x14ac:dyDescent="0.3">
      <c r="A3396" t="s">
        <v>7272</v>
      </c>
      <c r="B3396" t="s">
        <v>6</v>
      </c>
      <c r="C3396" t="s">
        <v>7273</v>
      </c>
      <c r="D3396" t="s">
        <v>7260</v>
      </c>
      <c r="E3396" t="s">
        <v>7261</v>
      </c>
      <c r="F3396" t="str">
        <f>HYPERLINK("https://talan.bank.gov.ua/get-user-certificate/45CElZ1oP45KsUg2Au3z","Завантажити сертифікат")</f>
        <v>Завантажити сертифікат</v>
      </c>
    </row>
    <row r="3397" spans="1:6" x14ac:dyDescent="0.3">
      <c r="A3397" t="s">
        <v>7274</v>
      </c>
      <c r="B3397" t="s">
        <v>6</v>
      </c>
      <c r="C3397" t="s">
        <v>7275</v>
      </c>
      <c r="D3397" t="s">
        <v>7260</v>
      </c>
      <c r="E3397" t="s">
        <v>7261</v>
      </c>
      <c r="F3397" t="str">
        <f>HYPERLINK("https://talan.bank.gov.ua/get-user-certificate/45CElmy1bkCzeBF6YJmJ","Завантажити сертифікат")</f>
        <v>Завантажити сертифікат</v>
      </c>
    </row>
    <row r="3398" spans="1:6" x14ac:dyDescent="0.3">
      <c r="A3398" t="s">
        <v>7276</v>
      </c>
      <c r="B3398" t="s">
        <v>6</v>
      </c>
      <c r="C3398" t="s">
        <v>7277</v>
      </c>
      <c r="D3398" t="s">
        <v>7260</v>
      </c>
      <c r="E3398" t="s">
        <v>7261</v>
      </c>
      <c r="F3398" t="str">
        <f>HYPERLINK("https://talan.bank.gov.ua/get-user-certificate/45CEl_xyYrDczKIOSwQZ","Завантажити сертифікат")</f>
        <v>Завантажити сертифікат</v>
      </c>
    </row>
    <row r="3399" spans="1:6" x14ac:dyDescent="0.3">
      <c r="A3399" t="s">
        <v>7278</v>
      </c>
      <c r="B3399" t="s">
        <v>6</v>
      </c>
      <c r="C3399" t="s">
        <v>7279</v>
      </c>
      <c r="D3399" t="s">
        <v>7260</v>
      </c>
      <c r="E3399" t="s">
        <v>7261</v>
      </c>
      <c r="F3399" t="str">
        <f>HYPERLINK("https://talan.bank.gov.ua/get-user-certificate/45CElfYFDZPxOsSaURoy","Завантажити сертифікат")</f>
        <v>Завантажити сертифікат</v>
      </c>
    </row>
    <row r="3400" spans="1:6" x14ac:dyDescent="0.3">
      <c r="A3400" t="s">
        <v>7280</v>
      </c>
      <c r="B3400" t="s">
        <v>6</v>
      </c>
      <c r="C3400" t="s">
        <v>7281</v>
      </c>
      <c r="D3400" t="s">
        <v>7282</v>
      </c>
      <c r="E3400" t="s">
        <v>7283</v>
      </c>
      <c r="F3400" t="str">
        <f>HYPERLINK("https://talan.bank.gov.ua/get-user-certificate/45CElB6e2b7YDKeVdXry","Завантажити сертифікат")</f>
        <v>Завантажити сертифікат</v>
      </c>
    </row>
    <row r="3401" spans="1:6" x14ac:dyDescent="0.3">
      <c r="A3401" t="s">
        <v>7284</v>
      </c>
      <c r="B3401" t="s">
        <v>6</v>
      </c>
      <c r="C3401" t="s">
        <v>7285</v>
      </c>
      <c r="D3401" t="s">
        <v>7282</v>
      </c>
      <c r="E3401" t="s">
        <v>7283</v>
      </c>
      <c r="F3401" t="str">
        <f>HYPERLINK("https://talan.bank.gov.ua/get-user-certificate/45CEljweWXvnJ12_m_iA","Завантажити сертифікат")</f>
        <v>Завантажити сертифікат</v>
      </c>
    </row>
    <row r="3402" spans="1:6" x14ac:dyDescent="0.3">
      <c r="A3402" t="s">
        <v>7286</v>
      </c>
      <c r="B3402" t="s">
        <v>6</v>
      </c>
      <c r="C3402" t="s">
        <v>7287</v>
      </c>
      <c r="D3402" t="s">
        <v>7282</v>
      </c>
      <c r="E3402" t="s">
        <v>7283</v>
      </c>
      <c r="F3402" t="str">
        <f>HYPERLINK("https://talan.bank.gov.ua/get-user-certificate/45CElZ2IcQA0ElhE1ycr","Завантажити сертифікат")</f>
        <v>Завантажити сертифікат</v>
      </c>
    </row>
    <row r="3403" spans="1:6" x14ac:dyDescent="0.3">
      <c r="A3403" t="s">
        <v>7288</v>
      </c>
      <c r="B3403" t="s">
        <v>6</v>
      </c>
      <c r="C3403" t="s">
        <v>7289</v>
      </c>
      <c r="D3403" t="s">
        <v>7282</v>
      </c>
      <c r="E3403" t="s">
        <v>7283</v>
      </c>
      <c r="F3403" t="str">
        <f>HYPERLINK("https://talan.bank.gov.ua/get-user-certificate/45CEl-0Z1r7XFn6O6JF7","Завантажити сертифікат")</f>
        <v>Завантажити сертифікат</v>
      </c>
    </row>
    <row r="3404" spans="1:6" x14ac:dyDescent="0.3">
      <c r="A3404" t="s">
        <v>7290</v>
      </c>
      <c r="B3404" t="s">
        <v>6</v>
      </c>
      <c r="C3404" t="s">
        <v>7291</v>
      </c>
      <c r="D3404" t="s">
        <v>7282</v>
      </c>
      <c r="E3404" t="s">
        <v>7283</v>
      </c>
      <c r="F3404" t="str">
        <f>HYPERLINK("https://talan.bank.gov.ua/get-user-certificate/45CElWLzuRxDNzTeSjkZ","Завантажити сертифікат")</f>
        <v>Завантажити сертифікат</v>
      </c>
    </row>
    <row r="3405" spans="1:6" x14ac:dyDescent="0.3">
      <c r="A3405" t="s">
        <v>7292</v>
      </c>
      <c r="B3405" t="s">
        <v>6</v>
      </c>
      <c r="C3405" t="s">
        <v>7293</v>
      </c>
      <c r="D3405" t="s">
        <v>7282</v>
      </c>
      <c r="E3405" t="s">
        <v>7283</v>
      </c>
      <c r="F3405" t="str">
        <f>HYPERLINK("https://talan.bank.gov.ua/get-user-certificate/45CElPaaD2bAdf9ijPPm","Завантажити сертифікат")</f>
        <v>Завантажити сертифікат</v>
      </c>
    </row>
    <row r="3406" spans="1:6" x14ac:dyDescent="0.3">
      <c r="A3406" t="s">
        <v>7294</v>
      </c>
      <c r="B3406" t="s">
        <v>6</v>
      </c>
      <c r="C3406" t="s">
        <v>7295</v>
      </c>
      <c r="D3406" t="s">
        <v>7282</v>
      </c>
      <c r="E3406" t="s">
        <v>7283</v>
      </c>
      <c r="F3406" t="str">
        <f>HYPERLINK("https://talan.bank.gov.ua/get-user-certificate/45CElMXumQY1i3x_DCWm","Завантажити сертифікат")</f>
        <v>Завантажити сертифікат</v>
      </c>
    </row>
    <row r="3407" spans="1:6" x14ac:dyDescent="0.3">
      <c r="A3407" t="s">
        <v>7296</v>
      </c>
      <c r="B3407" t="s">
        <v>6</v>
      </c>
      <c r="C3407" t="s">
        <v>7297</v>
      </c>
      <c r="D3407" t="s">
        <v>7282</v>
      </c>
      <c r="E3407" t="s">
        <v>7283</v>
      </c>
      <c r="F3407" t="str">
        <f>HYPERLINK("https://talan.bank.gov.ua/get-user-certificate/45CElehnaY4Es49UDwxH","Завантажити сертифікат")</f>
        <v>Завантажити сертифікат</v>
      </c>
    </row>
    <row r="3408" spans="1:6" x14ac:dyDescent="0.3">
      <c r="A3408" t="s">
        <v>7298</v>
      </c>
      <c r="B3408" t="s">
        <v>6</v>
      </c>
      <c r="C3408" t="s">
        <v>7299</v>
      </c>
      <c r="D3408" t="s">
        <v>7282</v>
      </c>
      <c r="E3408" t="s">
        <v>7283</v>
      </c>
      <c r="F3408" t="str">
        <f>HYPERLINK("https://talan.bank.gov.ua/get-user-certificate/45CElP8TEsYEWyMIkwhx","Завантажити сертифікат")</f>
        <v>Завантажити сертифікат</v>
      </c>
    </row>
    <row r="3409" spans="1:6" x14ac:dyDescent="0.3">
      <c r="A3409" t="s">
        <v>7300</v>
      </c>
      <c r="B3409" t="s">
        <v>6</v>
      </c>
      <c r="C3409" t="s">
        <v>7301</v>
      </c>
      <c r="D3409" t="s">
        <v>7282</v>
      </c>
      <c r="E3409" t="s">
        <v>7283</v>
      </c>
      <c r="F3409" t="str">
        <f>HYPERLINK("https://talan.bank.gov.ua/get-user-certificate/45CElk-j9VMY-zR-3638","Завантажити сертифікат")</f>
        <v>Завантажити сертифікат</v>
      </c>
    </row>
    <row r="3410" spans="1:6" x14ac:dyDescent="0.3">
      <c r="A3410" t="s">
        <v>7302</v>
      </c>
      <c r="B3410" t="s">
        <v>6</v>
      </c>
      <c r="C3410" t="s">
        <v>7303</v>
      </c>
      <c r="D3410" t="s">
        <v>7304</v>
      </c>
      <c r="E3410" t="s">
        <v>7305</v>
      </c>
      <c r="F3410" t="str">
        <f>HYPERLINK("https://talan.bank.gov.ua/get-user-certificate/45CElU0c7mWKj3HYpS2H","Завантажити сертифікат")</f>
        <v>Завантажити сертифікат</v>
      </c>
    </row>
    <row r="3411" spans="1:6" x14ac:dyDescent="0.3">
      <c r="A3411" t="s">
        <v>7306</v>
      </c>
      <c r="B3411" t="s">
        <v>6</v>
      </c>
      <c r="C3411" t="s">
        <v>7307</v>
      </c>
      <c r="D3411" t="s">
        <v>7304</v>
      </c>
      <c r="E3411" t="s">
        <v>7305</v>
      </c>
      <c r="F3411" t="str">
        <f>HYPERLINK("https://talan.bank.gov.ua/get-user-certificate/45CElr9uRYQVrZllqQjN","Завантажити сертифікат")</f>
        <v>Завантажити сертифікат</v>
      </c>
    </row>
    <row r="3412" spans="1:6" x14ac:dyDescent="0.3">
      <c r="A3412" t="s">
        <v>7308</v>
      </c>
      <c r="B3412" t="s">
        <v>6</v>
      </c>
      <c r="C3412" t="s">
        <v>7309</v>
      </c>
      <c r="D3412" t="s">
        <v>7304</v>
      </c>
      <c r="E3412" t="s">
        <v>7305</v>
      </c>
      <c r="F3412" t="str">
        <f>HYPERLINK("https://talan.bank.gov.ua/get-user-certificate/45CElDSyIHE1EU7O_UHd","Завантажити сертифікат")</f>
        <v>Завантажити сертифікат</v>
      </c>
    </row>
    <row r="3413" spans="1:6" x14ac:dyDescent="0.3">
      <c r="A3413" t="s">
        <v>7310</v>
      </c>
      <c r="B3413" t="s">
        <v>6</v>
      </c>
      <c r="C3413" t="s">
        <v>7311</v>
      </c>
      <c r="D3413" t="s">
        <v>7304</v>
      </c>
      <c r="E3413" t="s">
        <v>7305</v>
      </c>
      <c r="F3413" t="str">
        <f>HYPERLINK("https://talan.bank.gov.ua/get-user-certificate/45CElf-5rVzXQClNIABm","Завантажити сертифікат")</f>
        <v>Завантажити сертифікат</v>
      </c>
    </row>
    <row r="3414" spans="1:6" x14ac:dyDescent="0.3">
      <c r="A3414" t="s">
        <v>7312</v>
      </c>
      <c r="B3414" t="s">
        <v>6</v>
      </c>
      <c r="C3414" t="s">
        <v>7313</v>
      </c>
      <c r="D3414" t="s">
        <v>7304</v>
      </c>
      <c r="E3414" t="s">
        <v>7305</v>
      </c>
      <c r="F3414" t="str">
        <f>HYPERLINK("https://talan.bank.gov.ua/get-user-certificate/45CElLmQax-J8vJIryA8","Завантажити сертифікат")</f>
        <v>Завантажити сертифікат</v>
      </c>
    </row>
    <row r="3415" spans="1:6" x14ac:dyDescent="0.3">
      <c r="A3415" t="s">
        <v>7314</v>
      </c>
      <c r="B3415" t="s">
        <v>6</v>
      </c>
      <c r="C3415" t="s">
        <v>7315</v>
      </c>
      <c r="D3415" t="s">
        <v>7304</v>
      </c>
      <c r="E3415" t="s">
        <v>7305</v>
      </c>
      <c r="F3415" t="str">
        <f>HYPERLINK("https://talan.bank.gov.ua/get-user-certificate/45CElgyRrdFn5TKjR_Ke","Завантажити сертифікат")</f>
        <v>Завантажити сертифікат</v>
      </c>
    </row>
    <row r="3416" spans="1:6" x14ac:dyDescent="0.3">
      <c r="A3416" t="s">
        <v>7316</v>
      </c>
      <c r="B3416" t="s">
        <v>6</v>
      </c>
      <c r="C3416" t="s">
        <v>7317</v>
      </c>
      <c r="D3416" t="s">
        <v>7304</v>
      </c>
      <c r="E3416" t="s">
        <v>7305</v>
      </c>
      <c r="F3416" t="str">
        <f>HYPERLINK("https://talan.bank.gov.ua/get-user-certificate/45CElyVVMQtyqU9eAe9M","Завантажити сертифікат")</f>
        <v>Завантажити сертифікат</v>
      </c>
    </row>
    <row r="3417" spans="1:6" x14ac:dyDescent="0.3">
      <c r="A3417" t="s">
        <v>7318</v>
      </c>
      <c r="B3417" t="s">
        <v>6</v>
      </c>
      <c r="C3417" t="s">
        <v>7319</v>
      </c>
      <c r="D3417" t="s">
        <v>7304</v>
      </c>
      <c r="E3417" t="s">
        <v>7305</v>
      </c>
      <c r="F3417" t="str">
        <f>HYPERLINK("https://talan.bank.gov.ua/get-user-certificate/45CEl4pWZ7jMVWCAgzHS","Завантажити сертифікат")</f>
        <v>Завантажити сертифікат</v>
      </c>
    </row>
    <row r="3418" spans="1:6" x14ac:dyDescent="0.3">
      <c r="A3418" t="s">
        <v>7320</v>
      </c>
      <c r="B3418" t="s">
        <v>6</v>
      </c>
      <c r="C3418" t="s">
        <v>7321</v>
      </c>
      <c r="D3418" t="s">
        <v>7304</v>
      </c>
      <c r="E3418" t="s">
        <v>7305</v>
      </c>
      <c r="F3418" t="str">
        <f>HYPERLINK("https://talan.bank.gov.ua/get-user-certificate/45CElHHL4ruZpiMH_2Jn","Завантажити сертифікат")</f>
        <v>Завантажити сертифікат</v>
      </c>
    </row>
    <row r="3419" spans="1:6" x14ac:dyDescent="0.3">
      <c r="A3419" t="s">
        <v>7322</v>
      </c>
      <c r="B3419" t="s">
        <v>6</v>
      </c>
      <c r="C3419" t="s">
        <v>7323</v>
      </c>
      <c r="D3419" t="s">
        <v>7304</v>
      </c>
      <c r="E3419" t="s">
        <v>7305</v>
      </c>
      <c r="F3419" t="str">
        <f>HYPERLINK("https://talan.bank.gov.ua/get-user-certificate/45CEldj3KIaVzfSDtKgX","Завантажити сертифікат")</f>
        <v>Завантажити сертифікат</v>
      </c>
    </row>
    <row r="3420" spans="1:6" x14ac:dyDescent="0.3">
      <c r="A3420" t="s">
        <v>7324</v>
      </c>
      <c r="B3420" t="s">
        <v>6</v>
      </c>
      <c r="C3420" t="s">
        <v>7325</v>
      </c>
      <c r="D3420" t="s">
        <v>7304</v>
      </c>
      <c r="E3420" t="s">
        <v>7305</v>
      </c>
      <c r="F3420" t="str">
        <f>HYPERLINK("https://talan.bank.gov.ua/get-user-certificate/45CElEvIxID3pi1pzFUh","Завантажити сертифікат")</f>
        <v>Завантажити сертифікат</v>
      </c>
    </row>
    <row r="3421" spans="1:6" x14ac:dyDescent="0.3">
      <c r="A3421" t="s">
        <v>7326</v>
      </c>
      <c r="B3421" t="s">
        <v>6</v>
      </c>
      <c r="C3421" t="s">
        <v>7327</v>
      </c>
      <c r="D3421" t="s">
        <v>7304</v>
      </c>
      <c r="E3421" t="s">
        <v>7305</v>
      </c>
      <c r="F3421" t="str">
        <f>HYPERLINK("https://talan.bank.gov.ua/get-user-certificate/45CElJ51kxJ4a7Qlo50_","Завантажити сертифікат")</f>
        <v>Завантажити сертифікат</v>
      </c>
    </row>
    <row r="3422" spans="1:6" x14ac:dyDescent="0.3">
      <c r="A3422" t="s">
        <v>7328</v>
      </c>
      <c r="B3422" t="s">
        <v>6</v>
      </c>
      <c r="C3422" t="s">
        <v>7329</v>
      </c>
      <c r="D3422" t="s">
        <v>7304</v>
      </c>
      <c r="E3422" t="s">
        <v>7305</v>
      </c>
      <c r="F3422" t="str">
        <f>HYPERLINK("https://talan.bank.gov.ua/get-user-certificate/45CElneNebZrtPNort--","Завантажити сертифікат")</f>
        <v>Завантажити сертифікат</v>
      </c>
    </row>
    <row r="3423" spans="1:6" x14ac:dyDescent="0.3">
      <c r="A3423" t="s">
        <v>7330</v>
      </c>
      <c r="B3423" t="s">
        <v>6</v>
      </c>
      <c r="C3423" t="s">
        <v>7331</v>
      </c>
      <c r="D3423" t="s">
        <v>7304</v>
      </c>
      <c r="E3423" t="s">
        <v>7305</v>
      </c>
      <c r="F3423" t="str">
        <f>HYPERLINK("https://talan.bank.gov.ua/get-user-certificate/45CElxmWRJuw_CCzpOZc","Завантажити сертифікат")</f>
        <v>Завантажити сертифікат</v>
      </c>
    </row>
    <row r="3424" spans="1:6" x14ac:dyDescent="0.3">
      <c r="A3424" t="s">
        <v>7332</v>
      </c>
      <c r="B3424" t="s">
        <v>6</v>
      </c>
      <c r="C3424" t="s">
        <v>7333</v>
      </c>
      <c r="D3424" t="s">
        <v>7304</v>
      </c>
      <c r="E3424" t="s">
        <v>7305</v>
      </c>
      <c r="F3424" t="str">
        <f>HYPERLINK("https://talan.bank.gov.ua/get-user-certificate/45CElYZSaRi_KNQ9Y-V7","Завантажити сертифікат")</f>
        <v>Завантажити сертифікат</v>
      </c>
    </row>
    <row r="3425" spans="1:6" x14ac:dyDescent="0.3">
      <c r="A3425" t="s">
        <v>7334</v>
      </c>
      <c r="B3425" t="s">
        <v>6</v>
      </c>
      <c r="C3425" t="s">
        <v>7335</v>
      </c>
      <c r="D3425" t="s">
        <v>7304</v>
      </c>
      <c r="E3425" t="s">
        <v>7305</v>
      </c>
      <c r="F3425" t="str">
        <f>HYPERLINK("https://talan.bank.gov.ua/get-user-certificate/45CEl7h4ghI1V673yF9a","Завантажити сертифікат")</f>
        <v>Завантажити сертифікат</v>
      </c>
    </row>
    <row r="3426" spans="1:6" x14ac:dyDescent="0.3">
      <c r="A3426" t="s">
        <v>7336</v>
      </c>
      <c r="B3426" t="s">
        <v>6</v>
      </c>
      <c r="C3426" t="s">
        <v>7337</v>
      </c>
      <c r="D3426" t="s">
        <v>7304</v>
      </c>
      <c r="E3426" t="s">
        <v>7305</v>
      </c>
      <c r="F3426" t="str">
        <f>HYPERLINK("https://talan.bank.gov.ua/get-user-certificate/45CElsmMLm-1usQtuJx1","Завантажити сертифікат")</f>
        <v>Завантажити сертифікат</v>
      </c>
    </row>
    <row r="3427" spans="1:6" x14ac:dyDescent="0.3">
      <c r="A3427" t="s">
        <v>7338</v>
      </c>
      <c r="B3427" t="s">
        <v>6</v>
      </c>
      <c r="C3427" t="s">
        <v>7339</v>
      </c>
      <c r="D3427" t="s">
        <v>7304</v>
      </c>
      <c r="E3427" t="s">
        <v>7305</v>
      </c>
      <c r="F3427" t="str">
        <f>HYPERLINK("https://talan.bank.gov.ua/get-user-certificate/45CElW1zS9Z2NnL6xV2S","Завантажити сертифікат")</f>
        <v>Завантажити сертифікат</v>
      </c>
    </row>
    <row r="3428" spans="1:6" x14ac:dyDescent="0.3">
      <c r="A3428" t="s">
        <v>7340</v>
      </c>
      <c r="B3428" t="s">
        <v>6</v>
      </c>
      <c r="C3428" t="s">
        <v>7341</v>
      </c>
      <c r="D3428" t="s">
        <v>7304</v>
      </c>
      <c r="E3428" t="s">
        <v>7305</v>
      </c>
      <c r="F3428" t="str">
        <f>HYPERLINK("https://talan.bank.gov.ua/get-user-certificate/45CElLVjmeZupLO9BxsO","Завантажити сертифікат")</f>
        <v>Завантажити сертифікат</v>
      </c>
    </row>
    <row r="3429" spans="1:6" x14ac:dyDescent="0.3">
      <c r="A3429" t="s">
        <v>7342</v>
      </c>
      <c r="B3429" t="s">
        <v>6</v>
      </c>
      <c r="C3429" t="s">
        <v>7343</v>
      </c>
      <c r="D3429" t="s">
        <v>7304</v>
      </c>
      <c r="E3429" t="s">
        <v>7305</v>
      </c>
      <c r="F3429" t="str">
        <f>HYPERLINK("https://talan.bank.gov.ua/get-user-certificate/45CElDoSA6KRElYdIdMg","Завантажити сертифікат")</f>
        <v>Завантажити сертифікат</v>
      </c>
    </row>
    <row r="3430" spans="1:6" x14ac:dyDescent="0.3">
      <c r="A3430" t="s">
        <v>7344</v>
      </c>
      <c r="B3430" t="s">
        <v>6</v>
      </c>
      <c r="C3430" t="s">
        <v>7345</v>
      </c>
      <c r="D3430" t="s">
        <v>7346</v>
      </c>
      <c r="E3430" t="s">
        <v>7347</v>
      </c>
      <c r="F3430" t="str">
        <f>HYPERLINK("https://talan.bank.gov.ua/get-user-certificate/45CElhSypnIgahgb44TU","Завантажити сертифікат")</f>
        <v>Завантажити сертифікат</v>
      </c>
    </row>
    <row r="3431" spans="1:6" x14ac:dyDescent="0.3">
      <c r="A3431" t="s">
        <v>7348</v>
      </c>
      <c r="B3431" t="s">
        <v>6</v>
      </c>
      <c r="C3431" t="s">
        <v>7349</v>
      </c>
      <c r="D3431" t="s">
        <v>7346</v>
      </c>
      <c r="E3431" t="s">
        <v>7347</v>
      </c>
      <c r="F3431" t="str">
        <f>HYPERLINK("https://talan.bank.gov.ua/get-user-certificate/45CElD_LxTkyt4UBnOD1","Завантажити сертифікат")</f>
        <v>Завантажити сертифікат</v>
      </c>
    </row>
    <row r="3432" spans="1:6" x14ac:dyDescent="0.3">
      <c r="A3432" t="s">
        <v>7350</v>
      </c>
      <c r="B3432" t="s">
        <v>6</v>
      </c>
      <c r="C3432" t="s">
        <v>7351</v>
      </c>
      <c r="D3432" t="s">
        <v>7346</v>
      </c>
      <c r="E3432" t="s">
        <v>7347</v>
      </c>
      <c r="F3432" t="str">
        <f>HYPERLINK("https://talan.bank.gov.ua/get-user-certificate/45CEljb-NgXurOEryI7L","Завантажити сертифікат")</f>
        <v>Завантажити сертифікат</v>
      </c>
    </row>
    <row r="3433" spans="1:6" x14ac:dyDescent="0.3">
      <c r="A3433" t="s">
        <v>7352</v>
      </c>
      <c r="B3433" t="s">
        <v>6</v>
      </c>
      <c r="C3433" t="s">
        <v>7353</v>
      </c>
      <c r="D3433" t="s">
        <v>7346</v>
      </c>
      <c r="E3433" t="s">
        <v>7347</v>
      </c>
      <c r="F3433" t="str">
        <f>HYPERLINK("https://talan.bank.gov.ua/get-user-certificate/45CElkyg29X5hBcXfFr9","Завантажити сертифікат")</f>
        <v>Завантажити сертифікат</v>
      </c>
    </row>
    <row r="3434" spans="1:6" x14ac:dyDescent="0.3">
      <c r="A3434" t="s">
        <v>7354</v>
      </c>
      <c r="B3434" t="s">
        <v>6</v>
      </c>
      <c r="C3434" t="s">
        <v>7355</v>
      </c>
      <c r="D3434" t="s">
        <v>7346</v>
      </c>
      <c r="E3434" t="s">
        <v>7347</v>
      </c>
      <c r="F3434" t="str">
        <f>HYPERLINK("https://talan.bank.gov.ua/get-user-certificate/45CEl_bj3xWRizhiw17t","Завантажити сертифікат")</f>
        <v>Завантажити сертифікат</v>
      </c>
    </row>
    <row r="3435" spans="1:6" x14ac:dyDescent="0.3">
      <c r="A3435" t="s">
        <v>7356</v>
      </c>
      <c r="B3435" t="s">
        <v>6</v>
      </c>
      <c r="C3435" t="s">
        <v>7357</v>
      </c>
      <c r="D3435" t="s">
        <v>7346</v>
      </c>
      <c r="E3435" t="s">
        <v>7347</v>
      </c>
      <c r="F3435" t="str">
        <f>HYPERLINK("https://talan.bank.gov.ua/get-user-certificate/45CElNKHvIafp85d7KfZ","Завантажити сертифікат")</f>
        <v>Завантажити сертифікат</v>
      </c>
    </row>
    <row r="3436" spans="1:6" x14ac:dyDescent="0.3">
      <c r="A3436" t="s">
        <v>7358</v>
      </c>
      <c r="B3436" t="s">
        <v>6</v>
      </c>
      <c r="C3436" t="s">
        <v>7359</v>
      </c>
      <c r="D3436" t="s">
        <v>7346</v>
      </c>
      <c r="E3436" t="s">
        <v>7347</v>
      </c>
      <c r="F3436" t="str">
        <f>HYPERLINK("https://talan.bank.gov.ua/get-user-certificate/45CEl6816LNiA7yCM3Cy","Завантажити сертифікат")</f>
        <v>Завантажити сертифікат</v>
      </c>
    </row>
    <row r="3437" spans="1:6" x14ac:dyDescent="0.3">
      <c r="A3437" t="s">
        <v>7360</v>
      </c>
      <c r="B3437" t="s">
        <v>6</v>
      </c>
      <c r="C3437" t="s">
        <v>7361</v>
      </c>
      <c r="D3437" t="s">
        <v>7346</v>
      </c>
      <c r="E3437" t="s">
        <v>7347</v>
      </c>
      <c r="F3437" t="str">
        <f>HYPERLINK("https://talan.bank.gov.ua/get-user-certificate/45CElETPmBgpFV2H5wit","Завантажити сертифікат")</f>
        <v>Завантажити сертифікат</v>
      </c>
    </row>
    <row r="3438" spans="1:6" x14ac:dyDescent="0.3">
      <c r="A3438" t="s">
        <v>7362</v>
      </c>
      <c r="B3438" t="s">
        <v>6</v>
      </c>
      <c r="C3438" t="s">
        <v>7363</v>
      </c>
      <c r="D3438" t="s">
        <v>7346</v>
      </c>
      <c r="E3438" t="s">
        <v>7347</v>
      </c>
      <c r="F3438" t="str">
        <f>HYPERLINK("https://talan.bank.gov.ua/get-user-certificate/45CElDPmZYpsU24UN5Pn","Завантажити сертифікат")</f>
        <v>Завантажити сертифікат</v>
      </c>
    </row>
    <row r="3439" spans="1:6" x14ac:dyDescent="0.3">
      <c r="A3439" t="s">
        <v>7364</v>
      </c>
      <c r="B3439" t="s">
        <v>6</v>
      </c>
      <c r="C3439" t="s">
        <v>7365</v>
      </c>
      <c r="D3439" t="s">
        <v>7346</v>
      </c>
      <c r="E3439" t="s">
        <v>7347</v>
      </c>
      <c r="F3439" t="str">
        <f>HYPERLINK("https://talan.bank.gov.ua/get-user-certificate/45CElhOYz8vAvGg4OD29","Завантажити сертифікат")</f>
        <v>Завантажити сертифікат</v>
      </c>
    </row>
    <row r="3440" spans="1:6" x14ac:dyDescent="0.3">
      <c r="A3440" t="s">
        <v>7366</v>
      </c>
      <c r="B3440" t="s">
        <v>6</v>
      </c>
      <c r="C3440" t="s">
        <v>7367</v>
      </c>
      <c r="D3440" t="s">
        <v>7346</v>
      </c>
      <c r="E3440" t="s">
        <v>7347</v>
      </c>
      <c r="F3440" t="str">
        <f>HYPERLINK("https://talan.bank.gov.ua/get-user-certificate/45CElHPz7qYfagte1Gnk","Завантажити сертифікат")</f>
        <v>Завантажити сертифікат</v>
      </c>
    </row>
    <row r="3441" spans="1:6" x14ac:dyDescent="0.3">
      <c r="A3441" t="s">
        <v>7368</v>
      </c>
      <c r="B3441" t="s">
        <v>6</v>
      </c>
      <c r="C3441" t="s">
        <v>7369</v>
      </c>
      <c r="D3441" t="s">
        <v>7346</v>
      </c>
      <c r="E3441" t="s">
        <v>7347</v>
      </c>
      <c r="F3441" t="str">
        <f>HYPERLINK("https://talan.bank.gov.ua/get-user-certificate/45CElAcrsU_VG8O4ZTV5","Завантажити сертифікат")</f>
        <v>Завантажити сертифікат</v>
      </c>
    </row>
    <row r="3442" spans="1:6" x14ac:dyDescent="0.3">
      <c r="A3442" t="s">
        <v>7370</v>
      </c>
      <c r="B3442" t="s">
        <v>6</v>
      </c>
      <c r="C3442" t="s">
        <v>7371</v>
      </c>
      <c r="D3442" t="s">
        <v>7346</v>
      </c>
      <c r="E3442" t="s">
        <v>7347</v>
      </c>
      <c r="F3442" t="str">
        <f>HYPERLINK("https://talan.bank.gov.ua/get-user-certificate/45CElWn01azD8uLP-FV7","Завантажити сертифікат")</f>
        <v>Завантажити сертифікат</v>
      </c>
    </row>
    <row r="3443" spans="1:6" x14ac:dyDescent="0.3">
      <c r="A3443" t="s">
        <v>7372</v>
      </c>
      <c r="B3443" t="s">
        <v>6</v>
      </c>
      <c r="C3443" t="s">
        <v>7373</v>
      </c>
      <c r="D3443" t="s">
        <v>7346</v>
      </c>
      <c r="E3443" t="s">
        <v>7347</v>
      </c>
      <c r="F3443" t="str">
        <f>HYPERLINK("https://talan.bank.gov.ua/get-user-certificate/45CEl1dwDNU-NfhZjkA7","Завантажити сертифікат")</f>
        <v>Завантажити сертифікат</v>
      </c>
    </row>
    <row r="3444" spans="1:6" x14ac:dyDescent="0.3">
      <c r="A3444" t="s">
        <v>7374</v>
      </c>
      <c r="B3444" t="s">
        <v>6</v>
      </c>
      <c r="C3444" t="s">
        <v>7375</v>
      </c>
      <c r="D3444" t="s">
        <v>7346</v>
      </c>
      <c r="E3444" t="s">
        <v>7347</v>
      </c>
      <c r="F3444" t="str">
        <f>HYPERLINK("https://talan.bank.gov.ua/get-user-certificate/45CEl4mlASU1NtF8F8-4","Завантажити сертифікат")</f>
        <v>Завантажити сертифікат</v>
      </c>
    </row>
    <row r="3445" spans="1:6" x14ac:dyDescent="0.3">
      <c r="A3445" t="s">
        <v>7376</v>
      </c>
      <c r="B3445" t="s">
        <v>6</v>
      </c>
      <c r="C3445" t="s">
        <v>7377</v>
      </c>
      <c r="D3445" t="s">
        <v>7346</v>
      </c>
      <c r="E3445" t="s">
        <v>7347</v>
      </c>
      <c r="F3445" t="str">
        <f>HYPERLINK("https://talan.bank.gov.ua/get-user-certificate/45CElg2_qrbaJLTQiUtx","Завантажити сертифікат")</f>
        <v>Завантажити сертифікат</v>
      </c>
    </row>
    <row r="3446" spans="1:6" x14ac:dyDescent="0.3">
      <c r="A3446" t="s">
        <v>7378</v>
      </c>
      <c r="B3446" t="s">
        <v>6</v>
      </c>
      <c r="C3446" t="s">
        <v>7379</v>
      </c>
      <c r="D3446" t="s">
        <v>7346</v>
      </c>
      <c r="E3446" t="s">
        <v>7347</v>
      </c>
      <c r="F3446" t="str">
        <f>HYPERLINK("https://talan.bank.gov.ua/get-user-certificate/45CElZYd3QcToe-6beef","Завантажити сертифікат")</f>
        <v>Завантажити сертифікат</v>
      </c>
    </row>
    <row r="3447" spans="1:6" x14ac:dyDescent="0.3">
      <c r="A3447" t="s">
        <v>7380</v>
      </c>
      <c r="B3447" t="s">
        <v>6</v>
      </c>
      <c r="C3447" t="s">
        <v>7381</v>
      </c>
      <c r="D3447" t="s">
        <v>7346</v>
      </c>
      <c r="E3447" t="s">
        <v>7347</v>
      </c>
      <c r="F3447" t="str">
        <f>HYPERLINK("https://talan.bank.gov.ua/get-user-certificate/45CElEgBbUE4h1zjolgO","Завантажити сертифікат")</f>
        <v>Завантажити сертифікат</v>
      </c>
    </row>
    <row r="3448" spans="1:6" x14ac:dyDescent="0.3">
      <c r="A3448" t="s">
        <v>7382</v>
      </c>
      <c r="B3448" t="s">
        <v>6</v>
      </c>
      <c r="C3448" t="s">
        <v>7383</v>
      </c>
      <c r="D3448" t="s">
        <v>7346</v>
      </c>
      <c r="E3448" t="s">
        <v>7347</v>
      </c>
      <c r="F3448" t="str">
        <f>HYPERLINK("https://talan.bank.gov.ua/get-user-certificate/45CElKajZ-L5-j2mVj4x","Завантажити сертифікат")</f>
        <v>Завантажити сертифікат</v>
      </c>
    </row>
    <row r="3449" spans="1:6" x14ac:dyDescent="0.3">
      <c r="A3449" t="s">
        <v>7384</v>
      </c>
      <c r="B3449" t="s">
        <v>6</v>
      </c>
      <c r="C3449" t="s">
        <v>7385</v>
      </c>
      <c r="D3449" t="s">
        <v>7346</v>
      </c>
      <c r="E3449" t="s">
        <v>7347</v>
      </c>
      <c r="F3449" t="str">
        <f>HYPERLINK("https://talan.bank.gov.ua/get-user-certificate/45CEleMPFVg6BjDA6wCE","Завантажити сертифікат")</f>
        <v>Завантажити сертифікат</v>
      </c>
    </row>
    <row r="3450" spans="1:6" x14ac:dyDescent="0.3">
      <c r="A3450" t="s">
        <v>7386</v>
      </c>
      <c r="B3450" t="s">
        <v>6</v>
      </c>
      <c r="C3450" t="s">
        <v>7387</v>
      </c>
      <c r="D3450" t="s">
        <v>7346</v>
      </c>
      <c r="E3450" t="s">
        <v>7347</v>
      </c>
      <c r="F3450" t="str">
        <f>HYPERLINK("https://talan.bank.gov.ua/get-user-certificate/45CElcRvg3hc1vHIfhwj","Завантажити сертифікат")</f>
        <v>Завантажити сертифікат</v>
      </c>
    </row>
    <row r="3451" spans="1:6" x14ac:dyDescent="0.3">
      <c r="A3451" t="s">
        <v>7388</v>
      </c>
      <c r="B3451" t="s">
        <v>6</v>
      </c>
      <c r="C3451" t="s">
        <v>7389</v>
      </c>
      <c r="D3451" t="s">
        <v>7390</v>
      </c>
      <c r="E3451" t="s">
        <v>7391</v>
      </c>
      <c r="F3451" t="str">
        <f>HYPERLINK("https://talan.bank.gov.ua/get-user-certificate/45CEln87QIwqTtmnSqlN","Завантажити сертифікат")</f>
        <v>Завантажити сертифікат</v>
      </c>
    </row>
    <row r="3452" spans="1:6" x14ac:dyDescent="0.3">
      <c r="A3452" t="s">
        <v>7392</v>
      </c>
      <c r="B3452" t="s">
        <v>6</v>
      </c>
      <c r="C3452" t="s">
        <v>7393</v>
      </c>
      <c r="D3452" t="s">
        <v>7390</v>
      </c>
      <c r="E3452" t="s">
        <v>7391</v>
      </c>
      <c r="F3452" t="str">
        <f>HYPERLINK("https://talan.bank.gov.ua/get-user-certificate/45CEln-LacfodR7vlcxV","Завантажити сертифікат")</f>
        <v>Завантажити сертифікат</v>
      </c>
    </row>
    <row r="3453" spans="1:6" x14ac:dyDescent="0.3">
      <c r="A3453" t="s">
        <v>7394</v>
      </c>
      <c r="B3453" t="s">
        <v>6</v>
      </c>
      <c r="C3453" t="s">
        <v>7395</v>
      </c>
      <c r="D3453" t="s">
        <v>7396</v>
      </c>
      <c r="E3453" t="s">
        <v>7397</v>
      </c>
      <c r="F3453" t="str">
        <f>HYPERLINK("https://talan.bank.gov.ua/get-user-certificate/45CEl8FAYfITjWOqb3Q3","Завантажити сертифікат")</f>
        <v>Завантажити сертифікат</v>
      </c>
    </row>
    <row r="3454" spans="1:6" x14ac:dyDescent="0.3">
      <c r="A3454" t="s">
        <v>7398</v>
      </c>
      <c r="B3454" t="s">
        <v>6</v>
      </c>
      <c r="C3454" t="s">
        <v>7399</v>
      </c>
      <c r="D3454" t="s">
        <v>7396</v>
      </c>
      <c r="E3454" t="s">
        <v>7397</v>
      </c>
      <c r="F3454" t="str">
        <f>HYPERLINK("https://talan.bank.gov.ua/get-user-certificate/45CEl6VAampF7oOKNTMo","Завантажити сертифікат")</f>
        <v>Завантажити сертифікат</v>
      </c>
    </row>
    <row r="3455" spans="1:6" x14ac:dyDescent="0.3">
      <c r="A3455" t="s">
        <v>7400</v>
      </c>
      <c r="B3455" t="s">
        <v>6</v>
      </c>
      <c r="C3455" t="s">
        <v>7401</v>
      </c>
      <c r="D3455" t="s">
        <v>7396</v>
      </c>
      <c r="E3455" t="s">
        <v>7397</v>
      </c>
      <c r="F3455" t="str">
        <f>HYPERLINK("https://talan.bank.gov.ua/get-user-certificate/45CElAe0nyMy1Bt1XeSd","Завантажити сертифікат")</f>
        <v>Завантажити сертифікат</v>
      </c>
    </row>
    <row r="3456" spans="1:6" x14ac:dyDescent="0.3">
      <c r="A3456" t="s">
        <v>7402</v>
      </c>
      <c r="B3456" t="s">
        <v>6</v>
      </c>
      <c r="C3456" t="s">
        <v>7403</v>
      </c>
      <c r="D3456" t="s">
        <v>7396</v>
      </c>
      <c r="E3456" t="s">
        <v>7397</v>
      </c>
      <c r="F3456" t="str">
        <f>HYPERLINK("https://talan.bank.gov.ua/get-user-certificate/45CElDtzfmfsZRQ4Rmmh","Завантажити сертифікат")</f>
        <v>Завантажити сертифікат</v>
      </c>
    </row>
    <row r="3457" spans="1:6" x14ac:dyDescent="0.3">
      <c r="A3457" t="s">
        <v>7404</v>
      </c>
      <c r="B3457" t="s">
        <v>6</v>
      </c>
      <c r="C3457" t="s">
        <v>7405</v>
      </c>
      <c r="D3457" t="s">
        <v>7396</v>
      </c>
      <c r="E3457" t="s">
        <v>7397</v>
      </c>
      <c r="F3457" t="str">
        <f>HYPERLINK("https://talan.bank.gov.ua/get-user-certificate/45CElLgvkzfUx9Tk8NZc","Завантажити сертифікат")</f>
        <v>Завантажити сертифікат</v>
      </c>
    </row>
    <row r="3458" spans="1:6" x14ac:dyDescent="0.3">
      <c r="A3458" t="s">
        <v>7406</v>
      </c>
      <c r="B3458" t="s">
        <v>6</v>
      </c>
      <c r="C3458" t="s">
        <v>7407</v>
      </c>
      <c r="D3458" t="s">
        <v>7396</v>
      </c>
      <c r="E3458" t="s">
        <v>7397</v>
      </c>
      <c r="F3458" t="str">
        <f>HYPERLINK("https://talan.bank.gov.ua/get-user-certificate/45CElqgrcMTroTuMVkwW","Завантажити сертифікат")</f>
        <v>Завантажити сертифікат</v>
      </c>
    </row>
    <row r="3459" spans="1:6" x14ac:dyDescent="0.3">
      <c r="A3459" t="s">
        <v>7408</v>
      </c>
      <c r="B3459" t="s">
        <v>6</v>
      </c>
      <c r="C3459" t="s">
        <v>7409</v>
      </c>
      <c r="D3459" t="s">
        <v>7396</v>
      </c>
      <c r="E3459" t="s">
        <v>7397</v>
      </c>
      <c r="F3459" t="str">
        <f>HYPERLINK("https://talan.bank.gov.ua/get-user-certificate/45CElcG5nEiIkU4d5540","Завантажити сертифікат")</f>
        <v>Завантажити сертифікат</v>
      </c>
    </row>
    <row r="3460" spans="1:6" x14ac:dyDescent="0.3">
      <c r="A3460" t="s">
        <v>7410</v>
      </c>
      <c r="B3460" t="s">
        <v>6</v>
      </c>
      <c r="C3460" t="s">
        <v>7411</v>
      </c>
      <c r="D3460" t="s">
        <v>7396</v>
      </c>
      <c r="E3460" t="s">
        <v>7397</v>
      </c>
      <c r="F3460" t="str">
        <f>HYPERLINK("https://talan.bank.gov.ua/get-user-certificate/45CElvlGCiGSJFNVat4i","Завантажити сертифікат")</f>
        <v>Завантажити сертифікат</v>
      </c>
    </row>
    <row r="3461" spans="1:6" x14ac:dyDescent="0.3">
      <c r="A3461" t="s">
        <v>7412</v>
      </c>
      <c r="B3461" t="s">
        <v>6</v>
      </c>
      <c r="C3461" t="s">
        <v>7413</v>
      </c>
      <c r="D3461" t="s">
        <v>7396</v>
      </c>
      <c r="E3461" t="s">
        <v>7397</v>
      </c>
      <c r="F3461" t="str">
        <f>HYPERLINK("https://talan.bank.gov.ua/get-user-certificate/45CElY-R_ze0lYi2fUWz","Завантажити сертифікат")</f>
        <v>Завантажити сертифікат</v>
      </c>
    </row>
    <row r="3462" spans="1:6" x14ac:dyDescent="0.3">
      <c r="A3462" t="s">
        <v>7414</v>
      </c>
      <c r="B3462" t="s">
        <v>6</v>
      </c>
      <c r="C3462" t="s">
        <v>7415</v>
      </c>
      <c r="D3462" t="s">
        <v>7396</v>
      </c>
      <c r="E3462" t="s">
        <v>7397</v>
      </c>
      <c r="F3462" t="str">
        <f>HYPERLINK("https://talan.bank.gov.ua/get-user-certificate/45CElmLEF37RwHyAWePY","Завантажити сертифікат")</f>
        <v>Завантажити сертифікат</v>
      </c>
    </row>
    <row r="3463" spans="1:6" x14ac:dyDescent="0.3">
      <c r="A3463" t="s">
        <v>7416</v>
      </c>
      <c r="B3463" t="s">
        <v>6</v>
      </c>
      <c r="C3463" t="s">
        <v>7417</v>
      </c>
      <c r="D3463" t="s">
        <v>7396</v>
      </c>
      <c r="E3463" t="s">
        <v>7397</v>
      </c>
      <c r="F3463" t="str">
        <f>HYPERLINK("https://talan.bank.gov.ua/get-user-certificate/45CEl4Nl2z-TQdVrgen0","Завантажити сертифікат")</f>
        <v>Завантажити сертифікат</v>
      </c>
    </row>
    <row r="3464" spans="1:6" x14ac:dyDescent="0.3">
      <c r="A3464" t="s">
        <v>7418</v>
      </c>
      <c r="B3464" t="s">
        <v>6</v>
      </c>
      <c r="C3464" t="s">
        <v>7419</v>
      </c>
      <c r="D3464" t="s">
        <v>7396</v>
      </c>
      <c r="E3464" t="s">
        <v>7397</v>
      </c>
      <c r="F3464" t="str">
        <f>HYPERLINK("https://talan.bank.gov.ua/get-user-certificate/45CEllHJwNP5zwCMRoCP","Завантажити сертифікат")</f>
        <v>Завантажити сертифікат</v>
      </c>
    </row>
    <row r="3465" spans="1:6" x14ac:dyDescent="0.3">
      <c r="A3465" t="s">
        <v>7420</v>
      </c>
      <c r="B3465" t="s">
        <v>6</v>
      </c>
      <c r="C3465" t="s">
        <v>7421</v>
      </c>
      <c r="D3465" t="s">
        <v>7396</v>
      </c>
      <c r="E3465" t="s">
        <v>7397</v>
      </c>
      <c r="F3465" t="str">
        <f>HYPERLINK("https://talan.bank.gov.ua/get-user-certificate/45CEl6aJCtcIy9Rc4vwU","Завантажити сертифікат")</f>
        <v>Завантажити сертифікат</v>
      </c>
    </row>
    <row r="3466" spans="1:6" x14ac:dyDescent="0.3">
      <c r="A3466" t="s">
        <v>7422</v>
      </c>
      <c r="B3466" t="s">
        <v>6</v>
      </c>
      <c r="C3466" t="s">
        <v>7423</v>
      </c>
      <c r="D3466" t="s">
        <v>7396</v>
      </c>
      <c r="E3466" t="s">
        <v>7397</v>
      </c>
      <c r="F3466" t="str">
        <f>HYPERLINK("https://talan.bank.gov.ua/get-user-certificate/45CElLx6d0BV8uTC3kCN","Завантажити сертифікат")</f>
        <v>Завантажити сертифікат</v>
      </c>
    </row>
    <row r="3467" spans="1:6" x14ac:dyDescent="0.3">
      <c r="A3467" t="s">
        <v>7424</v>
      </c>
      <c r="B3467" t="s">
        <v>6</v>
      </c>
      <c r="C3467" t="s">
        <v>7425</v>
      </c>
      <c r="D3467" t="s">
        <v>7396</v>
      </c>
      <c r="E3467" t="s">
        <v>7397</v>
      </c>
      <c r="F3467" t="str">
        <f>HYPERLINK("https://talan.bank.gov.ua/get-user-certificate/45CElX5M2LhoTh3MbclK","Завантажити сертифікат")</f>
        <v>Завантажити сертифікат</v>
      </c>
    </row>
    <row r="3468" spans="1:6" x14ac:dyDescent="0.3">
      <c r="A3468" t="s">
        <v>7426</v>
      </c>
      <c r="B3468" t="s">
        <v>6</v>
      </c>
      <c r="C3468" t="s">
        <v>7427</v>
      </c>
      <c r="D3468" t="s">
        <v>7396</v>
      </c>
      <c r="E3468" t="s">
        <v>7397</v>
      </c>
      <c r="F3468" t="str">
        <f>HYPERLINK("https://talan.bank.gov.ua/get-user-certificate/45CEljd3SdqqowN0n-CT","Завантажити сертифікат")</f>
        <v>Завантажити сертифікат</v>
      </c>
    </row>
    <row r="3469" spans="1:6" x14ac:dyDescent="0.3">
      <c r="A3469" t="s">
        <v>7428</v>
      </c>
      <c r="B3469" t="s">
        <v>6</v>
      </c>
      <c r="C3469" t="s">
        <v>7429</v>
      </c>
      <c r="D3469" t="s">
        <v>7396</v>
      </c>
      <c r="E3469" t="s">
        <v>7397</v>
      </c>
      <c r="F3469" t="str">
        <f>HYPERLINK("https://talan.bank.gov.ua/get-user-certificate/45CElw5MeQQ93YZoDnpv","Завантажити сертифікат")</f>
        <v>Завантажити сертифікат</v>
      </c>
    </row>
    <row r="3470" spans="1:6" x14ac:dyDescent="0.3">
      <c r="A3470" t="s">
        <v>7430</v>
      </c>
      <c r="B3470" t="s">
        <v>6</v>
      </c>
      <c r="C3470" t="s">
        <v>7431</v>
      </c>
      <c r="D3470" t="s">
        <v>7396</v>
      </c>
      <c r="E3470" t="s">
        <v>7397</v>
      </c>
      <c r="F3470" t="str">
        <f>HYPERLINK("https://talan.bank.gov.ua/get-user-certificate/45CEl2joKMX0y6WLtbX-","Завантажити сертифікат")</f>
        <v>Завантажити сертифікат</v>
      </c>
    </row>
    <row r="3471" spans="1:6" x14ac:dyDescent="0.3">
      <c r="A3471" t="s">
        <v>7432</v>
      </c>
      <c r="B3471" t="s">
        <v>6</v>
      </c>
      <c r="C3471" t="s">
        <v>7433</v>
      </c>
      <c r="D3471" t="s">
        <v>7434</v>
      </c>
      <c r="E3471" t="s">
        <v>7435</v>
      </c>
      <c r="F3471" t="str">
        <f>HYPERLINK("https://talan.bank.gov.ua/get-user-certificate/45CEl1GWWh7KEF8jRQR6","Завантажити сертифікат")</f>
        <v>Завантажити сертифікат</v>
      </c>
    </row>
    <row r="3472" spans="1:6" x14ac:dyDescent="0.3">
      <c r="A3472" t="s">
        <v>7436</v>
      </c>
      <c r="B3472" t="s">
        <v>6</v>
      </c>
      <c r="C3472" t="s">
        <v>7437</v>
      </c>
      <c r="D3472" t="s">
        <v>7438</v>
      </c>
      <c r="E3472" t="s">
        <v>7439</v>
      </c>
      <c r="F3472" t="str">
        <f>HYPERLINK("https://talan.bank.gov.ua/get-user-certificate/45CEl1TA26KxBpkAJ5ip","Завантажити сертифікат")</f>
        <v>Завантажити сертифікат</v>
      </c>
    </row>
    <row r="3473" spans="1:6" x14ac:dyDescent="0.3">
      <c r="A3473" t="s">
        <v>7440</v>
      </c>
      <c r="B3473" t="s">
        <v>6</v>
      </c>
      <c r="C3473" t="s">
        <v>7441</v>
      </c>
      <c r="D3473" t="s">
        <v>7438</v>
      </c>
      <c r="E3473" t="s">
        <v>7439</v>
      </c>
      <c r="F3473" t="str">
        <f>HYPERLINK("https://talan.bank.gov.ua/get-user-certificate/45CElK6DIanAMvYA74AH","Завантажити сертифікат")</f>
        <v>Завантажити сертифікат</v>
      </c>
    </row>
    <row r="3474" spans="1:6" x14ac:dyDescent="0.3">
      <c r="A3474" t="s">
        <v>7442</v>
      </c>
      <c r="B3474" t="s">
        <v>6</v>
      </c>
      <c r="C3474" t="s">
        <v>7443</v>
      </c>
      <c r="D3474" t="s">
        <v>7444</v>
      </c>
      <c r="E3474" t="s">
        <v>7445</v>
      </c>
      <c r="F3474" t="str">
        <f>HYPERLINK("https://talan.bank.gov.ua/get-user-certificate/45CElocsC7O-h7Z2VR9m","Завантажити сертифікат")</f>
        <v>Завантажити сертифікат</v>
      </c>
    </row>
    <row r="3475" spans="1:6" x14ac:dyDescent="0.3">
      <c r="A3475" t="s">
        <v>7446</v>
      </c>
      <c r="B3475" t="s">
        <v>6</v>
      </c>
      <c r="C3475" t="s">
        <v>7447</v>
      </c>
      <c r="D3475" t="s">
        <v>7444</v>
      </c>
      <c r="E3475" t="s">
        <v>7445</v>
      </c>
      <c r="F3475" t="str">
        <f>HYPERLINK("https://talan.bank.gov.ua/get-user-certificate/45CElpkJxeH5502JZQOv","Завантажити сертифікат")</f>
        <v>Завантажити сертифікат</v>
      </c>
    </row>
    <row r="3476" spans="1:6" x14ac:dyDescent="0.3">
      <c r="A3476" t="s">
        <v>7448</v>
      </c>
      <c r="B3476" t="s">
        <v>6</v>
      </c>
      <c r="C3476" t="s">
        <v>7449</v>
      </c>
      <c r="D3476" t="s">
        <v>7444</v>
      </c>
      <c r="E3476" t="s">
        <v>7445</v>
      </c>
      <c r="F3476" t="str">
        <f>HYPERLINK("https://talan.bank.gov.ua/get-user-certificate/45CElF7sf_BrqzdNQ28c","Завантажити сертифікат")</f>
        <v>Завантажити сертифікат</v>
      </c>
    </row>
    <row r="3477" spans="1:6" x14ac:dyDescent="0.3">
      <c r="A3477" t="s">
        <v>7450</v>
      </c>
      <c r="B3477" t="s">
        <v>6</v>
      </c>
      <c r="C3477" t="s">
        <v>7451</v>
      </c>
      <c r="D3477" t="s">
        <v>7444</v>
      </c>
      <c r="E3477" t="s">
        <v>7445</v>
      </c>
      <c r="F3477" t="str">
        <f>HYPERLINK("https://talan.bank.gov.ua/get-user-certificate/45CElB-aQp83cutx7uW-","Завантажити сертифікат")</f>
        <v>Завантажити сертифікат</v>
      </c>
    </row>
    <row r="3478" spans="1:6" x14ac:dyDescent="0.3">
      <c r="A3478" t="s">
        <v>7452</v>
      </c>
      <c r="B3478" t="s">
        <v>6</v>
      </c>
      <c r="C3478" t="s">
        <v>7453</v>
      </c>
      <c r="D3478" t="s">
        <v>7444</v>
      </c>
      <c r="E3478" t="s">
        <v>7445</v>
      </c>
      <c r="F3478" t="str">
        <f>HYPERLINK("https://talan.bank.gov.ua/get-user-certificate/45CElabrZrdbDi66lGZW","Завантажити сертифікат")</f>
        <v>Завантажити сертифікат</v>
      </c>
    </row>
    <row r="3479" spans="1:6" x14ac:dyDescent="0.3">
      <c r="A3479" t="s">
        <v>7454</v>
      </c>
      <c r="B3479" t="s">
        <v>6</v>
      </c>
      <c r="C3479" t="s">
        <v>7455</v>
      </c>
      <c r="D3479" t="s">
        <v>7444</v>
      </c>
      <c r="E3479" t="s">
        <v>7445</v>
      </c>
      <c r="F3479" t="str">
        <f>HYPERLINK("https://talan.bank.gov.ua/get-user-certificate/45CElT35aXbxoxuLjujI","Завантажити сертифікат")</f>
        <v>Завантажити сертифікат</v>
      </c>
    </row>
    <row r="3480" spans="1:6" x14ac:dyDescent="0.3">
      <c r="A3480" t="s">
        <v>7456</v>
      </c>
      <c r="B3480" t="s">
        <v>6</v>
      </c>
      <c r="C3480" t="s">
        <v>7457</v>
      </c>
      <c r="D3480" t="s">
        <v>7444</v>
      </c>
      <c r="E3480" t="s">
        <v>7445</v>
      </c>
      <c r="F3480" t="str">
        <f>HYPERLINK("https://talan.bank.gov.ua/get-user-certificate/45CEljgvKEeuaMF2jKJS","Завантажити сертифікат")</f>
        <v>Завантажити сертифікат</v>
      </c>
    </row>
    <row r="3481" spans="1:6" x14ac:dyDescent="0.3">
      <c r="A3481" t="s">
        <v>7458</v>
      </c>
      <c r="B3481" t="s">
        <v>6</v>
      </c>
      <c r="C3481" t="s">
        <v>7459</v>
      </c>
      <c r="D3481" t="s">
        <v>7444</v>
      </c>
      <c r="E3481" t="s">
        <v>7445</v>
      </c>
      <c r="F3481" t="str">
        <f>HYPERLINK("https://talan.bank.gov.ua/get-user-certificate/45CElXjOtI76QQvd-FFm","Завантажити сертифікат")</f>
        <v>Завантажити сертифікат</v>
      </c>
    </row>
    <row r="3482" spans="1:6" x14ac:dyDescent="0.3">
      <c r="A3482" t="s">
        <v>7460</v>
      </c>
      <c r="B3482" t="s">
        <v>6</v>
      </c>
      <c r="C3482" t="s">
        <v>7461</v>
      </c>
      <c r="D3482" t="s">
        <v>7462</v>
      </c>
      <c r="E3482" t="s">
        <v>7463</v>
      </c>
      <c r="F3482" t="str">
        <f>HYPERLINK("https://talan.bank.gov.ua/get-user-certificate/45CElr7-65-vziiBnHIj","Завантажити сертифікат")</f>
        <v>Завантажити сертифікат</v>
      </c>
    </row>
    <row r="3483" spans="1:6" x14ac:dyDescent="0.3">
      <c r="A3483" t="s">
        <v>7464</v>
      </c>
      <c r="B3483" t="s">
        <v>6</v>
      </c>
      <c r="C3483" t="s">
        <v>7465</v>
      </c>
      <c r="D3483" t="s">
        <v>7462</v>
      </c>
      <c r="E3483" t="s">
        <v>7463</v>
      </c>
      <c r="F3483" t="str">
        <f>HYPERLINK("https://talan.bank.gov.ua/get-user-certificate/45CEl7quucjp3z0ylEMo","Завантажити сертифікат")</f>
        <v>Завантажити сертифікат</v>
      </c>
    </row>
    <row r="3484" spans="1:6" x14ac:dyDescent="0.3">
      <c r="A3484" t="s">
        <v>7466</v>
      </c>
      <c r="B3484" t="s">
        <v>6</v>
      </c>
      <c r="C3484" t="s">
        <v>7467</v>
      </c>
      <c r="D3484" t="s">
        <v>7462</v>
      </c>
      <c r="E3484" t="s">
        <v>7463</v>
      </c>
      <c r="F3484" t="str">
        <f>HYPERLINK("https://talan.bank.gov.ua/get-user-certificate/45CElyYyw1xezawijCbY","Завантажити сертифікат")</f>
        <v>Завантажити сертифікат</v>
      </c>
    </row>
    <row r="3485" spans="1:6" x14ac:dyDescent="0.3">
      <c r="A3485" t="s">
        <v>7468</v>
      </c>
      <c r="B3485" t="s">
        <v>6</v>
      </c>
      <c r="C3485" t="s">
        <v>7469</v>
      </c>
      <c r="D3485" t="s">
        <v>7462</v>
      </c>
      <c r="E3485" t="s">
        <v>7463</v>
      </c>
      <c r="F3485" t="str">
        <f>HYPERLINK("https://talan.bank.gov.ua/get-user-certificate/45CEl2gZEu3CLt_E2iGf","Завантажити сертифікат")</f>
        <v>Завантажити сертифікат</v>
      </c>
    </row>
    <row r="3486" spans="1:6" x14ac:dyDescent="0.3">
      <c r="A3486" t="s">
        <v>7470</v>
      </c>
      <c r="B3486" t="s">
        <v>6</v>
      </c>
      <c r="C3486" t="s">
        <v>7471</v>
      </c>
      <c r="D3486" t="s">
        <v>7462</v>
      </c>
      <c r="E3486" t="s">
        <v>7463</v>
      </c>
      <c r="F3486" t="str">
        <f>HYPERLINK("https://talan.bank.gov.ua/get-user-certificate/45CEl_lqR04SwJJa-E-m","Завантажити сертифікат")</f>
        <v>Завантажити сертифікат</v>
      </c>
    </row>
    <row r="3487" spans="1:6" x14ac:dyDescent="0.3">
      <c r="A3487" t="s">
        <v>7472</v>
      </c>
      <c r="B3487" t="s">
        <v>6</v>
      </c>
      <c r="C3487" t="s">
        <v>7473</v>
      </c>
      <c r="D3487" t="s">
        <v>7462</v>
      </c>
      <c r="E3487" t="s">
        <v>7463</v>
      </c>
      <c r="F3487" t="str">
        <f>HYPERLINK("https://talan.bank.gov.ua/get-user-certificate/45CElzgNrELirroaQTzc","Завантажити сертифікат")</f>
        <v>Завантажити сертифікат</v>
      </c>
    </row>
    <row r="3488" spans="1:6" x14ac:dyDescent="0.3">
      <c r="A3488" t="s">
        <v>7474</v>
      </c>
      <c r="B3488" t="s">
        <v>6</v>
      </c>
      <c r="C3488" t="s">
        <v>7475</v>
      </c>
      <c r="D3488" t="s">
        <v>7462</v>
      </c>
      <c r="E3488" t="s">
        <v>7463</v>
      </c>
      <c r="F3488" t="str">
        <f>HYPERLINK("https://talan.bank.gov.ua/get-user-certificate/45CEl-HlCRAzak3ZZoww","Завантажити сертифікат")</f>
        <v>Завантажити сертифікат</v>
      </c>
    </row>
    <row r="3489" spans="1:6" x14ac:dyDescent="0.3">
      <c r="A3489" t="s">
        <v>7476</v>
      </c>
      <c r="B3489" t="s">
        <v>6</v>
      </c>
      <c r="C3489" t="s">
        <v>7477</v>
      </c>
      <c r="D3489" t="s">
        <v>7462</v>
      </c>
      <c r="E3489" t="s">
        <v>7463</v>
      </c>
      <c r="F3489" t="str">
        <f>HYPERLINK("https://talan.bank.gov.ua/get-user-certificate/45CEl4vYz5pE4t6PnDHd","Завантажити сертифікат")</f>
        <v>Завантажити сертифікат</v>
      </c>
    </row>
    <row r="3490" spans="1:6" x14ac:dyDescent="0.3">
      <c r="A3490" t="s">
        <v>7478</v>
      </c>
      <c r="B3490" t="s">
        <v>6</v>
      </c>
      <c r="C3490" t="s">
        <v>7479</v>
      </c>
      <c r="D3490" t="s">
        <v>7462</v>
      </c>
      <c r="E3490" t="s">
        <v>7463</v>
      </c>
      <c r="F3490" t="str">
        <f>HYPERLINK("https://talan.bank.gov.ua/get-user-certificate/45CElM8AkWSR2R6u4Y6d","Завантажити сертифікат")</f>
        <v>Завантажити сертифікат</v>
      </c>
    </row>
    <row r="3491" spans="1:6" x14ac:dyDescent="0.3">
      <c r="A3491" t="s">
        <v>7480</v>
      </c>
      <c r="B3491" t="s">
        <v>6</v>
      </c>
      <c r="C3491" t="s">
        <v>7481</v>
      </c>
      <c r="D3491" t="s">
        <v>7462</v>
      </c>
      <c r="E3491" t="s">
        <v>7463</v>
      </c>
      <c r="F3491" t="str">
        <f>HYPERLINK("https://talan.bank.gov.ua/get-user-certificate/45CElKxb2yDpOdFb7u-f","Завантажити сертифікат")</f>
        <v>Завантажити сертифікат</v>
      </c>
    </row>
    <row r="3492" spans="1:6" x14ac:dyDescent="0.3">
      <c r="A3492" t="s">
        <v>7482</v>
      </c>
      <c r="B3492" t="s">
        <v>6</v>
      </c>
      <c r="C3492" t="s">
        <v>7483</v>
      </c>
      <c r="D3492" t="s">
        <v>7462</v>
      </c>
      <c r="E3492" t="s">
        <v>7463</v>
      </c>
      <c r="F3492" t="str">
        <f>HYPERLINK("https://talan.bank.gov.ua/get-user-certificate/45CElJqNEWc8rHUpH6TE","Завантажити сертифікат")</f>
        <v>Завантажити сертифікат</v>
      </c>
    </row>
    <row r="3493" spans="1:6" x14ac:dyDescent="0.3">
      <c r="A3493" t="s">
        <v>7484</v>
      </c>
      <c r="B3493" t="s">
        <v>6</v>
      </c>
      <c r="C3493" t="s">
        <v>7485</v>
      </c>
      <c r="D3493" t="s">
        <v>7462</v>
      </c>
      <c r="E3493" t="s">
        <v>7463</v>
      </c>
      <c r="F3493" t="str">
        <f>HYPERLINK("https://talan.bank.gov.ua/get-user-certificate/45CElKTmvYBloMfXobA6","Завантажити сертифікат")</f>
        <v>Завантажити сертифікат</v>
      </c>
    </row>
    <row r="3494" spans="1:6" x14ac:dyDescent="0.3">
      <c r="A3494" t="s">
        <v>7486</v>
      </c>
      <c r="B3494" t="s">
        <v>6</v>
      </c>
      <c r="C3494" t="s">
        <v>7487</v>
      </c>
      <c r="D3494" t="s">
        <v>7462</v>
      </c>
      <c r="E3494" t="s">
        <v>7463</v>
      </c>
      <c r="F3494" t="str">
        <f>HYPERLINK("https://talan.bank.gov.ua/get-user-certificate/45CElyYnpjv3JFgUzMSd","Завантажити сертифікат")</f>
        <v>Завантажити сертифікат</v>
      </c>
    </row>
    <row r="3495" spans="1:6" x14ac:dyDescent="0.3">
      <c r="A3495" t="s">
        <v>7488</v>
      </c>
      <c r="B3495" t="s">
        <v>6</v>
      </c>
      <c r="C3495" t="s">
        <v>7489</v>
      </c>
      <c r="D3495" t="s">
        <v>7462</v>
      </c>
      <c r="E3495" t="s">
        <v>7463</v>
      </c>
      <c r="F3495" t="str">
        <f>HYPERLINK("https://talan.bank.gov.ua/get-user-certificate/45CElYHCaPM5tdX2EWEc","Завантажити сертифікат")</f>
        <v>Завантажити сертифікат</v>
      </c>
    </row>
    <row r="3496" spans="1:6" x14ac:dyDescent="0.3">
      <c r="A3496" t="s">
        <v>7490</v>
      </c>
      <c r="B3496" t="s">
        <v>6</v>
      </c>
      <c r="C3496" t="s">
        <v>7491</v>
      </c>
      <c r="D3496" t="s">
        <v>7462</v>
      </c>
      <c r="E3496" t="s">
        <v>7463</v>
      </c>
      <c r="F3496" t="str">
        <f>HYPERLINK("https://talan.bank.gov.ua/get-user-certificate/45CEl0E6LiHgqooaVaaG","Завантажити сертифікат")</f>
        <v>Завантажити сертифікат</v>
      </c>
    </row>
    <row r="3497" spans="1:6" x14ac:dyDescent="0.3">
      <c r="A3497" t="s">
        <v>7492</v>
      </c>
      <c r="B3497" t="s">
        <v>6</v>
      </c>
      <c r="C3497" t="s">
        <v>7493</v>
      </c>
      <c r="D3497" t="s">
        <v>7462</v>
      </c>
      <c r="E3497" t="s">
        <v>7463</v>
      </c>
      <c r="F3497" t="str">
        <f>HYPERLINK("https://talan.bank.gov.ua/get-user-certificate/45CElDosaM2_GmJrn7W2","Завантажити сертифікат")</f>
        <v>Завантажити сертифікат</v>
      </c>
    </row>
    <row r="3498" spans="1:6" x14ac:dyDescent="0.3">
      <c r="A3498" t="s">
        <v>7494</v>
      </c>
      <c r="B3498" t="s">
        <v>6</v>
      </c>
      <c r="C3498" t="s">
        <v>7495</v>
      </c>
      <c r="D3498" t="s">
        <v>7462</v>
      </c>
      <c r="E3498" t="s">
        <v>7463</v>
      </c>
      <c r="F3498" t="str">
        <f>HYPERLINK("https://talan.bank.gov.ua/get-user-certificate/45CElQJfGDaWKpsVzIbl","Завантажити сертифікат")</f>
        <v>Завантажити сертифікат</v>
      </c>
    </row>
    <row r="3499" spans="1:6" x14ac:dyDescent="0.3">
      <c r="A3499" t="s">
        <v>7496</v>
      </c>
      <c r="B3499" t="s">
        <v>6</v>
      </c>
      <c r="C3499" t="s">
        <v>7497</v>
      </c>
      <c r="D3499" t="s">
        <v>7462</v>
      </c>
      <c r="E3499" t="s">
        <v>7463</v>
      </c>
      <c r="F3499" t="str">
        <f>HYPERLINK("https://talan.bank.gov.ua/get-user-certificate/45CElaHO6GUwbYAa-IPT","Завантажити сертифікат")</f>
        <v>Завантажити сертифікат</v>
      </c>
    </row>
    <row r="3500" spans="1:6" x14ac:dyDescent="0.3">
      <c r="A3500" t="s">
        <v>7498</v>
      </c>
      <c r="B3500" t="s">
        <v>6</v>
      </c>
      <c r="C3500" t="s">
        <v>7499</v>
      </c>
      <c r="D3500" t="s">
        <v>7462</v>
      </c>
      <c r="E3500" t="s">
        <v>7463</v>
      </c>
      <c r="F3500" t="str">
        <f>HYPERLINK("https://talan.bank.gov.ua/get-user-certificate/45CEln0gY2LLSeSN00nQ","Завантажити сертифікат")</f>
        <v>Завантажити сертифікат</v>
      </c>
    </row>
    <row r="3501" spans="1:6" x14ac:dyDescent="0.3">
      <c r="A3501" t="s">
        <v>7500</v>
      </c>
      <c r="B3501" t="s">
        <v>6</v>
      </c>
      <c r="C3501" t="s">
        <v>7501</v>
      </c>
      <c r="D3501" t="s">
        <v>7462</v>
      </c>
      <c r="E3501" t="s">
        <v>7463</v>
      </c>
      <c r="F3501" t="str">
        <f>HYPERLINK("https://talan.bank.gov.ua/get-user-certificate/45CEl6w1HY5O_koM3bcY","Завантажити сертифікат")</f>
        <v>Завантажити сертифікат</v>
      </c>
    </row>
    <row r="3502" spans="1:6" x14ac:dyDescent="0.3">
      <c r="A3502" t="s">
        <v>7502</v>
      </c>
      <c r="B3502" t="s">
        <v>6</v>
      </c>
      <c r="C3502" t="s">
        <v>7503</v>
      </c>
      <c r="D3502" t="s">
        <v>7462</v>
      </c>
      <c r="E3502" t="s">
        <v>7463</v>
      </c>
      <c r="F3502" t="str">
        <f>HYPERLINK("https://talan.bank.gov.ua/get-user-certificate/45CElwUj2SsmKVOvCuOf","Завантажити сертифікат")</f>
        <v>Завантажити сертифікат</v>
      </c>
    </row>
    <row r="3503" spans="1:6" x14ac:dyDescent="0.3">
      <c r="A3503" t="s">
        <v>7504</v>
      </c>
      <c r="B3503" t="s">
        <v>6</v>
      </c>
      <c r="C3503" t="s">
        <v>7505</v>
      </c>
      <c r="D3503" t="s">
        <v>7462</v>
      </c>
      <c r="E3503" t="s">
        <v>7463</v>
      </c>
      <c r="F3503" t="str">
        <f>HYPERLINK("https://talan.bank.gov.ua/get-user-certificate/45CEla1hmpaimv8F31bZ","Завантажити сертифікат")</f>
        <v>Завантажити сертифікат</v>
      </c>
    </row>
    <row r="3504" spans="1:6" x14ac:dyDescent="0.3">
      <c r="A3504" t="s">
        <v>7506</v>
      </c>
      <c r="B3504" t="s">
        <v>6</v>
      </c>
      <c r="C3504" t="s">
        <v>7507</v>
      </c>
      <c r="D3504" t="s">
        <v>7462</v>
      </c>
      <c r="E3504" t="s">
        <v>7463</v>
      </c>
      <c r="F3504" t="str">
        <f>HYPERLINK("https://talan.bank.gov.ua/get-user-certificate/45CEl6Vgw3gS8rmGvrC0","Завантажити сертифікат")</f>
        <v>Завантажити сертифікат</v>
      </c>
    </row>
    <row r="3505" spans="1:6" x14ac:dyDescent="0.3">
      <c r="A3505" t="s">
        <v>7508</v>
      </c>
      <c r="B3505" t="s">
        <v>6</v>
      </c>
      <c r="C3505" t="s">
        <v>7509</v>
      </c>
      <c r="D3505" t="s">
        <v>7462</v>
      </c>
      <c r="E3505" t="s">
        <v>7463</v>
      </c>
      <c r="F3505" t="str">
        <f>HYPERLINK("https://talan.bank.gov.ua/get-user-certificate/45CElJH3XWJ3yPcsGwy_","Завантажити сертифікат")</f>
        <v>Завантажити сертифікат</v>
      </c>
    </row>
    <row r="3506" spans="1:6" x14ac:dyDescent="0.3">
      <c r="A3506" t="s">
        <v>7510</v>
      </c>
      <c r="B3506" t="s">
        <v>6</v>
      </c>
      <c r="C3506" t="s">
        <v>7511</v>
      </c>
      <c r="D3506" t="s">
        <v>7462</v>
      </c>
      <c r="E3506" t="s">
        <v>7463</v>
      </c>
      <c r="F3506" t="str">
        <f>HYPERLINK("https://talan.bank.gov.ua/get-user-certificate/45CElKC3g_ATonLpCMjb","Завантажити сертифікат")</f>
        <v>Завантажити сертифікат</v>
      </c>
    </row>
    <row r="3507" spans="1:6" x14ac:dyDescent="0.3">
      <c r="A3507" t="s">
        <v>7512</v>
      </c>
      <c r="B3507" t="s">
        <v>6</v>
      </c>
      <c r="C3507" t="s">
        <v>7513</v>
      </c>
      <c r="D3507" t="s">
        <v>7462</v>
      </c>
      <c r="E3507" t="s">
        <v>7463</v>
      </c>
      <c r="F3507" t="str">
        <f>HYPERLINK("https://talan.bank.gov.ua/get-user-certificate/45CEly2IlNchoDrOhkAS","Завантажити сертифікат")</f>
        <v>Завантажити сертифікат</v>
      </c>
    </row>
    <row r="3508" spans="1:6" x14ac:dyDescent="0.3">
      <c r="A3508" t="s">
        <v>7514</v>
      </c>
      <c r="B3508" t="s">
        <v>6</v>
      </c>
      <c r="C3508" t="s">
        <v>7515</v>
      </c>
      <c r="D3508" t="s">
        <v>7462</v>
      </c>
      <c r="E3508" t="s">
        <v>7463</v>
      </c>
      <c r="F3508" t="str">
        <f>HYPERLINK("https://talan.bank.gov.ua/get-user-certificate/45CEls2NfdJeUKe4gSZu","Завантажити сертифікат")</f>
        <v>Завантажити сертифікат</v>
      </c>
    </row>
    <row r="3509" spans="1:6" x14ac:dyDescent="0.3">
      <c r="A3509" t="s">
        <v>7516</v>
      </c>
      <c r="B3509" t="s">
        <v>6</v>
      </c>
      <c r="C3509" t="s">
        <v>7517</v>
      </c>
      <c r="D3509" t="s">
        <v>7462</v>
      </c>
      <c r="E3509" t="s">
        <v>7463</v>
      </c>
      <c r="F3509" t="str">
        <f>HYPERLINK("https://talan.bank.gov.ua/get-user-certificate/45CElhrF1DPFVYNgLrnJ","Завантажити сертифікат")</f>
        <v>Завантажити сертифікат</v>
      </c>
    </row>
    <row r="3510" spans="1:6" x14ac:dyDescent="0.3">
      <c r="A3510" t="s">
        <v>7518</v>
      </c>
      <c r="B3510" t="s">
        <v>6</v>
      </c>
      <c r="C3510" t="s">
        <v>7519</v>
      </c>
      <c r="D3510" t="s">
        <v>7462</v>
      </c>
      <c r="E3510" t="s">
        <v>7463</v>
      </c>
      <c r="F3510" t="str">
        <f>HYPERLINK("https://talan.bank.gov.ua/get-user-certificate/45CElROnPt8icFQUlzot","Завантажити сертифікат")</f>
        <v>Завантажити сертифікат</v>
      </c>
    </row>
    <row r="3511" spans="1:6" x14ac:dyDescent="0.3">
      <c r="A3511" t="s">
        <v>7520</v>
      </c>
      <c r="B3511" t="s">
        <v>6</v>
      </c>
      <c r="C3511" t="s">
        <v>7521</v>
      </c>
      <c r="D3511" t="s">
        <v>7462</v>
      </c>
      <c r="E3511" t="s">
        <v>7463</v>
      </c>
      <c r="F3511" t="str">
        <f>HYPERLINK("https://talan.bank.gov.ua/get-user-certificate/45CElQzthQS0XGDc9jvT","Завантажити сертифікат")</f>
        <v>Завантажити сертифікат</v>
      </c>
    </row>
    <row r="3512" spans="1:6" x14ac:dyDescent="0.3">
      <c r="A3512" t="s">
        <v>7522</v>
      </c>
      <c r="B3512" t="s">
        <v>6</v>
      </c>
      <c r="C3512" t="s">
        <v>7523</v>
      </c>
      <c r="D3512" t="s">
        <v>7462</v>
      </c>
      <c r="E3512" t="s">
        <v>7463</v>
      </c>
      <c r="F3512" t="str">
        <f>HYPERLINK("https://talan.bank.gov.ua/get-user-certificate/45CElhP-wXhkDWxTFCEB","Завантажити сертифікат")</f>
        <v>Завантажити сертифікат</v>
      </c>
    </row>
    <row r="3513" spans="1:6" x14ac:dyDescent="0.3">
      <c r="A3513" t="s">
        <v>7524</v>
      </c>
      <c r="B3513" t="s">
        <v>6</v>
      </c>
      <c r="C3513" t="s">
        <v>7525</v>
      </c>
      <c r="D3513" t="s">
        <v>7462</v>
      </c>
      <c r="E3513" t="s">
        <v>7463</v>
      </c>
      <c r="F3513" t="str">
        <f>HYPERLINK("https://talan.bank.gov.ua/get-user-certificate/45CElW2CjrasmSy_podW","Завантажити сертифікат")</f>
        <v>Завантажити сертифікат</v>
      </c>
    </row>
    <row r="3514" spans="1:6" x14ac:dyDescent="0.3">
      <c r="A3514" t="s">
        <v>7526</v>
      </c>
      <c r="B3514" t="s">
        <v>6</v>
      </c>
      <c r="C3514" t="s">
        <v>7527</v>
      </c>
      <c r="D3514" t="s">
        <v>7462</v>
      </c>
      <c r="E3514" t="s">
        <v>7463</v>
      </c>
      <c r="F3514" t="str">
        <f>HYPERLINK("https://talan.bank.gov.ua/get-user-certificate/45CElnHsa7j6ORSvhE6H","Завантажити сертифікат")</f>
        <v>Завантажити сертифікат</v>
      </c>
    </row>
    <row r="3515" spans="1:6" x14ac:dyDescent="0.3">
      <c r="A3515" t="s">
        <v>7528</v>
      </c>
      <c r="B3515" t="s">
        <v>6</v>
      </c>
      <c r="C3515" t="s">
        <v>7529</v>
      </c>
      <c r="D3515" t="s">
        <v>7462</v>
      </c>
      <c r="E3515" t="s">
        <v>7463</v>
      </c>
      <c r="F3515" t="str">
        <f>HYPERLINK("https://talan.bank.gov.ua/get-user-certificate/45CElwgObX28vhQTwqnu","Завантажити сертифікат")</f>
        <v>Завантажити сертифікат</v>
      </c>
    </row>
    <row r="3516" spans="1:6" x14ac:dyDescent="0.3">
      <c r="A3516" t="s">
        <v>7530</v>
      </c>
      <c r="B3516" t="s">
        <v>6</v>
      </c>
      <c r="C3516" t="s">
        <v>7531</v>
      </c>
      <c r="D3516" t="s">
        <v>7462</v>
      </c>
      <c r="E3516" t="s">
        <v>7463</v>
      </c>
      <c r="F3516" t="str">
        <f>HYPERLINK("https://talan.bank.gov.ua/get-user-certificate/45CElGzhlpITvQXWd_8M","Завантажити сертифікат")</f>
        <v>Завантажити сертифікат</v>
      </c>
    </row>
    <row r="3517" spans="1:6" x14ac:dyDescent="0.3">
      <c r="A3517" t="s">
        <v>7532</v>
      </c>
      <c r="B3517" t="s">
        <v>6</v>
      </c>
      <c r="C3517" t="s">
        <v>7533</v>
      </c>
      <c r="D3517" t="s">
        <v>7462</v>
      </c>
      <c r="E3517" t="s">
        <v>7463</v>
      </c>
      <c r="F3517" t="str">
        <f>HYPERLINK("https://talan.bank.gov.ua/get-user-certificate/45CElSpj9iWZe42KP3NY","Завантажити сертифікат")</f>
        <v>Завантажити сертифікат</v>
      </c>
    </row>
    <row r="3518" spans="1:6" x14ac:dyDescent="0.3">
      <c r="A3518" t="s">
        <v>7534</v>
      </c>
      <c r="B3518" t="s">
        <v>6</v>
      </c>
      <c r="C3518" t="s">
        <v>7535</v>
      </c>
      <c r="D3518" t="s">
        <v>7462</v>
      </c>
      <c r="E3518" t="s">
        <v>7463</v>
      </c>
      <c r="F3518" t="str">
        <f>HYPERLINK("https://talan.bank.gov.ua/get-user-certificate/45CElnvIvhW6AWv1cPin","Завантажити сертифікат")</f>
        <v>Завантажити сертифікат</v>
      </c>
    </row>
    <row r="3519" spans="1:6" x14ac:dyDescent="0.3">
      <c r="A3519" t="s">
        <v>7536</v>
      </c>
      <c r="B3519" t="s">
        <v>6</v>
      </c>
      <c r="C3519" t="s">
        <v>7537</v>
      </c>
      <c r="D3519" t="s">
        <v>7462</v>
      </c>
      <c r="E3519" t="s">
        <v>7463</v>
      </c>
      <c r="F3519" t="str">
        <f>HYPERLINK("https://talan.bank.gov.ua/get-user-certificate/45CElCHzWFuDeKAmuRva","Завантажити сертифікат")</f>
        <v>Завантажити сертифікат</v>
      </c>
    </row>
    <row r="3520" spans="1:6" x14ac:dyDescent="0.3">
      <c r="A3520" t="s">
        <v>7538</v>
      </c>
      <c r="B3520" t="s">
        <v>6</v>
      </c>
      <c r="C3520" t="s">
        <v>7539</v>
      </c>
      <c r="D3520" t="s">
        <v>7462</v>
      </c>
      <c r="E3520" t="s">
        <v>7463</v>
      </c>
      <c r="F3520" t="str">
        <f>HYPERLINK("https://talan.bank.gov.ua/get-user-certificate/45CElPaPQzxvD0QIeBqO","Завантажити сертифікат")</f>
        <v>Завантажити сертифікат</v>
      </c>
    </row>
    <row r="3521" spans="1:6" x14ac:dyDescent="0.3">
      <c r="A3521" t="s">
        <v>7540</v>
      </c>
      <c r="B3521" t="s">
        <v>6</v>
      </c>
      <c r="C3521" t="s">
        <v>7541</v>
      </c>
      <c r="D3521" t="s">
        <v>7462</v>
      </c>
      <c r="E3521" t="s">
        <v>7463</v>
      </c>
      <c r="F3521" t="str">
        <f>HYPERLINK("https://talan.bank.gov.ua/get-user-certificate/45CElspCQUeUevJwIWRL","Завантажити сертифікат")</f>
        <v>Завантажити сертифікат</v>
      </c>
    </row>
    <row r="3522" spans="1:6" x14ac:dyDescent="0.3">
      <c r="A3522" t="s">
        <v>7542</v>
      </c>
      <c r="B3522" t="s">
        <v>6</v>
      </c>
      <c r="C3522" t="s">
        <v>7543</v>
      </c>
      <c r="D3522" t="s">
        <v>7462</v>
      </c>
      <c r="E3522" t="s">
        <v>7463</v>
      </c>
      <c r="F3522" t="str">
        <f>HYPERLINK("https://talan.bank.gov.ua/get-user-certificate/45CElYzfExSI8bQ4CH04","Завантажити сертифікат")</f>
        <v>Завантажити сертифікат</v>
      </c>
    </row>
    <row r="3523" spans="1:6" x14ac:dyDescent="0.3">
      <c r="A3523" t="s">
        <v>7544</v>
      </c>
      <c r="B3523" t="s">
        <v>6</v>
      </c>
      <c r="C3523" t="s">
        <v>7545</v>
      </c>
      <c r="D3523" t="s">
        <v>7546</v>
      </c>
      <c r="E3523" t="s">
        <v>7547</v>
      </c>
      <c r="F3523" t="str">
        <f>HYPERLINK("https://talan.bank.gov.ua/get-user-certificate/45CElxqIuXtm2T-erdEy","Завантажити сертифікат")</f>
        <v>Завантажити сертифікат</v>
      </c>
    </row>
    <row r="3524" spans="1:6" x14ac:dyDescent="0.3">
      <c r="A3524" t="s">
        <v>7548</v>
      </c>
      <c r="B3524" t="s">
        <v>6</v>
      </c>
      <c r="C3524" t="s">
        <v>7549</v>
      </c>
      <c r="D3524" t="s">
        <v>7546</v>
      </c>
      <c r="E3524" t="s">
        <v>7547</v>
      </c>
      <c r="F3524" t="str">
        <f>HYPERLINK("https://talan.bank.gov.ua/get-user-certificate/45CElBRoeWtI76tK1fvp","Завантажити сертифікат")</f>
        <v>Завантажити сертифікат</v>
      </c>
    </row>
    <row r="3525" spans="1:6" x14ac:dyDescent="0.3">
      <c r="A3525" t="s">
        <v>7550</v>
      </c>
      <c r="B3525" t="s">
        <v>6</v>
      </c>
      <c r="C3525" t="s">
        <v>7551</v>
      </c>
      <c r="D3525" t="s">
        <v>7546</v>
      </c>
      <c r="E3525" t="s">
        <v>7547</v>
      </c>
      <c r="F3525" t="str">
        <f>HYPERLINK("https://talan.bank.gov.ua/get-user-certificate/45CElQq0yVv8rtXj5_yB","Завантажити сертифікат")</f>
        <v>Завантажити сертифікат</v>
      </c>
    </row>
    <row r="3526" spans="1:6" x14ac:dyDescent="0.3">
      <c r="A3526" t="s">
        <v>7552</v>
      </c>
      <c r="B3526" t="s">
        <v>6</v>
      </c>
      <c r="C3526" t="s">
        <v>7553</v>
      </c>
      <c r="D3526" t="s">
        <v>7546</v>
      </c>
      <c r="E3526" t="s">
        <v>7547</v>
      </c>
      <c r="F3526" t="str">
        <f>HYPERLINK("https://talan.bank.gov.ua/get-user-certificate/45CElEHBoUtIqqLl5F89","Завантажити сертифікат")</f>
        <v>Завантажити сертифікат</v>
      </c>
    </row>
    <row r="3527" spans="1:6" x14ac:dyDescent="0.3">
      <c r="A3527" t="s">
        <v>7554</v>
      </c>
      <c r="B3527" t="s">
        <v>6</v>
      </c>
      <c r="C3527" t="s">
        <v>7555</v>
      </c>
      <c r="D3527" t="s">
        <v>7546</v>
      </c>
      <c r="E3527" t="s">
        <v>7547</v>
      </c>
      <c r="F3527" t="str">
        <f>HYPERLINK("https://talan.bank.gov.ua/get-user-certificate/45CElodngSoYu-yUylGW","Завантажити сертифікат")</f>
        <v>Завантажити сертифікат</v>
      </c>
    </row>
    <row r="3528" spans="1:6" x14ac:dyDescent="0.3">
      <c r="A3528" t="s">
        <v>7556</v>
      </c>
      <c r="B3528" t="s">
        <v>6</v>
      </c>
      <c r="C3528" t="s">
        <v>7557</v>
      </c>
      <c r="D3528" t="s">
        <v>7546</v>
      </c>
      <c r="E3528" t="s">
        <v>7547</v>
      </c>
      <c r="F3528" t="str">
        <f>HYPERLINK("https://talan.bank.gov.ua/get-user-certificate/45CElBA-HMjjzoJDE15a","Завантажити сертифікат")</f>
        <v>Завантажити сертифікат</v>
      </c>
    </row>
    <row r="3529" spans="1:6" x14ac:dyDescent="0.3">
      <c r="A3529" t="s">
        <v>7558</v>
      </c>
      <c r="B3529" t="s">
        <v>6</v>
      </c>
      <c r="C3529" t="s">
        <v>7559</v>
      </c>
      <c r="D3529" t="s">
        <v>7546</v>
      </c>
      <c r="E3529" t="s">
        <v>7547</v>
      </c>
      <c r="F3529" t="str">
        <f>HYPERLINK("https://talan.bank.gov.ua/get-user-certificate/45CElOruYwc1dfwuYZ-_","Завантажити сертифікат")</f>
        <v>Завантажити сертифікат</v>
      </c>
    </row>
    <row r="3530" spans="1:6" x14ac:dyDescent="0.3">
      <c r="A3530" t="s">
        <v>7560</v>
      </c>
      <c r="B3530" t="s">
        <v>6</v>
      </c>
      <c r="C3530" t="s">
        <v>7561</v>
      </c>
      <c r="D3530" t="s">
        <v>7546</v>
      </c>
      <c r="E3530" t="s">
        <v>7547</v>
      </c>
      <c r="F3530" t="str">
        <f>HYPERLINK("https://talan.bank.gov.ua/get-user-certificate/45CElcFQMj38h_8AA7l_","Завантажити сертифікат")</f>
        <v>Завантажити сертифікат</v>
      </c>
    </row>
    <row r="3531" spans="1:6" x14ac:dyDescent="0.3">
      <c r="A3531" t="s">
        <v>7562</v>
      </c>
      <c r="B3531" t="s">
        <v>6</v>
      </c>
      <c r="C3531" t="s">
        <v>7563</v>
      </c>
      <c r="D3531" t="s">
        <v>7546</v>
      </c>
      <c r="E3531" t="s">
        <v>7547</v>
      </c>
      <c r="F3531" t="str">
        <f>HYPERLINK("https://talan.bank.gov.ua/get-user-certificate/45CElBkrW2hX5MqCU3dW","Завантажити сертифікат")</f>
        <v>Завантажити сертифікат</v>
      </c>
    </row>
    <row r="3532" spans="1:6" x14ac:dyDescent="0.3">
      <c r="A3532" t="s">
        <v>7564</v>
      </c>
      <c r="B3532" t="s">
        <v>6</v>
      </c>
      <c r="C3532" t="s">
        <v>7565</v>
      </c>
      <c r="D3532" t="s">
        <v>7546</v>
      </c>
      <c r="E3532" t="s">
        <v>7547</v>
      </c>
      <c r="F3532" t="str">
        <f>HYPERLINK("https://talan.bank.gov.ua/get-user-certificate/45CElUjKTLSkUpnlaB6D","Завантажити сертифікат")</f>
        <v>Завантажити сертифікат</v>
      </c>
    </row>
    <row r="3533" spans="1:6" x14ac:dyDescent="0.3">
      <c r="A3533" t="s">
        <v>7566</v>
      </c>
      <c r="B3533" t="s">
        <v>6</v>
      </c>
      <c r="C3533" t="s">
        <v>7567</v>
      </c>
      <c r="D3533" t="s">
        <v>7546</v>
      </c>
      <c r="E3533" t="s">
        <v>7547</v>
      </c>
      <c r="F3533" t="str">
        <f>HYPERLINK("https://talan.bank.gov.ua/get-user-certificate/45CEl_dFH8xwQ2_GLIEI","Завантажити сертифікат")</f>
        <v>Завантажити сертифікат</v>
      </c>
    </row>
    <row r="3534" spans="1:6" x14ac:dyDescent="0.3">
      <c r="A3534" t="s">
        <v>7568</v>
      </c>
      <c r="B3534" t="s">
        <v>6</v>
      </c>
      <c r="C3534" t="s">
        <v>7569</v>
      </c>
      <c r="D3534" t="s">
        <v>7546</v>
      </c>
      <c r="E3534" t="s">
        <v>7547</v>
      </c>
      <c r="F3534" t="str">
        <f>HYPERLINK("https://talan.bank.gov.ua/get-user-certificate/45CElqrUsynz7QVkYheT","Завантажити сертифікат")</f>
        <v>Завантажити сертифікат</v>
      </c>
    </row>
    <row r="3535" spans="1:6" x14ac:dyDescent="0.3">
      <c r="A3535" t="s">
        <v>7570</v>
      </c>
      <c r="B3535" t="s">
        <v>6</v>
      </c>
      <c r="C3535" t="s">
        <v>7571</v>
      </c>
      <c r="D3535" t="s">
        <v>7546</v>
      </c>
      <c r="E3535" t="s">
        <v>7547</v>
      </c>
      <c r="F3535" t="str">
        <f>HYPERLINK("https://talan.bank.gov.ua/get-user-certificate/45CElcKcaGCb7k5_BaSg","Завантажити сертифікат")</f>
        <v>Завантажити сертифікат</v>
      </c>
    </row>
    <row r="3536" spans="1:6" x14ac:dyDescent="0.3">
      <c r="A3536" t="s">
        <v>7572</v>
      </c>
      <c r="B3536" t="s">
        <v>6</v>
      </c>
      <c r="C3536" t="s">
        <v>7573</v>
      </c>
      <c r="D3536" t="s">
        <v>7546</v>
      </c>
      <c r="E3536" t="s">
        <v>7547</v>
      </c>
      <c r="F3536" t="str">
        <f>HYPERLINK("https://talan.bank.gov.ua/get-user-certificate/45CElz_U2qa60gnEl1Nk","Завантажити сертифікат")</f>
        <v>Завантажити сертифікат</v>
      </c>
    </row>
    <row r="3537" spans="1:6" x14ac:dyDescent="0.3">
      <c r="A3537" t="s">
        <v>7574</v>
      </c>
      <c r="B3537" t="s">
        <v>6</v>
      </c>
      <c r="C3537" t="s">
        <v>7575</v>
      </c>
      <c r="D3537" t="s">
        <v>7546</v>
      </c>
      <c r="E3537" t="s">
        <v>7547</v>
      </c>
      <c r="F3537" t="str">
        <f>HYPERLINK("https://talan.bank.gov.ua/get-user-certificate/45CElGK_kpsHGwz6q04s","Завантажити сертифікат")</f>
        <v>Завантажити сертифікат</v>
      </c>
    </row>
    <row r="3538" spans="1:6" x14ac:dyDescent="0.3">
      <c r="A3538" t="s">
        <v>7576</v>
      </c>
      <c r="B3538" t="s">
        <v>6</v>
      </c>
      <c r="C3538" t="s">
        <v>7577</v>
      </c>
      <c r="D3538" t="s">
        <v>7546</v>
      </c>
      <c r="E3538" t="s">
        <v>7547</v>
      </c>
      <c r="F3538" t="str">
        <f>HYPERLINK("https://talan.bank.gov.ua/get-user-certificate/45CElqZCu2AB7cbyT3Gs","Завантажити сертифікат")</f>
        <v>Завантажити сертифікат</v>
      </c>
    </row>
    <row r="3539" spans="1:6" x14ac:dyDescent="0.3">
      <c r="A3539" t="s">
        <v>7578</v>
      </c>
      <c r="B3539" t="s">
        <v>6</v>
      </c>
      <c r="C3539" t="s">
        <v>7579</v>
      </c>
      <c r="D3539" t="s">
        <v>7546</v>
      </c>
      <c r="E3539" t="s">
        <v>7547</v>
      </c>
      <c r="F3539" t="str">
        <f>HYPERLINK("https://talan.bank.gov.ua/get-user-certificate/45CElcnHckyJ2e4_nznw","Завантажити сертифікат")</f>
        <v>Завантажити сертифікат</v>
      </c>
    </row>
    <row r="3540" spans="1:6" x14ac:dyDescent="0.3">
      <c r="A3540" t="s">
        <v>7580</v>
      </c>
      <c r="B3540" t="s">
        <v>6</v>
      </c>
      <c r="C3540" t="s">
        <v>7581</v>
      </c>
      <c r="D3540" t="s">
        <v>7546</v>
      </c>
      <c r="E3540" t="s">
        <v>7547</v>
      </c>
      <c r="F3540" t="str">
        <f>HYPERLINK("https://talan.bank.gov.ua/get-user-certificate/45CEltUBSDNqf7rHN_Go","Завантажити сертифікат")</f>
        <v>Завантажити сертифікат</v>
      </c>
    </row>
    <row r="3541" spans="1:6" x14ac:dyDescent="0.3">
      <c r="A3541" t="s">
        <v>7582</v>
      </c>
      <c r="B3541" t="s">
        <v>6</v>
      </c>
      <c r="C3541" t="s">
        <v>7583</v>
      </c>
      <c r="D3541" t="s">
        <v>7584</v>
      </c>
      <c r="E3541" t="s">
        <v>7585</v>
      </c>
      <c r="F3541" t="str">
        <f>HYPERLINK("https://talan.bank.gov.ua/get-user-certificate/45CElucJzIIE60LOJhon","Завантажити сертифікат")</f>
        <v>Завантажити сертифікат</v>
      </c>
    </row>
    <row r="3542" spans="1:6" x14ac:dyDescent="0.3">
      <c r="A3542" t="s">
        <v>7586</v>
      </c>
      <c r="B3542" t="s">
        <v>6</v>
      </c>
      <c r="C3542" t="s">
        <v>7587</v>
      </c>
      <c r="D3542" t="s">
        <v>7584</v>
      </c>
      <c r="E3542" t="s">
        <v>7585</v>
      </c>
      <c r="F3542" t="str">
        <f>HYPERLINK("https://talan.bank.gov.ua/get-user-certificate/45CElHK2BIKWT83XxLWX","Завантажити сертифікат")</f>
        <v>Завантажити сертифікат</v>
      </c>
    </row>
    <row r="3543" spans="1:6" x14ac:dyDescent="0.3">
      <c r="A3543" t="s">
        <v>7588</v>
      </c>
      <c r="B3543" t="s">
        <v>6</v>
      </c>
      <c r="C3543" t="s">
        <v>7589</v>
      </c>
      <c r="D3543" t="s">
        <v>7590</v>
      </c>
      <c r="E3543" t="s">
        <v>7591</v>
      </c>
      <c r="F3543" t="str">
        <f>HYPERLINK("https://talan.bank.gov.ua/get-user-certificate/45CElxzFKp9Fm8cWuGBg","Завантажити сертифікат")</f>
        <v>Завантажити сертифікат</v>
      </c>
    </row>
    <row r="3544" spans="1:6" x14ac:dyDescent="0.3">
      <c r="A3544" t="s">
        <v>7592</v>
      </c>
      <c r="B3544" t="s">
        <v>6</v>
      </c>
      <c r="C3544" t="s">
        <v>7593</v>
      </c>
      <c r="D3544" t="s">
        <v>7594</v>
      </c>
      <c r="E3544" t="s">
        <v>7591</v>
      </c>
      <c r="F3544" t="str">
        <f>HYPERLINK("https://talan.bank.gov.ua/get-user-certificate/45CElrQAGNFop37ziuyF","Завантажити сертифікат")</f>
        <v>Завантажити сертифікат</v>
      </c>
    </row>
    <row r="3545" spans="1:6" x14ac:dyDescent="0.3">
      <c r="A3545" t="s">
        <v>7595</v>
      </c>
      <c r="B3545" t="s">
        <v>6</v>
      </c>
      <c r="C3545" t="s">
        <v>7596</v>
      </c>
      <c r="D3545" t="s">
        <v>7597</v>
      </c>
      <c r="E3545" t="s">
        <v>7591</v>
      </c>
      <c r="F3545" t="str">
        <f>HYPERLINK("https://talan.bank.gov.ua/get-user-certificate/45CElOPUpLG82QQiEeBx","Завантажити сертифікат")</f>
        <v>Завантажити сертифікат</v>
      </c>
    </row>
    <row r="3546" spans="1:6" x14ac:dyDescent="0.3">
      <c r="A3546" t="s">
        <v>7598</v>
      </c>
      <c r="B3546" t="s">
        <v>6</v>
      </c>
      <c r="C3546" t="s">
        <v>7599</v>
      </c>
      <c r="D3546" t="s">
        <v>7600</v>
      </c>
      <c r="E3546" t="s">
        <v>7591</v>
      </c>
      <c r="F3546" t="str">
        <f>HYPERLINK("https://talan.bank.gov.ua/get-user-certificate/45CElI2oxgkcVtjQNwyl","Завантажити сертифікат")</f>
        <v>Завантажити сертифікат</v>
      </c>
    </row>
    <row r="3547" spans="1:6" x14ac:dyDescent="0.3">
      <c r="A3547" t="s">
        <v>7601</v>
      </c>
      <c r="B3547" t="s">
        <v>6</v>
      </c>
      <c r="C3547" t="s">
        <v>7602</v>
      </c>
      <c r="D3547" t="s">
        <v>7603</v>
      </c>
      <c r="E3547" t="s">
        <v>7591</v>
      </c>
      <c r="F3547" t="str">
        <f>HYPERLINK("https://talan.bank.gov.ua/get-user-certificate/45CElNkaDVckScEsc_fs","Завантажити сертифікат")</f>
        <v>Завантажити сертифікат</v>
      </c>
    </row>
    <row r="3548" spans="1:6" x14ac:dyDescent="0.3">
      <c r="A3548" t="s">
        <v>7604</v>
      </c>
      <c r="B3548" t="s">
        <v>6</v>
      </c>
      <c r="C3548" t="s">
        <v>7605</v>
      </c>
      <c r="D3548" t="s">
        <v>7606</v>
      </c>
      <c r="E3548" t="s">
        <v>7591</v>
      </c>
      <c r="F3548" t="str">
        <f>HYPERLINK("https://talan.bank.gov.ua/get-user-certificate/45CElPhCbfcUicrr6AKW","Завантажити сертифікат")</f>
        <v>Завантажити сертифікат</v>
      </c>
    </row>
    <row r="3549" spans="1:6" x14ac:dyDescent="0.3">
      <c r="A3549" t="s">
        <v>7607</v>
      </c>
      <c r="B3549" t="s">
        <v>6</v>
      </c>
      <c r="C3549" t="s">
        <v>7608</v>
      </c>
      <c r="D3549" t="s">
        <v>7609</v>
      </c>
      <c r="E3549" t="s">
        <v>7591</v>
      </c>
      <c r="F3549" t="str">
        <f>HYPERLINK("https://talan.bank.gov.ua/get-user-certificate/45CElI2MQ6EFcQvLCplT","Завантажити сертифікат")</f>
        <v>Завантажити сертифікат</v>
      </c>
    </row>
    <row r="3550" spans="1:6" x14ac:dyDescent="0.3">
      <c r="A3550" t="s">
        <v>7610</v>
      </c>
      <c r="B3550" t="s">
        <v>6</v>
      </c>
      <c r="C3550" t="s">
        <v>7611</v>
      </c>
      <c r="D3550" t="s">
        <v>7612</v>
      </c>
      <c r="E3550" t="s">
        <v>7591</v>
      </c>
      <c r="F3550" t="str">
        <f>HYPERLINK("https://talan.bank.gov.ua/get-user-certificate/45CElYeA1LRSurVVdoh3","Завантажити сертифікат")</f>
        <v>Завантажити сертифікат</v>
      </c>
    </row>
    <row r="3551" spans="1:6" x14ac:dyDescent="0.3">
      <c r="A3551" t="s">
        <v>7613</v>
      </c>
      <c r="B3551" t="s">
        <v>6</v>
      </c>
      <c r="C3551" t="s">
        <v>7614</v>
      </c>
      <c r="D3551" t="s">
        <v>7615</v>
      </c>
      <c r="E3551" t="s">
        <v>7591</v>
      </c>
      <c r="F3551" t="str">
        <f>HYPERLINK("https://talan.bank.gov.ua/get-user-certificate/45CEl_CRLOlNoXUQNWQ-","Завантажити сертифікат")</f>
        <v>Завантажити сертифікат</v>
      </c>
    </row>
    <row r="3552" spans="1:6" x14ac:dyDescent="0.3">
      <c r="A3552" t="s">
        <v>7616</v>
      </c>
      <c r="B3552" t="s">
        <v>6</v>
      </c>
      <c r="C3552" t="s">
        <v>7617</v>
      </c>
      <c r="D3552" t="s">
        <v>7618</v>
      </c>
      <c r="E3552" t="s">
        <v>7619</v>
      </c>
      <c r="F3552" t="str">
        <f>HYPERLINK("https://talan.bank.gov.ua/get-user-certificate/45CElK1cB9rq5BVso7jw","Завантажити сертифікат")</f>
        <v>Завантажити сертифікат</v>
      </c>
    </row>
    <row r="3553" spans="1:6" x14ac:dyDescent="0.3">
      <c r="A3553" t="s">
        <v>7620</v>
      </c>
      <c r="B3553" t="s">
        <v>6</v>
      </c>
      <c r="C3553" t="s">
        <v>7621</v>
      </c>
      <c r="D3553" t="s">
        <v>7618</v>
      </c>
      <c r="E3553" t="s">
        <v>7619</v>
      </c>
      <c r="F3553" t="str">
        <f>HYPERLINK("https://talan.bank.gov.ua/get-user-certificate/45CEluFywS20knrG8xOk","Завантажити сертифікат")</f>
        <v>Завантажити сертифікат</v>
      </c>
    </row>
    <row r="3554" spans="1:6" x14ac:dyDescent="0.3">
      <c r="A3554" t="s">
        <v>7622</v>
      </c>
      <c r="B3554" t="s">
        <v>6</v>
      </c>
      <c r="C3554" t="s">
        <v>7623</v>
      </c>
      <c r="D3554" t="s">
        <v>7618</v>
      </c>
      <c r="E3554" t="s">
        <v>7619</v>
      </c>
      <c r="F3554" t="str">
        <f>HYPERLINK("https://talan.bank.gov.ua/get-user-certificate/45CEl_oSotL6Rs_5RurN","Завантажити сертифікат")</f>
        <v>Завантажити сертифікат</v>
      </c>
    </row>
    <row r="3555" spans="1:6" x14ac:dyDescent="0.3">
      <c r="A3555" t="s">
        <v>7624</v>
      </c>
      <c r="B3555" t="s">
        <v>6</v>
      </c>
      <c r="C3555" t="s">
        <v>7625</v>
      </c>
      <c r="D3555" t="s">
        <v>7618</v>
      </c>
      <c r="E3555" t="s">
        <v>7619</v>
      </c>
      <c r="F3555" t="str">
        <f>HYPERLINK("https://talan.bank.gov.ua/get-user-certificate/45CEl2q4-A7C41Ai2-Sj","Завантажити сертифікат")</f>
        <v>Завантажити сертифікат</v>
      </c>
    </row>
    <row r="3556" spans="1:6" x14ac:dyDescent="0.3">
      <c r="A3556" t="s">
        <v>7626</v>
      </c>
      <c r="B3556" t="s">
        <v>6</v>
      </c>
      <c r="C3556" t="s">
        <v>7627</v>
      </c>
      <c r="D3556" t="s">
        <v>7618</v>
      </c>
      <c r="E3556" t="s">
        <v>7619</v>
      </c>
      <c r="F3556" t="str">
        <f>HYPERLINK("https://talan.bank.gov.ua/get-user-certificate/45CEl16YgxaDl8_035l3","Завантажити сертифікат")</f>
        <v>Завантажити сертифікат</v>
      </c>
    </row>
    <row r="3557" spans="1:6" x14ac:dyDescent="0.3">
      <c r="A3557" t="s">
        <v>7628</v>
      </c>
      <c r="B3557" t="s">
        <v>6</v>
      </c>
      <c r="C3557" t="s">
        <v>7629</v>
      </c>
      <c r="D3557" t="s">
        <v>7618</v>
      </c>
      <c r="E3557" t="s">
        <v>7619</v>
      </c>
      <c r="F3557" t="str">
        <f>HYPERLINK("https://talan.bank.gov.ua/get-user-certificate/45CElnKOQ267SPPwHmDT","Завантажити сертифікат")</f>
        <v>Завантажити сертифікат</v>
      </c>
    </row>
    <row r="3558" spans="1:6" x14ac:dyDescent="0.3">
      <c r="A3558" t="s">
        <v>7630</v>
      </c>
      <c r="B3558" t="s">
        <v>6</v>
      </c>
      <c r="C3558" t="s">
        <v>7631</v>
      </c>
      <c r="D3558" t="s">
        <v>7618</v>
      </c>
      <c r="E3558" t="s">
        <v>7619</v>
      </c>
      <c r="F3558" t="str">
        <f>HYPERLINK("https://talan.bank.gov.ua/get-user-certificate/45CEl-5Zbn3BYTDdjb2n","Завантажити сертифікат")</f>
        <v>Завантажити сертифікат</v>
      </c>
    </row>
    <row r="3559" spans="1:6" x14ac:dyDescent="0.3">
      <c r="A3559" t="s">
        <v>7632</v>
      </c>
      <c r="B3559" t="s">
        <v>6</v>
      </c>
      <c r="C3559" t="s">
        <v>7633</v>
      </c>
      <c r="D3559" t="s">
        <v>7618</v>
      </c>
      <c r="E3559" t="s">
        <v>7619</v>
      </c>
      <c r="F3559" t="str">
        <f>HYPERLINK("https://talan.bank.gov.ua/get-user-certificate/45CElKvQwVg4jazdA8PN","Завантажити сертифікат")</f>
        <v>Завантажити сертифікат</v>
      </c>
    </row>
    <row r="3560" spans="1:6" x14ac:dyDescent="0.3">
      <c r="A3560" t="s">
        <v>7634</v>
      </c>
      <c r="B3560" t="s">
        <v>6</v>
      </c>
      <c r="C3560" t="s">
        <v>7635</v>
      </c>
      <c r="D3560" t="s">
        <v>7618</v>
      </c>
      <c r="E3560" t="s">
        <v>7619</v>
      </c>
      <c r="F3560" t="str">
        <f>HYPERLINK("https://talan.bank.gov.ua/get-user-certificate/45CElggSpdR_4wyUkRqu","Завантажити сертифікат")</f>
        <v>Завантажити сертифікат</v>
      </c>
    </row>
    <row r="3561" spans="1:6" x14ac:dyDescent="0.3">
      <c r="A3561" t="s">
        <v>7636</v>
      </c>
      <c r="B3561" t="s">
        <v>6</v>
      </c>
      <c r="C3561" t="s">
        <v>7637</v>
      </c>
      <c r="D3561" t="s">
        <v>7618</v>
      </c>
      <c r="E3561" t="s">
        <v>7619</v>
      </c>
      <c r="F3561" t="str">
        <f>HYPERLINK("https://talan.bank.gov.ua/get-user-certificate/45CElDndm4k1ZnSoei45","Завантажити сертифікат")</f>
        <v>Завантажити сертифікат</v>
      </c>
    </row>
    <row r="3562" spans="1:6" x14ac:dyDescent="0.3">
      <c r="A3562" t="s">
        <v>7638</v>
      </c>
      <c r="B3562" t="s">
        <v>6</v>
      </c>
      <c r="C3562" t="s">
        <v>7639</v>
      </c>
      <c r="D3562" t="s">
        <v>7618</v>
      </c>
      <c r="E3562" t="s">
        <v>7619</v>
      </c>
      <c r="F3562" t="str">
        <f>HYPERLINK("https://talan.bank.gov.ua/get-user-certificate/45CElhZ-z9efp7NgPOSL","Завантажити сертифікат")</f>
        <v>Завантажити сертифікат</v>
      </c>
    </row>
    <row r="3563" spans="1:6" x14ac:dyDescent="0.3">
      <c r="A3563" t="s">
        <v>7640</v>
      </c>
      <c r="B3563" t="s">
        <v>6</v>
      </c>
      <c r="C3563" t="s">
        <v>7641</v>
      </c>
      <c r="D3563" t="s">
        <v>7618</v>
      </c>
      <c r="E3563" t="s">
        <v>7619</v>
      </c>
      <c r="F3563" t="str">
        <f>HYPERLINK("https://talan.bank.gov.ua/get-user-certificate/45CEliQa61f3-w7jgBmG","Завантажити сертифікат")</f>
        <v>Завантажити сертифікат</v>
      </c>
    </row>
    <row r="3564" spans="1:6" x14ac:dyDescent="0.3">
      <c r="A3564" t="s">
        <v>7642</v>
      </c>
      <c r="B3564" t="s">
        <v>6</v>
      </c>
      <c r="C3564" t="s">
        <v>7643</v>
      </c>
      <c r="D3564" t="s">
        <v>7644</v>
      </c>
      <c r="E3564" t="s">
        <v>7645</v>
      </c>
      <c r="F3564" t="str">
        <f>HYPERLINK("https://talan.bank.gov.ua/get-user-certificate/45CEl8nKBHO4tDUWctRQ","Завантажити сертифікат")</f>
        <v>Завантажити сертифікат</v>
      </c>
    </row>
    <row r="3565" spans="1:6" x14ac:dyDescent="0.3">
      <c r="A3565" t="s">
        <v>7646</v>
      </c>
      <c r="B3565" t="s">
        <v>6</v>
      </c>
      <c r="C3565" t="s">
        <v>7647</v>
      </c>
      <c r="D3565" t="s">
        <v>7644</v>
      </c>
      <c r="E3565" t="s">
        <v>7645</v>
      </c>
      <c r="F3565" t="str">
        <f>HYPERLINK("https://talan.bank.gov.ua/get-user-certificate/45CElcq5oEXmLcgYZ9XF","Завантажити сертифікат")</f>
        <v>Завантажити сертифікат</v>
      </c>
    </row>
    <row r="3566" spans="1:6" x14ac:dyDescent="0.3">
      <c r="A3566" t="s">
        <v>7648</v>
      </c>
      <c r="B3566" t="s">
        <v>6</v>
      </c>
      <c r="C3566" t="s">
        <v>7649</v>
      </c>
      <c r="D3566" t="s">
        <v>7644</v>
      </c>
      <c r="E3566" t="s">
        <v>7645</v>
      </c>
      <c r="F3566" t="str">
        <f>HYPERLINK("https://talan.bank.gov.ua/get-user-certificate/45CElXV-5_tT3x1yRX-7","Завантажити сертифікат")</f>
        <v>Завантажити сертифікат</v>
      </c>
    </row>
    <row r="3567" spans="1:6" x14ac:dyDescent="0.3">
      <c r="A3567" t="s">
        <v>7650</v>
      </c>
      <c r="B3567" t="s">
        <v>6</v>
      </c>
      <c r="C3567" t="s">
        <v>7651</v>
      </c>
      <c r="D3567" t="s">
        <v>7644</v>
      </c>
      <c r="E3567" t="s">
        <v>7645</v>
      </c>
      <c r="F3567" t="str">
        <f>HYPERLINK("https://talan.bank.gov.ua/get-user-certificate/45CElUeamwtkcPMrs8qO","Завантажити сертифікат")</f>
        <v>Завантажити сертифікат</v>
      </c>
    </row>
    <row r="3568" spans="1:6" x14ac:dyDescent="0.3">
      <c r="A3568" t="s">
        <v>7652</v>
      </c>
      <c r="B3568" t="s">
        <v>6</v>
      </c>
      <c r="C3568" t="s">
        <v>7653</v>
      </c>
      <c r="D3568" t="s">
        <v>7644</v>
      </c>
      <c r="E3568" t="s">
        <v>7645</v>
      </c>
      <c r="F3568" t="str">
        <f>HYPERLINK("https://talan.bank.gov.ua/get-user-certificate/45CElnqJiD4oOox-MIzx","Завантажити сертифікат")</f>
        <v>Завантажити сертифікат</v>
      </c>
    </row>
    <row r="3569" spans="1:6" x14ac:dyDescent="0.3">
      <c r="A3569" t="s">
        <v>7654</v>
      </c>
      <c r="B3569" t="s">
        <v>6</v>
      </c>
      <c r="C3569" t="s">
        <v>7655</v>
      </c>
      <c r="D3569" t="s">
        <v>7644</v>
      </c>
      <c r="E3569" t="s">
        <v>7645</v>
      </c>
      <c r="F3569" t="str">
        <f>HYPERLINK("https://talan.bank.gov.ua/get-user-certificate/45CElzZrzgMB3PI6gKr9","Завантажити сертифікат")</f>
        <v>Завантажити сертифікат</v>
      </c>
    </row>
    <row r="3570" spans="1:6" x14ac:dyDescent="0.3">
      <c r="A3570" t="s">
        <v>7656</v>
      </c>
      <c r="B3570" t="s">
        <v>6</v>
      </c>
      <c r="C3570" t="s">
        <v>7657</v>
      </c>
      <c r="D3570" t="s">
        <v>7644</v>
      </c>
      <c r="E3570" t="s">
        <v>7645</v>
      </c>
      <c r="F3570" t="str">
        <f>HYPERLINK("https://talan.bank.gov.ua/get-user-certificate/45CEl1xIiH8pTyg_6oJH","Завантажити сертифікат")</f>
        <v>Завантажити сертифікат</v>
      </c>
    </row>
    <row r="3571" spans="1:6" x14ac:dyDescent="0.3">
      <c r="A3571" t="s">
        <v>7658</v>
      </c>
      <c r="B3571" t="s">
        <v>6</v>
      </c>
      <c r="C3571" t="s">
        <v>7659</v>
      </c>
      <c r="D3571" t="s">
        <v>7644</v>
      </c>
      <c r="E3571" t="s">
        <v>7645</v>
      </c>
      <c r="F3571" t="str">
        <f>HYPERLINK("https://talan.bank.gov.ua/get-user-certificate/45CElRBI-5FQzD7lIKyT","Завантажити сертифікат")</f>
        <v>Завантажити сертифікат</v>
      </c>
    </row>
    <row r="3572" spans="1:6" x14ac:dyDescent="0.3">
      <c r="A3572" t="s">
        <v>7660</v>
      </c>
      <c r="B3572" t="s">
        <v>6</v>
      </c>
      <c r="C3572" t="s">
        <v>7661</v>
      </c>
      <c r="D3572" t="s">
        <v>7644</v>
      </c>
      <c r="E3572" t="s">
        <v>7645</v>
      </c>
      <c r="F3572" t="str">
        <f>HYPERLINK("https://talan.bank.gov.ua/get-user-certificate/45CElERqm9bGccvWdNCZ","Завантажити сертифікат")</f>
        <v>Завантажити сертифікат</v>
      </c>
    </row>
    <row r="3573" spans="1:6" x14ac:dyDescent="0.3">
      <c r="A3573" t="s">
        <v>7662</v>
      </c>
      <c r="B3573" t="s">
        <v>6</v>
      </c>
      <c r="C3573" t="s">
        <v>7663</v>
      </c>
      <c r="D3573" t="s">
        <v>7644</v>
      </c>
      <c r="E3573" t="s">
        <v>7645</v>
      </c>
      <c r="F3573" t="str">
        <f>HYPERLINK("https://talan.bank.gov.ua/get-user-certificate/45CElltsgOM1aaDB9PFP","Завантажити сертифікат")</f>
        <v>Завантажити сертифікат</v>
      </c>
    </row>
    <row r="3574" spans="1:6" x14ac:dyDescent="0.3">
      <c r="A3574" t="s">
        <v>7664</v>
      </c>
      <c r="B3574" t="s">
        <v>6</v>
      </c>
      <c r="C3574" t="s">
        <v>7665</v>
      </c>
      <c r="D3574" t="s">
        <v>7644</v>
      </c>
      <c r="E3574" t="s">
        <v>7645</v>
      </c>
      <c r="F3574" t="str">
        <f>HYPERLINK("https://talan.bank.gov.ua/get-user-certificate/45CElKO3ydhjP-2Da5MG","Завантажити сертифікат")</f>
        <v>Завантажити сертифікат</v>
      </c>
    </row>
    <row r="3575" spans="1:6" x14ac:dyDescent="0.3">
      <c r="A3575" t="s">
        <v>7666</v>
      </c>
      <c r="B3575" t="s">
        <v>6</v>
      </c>
      <c r="C3575" t="s">
        <v>7667</v>
      </c>
      <c r="D3575" t="s">
        <v>7644</v>
      </c>
      <c r="E3575" t="s">
        <v>7645</v>
      </c>
      <c r="F3575" t="str">
        <f>HYPERLINK("https://talan.bank.gov.ua/get-user-certificate/45CElLg6SUxCXB-0IhTv","Завантажити сертифікат")</f>
        <v>Завантажити сертифікат</v>
      </c>
    </row>
    <row r="3576" spans="1:6" x14ac:dyDescent="0.3">
      <c r="A3576" t="s">
        <v>7668</v>
      </c>
      <c r="B3576" t="s">
        <v>6</v>
      </c>
      <c r="C3576" t="s">
        <v>7669</v>
      </c>
      <c r="D3576" t="s">
        <v>7644</v>
      </c>
      <c r="E3576" t="s">
        <v>7645</v>
      </c>
      <c r="F3576" t="str">
        <f>HYPERLINK("https://talan.bank.gov.ua/get-user-certificate/45CElTnm5weCxG0qY5mx","Завантажити сертифікат")</f>
        <v>Завантажити сертифікат</v>
      </c>
    </row>
    <row r="3577" spans="1:6" x14ac:dyDescent="0.3">
      <c r="A3577" t="s">
        <v>7670</v>
      </c>
      <c r="B3577" t="s">
        <v>6</v>
      </c>
      <c r="C3577" t="s">
        <v>7671</v>
      </c>
      <c r="D3577" t="s">
        <v>7644</v>
      </c>
      <c r="E3577" t="s">
        <v>7645</v>
      </c>
      <c r="F3577" t="str">
        <f>HYPERLINK("https://talan.bank.gov.ua/get-user-certificate/45CEl_8iQm6-GZzwOtRu","Завантажити сертифікат")</f>
        <v>Завантажити сертифікат</v>
      </c>
    </row>
    <row r="3578" spans="1:6" x14ac:dyDescent="0.3">
      <c r="A3578" t="s">
        <v>7672</v>
      </c>
      <c r="B3578" t="s">
        <v>6</v>
      </c>
      <c r="C3578" t="s">
        <v>7673</v>
      </c>
      <c r="D3578" t="s">
        <v>7644</v>
      </c>
      <c r="E3578" t="s">
        <v>7645</v>
      </c>
      <c r="F3578" t="str">
        <f>HYPERLINK("https://talan.bank.gov.ua/get-user-certificate/45CElzMj_qxrNJj1BZOB","Завантажити сертифікат")</f>
        <v>Завантажити сертифікат</v>
      </c>
    </row>
    <row r="3579" spans="1:6" x14ac:dyDescent="0.3">
      <c r="A3579" t="s">
        <v>7674</v>
      </c>
      <c r="B3579" t="s">
        <v>6</v>
      </c>
      <c r="C3579" t="s">
        <v>7675</v>
      </c>
      <c r="D3579" t="s">
        <v>7644</v>
      </c>
      <c r="E3579" t="s">
        <v>7645</v>
      </c>
      <c r="F3579" t="str">
        <f>HYPERLINK("https://talan.bank.gov.ua/get-user-certificate/45CElJjrEizXXhoonR5S","Завантажити сертифікат")</f>
        <v>Завантажити сертифікат</v>
      </c>
    </row>
    <row r="3580" spans="1:6" x14ac:dyDescent="0.3">
      <c r="A3580" t="s">
        <v>7676</v>
      </c>
      <c r="B3580" t="s">
        <v>6</v>
      </c>
      <c r="C3580" t="s">
        <v>7677</v>
      </c>
      <c r="D3580" t="s">
        <v>7644</v>
      </c>
      <c r="E3580" t="s">
        <v>7645</v>
      </c>
      <c r="F3580" t="str">
        <f>HYPERLINK("https://talan.bank.gov.ua/get-user-certificate/45CElmEq9WaC2_f2GILs","Завантажити сертифікат")</f>
        <v>Завантажити сертифікат</v>
      </c>
    </row>
    <row r="3581" spans="1:6" x14ac:dyDescent="0.3">
      <c r="A3581" t="s">
        <v>7678</v>
      </c>
      <c r="B3581" t="s">
        <v>6</v>
      </c>
      <c r="C3581" t="s">
        <v>7679</v>
      </c>
      <c r="D3581" t="s">
        <v>7644</v>
      </c>
      <c r="E3581" t="s">
        <v>7645</v>
      </c>
      <c r="F3581" t="str">
        <f>HYPERLINK("https://talan.bank.gov.ua/get-user-certificate/45CEl6ufFvMJm2LF0CpY","Завантажити сертифікат")</f>
        <v>Завантажити сертифікат</v>
      </c>
    </row>
    <row r="3582" spans="1:6" x14ac:dyDescent="0.3">
      <c r="A3582" t="s">
        <v>7680</v>
      </c>
      <c r="B3582" t="s">
        <v>6</v>
      </c>
      <c r="C3582" t="s">
        <v>7681</v>
      </c>
      <c r="D3582" t="s">
        <v>7644</v>
      </c>
      <c r="E3582" t="s">
        <v>7645</v>
      </c>
      <c r="F3582" t="str">
        <f>HYPERLINK("https://talan.bank.gov.ua/get-user-certificate/45CElBbX4GA1ds_dVaUy","Завантажити сертифікат")</f>
        <v>Завантажити сертифікат</v>
      </c>
    </row>
    <row r="3583" spans="1:6" x14ac:dyDescent="0.3">
      <c r="A3583" t="s">
        <v>7682</v>
      </c>
      <c r="B3583" t="s">
        <v>6</v>
      </c>
      <c r="C3583" t="s">
        <v>7683</v>
      </c>
      <c r="D3583" t="s">
        <v>7644</v>
      </c>
      <c r="E3583" t="s">
        <v>7645</v>
      </c>
      <c r="F3583" t="str">
        <f>HYPERLINK("https://talan.bank.gov.ua/get-user-certificate/45CElb4Y2msA1bZCT_5D","Завантажити сертифікат")</f>
        <v>Завантажити сертифікат</v>
      </c>
    </row>
    <row r="3584" spans="1:6" x14ac:dyDescent="0.3">
      <c r="A3584" t="s">
        <v>7684</v>
      </c>
      <c r="B3584" t="s">
        <v>6</v>
      </c>
      <c r="C3584" t="s">
        <v>7685</v>
      </c>
      <c r="D3584" t="s">
        <v>7644</v>
      </c>
      <c r="E3584" t="s">
        <v>7645</v>
      </c>
      <c r="F3584" t="str">
        <f>HYPERLINK("https://talan.bank.gov.ua/get-user-certificate/45CElcjUXLvHjiSMFhjR","Завантажити сертифікат")</f>
        <v>Завантажити сертифікат</v>
      </c>
    </row>
    <row r="3585" spans="1:6" x14ac:dyDescent="0.3">
      <c r="A3585" t="s">
        <v>7686</v>
      </c>
      <c r="B3585" t="s">
        <v>6</v>
      </c>
      <c r="C3585" t="s">
        <v>7687</v>
      </c>
      <c r="D3585" t="s">
        <v>7644</v>
      </c>
      <c r="E3585" t="s">
        <v>7645</v>
      </c>
      <c r="F3585" t="str">
        <f>HYPERLINK("https://talan.bank.gov.ua/get-user-certificate/45CEldafOD3vK7Q4Njxi","Завантажити сертифікат")</f>
        <v>Завантажити сертифікат</v>
      </c>
    </row>
    <row r="3586" spans="1:6" x14ac:dyDescent="0.3">
      <c r="A3586" t="s">
        <v>7688</v>
      </c>
      <c r="B3586" t="s">
        <v>6</v>
      </c>
      <c r="C3586" t="s">
        <v>7689</v>
      </c>
      <c r="D3586" t="s">
        <v>7644</v>
      </c>
      <c r="E3586" t="s">
        <v>7645</v>
      </c>
      <c r="F3586" t="str">
        <f>HYPERLINK("https://talan.bank.gov.ua/get-user-certificate/45CElJ6TGNHk_N7-fyTg","Завантажити сертифікат")</f>
        <v>Завантажити сертифікат</v>
      </c>
    </row>
    <row r="3587" spans="1:6" x14ac:dyDescent="0.3">
      <c r="A3587" t="s">
        <v>7690</v>
      </c>
      <c r="B3587" t="s">
        <v>6</v>
      </c>
      <c r="C3587" t="s">
        <v>7691</v>
      </c>
      <c r="D3587" t="s">
        <v>7644</v>
      </c>
      <c r="E3587" t="s">
        <v>7645</v>
      </c>
      <c r="F3587" t="str">
        <f>HYPERLINK("https://talan.bank.gov.ua/get-user-certificate/45CEl0xW8Jepzof-FUny","Завантажити сертифікат")</f>
        <v>Завантажити сертифікат</v>
      </c>
    </row>
    <row r="3588" spans="1:6" x14ac:dyDescent="0.3">
      <c r="A3588" t="s">
        <v>7692</v>
      </c>
      <c r="B3588" t="s">
        <v>6</v>
      </c>
      <c r="C3588" t="s">
        <v>7693</v>
      </c>
      <c r="D3588" t="s">
        <v>7644</v>
      </c>
      <c r="E3588" t="s">
        <v>7645</v>
      </c>
      <c r="F3588" t="str">
        <f>HYPERLINK("https://talan.bank.gov.ua/get-user-certificate/45CElHXIUO98MI44Axr2","Завантажити сертифікат")</f>
        <v>Завантажити сертифікат</v>
      </c>
    </row>
    <row r="3589" spans="1:6" x14ac:dyDescent="0.3">
      <c r="A3589" t="s">
        <v>7694</v>
      </c>
      <c r="B3589" t="s">
        <v>6</v>
      </c>
      <c r="C3589" t="s">
        <v>7695</v>
      </c>
      <c r="D3589" t="s">
        <v>7644</v>
      </c>
      <c r="E3589" t="s">
        <v>7645</v>
      </c>
      <c r="F3589" t="str">
        <f>HYPERLINK("https://talan.bank.gov.ua/get-user-certificate/45CElZNfq99Bu8mVOL8H","Завантажити сертифікат")</f>
        <v>Завантажити сертифікат</v>
      </c>
    </row>
    <row r="3590" spans="1:6" x14ac:dyDescent="0.3">
      <c r="A3590" t="s">
        <v>7696</v>
      </c>
      <c r="B3590" t="s">
        <v>6</v>
      </c>
      <c r="C3590" t="s">
        <v>7697</v>
      </c>
      <c r="D3590" t="s">
        <v>7644</v>
      </c>
      <c r="E3590" t="s">
        <v>7645</v>
      </c>
      <c r="F3590" t="str">
        <f>HYPERLINK("https://talan.bank.gov.ua/get-user-certificate/45CElDDKKJRHk3D6y2VD","Завантажити сертифікат")</f>
        <v>Завантажити сертифікат</v>
      </c>
    </row>
    <row r="3591" spans="1:6" x14ac:dyDescent="0.3">
      <c r="A3591" t="s">
        <v>7698</v>
      </c>
      <c r="B3591" t="s">
        <v>6</v>
      </c>
      <c r="C3591" t="s">
        <v>7699</v>
      </c>
      <c r="D3591" t="s">
        <v>7644</v>
      </c>
      <c r="E3591" t="s">
        <v>7645</v>
      </c>
      <c r="F3591" t="str">
        <f>HYPERLINK("https://talan.bank.gov.ua/get-user-certificate/45CEleYA0nctFI_-qXYt","Завантажити сертифікат")</f>
        <v>Завантажити сертифікат</v>
      </c>
    </row>
    <row r="3592" spans="1:6" x14ac:dyDescent="0.3">
      <c r="A3592" t="s">
        <v>7700</v>
      </c>
      <c r="B3592" t="s">
        <v>6</v>
      </c>
      <c r="C3592" t="s">
        <v>7701</v>
      </c>
      <c r="D3592" t="s">
        <v>7644</v>
      </c>
      <c r="E3592" t="s">
        <v>7645</v>
      </c>
      <c r="F3592" t="str">
        <f>HYPERLINK("https://talan.bank.gov.ua/get-user-certificate/45CElvhj7jo6nuBcoFxT","Завантажити сертифікат")</f>
        <v>Завантажити сертифікат</v>
      </c>
    </row>
    <row r="3593" spans="1:6" x14ac:dyDescent="0.3">
      <c r="A3593" t="s">
        <v>7702</v>
      </c>
      <c r="B3593" t="s">
        <v>6</v>
      </c>
      <c r="C3593" t="s">
        <v>7703</v>
      </c>
      <c r="D3593" t="s">
        <v>7644</v>
      </c>
      <c r="E3593" t="s">
        <v>7645</v>
      </c>
      <c r="F3593" t="str">
        <f>HYPERLINK("https://talan.bank.gov.ua/get-user-certificate/45CEl30-PNcdnn2pl3v4","Завантажити сертифікат")</f>
        <v>Завантажити сертифікат</v>
      </c>
    </row>
    <row r="3594" spans="1:6" x14ac:dyDescent="0.3">
      <c r="A3594" t="s">
        <v>7704</v>
      </c>
      <c r="B3594" t="s">
        <v>6</v>
      </c>
      <c r="C3594" t="s">
        <v>7705</v>
      </c>
      <c r="D3594" t="s">
        <v>7644</v>
      </c>
      <c r="E3594" t="s">
        <v>7645</v>
      </c>
      <c r="F3594" t="str">
        <f>HYPERLINK("https://talan.bank.gov.ua/get-user-certificate/45CElW9MvpVWv6WgEDwR","Завантажити сертифікат")</f>
        <v>Завантажити сертифікат</v>
      </c>
    </row>
    <row r="3595" spans="1:6" x14ac:dyDescent="0.3">
      <c r="A3595" t="s">
        <v>7706</v>
      </c>
      <c r="B3595" t="s">
        <v>6</v>
      </c>
      <c r="C3595" t="s">
        <v>7707</v>
      </c>
      <c r="D3595" t="s">
        <v>7644</v>
      </c>
      <c r="E3595" t="s">
        <v>7645</v>
      </c>
      <c r="F3595" t="str">
        <f>HYPERLINK("https://talan.bank.gov.ua/get-user-certificate/45CEl6ot--u54VL5H9CQ","Завантажити сертифікат")</f>
        <v>Завантажити сертифікат</v>
      </c>
    </row>
    <row r="3596" spans="1:6" x14ac:dyDescent="0.3">
      <c r="A3596" t="s">
        <v>7708</v>
      </c>
      <c r="B3596" t="s">
        <v>6</v>
      </c>
      <c r="C3596" t="s">
        <v>7709</v>
      </c>
      <c r="D3596" t="s">
        <v>7644</v>
      </c>
      <c r="E3596" t="s">
        <v>7645</v>
      </c>
      <c r="F3596" t="str">
        <f>HYPERLINK("https://talan.bank.gov.ua/get-user-certificate/45CElI2faH5oe68MGBkT","Завантажити сертифікат")</f>
        <v>Завантажити сертифікат</v>
      </c>
    </row>
    <row r="3597" spans="1:6" x14ac:dyDescent="0.3">
      <c r="A3597" t="s">
        <v>7710</v>
      </c>
      <c r="B3597" t="s">
        <v>6</v>
      </c>
      <c r="C3597" t="s">
        <v>7711</v>
      </c>
      <c r="D3597" t="s">
        <v>7644</v>
      </c>
      <c r="E3597" t="s">
        <v>7645</v>
      </c>
      <c r="F3597" t="str">
        <f>HYPERLINK("https://talan.bank.gov.ua/get-user-certificate/45CElPE8OPO979QXRn3u","Завантажити сертифікат")</f>
        <v>Завантажити сертифікат</v>
      </c>
    </row>
    <row r="3598" spans="1:6" x14ac:dyDescent="0.3">
      <c r="A3598" t="s">
        <v>7712</v>
      </c>
      <c r="B3598" t="s">
        <v>6</v>
      </c>
      <c r="C3598" t="s">
        <v>7713</v>
      </c>
      <c r="D3598" t="s">
        <v>7644</v>
      </c>
      <c r="E3598" t="s">
        <v>7645</v>
      </c>
      <c r="F3598" t="str">
        <f>HYPERLINK("https://talan.bank.gov.ua/get-user-certificate/45CElFgf8wtnfCo2RWi5","Завантажити сертифікат")</f>
        <v>Завантажити сертифікат</v>
      </c>
    </row>
    <row r="3599" spans="1:6" x14ac:dyDescent="0.3">
      <c r="A3599" t="s">
        <v>7714</v>
      </c>
      <c r="B3599" t="s">
        <v>6</v>
      </c>
      <c r="C3599" t="s">
        <v>7715</v>
      </c>
      <c r="D3599" t="s">
        <v>7644</v>
      </c>
      <c r="E3599" t="s">
        <v>7645</v>
      </c>
      <c r="F3599" t="str">
        <f>HYPERLINK("https://talan.bank.gov.ua/get-user-certificate/45CElQz0fjnPzJyc7_QD","Завантажити сертифікат")</f>
        <v>Завантажити сертифікат</v>
      </c>
    </row>
    <row r="3600" spans="1:6" x14ac:dyDescent="0.3">
      <c r="A3600" t="s">
        <v>7716</v>
      </c>
      <c r="B3600" t="s">
        <v>6</v>
      </c>
      <c r="C3600" t="s">
        <v>7717</v>
      </c>
      <c r="D3600" t="s">
        <v>7644</v>
      </c>
      <c r="E3600" t="s">
        <v>7645</v>
      </c>
      <c r="F3600" t="str">
        <f>HYPERLINK("https://talan.bank.gov.ua/get-user-certificate/45CElFN3Kp_LLGhiQxLQ","Завантажити сертифікат")</f>
        <v>Завантажити сертифікат</v>
      </c>
    </row>
    <row r="3601" spans="1:6" x14ac:dyDescent="0.3">
      <c r="A3601" t="s">
        <v>7718</v>
      </c>
      <c r="B3601" t="s">
        <v>6</v>
      </c>
      <c r="C3601" t="s">
        <v>7719</v>
      </c>
      <c r="D3601" t="s">
        <v>7644</v>
      </c>
      <c r="E3601" t="s">
        <v>7645</v>
      </c>
      <c r="F3601" t="str">
        <f>HYPERLINK("https://talan.bank.gov.ua/get-user-certificate/45CElpvUpJov6uJN6iae","Завантажити сертифікат")</f>
        <v>Завантажити сертифікат</v>
      </c>
    </row>
    <row r="3602" spans="1:6" x14ac:dyDescent="0.3">
      <c r="A3602" t="s">
        <v>7720</v>
      </c>
      <c r="B3602" t="s">
        <v>6</v>
      </c>
      <c r="C3602" t="s">
        <v>7721</v>
      </c>
      <c r="D3602" t="s">
        <v>7644</v>
      </c>
      <c r="E3602" t="s">
        <v>7645</v>
      </c>
      <c r="F3602" t="str">
        <f>HYPERLINK("https://talan.bank.gov.ua/get-user-certificate/45CElH4-82yszZ3ouWf2","Завантажити сертифікат")</f>
        <v>Завантажити сертифікат</v>
      </c>
    </row>
    <row r="3603" spans="1:6" x14ac:dyDescent="0.3">
      <c r="A3603" t="s">
        <v>7722</v>
      </c>
      <c r="B3603" t="s">
        <v>6</v>
      </c>
      <c r="C3603" t="s">
        <v>7723</v>
      </c>
      <c r="D3603" t="s">
        <v>7644</v>
      </c>
      <c r="E3603" t="s">
        <v>7645</v>
      </c>
      <c r="F3603" t="str">
        <f>HYPERLINK("https://talan.bank.gov.ua/get-user-certificate/45CElBubsfAmYa09Rzmm","Завантажити сертифікат")</f>
        <v>Завантажити сертифікат</v>
      </c>
    </row>
    <row r="3604" spans="1:6" x14ac:dyDescent="0.3">
      <c r="A3604" t="s">
        <v>7724</v>
      </c>
      <c r="B3604" t="s">
        <v>6</v>
      </c>
      <c r="C3604" t="s">
        <v>7725</v>
      </c>
      <c r="D3604" t="s">
        <v>7644</v>
      </c>
      <c r="E3604" t="s">
        <v>7645</v>
      </c>
      <c r="F3604" t="str">
        <f>HYPERLINK("https://talan.bank.gov.ua/get-user-certificate/45CElegL29yj06Jjl0st","Завантажити сертифікат")</f>
        <v>Завантажити сертифікат</v>
      </c>
    </row>
    <row r="3605" spans="1:6" x14ac:dyDescent="0.3">
      <c r="A3605" t="s">
        <v>7726</v>
      </c>
      <c r="B3605" t="s">
        <v>6</v>
      </c>
      <c r="C3605" t="s">
        <v>7727</v>
      </c>
      <c r="D3605" t="s">
        <v>7644</v>
      </c>
      <c r="E3605" t="s">
        <v>7645</v>
      </c>
      <c r="F3605" t="str">
        <f>HYPERLINK("https://talan.bank.gov.ua/get-user-certificate/45CEl9BNhf_lCkO6ics7","Завантажити сертифікат")</f>
        <v>Завантажити сертифікат</v>
      </c>
    </row>
    <row r="3606" spans="1:6" x14ac:dyDescent="0.3">
      <c r="A3606" t="s">
        <v>7728</v>
      </c>
      <c r="B3606" t="s">
        <v>6</v>
      </c>
      <c r="C3606" t="s">
        <v>7729</v>
      </c>
      <c r="D3606" t="s">
        <v>7644</v>
      </c>
      <c r="E3606" t="s">
        <v>7645</v>
      </c>
      <c r="F3606" t="str">
        <f>HYPERLINK("https://talan.bank.gov.ua/get-user-certificate/45CElI_qdD0FJds_x8RH","Завантажити сертифікат")</f>
        <v>Завантажити сертифікат</v>
      </c>
    </row>
    <row r="3607" spans="1:6" x14ac:dyDescent="0.3">
      <c r="A3607" t="s">
        <v>7730</v>
      </c>
      <c r="B3607" t="s">
        <v>6</v>
      </c>
      <c r="C3607" t="s">
        <v>7731</v>
      </c>
      <c r="D3607" t="s">
        <v>7644</v>
      </c>
      <c r="E3607" t="s">
        <v>7645</v>
      </c>
      <c r="F3607" t="str">
        <f>HYPERLINK("https://talan.bank.gov.ua/get-user-certificate/45CElMS2jKkc2Y8ZIjnT","Завантажити сертифікат")</f>
        <v>Завантажити сертифікат</v>
      </c>
    </row>
    <row r="3608" spans="1:6" x14ac:dyDescent="0.3">
      <c r="A3608" t="s">
        <v>7732</v>
      </c>
      <c r="B3608" t="s">
        <v>6</v>
      </c>
      <c r="C3608" t="s">
        <v>7733</v>
      </c>
      <c r="D3608" t="s">
        <v>7644</v>
      </c>
      <c r="E3608" t="s">
        <v>7645</v>
      </c>
      <c r="F3608" t="str">
        <f>HYPERLINK("https://talan.bank.gov.ua/get-user-certificate/45CElKkZTeQ0eYRizKNJ","Завантажити сертифікат")</f>
        <v>Завантажити сертифікат</v>
      </c>
    </row>
    <row r="3609" spans="1:6" x14ac:dyDescent="0.3">
      <c r="A3609" t="s">
        <v>7734</v>
      </c>
      <c r="B3609" t="s">
        <v>6</v>
      </c>
      <c r="C3609" t="s">
        <v>7735</v>
      </c>
      <c r="D3609" t="s">
        <v>7644</v>
      </c>
      <c r="E3609" t="s">
        <v>7645</v>
      </c>
      <c r="F3609" t="str">
        <f>HYPERLINK("https://talan.bank.gov.ua/get-user-certificate/45CEl36M4ERCfogsDBhJ","Завантажити сертифікат")</f>
        <v>Завантажити сертифікат</v>
      </c>
    </row>
    <row r="3610" spans="1:6" x14ac:dyDescent="0.3">
      <c r="A3610" t="s">
        <v>7736</v>
      </c>
      <c r="B3610" t="s">
        <v>6</v>
      </c>
      <c r="C3610" t="s">
        <v>7737</v>
      </c>
      <c r="D3610" t="s">
        <v>7644</v>
      </c>
      <c r="E3610" t="s">
        <v>7645</v>
      </c>
      <c r="F3610" t="str">
        <f>HYPERLINK("https://talan.bank.gov.ua/get-user-certificate/45CElNMuGg6dcFNz_1xE","Завантажити сертифікат")</f>
        <v>Завантажити сертифікат</v>
      </c>
    </row>
    <row r="3611" spans="1:6" x14ac:dyDescent="0.3">
      <c r="A3611" t="s">
        <v>7738</v>
      </c>
      <c r="B3611" t="s">
        <v>6</v>
      </c>
      <c r="C3611" t="s">
        <v>7739</v>
      </c>
      <c r="D3611" t="s">
        <v>7644</v>
      </c>
      <c r="E3611" t="s">
        <v>7645</v>
      </c>
      <c r="F3611" t="str">
        <f>HYPERLINK("https://talan.bank.gov.ua/get-user-certificate/45CElw9XM17gSl7LECX6","Завантажити сертифікат")</f>
        <v>Завантажити сертифікат</v>
      </c>
    </row>
    <row r="3612" spans="1:6" x14ac:dyDescent="0.3">
      <c r="A3612" t="s">
        <v>7740</v>
      </c>
      <c r="B3612" t="s">
        <v>6</v>
      </c>
      <c r="C3612" t="s">
        <v>7741</v>
      </c>
      <c r="D3612" t="s">
        <v>7644</v>
      </c>
      <c r="E3612" t="s">
        <v>7645</v>
      </c>
      <c r="F3612" t="str">
        <f>HYPERLINK("https://talan.bank.gov.ua/get-user-certificate/45CEl_Y781XjdUntIesS","Завантажити сертифікат")</f>
        <v>Завантажити сертифікат</v>
      </c>
    </row>
    <row r="3613" spans="1:6" x14ac:dyDescent="0.3">
      <c r="A3613" t="s">
        <v>7742</v>
      </c>
      <c r="B3613" t="s">
        <v>6</v>
      </c>
      <c r="C3613" t="s">
        <v>7743</v>
      </c>
      <c r="D3613" t="s">
        <v>7644</v>
      </c>
      <c r="E3613" t="s">
        <v>7645</v>
      </c>
      <c r="F3613" t="str">
        <f>HYPERLINK("https://talan.bank.gov.ua/get-user-certificate/45CElK2kGuuTDFI8cf9-","Завантажити сертифікат")</f>
        <v>Завантажити сертифікат</v>
      </c>
    </row>
    <row r="3614" spans="1:6" x14ac:dyDescent="0.3">
      <c r="A3614" t="s">
        <v>7744</v>
      </c>
      <c r="B3614" t="s">
        <v>6</v>
      </c>
      <c r="C3614" t="s">
        <v>7745</v>
      </c>
      <c r="D3614" t="s">
        <v>7644</v>
      </c>
      <c r="E3614" t="s">
        <v>7645</v>
      </c>
      <c r="F3614" t="str">
        <f>HYPERLINK("https://talan.bank.gov.ua/get-user-certificate/45CElNRwj1HU5Dg20eXM","Завантажити сертифікат")</f>
        <v>Завантажити сертифікат</v>
      </c>
    </row>
    <row r="3615" spans="1:6" x14ac:dyDescent="0.3">
      <c r="A3615" t="s">
        <v>7746</v>
      </c>
      <c r="B3615" t="s">
        <v>6</v>
      </c>
      <c r="C3615" t="s">
        <v>7747</v>
      </c>
      <c r="D3615" t="s">
        <v>7644</v>
      </c>
      <c r="E3615" t="s">
        <v>7645</v>
      </c>
      <c r="F3615" t="str">
        <f>HYPERLINK("https://talan.bank.gov.ua/get-user-certificate/45CElylpiLXP9lh0DSdp","Завантажити сертифікат")</f>
        <v>Завантажити сертифікат</v>
      </c>
    </row>
    <row r="3616" spans="1:6" x14ac:dyDescent="0.3">
      <c r="A3616" t="s">
        <v>7748</v>
      </c>
      <c r="B3616" t="s">
        <v>6</v>
      </c>
      <c r="C3616" t="s">
        <v>7749</v>
      </c>
      <c r="D3616" t="s">
        <v>7644</v>
      </c>
      <c r="E3616" t="s">
        <v>7645</v>
      </c>
      <c r="F3616" t="str">
        <f>HYPERLINK("https://talan.bank.gov.ua/get-user-certificate/45CElIstAijuFuqT6mrd","Завантажити сертифікат")</f>
        <v>Завантажити сертифікат</v>
      </c>
    </row>
    <row r="3617" spans="1:6" x14ac:dyDescent="0.3">
      <c r="A3617" t="s">
        <v>7750</v>
      </c>
      <c r="B3617" t="s">
        <v>6</v>
      </c>
      <c r="C3617" t="s">
        <v>7751</v>
      </c>
      <c r="D3617" t="s">
        <v>7644</v>
      </c>
      <c r="E3617" t="s">
        <v>7645</v>
      </c>
      <c r="F3617" t="str">
        <f>HYPERLINK("https://talan.bank.gov.ua/get-user-certificate/45CElphQ9oCMhz8gJ8gO","Завантажити сертифікат")</f>
        <v>Завантажити сертифікат</v>
      </c>
    </row>
    <row r="3618" spans="1:6" x14ac:dyDescent="0.3">
      <c r="A3618" t="s">
        <v>7752</v>
      </c>
      <c r="B3618" t="s">
        <v>6</v>
      </c>
      <c r="C3618" t="s">
        <v>7753</v>
      </c>
      <c r="D3618" t="s">
        <v>7644</v>
      </c>
      <c r="E3618" t="s">
        <v>7645</v>
      </c>
      <c r="F3618" t="str">
        <f>HYPERLINK("https://talan.bank.gov.ua/get-user-certificate/45CElyfkdS4aAjH7422L","Завантажити сертифікат")</f>
        <v>Завантажити сертифікат</v>
      </c>
    </row>
    <row r="3619" spans="1:6" x14ac:dyDescent="0.3">
      <c r="A3619" t="s">
        <v>7754</v>
      </c>
      <c r="B3619" t="s">
        <v>6</v>
      </c>
      <c r="C3619" t="s">
        <v>7755</v>
      </c>
      <c r="D3619" t="s">
        <v>7644</v>
      </c>
      <c r="E3619" t="s">
        <v>7645</v>
      </c>
      <c r="F3619" t="str">
        <f>HYPERLINK("https://talan.bank.gov.ua/get-user-certificate/45CElxZo9eTq8rBYe7iK","Завантажити сертифікат")</f>
        <v>Завантажити сертифікат</v>
      </c>
    </row>
    <row r="3620" spans="1:6" x14ac:dyDescent="0.3">
      <c r="A3620" t="s">
        <v>7756</v>
      </c>
      <c r="B3620" t="s">
        <v>6</v>
      </c>
      <c r="C3620" t="s">
        <v>7757</v>
      </c>
      <c r="D3620" t="s">
        <v>7644</v>
      </c>
      <c r="E3620" t="s">
        <v>7645</v>
      </c>
      <c r="F3620" t="str">
        <f>HYPERLINK("https://talan.bank.gov.ua/get-user-certificate/45CElQffsiAf5lB4R3yb","Завантажити сертифікат")</f>
        <v>Завантажити сертифікат</v>
      </c>
    </row>
    <row r="3621" spans="1:6" x14ac:dyDescent="0.3">
      <c r="A3621" t="s">
        <v>7758</v>
      </c>
      <c r="B3621" t="s">
        <v>6</v>
      </c>
      <c r="C3621" t="s">
        <v>7759</v>
      </c>
      <c r="D3621" t="s">
        <v>7644</v>
      </c>
      <c r="E3621" t="s">
        <v>7645</v>
      </c>
      <c r="F3621" t="str">
        <f>HYPERLINK("https://talan.bank.gov.ua/get-user-certificate/45CEl-YA6cgyx2epMiPC","Завантажити сертифікат")</f>
        <v>Завантажити сертифікат</v>
      </c>
    </row>
    <row r="3622" spans="1:6" x14ac:dyDescent="0.3">
      <c r="A3622" t="s">
        <v>7760</v>
      </c>
      <c r="B3622" t="s">
        <v>6</v>
      </c>
      <c r="C3622" t="s">
        <v>7761</v>
      </c>
      <c r="D3622" t="s">
        <v>7644</v>
      </c>
      <c r="E3622" t="s">
        <v>7645</v>
      </c>
      <c r="F3622" t="str">
        <f>HYPERLINK("https://talan.bank.gov.ua/get-user-certificate/45CElxPA-xTn_AJ9y4yp","Завантажити сертифікат")</f>
        <v>Завантажити сертифікат</v>
      </c>
    </row>
    <row r="3623" spans="1:6" x14ac:dyDescent="0.3">
      <c r="A3623" t="s">
        <v>7762</v>
      </c>
      <c r="B3623" t="s">
        <v>6</v>
      </c>
      <c r="C3623" t="s">
        <v>7763</v>
      </c>
      <c r="D3623" t="s">
        <v>7644</v>
      </c>
      <c r="E3623" t="s">
        <v>7645</v>
      </c>
      <c r="F3623" t="str">
        <f>HYPERLINK("https://talan.bank.gov.ua/get-user-certificate/45CElqlhwgdllVgYrJmJ","Завантажити сертифікат")</f>
        <v>Завантажити сертифікат</v>
      </c>
    </row>
    <row r="3624" spans="1:6" x14ac:dyDescent="0.3">
      <c r="A3624" t="s">
        <v>7764</v>
      </c>
      <c r="B3624" t="s">
        <v>6</v>
      </c>
      <c r="C3624" t="s">
        <v>7765</v>
      </c>
      <c r="D3624" t="s">
        <v>7644</v>
      </c>
      <c r="E3624" t="s">
        <v>7645</v>
      </c>
      <c r="F3624" t="str">
        <f>HYPERLINK("https://talan.bank.gov.ua/get-user-certificate/45CElVKX2HnKM4gBgfk2","Завантажити сертифікат")</f>
        <v>Завантажити сертифікат</v>
      </c>
    </row>
    <row r="3625" spans="1:6" x14ac:dyDescent="0.3">
      <c r="A3625" t="s">
        <v>7766</v>
      </c>
      <c r="B3625" t="s">
        <v>6</v>
      </c>
      <c r="C3625" t="s">
        <v>7767</v>
      </c>
      <c r="D3625" t="s">
        <v>7644</v>
      </c>
      <c r="E3625" t="s">
        <v>7645</v>
      </c>
      <c r="F3625" t="str">
        <f>HYPERLINK("https://talan.bank.gov.ua/get-user-certificate/45CElbsn5PMbi4c4D_rd","Завантажити сертифікат")</f>
        <v>Завантажити сертифікат</v>
      </c>
    </row>
    <row r="3626" spans="1:6" x14ac:dyDescent="0.3">
      <c r="A3626" t="s">
        <v>7768</v>
      </c>
      <c r="B3626" t="s">
        <v>6</v>
      </c>
      <c r="C3626" t="s">
        <v>7769</v>
      </c>
      <c r="D3626" t="s">
        <v>7644</v>
      </c>
      <c r="E3626" t="s">
        <v>7645</v>
      </c>
      <c r="F3626" t="str">
        <f>HYPERLINK("https://talan.bank.gov.ua/get-user-certificate/45CElUuE0dDX51vIC6r8","Завантажити сертифікат")</f>
        <v>Завантажити сертифікат</v>
      </c>
    </row>
    <row r="3627" spans="1:6" x14ac:dyDescent="0.3">
      <c r="A3627" t="s">
        <v>7770</v>
      </c>
      <c r="B3627" t="s">
        <v>6</v>
      </c>
      <c r="C3627" t="s">
        <v>7771</v>
      </c>
      <c r="D3627" t="s">
        <v>7644</v>
      </c>
      <c r="E3627" t="s">
        <v>7645</v>
      </c>
      <c r="F3627" t="str">
        <f>HYPERLINK("https://talan.bank.gov.ua/get-user-certificate/45CElHd5VCGQ08ix3OhD","Завантажити сертифікат")</f>
        <v>Завантажити сертифікат</v>
      </c>
    </row>
    <row r="3628" spans="1:6" x14ac:dyDescent="0.3">
      <c r="A3628" t="s">
        <v>7772</v>
      </c>
      <c r="B3628" t="s">
        <v>6</v>
      </c>
      <c r="C3628" t="s">
        <v>7773</v>
      </c>
      <c r="D3628" t="s">
        <v>7644</v>
      </c>
      <c r="E3628" t="s">
        <v>7645</v>
      </c>
      <c r="F3628" t="str">
        <f>HYPERLINK("https://talan.bank.gov.ua/get-user-certificate/45CElxNZPCmJau_ZHBC1","Завантажити сертифікат")</f>
        <v>Завантажити сертифікат</v>
      </c>
    </row>
    <row r="3629" spans="1:6" x14ac:dyDescent="0.3">
      <c r="A3629" t="s">
        <v>7774</v>
      </c>
      <c r="B3629" t="s">
        <v>6</v>
      </c>
      <c r="C3629" t="s">
        <v>7775</v>
      </c>
      <c r="D3629" t="s">
        <v>7644</v>
      </c>
      <c r="E3629" t="s">
        <v>7645</v>
      </c>
      <c r="F3629" t="str">
        <f>HYPERLINK("https://talan.bank.gov.ua/get-user-certificate/45CElAXvP0j_zXm94r0y","Завантажити сертифікат")</f>
        <v>Завантажити сертифікат</v>
      </c>
    </row>
    <row r="3630" spans="1:6" x14ac:dyDescent="0.3">
      <c r="A3630" t="s">
        <v>7776</v>
      </c>
      <c r="B3630" t="s">
        <v>6</v>
      </c>
      <c r="C3630" t="s">
        <v>7777</v>
      </c>
      <c r="D3630" t="s">
        <v>7644</v>
      </c>
      <c r="E3630" t="s">
        <v>7645</v>
      </c>
      <c r="F3630" t="str">
        <f>HYPERLINK("https://talan.bank.gov.ua/get-user-certificate/45CElETkVenhTfmfB97T","Завантажити сертифікат")</f>
        <v>Завантажити сертифікат</v>
      </c>
    </row>
    <row r="3631" spans="1:6" x14ac:dyDescent="0.3">
      <c r="A3631" t="s">
        <v>7778</v>
      </c>
      <c r="B3631" t="s">
        <v>6</v>
      </c>
      <c r="C3631" t="s">
        <v>7779</v>
      </c>
      <c r="D3631" t="s">
        <v>7644</v>
      </c>
      <c r="E3631" t="s">
        <v>7645</v>
      </c>
      <c r="F3631" t="str">
        <f>HYPERLINK("https://talan.bank.gov.ua/get-user-certificate/45CElsAsoGRnVor0GF-F","Завантажити сертифікат")</f>
        <v>Завантажити сертифікат</v>
      </c>
    </row>
    <row r="3632" spans="1:6" x14ac:dyDescent="0.3">
      <c r="A3632" t="s">
        <v>7780</v>
      </c>
      <c r="B3632" t="s">
        <v>6</v>
      </c>
      <c r="C3632" t="s">
        <v>7781</v>
      </c>
      <c r="D3632" t="s">
        <v>7644</v>
      </c>
      <c r="E3632" t="s">
        <v>7645</v>
      </c>
      <c r="F3632" t="str">
        <f>HYPERLINK("https://talan.bank.gov.ua/get-user-certificate/45CEl3tNjKhWQ-of-vQQ","Завантажити сертифікат")</f>
        <v>Завантажити сертифікат</v>
      </c>
    </row>
    <row r="3633" spans="1:6" x14ac:dyDescent="0.3">
      <c r="A3633" t="s">
        <v>7782</v>
      </c>
      <c r="B3633" t="s">
        <v>6</v>
      </c>
      <c r="C3633" t="s">
        <v>7783</v>
      </c>
      <c r="D3633" t="s">
        <v>7644</v>
      </c>
      <c r="E3633" t="s">
        <v>7645</v>
      </c>
      <c r="F3633" t="str">
        <f>HYPERLINK("https://talan.bank.gov.ua/get-user-certificate/45CElEUOCsOuiGQKDyXl","Завантажити сертифікат")</f>
        <v>Завантажити сертифікат</v>
      </c>
    </row>
    <row r="3634" spans="1:6" x14ac:dyDescent="0.3">
      <c r="A3634" t="s">
        <v>7784</v>
      </c>
      <c r="B3634" t="s">
        <v>6</v>
      </c>
      <c r="C3634" t="s">
        <v>7785</v>
      </c>
      <c r="D3634" t="s">
        <v>7644</v>
      </c>
      <c r="E3634" t="s">
        <v>7645</v>
      </c>
      <c r="F3634" t="str">
        <f>HYPERLINK("https://talan.bank.gov.ua/get-user-certificate/45CElgSwPs7KsCLfOD9i","Завантажити сертифікат")</f>
        <v>Завантажити сертифікат</v>
      </c>
    </row>
    <row r="3635" spans="1:6" x14ac:dyDescent="0.3">
      <c r="A3635" t="s">
        <v>7786</v>
      </c>
      <c r="B3635" t="s">
        <v>6</v>
      </c>
      <c r="C3635" t="s">
        <v>7787</v>
      </c>
      <c r="D3635" t="s">
        <v>7644</v>
      </c>
      <c r="E3635" t="s">
        <v>7645</v>
      </c>
      <c r="F3635" t="str">
        <f>HYPERLINK("https://talan.bank.gov.ua/get-user-certificate/45CEl20V5BF5Yqx73D0d","Завантажити сертифікат")</f>
        <v>Завантажити сертифікат</v>
      </c>
    </row>
    <row r="3636" spans="1:6" x14ac:dyDescent="0.3">
      <c r="A3636" t="s">
        <v>7788</v>
      </c>
      <c r="B3636" t="s">
        <v>6</v>
      </c>
      <c r="C3636" t="s">
        <v>7789</v>
      </c>
      <c r="D3636" t="s">
        <v>7644</v>
      </c>
      <c r="E3636" t="s">
        <v>7645</v>
      </c>
      <c r="F3636" t="str">
        <f>HYPERLINK("https://talan.bank.gov.ua/get-user-certificate/45CElv_aGu7MgcAx7rZn","Завантажити сертифікат")</f>
        <v>Завантажити сертифікат</v>
      </c>
    </row>
    <row r="3637" spans="1:6" x14ac:dyDescent="0.3">
      <c r="A3637" t="s">
        <v>7790</v>
      </c>
      <c r="B3637" t="s">
        <v>6</v>
      </c>
      <c r="C3637" t="s">
        <v>7791</v>
      </c>
      <c r="D3637" t="s">
        <v>7644</v>
      </c>
      <c r="E3637" t="s">
        <v>7645</v>
      </c>
      <c r="F3637" t="str">
        <f>HYPERLINK("https://talan.bank.gov.ua/get-user-certificate/45CElGVI7qwDceN3qgzN","Завантажити сертифікат")</f>
        <v>Завантажити сертифікат</v>
      </c>
    </row>
    <row r="3638" spans="1:6" x14ac:dyDescent="0.3">
      <c r="A3638" t="s">
        <v>7792</v>
      </c>
      <c r="B3638" t="s">
        <v>6</v>
      </c>
      <c r="C3638" t="s">
        <v>7793</v>
      </c>
      <c r="D3638" t="s">
        <v>7644</v>
      </c>
      <c r="E3638" t="s">
        <v>7645</v>
      </c>
      <c r="F3638" t="str">
        <f>HYPERLINK("https://talan.bank.gov.ua/get-user-certificate/45CElsxUp0JiZr77ByuH","Завантажити сертифікат")</f>
        <v>Завантажити сертифікат</v>
      </c>
    </row>
    <row r="3639" spans="1:6" x14ac:dyDescent="0.3">
      <c r="A3639" t="s">
        <v>7794</v>
      </c>
      <c r="B3639" t="s">
        <v>6</v>
      </c>
      <c r="C3639" t="s">
        <v>7795</v>
      </c>
      <c r="D3639" t="s">
        <v>7644</v>
      </c>
      <c r="E3639" t="s">
        <v>7645</v>
      </c>
      <c r="F3639" t="str">
        <f>HYPERLINK("https://talan.bank.gov.ua/get-user-certificate/45CElTsss4uN-sRL_3Nz","Завантажити сертифікат")</f>
        <v>Завантажити сертифікат</v>
      </c>
    </row>
    <row r="3640" spans="1:6" x14ac:dyDescent="0.3">
      <c r="A3640" t="s">
        <v>7796</v>
      </c>
      <c r="B3640" t="s">
        <v>6</v>
      </c>
      <c r="C3640" t="s">
        <v>7797</v>
      </c>
      <c r="D3640" t="s">
        <v>7644</v>
      </c>
      <c r="E3640" t="s">
        <v>7645</v>
      </c>
      <c r="F3640" t="str">
        <f>HYPERLINK("https://talan.bank.gov.ua/get-user-certificate/45CEl44PbMoDljMLKpC_","Завантажити сертифікат")</f>
        <v>Завантажити сертифікат</v>
      </c>
    </row>
    <row r="3641" spans="1:6" x14ac:dyDescent="0.3">
      <c r="A3641" t="s">
        <v>7798</v>
      </c>
      <c r="B3641" t="s">
        <v>6</v>
      </c>
      <c r="C3641" t="s">
        <v>7799</v>
      </c>
      <c r="D3641" t="s">
        <v>7644</v>
      </c>
      <c r="E3641" t="s">
        <v>7645</v>
      </c>
      <c r="F3641" t="str">
        <f>HYPERLINK("https://talan.bank.gov.ua/get-user-certificate/45CElWeNlgQc712pl8Rl","Завантажити сертифікат")</f>
        <v>Завантажити сертифікат</v>
      </c>
    </row>
    <row r="3642" spans="1:6" x14ac:dyDescent="0.3">
      <c r="A3642" t="s">
        <v>7800</v>
      </c>
      <c r="B3642" t="s">
        <v>6</v>
      </c>
      <c r="C3642" t="s">
        <v>7801</v>
      </c>
      <c r="D3642" t="s">
        <v>7644</v>
      </c>
      <c r="E3642" t="s">
        <v>7645</v>
      </c>
      <c r="F3642" t="str">
        <f>HYPERLINK("https://talan.bank.gov.ua/get-user-certificate/45CEl8FtsNTEFnDc-xZA","Завантажити сертифікат")</f>
        <v>Завантажити сертифікат</v>
      </c>
    </row>
    <row r="3643" spans="1:6" x14ac:dyDescent="0.3">
      <c r="A3643" t="s">
        <v>7802</v>
      </c>
      <c r="B3643" t="s">
        <v>6</v>
      </c>
      <c r="C3643" t="s">
        <v>7803</v>
      </c>
      <c r="D3643" t="s">
        <v>7644</v>
      </c>
      <c r="E3643" t="s">
        <v>7645</v>
      </c>
      <c r="F3643" t="str">
        <f>HYPERLINK("https://talan.bank.gov.ua/get-user-certificate/45CElBIIdwTDQtasSuio","Завантажити сертифікат")</f>
        <v>Завантажити сертифікат</v>
      </c>
    </row>
    <row r="3644" spans="1:6" x14ac:dyDescent="0.3">
      <c r="A3644" t="s">
        <v>7804</v>
      </c>
      <c r="B3644" t="s">
        <v>6</v>
      </c>
      <c r="C3644" t="s">
        <v>7805</v>
      </c>
      <c r="D3644" t="s">
        <v>7644</v>
      </c>
      <c r="E3644" t="s">
        <v>7645</v>
      </c>
      <c r="F3644" t="str">
        <f>HYPERLINK("https://talan.bank.gov.ua/get-user-certificate/45CEld9XWM1uDG8jIct7","Завантажити сертифікат")</f>
        <v>Завантажити сертифікат</v>
      </c>
    </row>
    <row r="3645" spans="1:6" x14ac:dyDescent="0.3">
      <c r="A3645" t="s">
        <v>7806</v>
      </c>
      <c r="B3645" t="s">
        <v>6</v>
      </c>
      <c r="C3645" t="s">
        <v>7807</v>
      </c>
      <c r="D3645" t="s">
        <v>7644</v>
      </c>
      <c r="E3645" t="s">
        <v>7645</v>
      </c>
      <c r="F3645" t="str">
        <f>HYPERLINK("https://talan.bank.gov.ua/get-user-certificate/45CElI6jwv1ZAL-IM5UX","Завантажити сертифікат")</f>
        <v>Завантажити сертифікат</v>
      </c>
    </row>
    <row r="3646" spans="1:6" x14ac:dyDescent="0.3">
      <c r="A3646" t="s">
        <v>7808</v>
      </c>
      <c r="B3646" t="s">
        <v>6</v>
      </c>
      <c r="C3646" t="s">
        <v>7809</v>
      </c>
      <c r="D3646" t="s">
        <v>7644</v>
      </c>
      <c r="E3646" t="s">
        <v>7645</v>
      </c>
      <c r="F3646" t="str">
        <f>HYPERLINK("https://talan.bank.gov.ua/get-user-certificate/45CEleDMRHDtxPNLRCwR","Завантажити сертифікат")</f>
        <v>Завантажити сертифікат</v>
      </c>
    </row>
    <row r="3647" spans="1:6" x14ac:dyDescent="0.3">
      <c r="A3647" t="s">
        <v>7810</v>
      </c>
      <c r="B3647" t="s">
        <v>6</v>
      </c>
      <c r="C3647" t="s">
        <v>7811</v>
      </c>
      <c r="D3647" t="s">
        <v>7644</v>
      </c>
      <c r="E3647" t="s">
        <v>7645</v>
      </c>
      <c r="F3647" t="str">
        <f>HYPERLINK("https://talan.bank.gov.ua/get-user-certificate/45CElkbR35OPZk4J1yla","Завантажити сертифікат")</f>
        <v>Завантажити сертифікат</v>
      </c>
    </row>
    <row r="3648" spans="1:6" x14ac:dyDescent="0.3">
      <c r="A3648" t="s">
        <v>7812</v>
      </c>
      <c r="B3648" t="s">
        <v>6</v>
      </c>
      <c r="C3648" t="s">
        <v>7813</v>
      </c>
      <c r="D3648" t="s">
        <v>7644</v>
      </c>
      <c r="E3648" t="s">
        <v>7645</v>
      </c>
      <c r="F3648" t="str">
        <f>HYPERLINK("https://talan.bank.gov.ua/get-user-certificate/45CEl-yYw66SJhDiBmJf","Завантажити сертифікат")</f>
        <v>Завантажити сертифікат</v>
      </c>
    </row>
    <row r="3649" spans="1:6" x14ac:dyDescent="0.3">
      <c r="A3649" t="s">
        <v>7814</v>
      </c>
      <c r="B3649" t="s">
        <v>6</v>
      </c>
      <c r="C3649" t="s">
        <v>7815</v>
      </c>
      <c r="D3649" t="s">
        <v>7644</v>
      </c>
      <c r="E3649" t="s">
        <v>7645</v>
      </c>
      <c r="F3649" t="str">
        <f>HYPERLINK("https://talan.bank.gov.ua/get-user-certificate/45CEl1OhW2IF52yJFgou","Завантажити сертифікат")</f>
        <v>Завантажити сертифікат</v>
      </c>
    </row>
    <row r="3650" spans="1:6" x14ac:dyDescent="0.3">
      <c r="A3650" t="s">
        <v>7816</v>
      </c>
      <c r="B3650" t="s">
        <v>6</v>
      </c>
      <c r="C3650" t="s">
        <v>7817</v>
      </c>
      <c r="D3650" t="s">
        <v>7644</v>
      </c>
      <c r="E3650" t="s">
        <v>7645</v>
      </c>
      <c r="F3650" t="str">
        <f>HYPERLINK("https://talan.bank.gov.ua/get-user-certificate/45CElSuwRfeKPSydxI21","Завантажити сертифікат")</f>
        <v>Завантажити сертифікат</v>
      </c>
    </row>
    <row r="3651" spans="1:6" x14ac:dyDescent="0.3">
      <c r="A3651" t="s">
        <v>7818</v>
      </c>
      <c r="B3651" t="s">
        <v>6</v>
      </c>
      <c r="C3651" t="s">
        <v>7819</v>
      </c>
      <c r="D3651" t="s">
        <v>7644</v>
      </c>
      <c r="E3651" t="s">
        <v>7645</v>
      </c>
      <c r="F3651" t="str">
        <f>HYPERLINK("https://talan.bank.gov.ua/get-user-certificate/45CElrLmwU-sLuiFF4A4","Завантажити сертифікат")</f>
        <v>Завантажити сертифікат</v>
      </c>
    </row>
    <row r="3652" spans="1:6" x14ac:dyDescent="0.3">
      <c r="A3652" t="s">
        <v>7820</v>
      </c>
      <c r="B3652" t="s">
        <v>6</v>
      </c>
      <c r="C3652" t="s">
        <v>7821</v>
      </c>
      <c r="D3652" t="s">
        <v>7644</v>
      </c>
      <c r="E3652" t="s">
        <v>7645</v>
      </c>
      <c r="F3652" t="str">
        <f>HYPERLINK("https://talan.bank.gov.ua/get-user-certificate/45CEllzeE4l9DnHrD-Ay","Завантажити сертифікат")</f>
        <v>Завантажити сертифікат</v>
      </c>
    </row>
    <row r="3653" spans="1:6" x14ac:dyDescent="0.3">
      <c r="A3653" t="s">
        <v>7822</v>
      </c>
      <c r="B3653" t="s">
        <v>6</v>
      </c>
      <c r="C3653" t="s">
        <v>7823</v>
      </c>
      <c r="D3653" t="s">
        <v>7644</v>
      </c>
      <c r="E3653" t="s">
        <v>7645</v>
      </c>
      <c r="F3653" t="str">
        <f>HYPERLINK("https://talan.bank.gov.ua/get-user-certificate/45CEl3FbX2WJ4XaKD3Nu","Завантажити сертифікат")</f>
        <v>Завантажити сертифікат</v>
      </c>
    </row>
    <row r="3654" spans="1:6" x14ac:dyDescent="0.3">
      <c r="A3654" t="s">
        <v>7824</v>
      </c>
      <c r="B3654" t="s">
        <v>6</v>
      </c>
      <c r="C3654" t="s">
        <v>7825</v>
      </c>
      <c r="D3654" t="s">
        <v>7644</v>
      </c>
      <c r="E3654" t="s">
        <v>7645</v>
      </c>
      <c r="F3654" t="str">
        <f>HYPERLINK("https://talan.bank.gov.ua/get-user-certificate/45CElMm9YC7qD_NM3zuz","Завантажити сертифікат")</f>
        <v>Завантажити сертифікат</v>
      </c>
    </row>
    <row r="3655" spans="1:6" x14ac:dyDescent="0.3">
      <c r="A3655" t="s">
        <v>7826</v>
      </c>
      <c r="B3655" t="s">
        <v>6</v>
      </c>
      <c r="C3655" t="s">
        <v>7827</v>
      </c>
      <c r="D3655" t="s">
        <v>7644</v>
      </c>
      <c r="E3655" t="s">
        <v>7645</v>
      </c>
      <c r="F3655" t="str">
        <f>HYPERLINK("https://talan.bank.gov.ua/get-user-certificate/45CElkhTOQHqC1-Vav0s","Завантажити сертифікат")</f>
        <v>Завантажити сертифікат</v>
      </c>
    </row>
    <row r="3656" spans="1:6" x14ac:dyDescent="0.3">
      <c r="A3656" t="s">
        <v>7828</v>
      </c>
      <c r="B3656" t="s">
        <v>6</v>
      </c>
      <c r="C3656" t="s">
        <v>7829</v>
      </c>
      <c r="D3656" t="s">
        <v>7644</v>
      </c>
      <c r="E3656" t="s">
        <v>7645</v>
      </c>
      <c r="F3656" t="str">
        <f>HYPERLINK("https://talan.bank.gov.ua/get-user-certificate/45CElB356aGyQgAiraHZ","Завантажити сертифікат")</f>
        <v>Завантажити сертифікат</v>
      </c>
    </row>
    <row r="3657" spans="1:6" x14ac:dyDescent="0.3">
      <c r="A3657" t="s">
        <v>7830</v>
      </c>
      <c r="B3657" t="s">
        <v>6</v>
      </c>
      <c r="C3657" t="s">
        <v>7831</v>
      </c>
      <c r="D3657" t="s">
        <v>7644</v>
      </c>
      <c r="E3657" t="s">
        <v>7645</v>
      </c>
      <c r="F3657" t="str">
        <f>HYPERLINK("https://talan.bank.gov.ua/get-user-certificate/45CEla3caeOy-Pcjb5Sz","Завантажити сертифікат")</f>
        <v>Завантажити сертифікат</v>
      </c>
    </row>
    <row r="3658" spans="1:6" x14ac:dyDescent="0.3">
      <c r="A3658" t="s">
        <v>7832</v>
      </c>
      <c r="B3658" t="s">
        <v>6</v>
      </c>
      <c r="C3658" t="s">
        <v>7833</v>
      </c>
      <c r="D3658" t="s">
        <v>7644</v>
      </c>
      <c r="E3658" t="s">
        <v>7645</v>
      </c>
      <c r="F3658" t="str">
        <f>HYPERLINK("https://talan.bank.gov.ua/get-user-certificate/45CElTRa4F9OMxUZJ-xy","Завантажити сертифікат")</f>
        <v>Завантажити сертифікат</v>
      </c>
    </row>
    <row r="3659" spans="1:6" x14ac:dyDescent="0.3">
      <c r="A3659" t="s">
        <v>7834</v>
      </c>
      <c r="B3659" t="s">
        <v>6</v>
      </c>
      <c r="C3659" t="s">
        <v>7835</v>
      </c>
      <c r="D3659" t="s">
        <v>7644</v>
      </c>
      <c r="E3659" t="s">
        <v>7645</v>
      </c>
      <c r="F3659" t="str">
        <f>HYPERLINK("https://talan.bank.gov.ua/get-user-certificate/45CEl9Mc05cW2Dk1-7A8","Завантажити сертифікат")</f>
        <v>Завантажити сертифікат</v>
      </c>
    </row>
    <row r="3660" spans="1:6" x14ac:dyDescent="0.3">
      <c r="A3660" t="s">
        <v>7836</v>
      </c>
      <c r="B3660" t="s">
        <v>6</v>
      </c>
      <c r="C3660" t="s">
        <v>7837</v>
      </c>
      <c r="D3660" t="s">
        <v>7644</v>
      </c>
      <c r="E3660" t="s">
        <v>7645</v>
      </c>
      <c r="F3660" t="str">
        <f>HYPERLINK("https://talan.bank.gov.ua/get-user-certificate/45CEl65m1vYEQgkrDpGz","Завантажити сертифікат")</f>
        <v>Завантажити сертифікат</v>
      </c>
    </row>
    <row r="3661" spans="1:6" x14ac:dyDescent="0.3">
      <c r="A3661" t="s">
        <v>7838</v>
      </c>
      <c r="B3661" t="s">
        <v>6</v>
      </c>
      <c r="C3661" t="s">
        <v>7839</v>
      </c>
      <c r="D3661" t="s">
        <v>7644</v>
      </c>
      <c r="E3661" t="s">
        <v>7645</v>
      </c>
      <c r="F3661" t="str">
        <f>HYPERLINK("https://talan.bank.gov.ua/get-user-certificate/45CElfJvz_0uUFtpjb5k","Завантажити сертифікат")</f>
        <v>Завантажити сертифікат</v>
      </c>
    </row>
    <row r="3662" spans="1:6" x14ac:dyDescent="0.3">
      <c r="A3662" t="s">
        <v>7840</v>
      </c>
      <c r="B3662" t="s">
        <v>6</v>
      </c>
      <c r="C3662" t="s">
        <v>7841</v>
      </c>
      <c r="D3662" t="s">
        <v>7644</v>
      </c>
      <c r="E3662" t="s">
        <v>7645</v>
      </c>
      <c r="F3662" t="str">
        <f>HYPERLINK("https://talan.bank.gov.ua/get-user-certificate/45CElNb37El8Qlab8pn-","Завантажити сертифікат")</f>
        <v>Завантажити сертифікат</v>
      </c>
    </row>
    <row r="3663" spans="1:6" x14ac:dyDescent="0.3">
      <c r="A3663" t="s">
        <v>7842</v>
      </c>
      <c r="B3663" t="s">
        <v>6</v>
      </c>
      <c r="C3663" t="s">
        <v>7843</v>
      </c>
      <c r="D3663" t="s">
        <v>7644</v>
      </c>
      <c r="E3663" t="s">
        <v>7645</v>
      </c>
      <c r="F3663" t="str">
        <f>HYPERLINK("https://talan.bank.gov.ua/get-user-certificate/45CEl4NHFYxhwF-ndhTn","Завантажити сертифікат")</f>
        <v>Завантажити сертифікат</v>
      </c>
    </row>
    <row r="3664" spans="1:6" x14ac:dyDescent="0.3">
      <c r="A3664" t="s">
        <v>7844</v>
      </c>
      <c r="B3664" t="s">
        <v>6</v>
      </c>
      <c r="C3664" t="s">
        <v>7845</v>
      </c>
      <c r="D3664" t="s">
        <v>7644</v>
      </c>
      <c r="E3664" t="s">
        <v>7645</v>
      </c>
      <c r="F3664" t="str">
        <f>HYPERLINK("https://talan.bank.gov.ua/get-user-certificate/45CElup9tQaFgCIB3F5Y","Завантажити сертифікат")</f>
        <v>Завантажити сертифікат</v>
      </c>
    </row>
    <row r="3665" spans="1:6" x14ac:dyDescent="0.3">
      <c r="A3665" t="s">
        <v>7846</v>
      </c>
      <c r="B3665" t="s">
        <v>6</v>
      </c>
      <c r="C3665" t="s">
        <v>7847</v>
      </c>
      <c r="D3665" t="s">
        <v>7644</v>
      </c>
      <c r="E3665" t="s">
        <v>7645</v>
      </c>
      <c r="F3665" t="str">
        <f>HYPERLINK("https://talan.bank.gov.ua/get-user-certificate/45CElu_1v9j-MGGo0LN2","Завантажити сертифікат")</f>
        <v>Завантажити сертифікат</v>
      </c>
    </row>
    <row r="3666" spans="1:6" x14ac:dyDescent="0.3">
      <c r="A3666" t="s">
        <v>7848</v>
      </c>
      <c r="B3666" t="s">
        <v>6</v>
      </c>
      <c r="C3666" t="s">
        <v>7849</v>
      </c>
      <c r="D3666" t="s">
        <v>7644</v>
      </c>
      <c r="E3666" t="s">
        <v>7645</v>
      </c>
      <c r="F3666" t="str">
        <f>HYPERLINK("https://talan.bank.gov.ua/get-user-certificate/45CEl164HLr5Dp5Spj0I","Завантажити сертифікат")</f>
        <v>Завантажити сертифікат</v>
      </c>
    </row>
    <row r="3667" spans="1:6" x14ac:dyDescent="0.3">
      <c r="A3667" t="s">
        <v>7850</v>
      </c>
      <c r="B3667" t="s">
        <v>6</v>
      </c>
      <c r="C3667" t="s">
        <v>7851</v>
      </c>
      <c r="D3667" t="s">
        <v>7644</v>
      </c>
      <c r="E3667" t="s">
        <v>7645</v>
      </c>
      <c r="F3667" t="str">
        <f>HYPERLINK("https://talan.bank.gov.ua/get-user-certificate/45CEljSYL8u0X8maX8T7","Завантажити сертифікат")</f>
        <v>Завантажити сертифікат</v>
      </c>
    </row>
    <row r="3668" spans="1:6" x14ac:dyDescent="0.3">
      <c r="A3668" t="s">
        <v>7852</v>
      </c>
      <c r="B3668" t="s">
        <v>6</v>
      </c>
      <c r="C3668" t="s">
        <v>7853</v>
      </c>
      <c r="D3668" t="s">
        <v>7644</v>
      </c>
      <c r="E3668" t="s">
        <v>7645</v>
      </c>
      <c r="F3668" t="str">
        <f>HYPERLINK("https://talan.bank.gov.ua/get-user-certificate/45CElyduGsys3Z03qqkA","Завантажити сертифікат")</f>
        <v>Завантажити сертифікат</v>
      </c>
    </row>
    <row r="3669" spans="1:6" x14ac:dyDescent="0.3">
      <c r="A3669" t="s">
        <v>7854</v>
      </c>
      <c r="B3669" t="s">
        <v>6</v>
      </c>
      <c r="C3669" t="s">
        <v>7855</v>
      </c>
      <c r="D3669" t="s">
        <v>7644</v>
      </c>
      <c r="E3669" t="s">
        <v>7645</v>
      </c>
      <c r="F3669" t="str">
        <f>HYPERLINK("https://talan.bank.gov.ua/get-user-certificate/45CElYjXAoywnK0TqsJ3","Завантажити сертифікат")</f>
        <v>Завантажити сертифікат</v>
      </c>
    </row>
    <row r="3670" spans="1:6" x14ac:dyDescent="0.3">
      <c r="A3670" t="s">
        <v>7856</v>
      </c>
      <c r="B3670" t="s">
        <v>6</v>
      </c>
      <c r="C3670" t="s">
        <v>7857</v>
      </c>
      <c r="D3670" t="s">
        <v>7644</v>
      </c>
      <c r="E3670" t="s">
        <v>7645</v>
      </c>
      <c r="F3670" t="str">
        <f>HYPERLINK("https://talan.bank.gov.ua/get-user-certificate/45CEleVmB0SPM2r5iZ3K","Завантажити сертифікат")</f>
        <v>Завантажити сертифікат</v>
      </c>
    </row>
    <row r="3671" spans="1:6" x14ac:dyDescent="0.3">
      <c r="A3671" t="s">
        <v>7858</v>
      </c>
      <c r="B3671" t="s">
        <v>6</v>
      </c>
      <c r="C3671" t="s">
        <v>7859</v>
      </c>
      <c r="D3671" t="s">
        <v>7644</v>
      </c>
      <c r="E3671" t="s">
        <v>7645</v>
      </c>
      <c r="F3671" t="str">
        <f>HYPERLINK("https://talan.bank.gov.ua/get-user-certificate/45CElScJ07gO5hSArCTu","Завантажити сертифікат")</f>
        <v>Завантажити сертифікат</v>
      </c>
    </row>
    <row r="3672" spans="1:6" x14ac:dyDescent="0.3">
      <c r="A3672" t="s">
        <v>7860</v>
      </c>
      <c r="B3672" t="s">
        <v>6</v>
      </c>
      <c r="C3672" t="s">
        <v>7861</v>
      </c>
      <c r="D3672" t="s">
        <v>7644</v>
      </c>
      <c r="E3672" t="s">
        <v>7645</v>
      </c>
      <c r="F3672" t="str">
        <f>HYPERLINK("https://talan.bank.gov.ua/get-user-certificate/45CElRFADG_c2kWc7RAt","Завантажити сертифікат")</f>
        <v>Завантажити сертифікат</v>
      </c>
    </row>
    <row r="3673" spans="1:6" x14ac:dyDescent="0.3">
      <c r="A3673" t="s">
        <v>7862</v>
      </c>
      <c r="B3673" t="s">
        <v>6</v>
      </c>
      <c r="C3673" t="s">
        <v>7863</v>
      </c>
      <c r="D3673" t="s">
        <v>7644</v>
      </c>
      <c r="E3673" t="s">
        <v>7645</v>
      </c>
      <c r="F3673" t="str">
        <f>HYPERLINK("https://talan.bank.gov.ua/get-user-certificate/45CEl-uIrYmi2RqpIMYn","Завантажити сертифікат")</f>
        <v>Завантажити сертифікат</v>
      </c>
    </row>
    <row r="3674" spans="1:6" x14ac:dyDescent="0.3">
      <c r="A3674" t="s">
        <v>7864</v>
      </c>
      <c r="B3674" t="s">
        <v>6</v>
      </c>
      <c r="C3674" t="s">
        <v>7865</v>
      </c>
      <c r="D3674" t="s">
        <v>7644</v>
      </c>
      <c r="E3674" t="s">
        <v>7645</v>
      </c>
      <c r="F3674" t="str">
        <f>HYPERLINK("https://talan.bank.gov.ua/get-user-certificate/45CElIRNSBSJSmH4nzJk","Завантажити сертифікат")</f>
        <v>Завантажити сертифікат</v>
      </c>
    </row>
    <row r="3675" spans="1:6" x14ac:dyDescent="0.3">
      <c r="A3675" t="s">
        <v>7866</v>
      </c>
      <c r="B3675" t="s">
        <v>6</v>
      </c>
      <c r="C3675" t="s">
        <v>7867</v>
      </c>
      <c r="D3675" t="s">
        <v>7644</v>
      </c>
      <c r="E3675" t="s">
        <v>7645</v>
      </c>
      <c r="F3675" t="str">
        <f>HYPERLINK("https://talan.bank.gov.ua/get-user-certificate/45CElbFHsfP0vt6xjzaz","Завантажити сертифікат")</f>
        <v>Завантажити сертифікат</v>
      </c>
    </row>
    <row r="3676" spans="1:6" x14ac:dyDescent="0.3">
      <c r="A3676" t="s">
        <v>7868</v>
      </c>
      <c r="B3676" t="s">
        <v>6</v>
      </c>
      <c r="C3676" t="s">
        <v>7869</v>
      </c>
      <c r="D3676" t="s">
        <v>7644</v>
      </c>
      <c r="E3676" t="s">
        <v>7645</v>
      </c>
      <c r="F3676" t="str">
        <f>HYPERLINK("https://talan.bank.gov.ua/get-user-certificate/45CElFNJ6Tl37VuISmH6","Завантажити сертифікат")</f>
        <v>Завантажити сертифікат</v>
      </c>
    </row>
    <row r="3677" spans="1:6" x14ac:dyDescent="0.3">
      <c r="A3677" t="s">
        <v>7870</v>
      </c>
      <c r="B3677" t="s">
        <v>6</v>
      </c>
      <c r="C3677" t="s">
        <v>7871</v>
      </c>
      <c r="D3677" t="s">
        <v>7644</v>
      </c>
      <c r="E3677" t="s">
        <v>7645</v>
      </c>
      <c r="F3677" t="str">
        <f>HYPERLINK("https://talan.bank.gov.ua/get-user-certificate/45CElmqzdJ2anqDnVuAt","Завантажити сертифікат")</f>
        <v>Завантажити сертифікат</v>
      </c>
    </row>
    <row r="3678" spans="1:6" x14ac:dyDescent="0.3">
      <c r="A3678" t="s">
        <v>7872</v>
      </c>
      <c r="B3678" t="s">
        <v>6</v>
      </c>
      <c r="C3678" t="s">
        <v>7873</v>
      </c>
      <c r="D3678" t="s">
        <v>7644</v>
      </c>
      <c r="E3678" t="s">
        <v>7645</v>
      </c>
      <c r="F3678" t="str">
        <f>HYPERLINK("https://talan.bank.gov.ua/get-user-certificate/45CElVlv9wChlKkk_a_1","Завантажити сертифікат")</f>
        <v>Завантажити сертифікат</v>
      </c>
    </row>
    <row r="3679" spans="1:6" x14ac:dyDescent="0.3">
      <c r="A3679" t="s">
        <v>7874</v>
      </c>
      <c r="B3679" t="s">
        <v>6</v>
      </c>
      <c r="C3679" t="s">
        <v>7875</v>
      </c>
      <c r="D3679" t="s">
        <v>7644</v>
      </c>
      <c r="E3679" t="s">
        <v>7645</v>
      </c>
      <c r="F3679" t="str">
        <f>HYPERLINK("https://talan.bank.gov.ua/get-user-certificate/45CElD8iX7tI_sLRCOWw","Завантажити сертифікат")</f>
        <v>Завантажити сертифікат</v>
      </c>
    </row>
    <row r="3680" spans="1:6" x14ac:dyDescent="0.3">
      <c r="A3680" t="s">
        <v>7876</v>
      </c>
      <c r="B3680" t="s">
        <v>6</v>
      </c>
      <c r="C3680" t="s">
        <v>7877</v>
      </c>
      <c r="D3680" t="s">
        <v>7644</v>
      </c>
      <c r="E3680" t="s">
        <v>7645</v>
      </c>
      <c r="F3680" t="str">
        <f>HYPERLINK("https://talan.bank.gov.ua/get-user-certificate/45CElxDjk2-2yMYOgmN8","Завантажити сертифікат")</f>
        <v>Завантажити сертифікат</v>
      </c>
    </row>
    <row r="3681" spans="1:6" x14ac:dyDescent="0.3">
      <c r="A3681" t="s">
        <v>7878</v>
      </c>
      <c r="B3681" t="s">
        <v>6</v>
      </c>
      <c r="C3681" t="s">
        <v>7879</v>
      </c>
      <c r="D3681" t="s">
        <v>7644</v>
      </c>
      <c r="E3681" t="s">
        <v>7645</v>
      </c>
      <c r="F3681" t="str">
        <f>HYPERLINK("https://talan.bank.gov.ua/get-user-certificate/45CElbW6Dm9KNoGt7m31","Завантажити сертифікат")</f>
        <v>Завантажити сертифікат</v>
      </c>
    </row>
    <row r="3682" spans="1:6" x14ac:dyDescent="0.3">
      <c r="A3682" t="s">
        <v>7880</v>
      </c>
      <c r="B3682" t="s">
        <v>6</v>
      </c>
      <c r="C3682" t="s">
        <v>7881</v>
      </c>
      <c r="D3682" t="s">
        <v>7644</v>
      </c>
      <c r="E3682" t="s">
        <v>7645</v>
      </c>
      <c r="F3682" t="str">
        <f>HYPERLINK("https://talan.bank.gov.ua/get-user-certificate/45CElnWLamF1tqI6Vr1H","Завантажити сертифікат")</f>
        <v>Завантажити сертифікат</v>
      </c>
    </row>
    <row r="3683" spans="1:6" x14ac:dyDescent="0.3">
      <c r="A3683" t="s">
        <v>7882</v>
      </c>
      <c r="B3683" t="s">
        <v>6</v>
      </c>
      <c r="C3683" t="s">
        <v>7883</v>
      </c>
      <c r="D3683" t="s">
        <v>7644</v>
      </c>
      <c r="E3683" t="s">
        <v>7645</v>
      </c>
      <c r="F3683" t="str">
        <f>HYPERLINK("https://talan.bank.gov.ua/get-user-certificate/45CElsa-zrdKc3-ezpWe","Завантажити сертифікат")</f>
        <v>Завантажити сертифікат</v>
      </c>
    </row>
    <row r="3684" spans="1:6" x14ac:dyDescent="0.3">
      <c r="A3684" t="s">
        <v>7884</v>
      </c>
      <c r="B3684" t="s">
        <v>6</v>
      </c>
      <c r="C3684" t="s">
        <v>7885</v>
      </c>
      <c r="D3684" t="s">
        <v>7644</v>
      </c>
      <c r="E3684" t="s">
        <v>7645</v>
      </c>
      <c r="F3684" t="str">
        <f>HYPERLINK("https://talan.bank.gov.ua/get-user-certificate/45CElpS067F6Ho_AeCUu","Завантажити сертифікат")</f>
        <v>Завантажити сертифікат</v>
      </c>
    </row>
    <row r="3685" spans="1:6" x14ac:dyDescent="0.3">
      <c r="A3685" t="s">
        <v>7886</v>
      </c>
      <c r="B3685" t="s">
        <v>6</v>
      </c>
      <c r="C3685" t="s">
        <v>7887</v>
      </c>
      <c r="D3685" t="s">
        <v>7644</v>
      </c>
      <c r="E3685" t="s">
        <v>7645</v>
      </c>
      <c r="F3685" t="str">
        <f>HYPERLINK("https://talan.bank.gov.ua/get-user-certificate/45CElp8OZliaEUo3CI0-","Завантажити сертифікат")</f>
        <v>Завантажити сертифікат</v>
      </c>
    </row>
    <row r="3686" spans="1:6" x14ac:dyDescent="0.3">
      <c r="A3686" t="s">
        <v>7888</v>
      </c>
      <c r="B3686" t="s">
        <v>6</v>
      </c>
      <c r="C3686" t="s">
        <v>7889</v>
      </c>
      <c r="D3686" t="s">
        <v>7644</v>
      </c>
      <c r="E3686" t="s">
        <v>7645</v>
      </c>
      <c r="F3686" t="str">
        <f>HYPERLINK("https://talan.bank.gov.ua/get-user-certificate/45CElSF1pOAbQHYOTntT","Завантажити сертифікат")</f>
        <v>Завантажити сертифікат</v>
      </c>
    </row>
    <row r="3687" spans="1:6" x14ac:dyDescent="0.3">
      <c r="A3687" t="s">
        <v>7890</v>
      </c>
      <c r="B3687" t="s">
        <v>6</v>
      </c>
      <c r="C3687" t="s">
        <v>7891</v>
      </c>
      <c r="D3687" t="s">
        <v>7892</v>
      </c>
      <c r="E3687" t="s">
        <v>7893</v>
      </c>
      <c r="F3687" t="str">
        <f>HYPERLINK("https://talan.bank.gov.ua/get-user-certificate/45CElLwLXPtvbPfFGWGm","Завантажити сертифікат")</f>
        <v>Завантажити сертифікат</v>
      </c>
    </row>
    <row r="3688" spans="1:6" x14ac:dyDescent="0.3">
      <c r="A3688" t="s">
        <v>7894</v>
      </c>
      <c r="B3688" t="s">
        <v>6</v>
      </c>
      <c r="C3688" t="s">
        <v>7895</v>
      </c>
      <c r="D3688" t="s">
        <v>7892</v>
      </c>
      <c r="E3688" t="s">
        <v>7893</v>
      </c>
      <c r="F3688" t="str">
        <f>HYPERLINK("https://talan.bank.gov.ua/get-user-certificate/45CEl_0P878jz3n7iw2e","Завантажити сертифікат")</f>
        <v>Завантажити сертифікат</v>
      </c>
    </row>
    <row r="3689" spans="1:6" x14ac:dyDescent="0.3">
      <c r="A3689" t="s">
        <v>7896</v>
      </c>
      <c r="B3689" t="s">
        <v>6</v>
      </c>
      <c r="C3689" t="s">
        <v>7897</v>
      </c>
      <c r="D3689" t="s">
        <v>7892</v>
      </c>
      <c r="E3689" t="s">
        <v>7893</v>
      </c>
      <c r="F3689" t="str">
        <f>HYPERLINK("https://talan.bank.gov.ua/get-user-certificate/45CElPvtHrQ7roytcMDx","Завантажити сертифікат")</f>
        <v>Завантажити сертифікат</v>
      </c>
    </row>
    <row r="3690" spans="1:6" x14ac:dyDescent="0.3">
      <c r="A3690" t="s">
        <v>7898</v>
      </c>
      <c r="B3690" t="s">
        <v>6</v>
      </c>
      <c r="C3690" t="s">
        <v>7899</v>
      </c>
      <c r="D3690" t="s">
        <v>7892</v>
      </c>
      <c r="E3690" t="s">
        <v>7893</v>
      </c>
      <c r="F3690" t="str">
        <f>HYPERLINK("https://talan.bank.gov.ua/get-user-certificate/45CElplL27UUi-WldRtW","Завантажити сертифікат")</f>
        <v>Завантажити сертифікат</v>
      </c>
    </row>
    <row r="3691" spans="1:6" x14ac:dyDescent="0.3">
      <c r="A3691" t="s">
        <v>7900</v>
      </c>
      <c r="B3691" t="s">
        <v>6</v>
      </c>
      <c r="C3691" t="s">
        <v>7901</v>
      </c>
      <c r="D3691" t="s">
        <v>7892</v>
      </c>
      <c r="E3691" t="s">
        <v>7893</v>
      </c>
      <c r="F3691" t="str">
        <f>HYPERLINK("https://talan.bank.gov.ua/get-user-certificate/45CEluf8OIkzkUgWtGPI","Завантажити сертифікат")</f>
        <v>Завантажити сертифікат</v>
      </c>
    </row>
    <row r="3692" spans="1:6" x14ac:dyDescent="0.3">
      <c r="A3692" t="s">
        <v>7902</v>
      </c>
      <c r="B3692" t="s">
        <v>6</v>
      </c>
      <c r="C3692" t="s">
        <v>7903</v>
      </c>
      <c r="D3692" t="s">
        <v>7892</v>
      </c>
      <c r="E3692" t="s">
        <v>7893</v>
      </c>
      <c r="F3692" t="str">
        <f>HYPERLINK("https://talan.bank.gov.ua/get-user-certificate/45CEl_SqcspA8M8d_bxW","Завантажити сертифікат")</f>
        <v>Завантажити сертифікат</v>
      </c>
    </row>
    <row r="3693" spans="1:6" x14ac:dyDescent="0.3">
      <c r="A3693" t="s">
        <v>7904</v>
      </c>
      <c r="B3693" t="s">
        <v>6</v>
      </c>
      <c r="C3693" t="s">
        <v>7905</v>
      </c>
      <c r="D3693" t="s">
        <v>7892</v>
      </c>
      <c r="E3693" t="s">
        <v>7893</v>
      </c>
      <c r="F3693" t="str">
        <f>HYPERLINK("https://talan.bank.gov.ua/get-user-certificate/45CEldRioo38XSKv-SEV","Завантажити сертифікат")</f>
        <v>Завантажити сертифікат</v>
      </c>
    </row>
    <row r="3694" spans="1:6" x14ac:dyDescent="0.3">
      <c r="A3694" t="s">
        <v>7906</v>
      </c>
      <c r="B3694" t="s">
        <v>6</v>
      </c>
      <c r="C3694" t="s">
        <v>7907</v>
      </c>
      <c r="D3694" t="s">
        <v>7892</v>
      </c>
      <c r="E3694" t="s">
        <v>7893</v>
      </c>
      <c r="F3694" t="str">
        <f>HYPERLINK("https://talan.bank.gov.ua/get-user-certificate/45CElsEGkmX7uSifxQNv","Завантажити сертифікат")</f>
        <v>Завантажити сертифікат</v>
      </c>
    </row>
    <row r="3695" spans="1:6" x14ac:dyDescent="0.3">
      <c r="A3695" t="s">
        <v>7908</v>
      </c>
      <c r="B3695" t="s">
        <v>6</v>
      </c>
      <c r="C3695" t="s">
        <v>7909</v>
      </c>
      <c r="D3695" t="s">
        <v>7892</v>
      </c>
      <c r="E3695" t="s">
        <v>7893</v>
      </c>
      <c r="F3695" t="str">
        <f>HYPERLINK("https://talan.bank.gov.ua/get-user-certificate/45CElNOQZ-UQedPo9wOu","Завантажити сертифікат")</f>
        <v>Завантажити сертифікат</v>
      </c>
    </row>
    <row r="3696" spans="1:6" x14ac:dyDescent="0.3">
      <c r="A3696" t="s">
        <v>7910</v>
      </c>
      <c r="B3696" t="s">
        <v>6</v>
      </c>
      <c r="C3696" t="s">
        <v>7911</v>
      </c>
      <c r="D3696" t="s">
        <v>7892</v>
      </c>
      <c r="E3696" t="s">
        <v>7893</v>
      </c>
      <c r="F3696" t="str">
        <f>HYPERLINK("https://talan.bank.gov.ua/get-user-certificate/45CEld45h0cc5Ya97Xay","Завантажити сертифікат")</f>
        <v>Завантажити сертифікат</v>
      </c>
    </row>
    <row r="3697" spans="1:6" x14ac:dyDescent="0.3">
      <c r="A3697" t="s">
        <v>7912</v>
      </c>
      <c r="B3697" t="s">
        <v>6</v>
      </c>
      <c r="C3697" t="s">
        <v>7913</v>
      </c>
      <c r="D3697" t="s">
        <v>7892</v>
      </c>
      <c r="E3697" t="s">
        <v>7893</v>
      </c>
      <c r="F3697" t="str">
        <f>HYPERLINK("https://talan.bank.gov.ua/get-user-certificate/45CElOQM9Nv1sCoAF78h","Завантажити сертифікат")</f>
        <v>Завантажити сертифікат</v>
      </c>
    </row>
    <row r="3698" spans="1:6" x14ac:dyDescent="0.3">
      <c r="A3698" t="s">
        <v>7914</v>
      </c>
      <c r="B3698" t="s">
        <v>6</v>
      </c>
      <c r="C3698" t="s">
        <v>7915</v>
      </c>
      <c r="D3698" t="s">
        <v>7892</v>
      </c>
      <c r="E3698" t="s">
        <v>7893</v>
      </c>
      <c r="F3698" t="str">
        <f>HYPERLINK("https://talan.bank.gov.ua/get-user-certificate/45CEl0L9ANPRCDGwgzDX","Завантажити сертифікат")</f>
        <v>Завантажити сертифікат</v>
      </c>
    </row>
    <row r="3699" spans="1:6" x14ac:dyDescent="0.3">
      <c r="A3699" t="s">
        <v>7916</v>
      </c>
      <c r="B3699" t="s">
        <v>6</v>
      </c>
      <c r="C3699" t="s">
        <v>7917</v>
      </c>
      <c r="D3699" t="s">
        <v>7892</v>
      </c>
      <c r="E3699" t="s">
        <v>7893</v>
      </c>
      <c r="F3699" t="str">
        <f>HYPERLINK("https://talan.bank.gov.ua/get-user-certificate/45CElYnJHCZPbHD9CGVG","Завантажити сертифікат")</f>
        <v>Завантажити сертифікат</v>
      </c>
    </row>
    <row r="3700" spans="1:6" x14ac:dyDescent="0.3">
      <c r="A3700" t="s">
        <v>7918</v>
      </c>
      <c r="B3700" t="s">
        <v>6</v>
      </c>
      <c r="C3700" t="s">
        <v>7919</v>
      </c>
      <c r="D3700" t="s">
        <v>7892</v>
      </c>
      <c r="E3700" t="s">
        <v>7893</v>
      </c>
      <c r="F3700" t="str">
        <f>HYPERLINK("https://talan.bank.gov.ua/get-user-certificate/45CElEby6gxukwOHGj5_","Завантажити сертифікат")</f>
        <v>Завантажити сертифікат</v>
      </c>
    </row>
    <row r="3701" spans="1:6" x14ac:dyDescent="0.3">
      <c r="A3701" t="s">
        <v>7920</v>
      </c>
      <c r="B3701" t="s">
        <v>6</v>
      </c>
      <c r="C3701" t="s">
        <v>7921</v>
      </c>
      <c r="D3701" t="s">
        <v>7892</v>
      </c>
      <c r="E3701" t="s">
        <v>7893</v>
      </c>
      <c r="F3701" t="str">
        <f>HYPERLINK("https://talan.bank.gov.ua/get-user-certificate/45CEl03aSBJve12OyN2u","Завантажити сертифікат")</f>
        <v>Завантажити сертифікат</v>
      </c>
    </row>
    <row r="3702" spans="1:6" x14ac:dyDescent="0.3">
      <c r="A3702" t="s">
        <v>7922</v>
      </c>
      <c r="B3702" t="s">
        <v>6</v>
      </c>
      <c r="C3702" t="s">
        <v>7923</v>
      </c>
      <c r="D3702" t="s">
        <v>7892</v>
      </c>
      <c r="E3702" t="s">
        <v>7893</v>
      </c>
      <c r="F3702" t="str">
        <f>HYPERLINK("https://talan.bank.gov.ua/get-user-certificate/45CElk2hTlPpfwWXgfv0","Завантажити сертифікат")</f>
        <v>Завантажити сертифікат</v>
      </c>
    </row>
    <row r="3703" spans="1:6" x14ac:dyDescent="0.3">
      <c r="A3703" t="s">
        <v>7924</v>
      </c>
      <c r="B3703" t="s">
        <v>6</v>
      </c>
      <c r="C3703" t="s">
        <v>7925</v>
      </c>
      <c r="D3703" t="s">
        <v>7892</v>
      </c>
      <c r="E3703" t="s">
        <v>7893</v>
      </c>
      <c r="F3703" t="str">
        <f>HYPERLINK("https://talan.bank.gov.ua/get-user-certificate/45CEl4nrfS5IS_MdtRL3","Завантажити сертифікат")</f>
        <v>Завантажити сертифікат</v>
      </c>
    </row>
    <row r="3704" spans="1:6" x14ac:dyDescent="0.3">
      <c r="A3704" t="s">
        <v>7926</v>
      </c>
      <c r="B3704" t="s">
        <v>6</v>
      </c>
      <c r="C3704" t="s">
        <v>7927</v>
      </c>
      <c r="D3704" t="s">
        <v>7892</v>
      </c>
      <c r="E3704" t="s">
        <v>7893</v>
      </c>
      <c r="F3704" t="str">
        <f>HYPERLINK("https://talan.bank.gov.ua/get-user-certificate/45CElCKFkkz-UCW6IiPZ","Завантажити сертифікат")</f>
        <v>Завантажити сертифікат</v>
      </c>
    </row>
    <row r="3705" spans="1:6" x14ac:dyDescent="0.3">
      <c r="A3705" t="s">
        <v>7928</v>
      </c>
      <c r="B3705" t="s">
        <v>6</v>
      </c>
      <c r="C3705" t="s">
        <v>7929</v>
      </c>
      <c r="D3705" t="s">
        <v>7892</v>
      </c>
      <c r="E3705" t="s">
        <v>7893</v>
      </c>
      <c r="F3705" t="str">
        <f>HYPERLINK("https://talan.bank.gov.ua/get-user-certificate/45CElMqgutopW4oNlR8v","Завантажити сертифікат")</f>
        <v>Завантажити сертифікат</v>
      </c>
    </row>
    <row r="3706" spans="1:6" x14ac:dyDescent="0.3">
      <c r="A3706" t="s">
        <v>7930</v>
      </c>
      <c r="B3706" t="s">
        <v>6</v>
      </c>
      <c r="C3706" t="s">
        <v>7931</v>
      </c>
      <c r="D3706" t="s">
        <v>7892</v>
      </c>
      <c r="E3706" t="s">
        <v>7893</v>
      </c>
      <c r="F3706" t="str">
        <f>HYPERLINK("https://talan.bank.gov.ua/get-user-certificate/45CElViX-NFiyE-cEa1m","Завантажити сертифікат")</f>
        <v>Завантажити сертифікат</v>
      </c>
    </row>
    <row r="3707" spans="1:6" x14ac:dyDescent="0.3">
      <c r="A3707" t="s">
        <v>7932</v>
      </c>
      <c r="B3707" t="s">
        <v>6</v>
      </c>
      <c r="C3707" t="s">
        <v>7933</v>
      </c>
      <c r="D3707" t="s">
        <v>7892</v>
      </c>
      <c r="E3707" t="s">
        <v>7893</v>
      </c>
      <c r="F3707" t="str">
        <f>HYPERLINK("https://talan.bank.gov.ua/get-user-certificate/45CElfbcP8StHr94Iaqk","Завантажити сертифікат")</f>
        <v>Завантажити сертифікат</v>
      </c>
    </row>
    <row r="3708" spans="1:6" x14ac:dyDescent="0.3">
      <c r="A3708" t="s">
        <v>7934</v>
      </c>
      <c r="B3708" t="s">
        <v>6</v>
      </c>
      <c r="C3708" t="s">
        <v>7935</v>
      </c>
      <c r="D3708" t="s">
        <v>7892</v>
      </c>
      <c r="E3708" t="s">
        <v>7893</v>
      </c>
      <c r="F3708" t="str">
        <f>HYPERLINK("https://talan.bank.gov.ua/get-user-certificate/45CElz0D6RFs_EtDnIZj","Завантажити сертифікат")</f>
        <v>Завантажити сертифікат</v>
      </c>
    </row>
    <row r="3709" spans="1:6" x14ac:dyDescent="0.3">
      <c r="A3709" t="s">
        <v>7936</v>
      </c>
      <c r="B3709" t="s">
        <v>6</v>
      </c>
      <c r="C3709" t="s">
        <v>7937</v>
      </c>
      <c r="D3709" t="s">
        <v>7892</v>
      </c>
      <c r="E3709" t="s">
        <v>7893</v>
      </c>
      <c r="F3709" t="str">
        <f>HYPERLINK("https://talan.bank.gov.ua/get-user-certificate/45CEldqgRPmGIZXhFJPJ","Завантажити сертифікат")</f>
        <v>Завантажити сертифікат</v>
      </c>
    </row>
    <row r="3710" spans="1:6" x14ac:dyDescent="0.3">
      <c r="A3710" t="s">
        <v>7938</v>
      </c>
      <c r="B3710" t="s">
        <v>6</v>
      </c>
      <c r="C3710" t="s">
        <v>7939</v>
      </c>
      <c r="D3710" t="s">
        <v>7892</v>
      </c>
      <c r="E3710" t="s">
        <v>7893</v>
      </c>
      <c r="F3710" t="str">
        <f>HYPERLINK("https://talan.bank.gov.ua/get-user-certificate/45CElWFx6NZHCFK6ZpaM","Завантажити сертифікат")</f>
        <v>Завантажити сертифікат</v>
      </c>
    </row>
    <row r="3711" spans="1:6" x14ac:dyDescent="0.3">
      <c r="A3711" t="s">
        <v>7940</v>
      </c>
      <c r="B3711" t="s">
        <v>6</v>
      </c>
      <c r="C3711" t="s">
        <v>7941</v>
      </c>
      <c r="D3711" t="s">
        <v>7892</v>
      </c>
      <c r="E3711" t="s">
        <v>7893</v>
      </c>
      <c r="F3711" t="str">
        <f>HYPERLINK("https://talan.bank.gov.ua/get-user-certificate/45CElod7lV6CiJBonQcP","Завантажити сертифікат")</f>
        <v>Завантажити сертифікат</v>
      </c>
    </row>
    <row r="3712" spans="1:6" x14ac:dyDescent="0.3">
      <c r="A3712" t="s">
        <v>7942</v>
      </c>
      <c r="B3712" t="s">
        <v>6</v>
      </c>
      <c r="C3712" t="s">
        <v>7943</v>
      </c>
      <c r="D3712" t="s">
        <v>7892</v>
      </c>
      <c r="E3712" t="s">
        <v>7893</v>
      </c>
      <c r="F3712" t="str">
        <f>HYPERLINK("https://talan.bank.gov.ua/get-user-certificate/45CElCBKBO1y06-iXTGo","Завантажити сертифікат")</f>
        <v>Завантажити сертифікат</v>
      </c>
    </row>
    <row r="3713" spans="1:6" x14ac:dyDescent="0.3">
      <c r="A3713" t="s">
        <v>7944</v>
      </c>
      <c r="B3713" t="s">
        <v>6</v>
      </c>
      <c r="C3713" t="s">
        <v>7945</v>
      </c>
      <c r="D3713" t="s">
        <v>7892</v>
      </c>
      <c r="E3713" t="s">
        <v>7893</v>
      </c>
      <c r="F3713" t="str">
        <f>HYPERLINK("https://talan.bank.gov.ua/get-user-certificate/45CElpgZC9mz6X-zslRe","Завантажити сертифікат")</f>
        <v>Завантажити сертифікат</v>
      </c>
    </row>
    <row r="3714" spans="1:6" x14ac:dyDescent="0.3">
      <c r="A3714" t="s">
        <v>7946</v>
      </c>
      <c r="B3714" t="s">
        <v>6</v>
      </c>
      <c r="C3714" t="s">
        <v>7947</v>
      </c>
      <c r="D3714" t="s">
        <v>7892</v>
      </c>
      <c r="E3714" t="s">
        <v>7893</v>
      </c>
      <c r="F3714" t="str">
        <f>HYPERLINK("https://talan.bank.gov.ua/get-user-certificate/45CElDbRMEAKEjPk9Pub","Завантажити сертифікат")</f>
        <v>Завантажити сертифікат</v>
      </c>
    </row>
    <row r="3715" spans="1:6" x14ac:dyDescent="0.3">
      <c r="A3715" t="s">
        <v>7948</v>
      </c>
      <c r="B3715" t="s">
        <v>6</v>
      </c>
      <c r="C3715" t="s">
        <v>7949</v>
      </c>
      <c r="D3715" t="s">
        <v>7892</v>
      </c>
      <c r="E3715" t="s">
        <v>7893</v>
      </c>
      <c r="F3715" t="str">
        <f>HYPERLINK("https://talan.bank.gov.ua/get-user-certificate/45CElD5MT8JJEQYIPGWW","Завантажити сертифікат")</f>
        <v>Завантажити сертифікат</v>
      </c>
    </row>
    <row r="3716" spans="1:6" x14ac:dyDescent="0.3">
      <c r="A3716" t="s">
        <v>7950</v>
      </c>
      <c r="B3716" t="s">
        <v>6</v>
      </c>
      <c r="C3716" t="s">
        <v>7951</v>
      </c>
      <c r="D3716" t="s">
        <v>7892</v>
      </c>
      <c r="E3716" t="s">
        <v>7893</v>
      </c>
      <c r="F3716" t="str">
        <f>HYPERLINK("https://talan.bank.gov.ua/get-user-certificate/45CElGuvNEkyiKzNtaQv","Завантажити сертифікат")</f>
        <v>Завантажити сертифікат</v>
      </c>
    </row>
    <row r="3717" spans="1:6" x14ac:dyDescent="0.3">
      <c r="A3717" t="s">
        <v>7952</v>
      </c>
      <c r="B3717" t="s">
        <v>6</v>
      </c>
      <c r="C3717" t="s">
        <v>7953</v>
      </c>
      <c r="D3717" t="s">
        <v>7892</v>
      </c>
      <c r="E3717" t="s">
        <v>7893</v>
      </c>
      <c r="F3717" t="str">
        <f>HYPERLINK("https://talan.bank.gov.ua/get-user-certificate/45CElZxrTeFuddM992CN","Завантажити сертифікат")</f>
        <v>Завантажити сертифікат</v>
      </c>
    </row>
    <row r="3718" spans="1:6" x14ac:dyDescent="0.3">
      <c r="A3718" t="s">
        <v>7954</v>
      </c>
      <c r="B3718" t="s">
        <v>6</v>
      </c>
      <c r="C3718" t="s">
        <v>7955</v>
      </c>
      <c r="D3718" t="s">
        <v>7892</v>
      </c>
      <c r="E3718" t="s">
        <v>7893</v>
      </c>
      <c r="F3718" t="str">
        <f>HYPERLINK("https://talan.bank.gov.ua/get-user-certificate/45CElYNZCVNILdArIrLG","Завантажити сертифікат")</f>
        <v>Завантажити сертифікат</v>
      </c>
    </row>
    <row r="3719" spans="1:6" x14ac:dyDescent="0.3">
      <c r="A3719" t="s">
        <v>7956</v>
      </c>
      <c r="B3719" t="s">
        <v>6</v>
      </c>
      <c r="C3719" t="s">
        <v>7957</v>
      </c>
      <c r="D3719" t="s">
        <v>7892</v>
      </c>
      <c r="E3719" t="s">
        <v>7893</v>
      </c>
      <c r="F3719" t="str">
        <f>HYPERLINK("https://talan.bank.gov.ua/get-user-certificate/45CElhtS33o1USw1A3vj","Завантажити сертифікат")</f>
        <v>Завантажити сертифікат</v>
      </c>
    </row>
    <row r="3720" spans="1:6" x14ac:dyDescent="0.3">
      <c r="A3720" t="s">
        <v>7958</v>
      </c>
      <c r="B3720" t="s">
        <v>6</v>
      </c>
      <c r="C3720" t="s">
        <v>7959</v>
      </c>
      <c r="D3720" t="s">
        <v>7892</v>
      </c>
      <c r="E3720" t="s">
        <v>7893</v>
      </c>
      <c r="F3720" t="str">
        <f>HYPERLINK("https://talan.bank.gov.ua/get-user-certificate/45CElegDc-_hjWkQX3du","Завантажити сертифікат")</f>
        <v>Завантажити сертифікат</v>
      </c>
    </row>
    <row r="3721" spans="1:6" x14ac:dyDescent="0.3">
      <c r="A3721" t="s">
        <v>7960</v>
      </c>
      <c r="B3721" t="s">
        <v>6</v>
      </c>
      <c r="C3721" t="s">
        <v>7961</v>
      </c>
      <c r="D3721" t="s">
        <v>7892</v>
      </c>
      <c r="E3721" t="s">
        <v>7893</v>
      </c>
      <c r="F3721" t="str">
        <f>HYPERLINK("https://talan.bank.gov.ua/get-user-certificate/45CElYe35ycuU2eFbcDm","Завантажити сертифікат")</f>
        <v>Завантажити сертифікат</v>
      </c>
    </row>
    <row r="3722" spans="1:6" x14ac:dyDescent="0.3">
      <c r="A3722" t="s">
        <v>7962</v>
      </c>
      <c r="B3722" t="s">
        <v>6</v>
      </c>
      <c r="C3722" t="s">
        <v>7963</v>
      </c>
      <c r="D3722" t="s">
        <v>7892</v>
      </c>
      <c r="E3722" t="s">
        <v>7893</v>
      </c>
      <c r="F3722" t="str">
        <f>HYPERLINK("https://talan.bank.gov.ua/get-user-certificate/45CEljY-tPqUbh23YOad","Завантажити сертифікат")</f>
        <v>Завантажити сертифікат</v>
      </c>
    </row>
    <row r="3723" spans="1:6" x14ac:dyDescent="0.3">
      <c r="A3723" t="s">
        <v>7964</v>
      </c>
      <c r="B3723" t="s">
        <v>6</v>
      </c>
      <c r="C3723" t="s">
        <v>7965</v>
      </c>
      <c r="D3723" t="s">
        <v>7892</v>
      </c>
      <c r="E3723" t="s">
        <v>7893</v>
      </c>
      <c r="F3723" t="str">
        <f>HYPERLINK("https://talan.bank.gov.ua/get-user-certificate/45CEl1uPC6oD-ALap3zv","Завантажити сертифікат")</f>
        <v>Завантажити сертифікат</v>
      </c>
    </row>
    <row r="3724" spans="1:6" x14ac:dyDescent="0.3">
      <c r="A3724" t="s">
        <v>7966</v>
      </c>
      <c r="B3724" t="s">
        <v>6</v>
      </c>
      <c r="C3724" t="s">
        <v>7967</v>
      </c>
      <c r="D3724" t="s">
        <v>7892</v>
      </c>
      <c r="E3724" t="s">
        <v>7893</v>
      </c>
      <c r="F3724" t="str">
        <f>HYPERLINK("https://talan.bank.gov.ua/get-user-certificate/45CEl0J1OMHP3t6WWxDy","Завантажити сертифікат")</f>
        <v>Завантажити сертифікат</v>
      </c>
    </row>
    <row r="3725" spans="1:6" x14ac:dyDescent="0.3">
      <c r="A3725" t="s">
        <v>7968</v>
      </c>
      <c r="B3725" t="s">
        <v>6</v>
      </c>
      <c r="C3725" t="s">
        <v>7969</v>
      </c>
      <c r="D3725" t="s">
        <v>7970</v>
      </c>
      <c r="E3725" t="s">
        <v>7971</v>
      </c>
      <c r="F3725" t="str">
        <f>HYPERLINK("https://talan.bank.gov.ua/get-user-certificate/45CElkptxvpF-nLQxI_K","Завантажити сертифікат")</f>
        <v>Завантажити сертифікат</v>
      </c>
    </row>
    <row r="3726" spans="1:6" x14ac:dyDescent="0.3">
      <c r="A3726" t="s">
        <v>7972</v>
      </c>
      <c r="B3726" t="s">
        <v>6</v>
      </c>
      <c r="C3726" t="s">
        <v>7973</v>
      </c>
      <c r="D3726" t="s">
        <v>7970</v>
      </c>
      <c r="E3726" t="s">
        <v>7971</v>
      </c>
      <c r="F3726" t="str">
        <f>HYPERLINK("https://talan.bank.gov.ua/get-user-certificate/45CElSVRaJpXlriVZ7cH","Завантажити сертифікат")</f>
        <v>Завантажити сертифікат</v>
      </c>
    </row>
    <row r="3727" spans="1:6" x14ac:dyDescent="0.3">
      <c r="A3727" t="s">
        <v>7974</v>
      </c>
      <c r="B3727" t="s">
        <v>6</v>
      </c>
      <c r="C3727" t="s">
        <v>7975</v>
      </c>
      <c r="D3727" t="s">
        <v>7970</v>
      </c>
      <c r="E3727" t="s">
        <v>7971</v>
      </c>
      <c r="F3727" t="str">
        <f>HYPERLINK("https://talan.bank.gov.ua/get-user-certificate/45CEl8zANID9zYWYzp1t","Завантажити сертифікат")</f>
        <v>Завантажити сертифікат</v>
      </c>
    </row>
    <row r="3728" spans="1:6" x14ac:dyDescent="0.3">
      <c r="A3728" t="s">
        <v>7976</v>
      </c>
      <c r="B3728" t="s">
        <v>6</v>
      </c>
      <c r="C3728" t="s">
        <v>7977</v>
      </c>
      <c r="D3728" t="s">
        <v>7970</v>
      </c>
      <c r="E3728" t="s">
        <v>7971</v>
      </c>
      <c r="F3728" t="str">
        <f>HYPERLINK("https://talan.bank.gov.ua/get-user-certificate/45CElhvjV4uvxBn9OsNy","Завантажити сертифікат")</f>
        <v>Завантажити сертифікат</v>
      </c>
    </row>
    <row r="3729" spans="1:6" x14ac:dyDescent="0.3">
      <c r="A3729" t="s">
        <v>7978</v>
      </c>
      <c r="B3729" t="s">
        <v>6</v>
      </c>
      <c r="C3729" t="s">
        <v>7979</v>
      </c>
      <c r="D3729" t="s">
        <v>7970</v>
      </c>
      <c r="E3729" t="s">
        <v>7971</v>
      </c>
      <c r="F3729" t="str">
        <f>HYPERLINK("https://talan.bank.gov.ua/get-user-certificate/45CElcn9rvgg7BT3mAq3","Завантажити сертифікат")</f>
        <v>Завантажити сертифікат</v>
      </c>
    </row>
    <row r="3730" spans="1:6" x14ac:dyDescent="0.3">
      <c r="A3730" t="s">
        <v>7980</v>
      </c>
      <c r="B3730" t="s">
        <v>6</v>
      </c>
      <c r="C3730" t="s">
        <v>7981</v>
      </c>
      <c r="D3730" t="s">
        <v>7970</v>
      </c>
      <c r="E3730" t="s">
        <v>7971</v>
      </c>
      <c r="F3730" t="str">
        <f>HYPERLINK("https://talan.bank.gov.ua/get-user-certificate/45CElyLnYWN2sxK70f8a","Завантажити сертифікат")</f>
        <v>Завантажити сертифікат</v>
      </c>
    </row>
    <row r="3731" spans="1:6" x14ac:dyDescent="0.3">
      <c r="A3731" t="s">
        <v>7982</v>
      </c>
      <c r="B3731" t="s">
        <v>6</v>
      </c>
      <c r="C3731" t="s">
        <v>7983</v>
      </c>
      <c r="D3731" t="s">
        <v>7970</v>
      </c>
      <c r="E3731" t="s">
        <v>7971</v>
      </c>
      <c r="F3731" t="str">
        <f>HYPERLINK("https://talan.bank.gov.ua/get-user-certificate/45CElua5jB04DSaYq6u9","Завантажити сертифікат")</f>
        <v>Завантажити сертифікат</v>
      </c>
    </row>
    <row r="3732" spans="1:6" x14ac:dyDescent="0.3">
      <c r="A3732" t="s">
        <v>7984</v>
      </c>
      <c r="B3732" t="s">
        <v>6</v>
      </c>
      <c r="C3732" t="s">
        <v>7985</v>
      </c>
      <c r="D3732" t="s">
        <v>7970</v>
      </c>
      <c r="E3732" t="s">
        <v>7971</v>
      </c>
      <c r="F3732" t="str">
        <f>HYPERLINK("https://talan.bank.gov.ua/get-user-certificate/45CEl1RFAiT6UvDBIEjd","Завантажити сертифікат")</f>
        <v>Завантажити сертифікат</v>
      </c>
    </row>
    <row r="3733" spans="1:6" x14ac:dyDescent="0.3">
      <c r="A3733" t="s">
        <v>7986</v>
      </c>
      <c r="B3733" t="s">
        <v>6</v>
      </c>
      <c r="C3733" t="s">
        <v>7987</v>
      </c>
      <c r="D3733" t="s">
        <v>7970</v>
      </c>
      <c r="E3733" t="s">
        <v>7971</v>
      </c>
      <c r="F3733" t="str">
        <f>HYPERLINK("https://talan.bank.gov.ua/get-user-certificate/45CElptftplIPXn2gGNW","Завантажити сертифікат")</f>
        <v>Завантажити сертифікат</v>
      </c>
    </row>
    <row r="3734" spans="1:6" x14ac:dyDescent="0.3">
      <c r="A3734" t="s">
        <v>7988</v>
      </c>
      <c r="B3734" t="s">
        <v>6</v>
      </c>
      <c r="C3734" t="s">
        <v>7989</v>
      </c>
      <c r="D3734" t="s">
        <v>7970</v>
      </c>
      <c r="E3734" t="s">
        <v>7971</v>
      </c>
      <c r="F3734" t="str">
        <f>HYPERLINK("https://talan.bank.gov.ua/get-user-certificate/45CElbUn5lcf5CNQDsZv","Завантажити сертифікат")</f>
        <v>Завантажити сертифікат</v>
      </c>
    </row>
    <row r="3735" spans="1:6" x14ac:dyDescent="0.3">
      <c r="A3735" t="s">
        <v>7990</v>
      </c>
      <c r="B3735" t="s">
        <v>6</v>
      </c>
      <c r="C3735" t="s">
        <v>7991</v>
      </c>
      <c r="D3735" t="s">
        <v>7992</v>
      </c>
      <c r="E3735" t="s">
        <v>7993</v>
      </c>
      <c r="F3735" t="str">
        <f>HYPERLINK("https://talan.bank.gov.ua/get-user-certificate/45CElIy7haLbAMtOAbos","Завантажити сертифікат")</f>
        <v>Завантажити сертифікат</v>
      </c>
    </row>
    <row r="3736" spans="1:6" x14ac:dyDescent="0.3">
      <c r="A3736" t="s">
        <v>7994</v>
      </c>
      <c r="B3736" t="s">
        <v>6</v>
      </c>
      <c r="C3736" t="s">
        <v>7995</v>
      </c>
      <c r="D3736" t="s">
        <v>7992</v>
      </c>
      <c r="E3736" t="s">
        <v>7993</v>
      </c>
      <c r="F3736" t="str">
        <f>HYPERLINK("https://talan.bank.gov.ua/get-user-certificate/45CElEFVsAxPqX2cabMH","Завантажити сертифікат")</f>
        <v>Завантажити сертифікат</v>
      </c>
    </row>
    <row r="3737" spans="1:6" x14ac:dyDescent="0.3">
      <c r="A3737" t="s">
        <v>7996</v>
      </c>
      <c r="B3737" t="s">
        <v>6</v>
      </c>
      <c r="C3737" t="s">
        <v>7997</v>
      </c>
      <c r="D3737" t="s">
        <v>7992</v>
      </c>
      <c r="E3737" t="s">
        <v>7993</v>
      </c>
      <c r="F3737" t="str">
        <f>HYPERLINK("https://talan.bank.gov.ua/get-user-certificate/45CElDFebu3O5q8Mfx9j","Завантажити сертифікат")</f>
        <v>Завантажити сертифікат</v>
      </c>
    </row>
    <row r="3738" spans="1:6" x14ac:dyDescent="0.3">
      <c r="A3738" t="s">
        <v>7998</v>
      </c>
      <c r="B3738" t="s">
        <v>6</v>
      </c>
      <c r="C3738" t="s">
        <v>7999</v>
      </c>
      <c r="D3738" t="s">
        <v>8000</v>
      </c>
      <c r="E3738" t="s">
        <v>8001</v>
      </c>
      <c r="F3738" t="str">
        <f>HYPERLINK("https://talan.bank.gov.ua/get-user-certificate/45CElUgEvW-znFrxDpcH","Завантажити сертифікат")</f>
        <v>Завантажити сертифікат</v>
      </c>
    </row>
    <row r="3739" spans="1:6" x14ac:dyDescent="0.3">
      <c r="A3739" t="s">
        <v>8002</v>
      </c>
      <c r="B3739" t="s">
        <v>6</v>
      </c>
      <c r="C3739" t="s">
        <v>8003</v>
      </c>
      <c r="D3739" t="s">
        <v>8000</v>
      </c>
      <c r="E3739" t="s">
        <v>8001</v>
      </c>
      <c r="F3739" t="str">
        <f>HYPERLINK("https://talan.bank.gov.ua/get-user-certificate/45CElwrw0KuGgACKekRp","Завантажити сертифікат")</f>
        <v>Завантажити сертифікат</v>
      </c>
    </row>
    <row r="3740" spans="1:6" x14ac:dyDescent="0.3">
      <c r="A3740" t="s">
        <v>8004</v>
      </c>
      <c r="B3740" t="s">
        <v>6</v>
      </c>
      <c r="C3740" t="s">
        <v>8005</v>
      </c>
      <c r="D3740" t="s">
        <v>8000</v>
      </c>
      <c r="E3740" t="s">
        <v>8001</v>
      </c>
      <c r="F3740" t="str">
        <f>HYPERLINK("https://talan.bank.gov.ua/get-user-certificate/45CElaFohXFc98BsiZH-","Завантажити сертифікат")</f>
        <v>Завантажити сертифікат</v>
      </c>
    </row>
    <row r="3741" spans="1:6" x14ac:dyDescent="0.3">
      <c r="A3741" t="s">
        <v>8006</v>
      </c>
      <c r="B3741" t="s">
        <v>6</v>
      </c>
      <c r="C3741" t="s">
        <v>8007</v>
      </c>
      <c r="D3741" t="s">
        <v>8000</v>
      </c>
      <c r="E3741" t="s">
        <v>8001</v>
      </c>
      <c r="F3741" t="str">
        <f>HYPERLINK("https://talan.bank.gov.ua/get-user-certificate/45CElhKEDKaop_n8nSg4","Завантажити сертифікат")</f>
        <v>Завантажити сертифікат</v>
      </c>
    </row>
    <row r="3742" spans="1:6" x14ac:dyDescent="0.3">
      <c r="A3742" t="s">
        <v>8008</v>
      </c>
      <c r="B3742" t="s">
        <v>6</v>
      </c>
      <c r="C3742" t="s">
        <v>8009</v>
      </c>
      <c r="D3742" t="s">
        <v>8000</v>
      </c>
      <c r="E3742" t="s">
        <v>8001</v>
      </c>
      <c r="F3742" t="str">
        <f>HYPERLINK("https://talan.bank.gov.ua/get-user-certificate/45CElmLxDU0rL2YPQZ1N","Завантажити сертифікат")</f>
        <v>Завантажити сертифікат</v>
      </c>
    </row>
    <row r="3743" spans="1:6" x14ac:dyDescent="0.3">
      <c r="A3743" t="s">
        <v>8010</v>
      </c>
      <c r="B3743" t="s">
        <v>6</v>
      </c>
      <c r="C3743" t="s">
        <v>8011</v>
      </c>
      <c r="D3743" t="s">
        <v>8000</v>
      </c>
      <c r="E3743" t="s">
        <v>8001</v>
      </c>
      <c r="F3743" t="str">
        <f>HYPERLINK("https://talan.bank.gov.ua/get-user-certificate/45CElSozBhCISnwcC0Ad","Завантажити сертифікат")</f>
        <v>Завантажити сертифікат</v>
      </c>
    </row>
    <row r="3744" spans="1:6" x14ac:dyDescent="0.3">
      <c r="A3744" t="s">
        <v>8012</v>
      </c>
      <c r="B3744" t="s">
        <v>6</v>
      </c>
      <c r="C3744" t="s">
        <v>8013</v>
      </c>
      <c r="D3744" t="s">
        <v>8000</v>
      </c>
      <c r="E3744" t="s">
        <v>8001</v>
      </c>
      <c r="F3744" t="str">
        <f>HYPERLINK("https://talan.bank.gov.ua/get-user-certificate/45CElqMAmzzW7cMXm9lH","Завантажити сертифікат")</f>
        <v>Завантажити сертифікат</v>
      </c>
    </row>
    <row r="3745" spans="1:6" x14ac:dyDescent="0.3">
      <c r="A3745" t="s">
        <v>8014</v>
      </c>
      <c r="B3745" t="s">
        <v>6</v>
      </c>
      <c r="C3745" t="s">
        <v>8015</v>
      </c>
      <c r="D3745" t="s">
        <v>8000</v>
      </c>
      <c r="E3745" t="s">
        <v>8001</v>
      </c>
      <c r="F3745" t="str">
        <f>HYPERLINK("https://talan.bank.gov.ua/get-user-certificate/45CElPMGZpXWKoLY78Z_","Завантажити сертифікат")</f>
        <v>Завантажити сертифікат</v>
      </c>
    </row>
    <row r="3746" spans="1:6" x14ac:dyDescent="0.3">
      <c r="A3746" t="s">
        <v>8016</v>
      </c>
      <c r="B3746" t="s">
        <v>6</v>
      </c>
      <c r="C3746" t="s">
        <v>8017</v>
      </c>
      <c r="D3746" t="s">
        <v>8000</v>
      </c>
      <c r="E3746" t="s">
        <v>8001</v>
      </c>
      <c r="F3746" t="str">
        <f>HYPERLINK("https://talan.bank.gov.ua/get-user-certificate/45CEl5rIWhmi1Lb9R0JK","Завантажити сертифікат")</f>
        <v>Завантажити сертифікат</v>
      </c>
    </row>
    <row r="3747" spans="1:6" x14ac:dyDescent="0.3">
      <c r="A3747" t="s">
        <v>8018</v>
      </c>
      <c r="B3747" t="s">
        <v>6</v>
      </c>
      <c r="C3747" t="s">
        <v>8019</v>
      </c>
      <c r="D3747" t="s">
        <v>8000</v>
      </c>
      <c r="E3747" t="s">
        <v>8001</v>
      </c>
      <c r="F3747" t="str">
        <f>HYPERLINK("https://talan.bank.gov.ua/get-user-certificate/45CElM57uGVlQtwLQqCZ","Завантажити сертифікат")</f>
        <v>Завантажити сертифікат</v>
      </c>
    </row>
    <row r="3748" spans="1:6" x14ac:dyDescent="0.3">
      <c r="A3748" t="s">
        <v>8020</v>
      </c>
      <c r="B3748" t="s">
        <v>6</v>
      </c>
      <c r="C3748" t="s">
        <v>8021</v>
      </c>
      <c r="D3748" t="s">
        <v>8000</v>
      </c>
      <c r="E3748" t="s">
        <v>8001</v>
      </c>
      <c r="F3748" t="str">
        <f>HYPERLINK("https://talan.bank.gov.ua/get-user-certificate/45CElASiPSbJUryHBpzW","Завантажити сертифікат")</f>
        <v>Завантажити сертифікат</v>
      </c>
    </row>
    <row r="3749" spans="1:6" x14ac:dyDescent="0.3">
      <c r="A3749" t="s">
        <v>8022</v>
      </c>
      <c r="B3749" t="s">
        <v>6</v>
      </c>
      <c r="C3749" t="s">
        <v>8023</v>
      </c>
      <c r="D3749" t="s">
        <v>8000</v>
      </c>
      <c r="E3749" t="s">
        <v>8001</v>
      </c>
      <c r="F3749" t="str">
        <f>HYPERLINK("https://talan.bank.gov.ua/get-user-certificate/45CElZQXwtjGxkoiuGMd","Завантажити сертифікат")</f>
        <v>Завантажити сертифікат</v>
      </c>
    </row>
    <row r="3750" spans="1:6" x14ac:dyDescent="0.3">
      <c r="A3750" t="s">
        <v>8024</v>
      </c>
      <c r="B3750" t="s">
        <v>6</v>
      </c>
      <c r="C3750" t="s">
        <v>8025</v>
      </c>
      <c r="D3750" t="s">
        <v>8026</v>
      </c>
      <c r="E3750" t="s">
        <v>8027</v>
      </c>
      <c r="F3750" t="str">
        <f>HYPERLINK("https://talan.bank.gov.ua/get-user-certificate/45CElWhDsiA_dtquZjbI","Завантажити сертифікат")</f>
        <v>Завантажити сертифікат</v>
      </c>
    </row>
    <row r="3751" spans="1:6" x14ac:dyDescent="0.3">
      <c r="A3751" t="s">
        <v>8028</v>
      </c>
      <c r="B3751" t="s">
        <v>6</v>
      </c>
      <c r="C3751" t="s">
        <v>8029</v>
      </c>
      <c r="D3751" t="s">
        <v>8026</v>
      </c>
      <c r="E3751" t="s">
        <v>8027</v>
      </c>
      <c r="F3751" t="str">
        <f>HYPERLINK("https://talan.bank.gov.ua/get-user-certificate/45CElm_a_m-ozoELKEhX","Завантажити сертифікат")</f>
        <v>Завантажити сертифікат</v>
      </c>
    </row>
    <row r="3752" spans="1:6" x14ac:dyDescent="0.3">
      <c r="A3752" t="s">
        <v>8030</v>
      </c>
      <c r="B3752" t="s">
        <v>6</v>
      </c>
      <c r="C3752" t="s">
        <v>8031</v>
      </c>
      <c r="D3752" t="s">
        <v>8026</v>
      </c>
      <c r="E3752" t="s">
        <v>8027</v>
      </c>
      <c r="F3752" t="str">
        <f>HYPERLINK("https://talan.bank.gov.ua/get-user-certificate/45CElCyNcTfRaz1SASnQ","Завантажити сертифікат")</f>
        <v>Завантажити сертифікат</v>
      </c>
    </row>
    <row r="3753" spans="1:6" x14ac:dyDescent="0.3">
      <c r="A3753" t="s">
        <v>8032</v>
      </c>
      <c r="B3753" t="s">
        <v>6</v>
      </c>
      <c r="C3753" t="s">
        <v>8033</v>
      </c>
      <c r="D3753" t="s">
        <v>8026</v>
      </c>
      <c r="E3753" t="s">
        <v>8027</v>
      </c>
      <c r="F3753" t="str">
        <f>HYPERLINK("https://talan.bank.gov.ua/get-user-certificate/45CElNRFPDhAjOOfyg5S","Завантажити сертифікат")</f>
        <v>Завантажити сертифікат</v>
      </c>
    </row>
    <row r="3754" spans="1:6" x14ac:dyDescent="0.3">
      <c r="A3754" t="s">
        <v>8034</v>
      </c>
      <c r="B3754" t="s">
        <v>6</v>
      </c>
      <c r="C3754" t="s">
        <v>8035</v>
      </c>
      <c r="D3754" t="s">
        <v>8026</v>
      </c>
      <c r="E3754" t="s">
        <v>8027</v>
      </c>
      <c r="F3754" t="str">
        <f>HYPERLINK("https://talan.bank.gov.ua/get-user-certificate/45CElkyXvljud9Hrc81L","Завантажити сертифікат")</f>
        <v>Завантажити сертифікат</v>
      </c>
    </row>
    <row r="3755" spans="1:6" x14ac:dyDescent="0.3">
      <c r="A3755" t="s">
        <v>8036</v>
      </c>
      <c r="B3755" t="s">
        <v>6</v>
      </c>
      <c r="C3755" t="s">
        <v>8037</v>
      </c>
      <c r="D3755" t="s">
        <v>8026</v>
      </c>
      <c r="E3755" t="s">
        <v>8027</v>
      </c>
      <c r="F3755" t="str">
        <f>HYPERLINK("https://talan.bank.gov.ua/get-user-certificate/45CElzz6P9U2l4B3Q826","Завантажити сертифікат")</f>
        <v>Завантажити сертифікат</v>
      </c>
    </row>
    <row r="3756" spans="1:6" x14ac:dyDescent="0.3">
      <c r="A3756" t="s">
        <v>8038</v>
      </c>
      <c r="B3756" t="s">
        <v>6</v>
      </c>
      <c r="C3756" t="s">
        <v>8039</v>
      </c>
      <c r="D3756" t="s">
        <v>8026</v>
      </c>
      <c r="E3756" t="s">
        <v>8027</v>
      </c>
      <c r="F3756" t="str">
        <f>HYPERLINK("https://talan.bank.gov.ua/get-user-certificate/45CEli7p9LIQPqaGq4cs","Завантажити сертифікат")</f>
        <v>Завантажити сертифікат</v>
      </c>
    </row>
    <row r="3757" spans="1:6" x14ac:dyDescent="0.3">
      <c r="A3757" t="s">
        <v>8040</v>
      </c>
      <c r="B3757" t="s">
        <v>6</v>
      </c>
      <c r="C3757" t="s">
        <v>8041</v>
      </c>
      <c r="D3757" t="s">
        <v>8026</v>
      </c>
      <c r="E3757" t="s">
        <v>8027</v>
      </c>
      <c r="F3757" t="str">
        <f>HYPERLINK("https://talan.bank.gov.ua/get-user-certificate/45CEl_VkC0AGn0ucSbr_","Завантажити сертифікат")</f>
        <v>Завантажити сертифікат</v>
      </c>
    </row>
    <row r="3758" spans="1:6" x14ac:dyDescent="0.3">
      <c r="A3758" t="s">
        <v>8042</v>
      </c>
      <c r="B3758" t="s">
        <v>6</v>
      </c>
      <c r="C3758" t="s">
        <v>8043</v>
      </c>
      <c r="D3758" t="s">
        <v>8044</v>
      </c>
      <c r="E3758" t="s">
        <v>8045</v>
      </c>
      <c r="F3758" t="str">
        <f>HYPERLINK("https://talan.bank.gov.ua/get-user-certificate/45CEl5xYRFEkbGvBt-IV","Завантажити сертифікат")</f>
        <v>Завантажити сертифікат</v>
      </c>
    </row>
    <row r="3759" spans="1:6" x14ac:dyDescent="0.3">
      <c r="A3759" t="s">
        <v>8046</v>
      </c>
      <c r="B3759" t="s">
        <v>6</v>
      </c>
      <c r="C3759" t="s">
        <v>8047</v>
      </c>
      <c r="D3759" t="s">
        <v>8044</v>
      </c>
      <c r="E3759" t="s">
        <v>8045</v>
      </c>
      <c r="F3759" t="str">
        <f>HYPERLINK("https://talan.bank.gov.ua/get-user-certificate/45CElyqfSsBGgisSQIMI","Завантажити сертифікат")</f>
        <v>Завантажити сертифікат</v>
      </c>
    </row>
    <row r="3760" spans="1:6" x14ac:dyDescent="0.3">
      <c r="A3760" t="s">
        <v>8048</v>
      </c>
      <c r="B3760" t="s">
        <v>6</v>
      </c>
      <c r="C3760" t="s">
        <v>8049</v>
      </c>
      <c r="D3760" t="s">
        <v>8044</v>
      </c>
      <c r="E3760" t="s">
        <v>8045</v>
      </c>
      <c r="F3760" t="str">
        <f>HYPERLINK("https://talan.bank.gov.ua/get-user-certificate/45CElESAWMeDI6B9A84n","Завантажити сертифікат")</f>
        <v>Завантажити сертифікат</v>
      </c>
    </row>
    <row r="3761" spans="1:6" x14ac:dyDescent="0.3">
      <c r="A3761" t="s">
        <v>8050</v>
      </c>
      <c r="B3761" t="s">
        <v>6</v>
      </c>
      <c r="C3761" t="s">
        <v>8051</v>
      </c>
      <c r="D3761" t="s">
        <v>8044</v>
      </c>
      <c r="E3761" t="s">
        <v>8045</v>
      </c>
      <c r="F3761" t="str">
        <f>HYPERLINK("https://talan.bank.gov.ua/get-user-certificate/45CElL2tEZCQQpZMMBLl","Завантажити сертифікат")</f>
        <v>Завантажити сертифікат</v>
      </c>
    </row>
    <row r="3762" spans="1:6" x14ac:dyDescent="0.3">
      <c r="A3762" t="s">
        <v>8052</v>
      </c>
      <c r="B3762" t="s">
        <v>6</v>
      </c>
      <c r="C3762" t="s">
        <v>8053</v>
      </c>
      <c r="D3762" t="s">
        <v>8054</v>
      </c>
      <c r="E3762" t="s">
        <v>8055</v>
      </c>
      <c r="F3762" t="str">
        <f>HYPERLINK("https://talan.bank.gov.ua/get-user-certificate/45CElr1z_02sKnkxmpPK","Завантажити сертифікат")</f>
        <v>Завантажити сертифікат</v>
      </c>
    </row>
    <row r="3763" spans="1:6" x14ac:dyDescent="0.3">
      <c r="A3763" t="s">
        <v>8056</v>
      </c>
      <c r="B3763" t="s">
        <v>6</v>
      </c>
      <c r="C3763" t="s">
        <v>8057</v>
      </c>
      <c r="D3763" t="s">
        <v>8054</v>
      </c>
      <c r="E3763" t="s">
        <v>8055</v>
      </c>
      <c r="F3763" t="str">
        <f>HYPERLINK("https://talan.bank.gov.ua/get-user-certificate/45CElxoMpeMZAP1EJUAU","Завантажити сертифікат")</f>
        <v>Завантажити сертифікат</v>
      </c>
    </row>
    <row r="3764" spans="1:6" x14ac:dyDescent="0.3">
      <c r="A3764" t="s">
        <v>8058</v>
      </c>
      <c r="B3764" t="s">
        <v>6</v>
      </c>
      <c r="C3764" t="s">
        <v>8059</v>
      </c>
      <c r="D3764" t="s">
        <v>8054</v>
      </c>
      <c r="E3764" t="s">
        <v>8055</v>
      </c>
      <c r="F3764" t="str">
        <f>HYPERLINK("https://talan.bank.gov.ua/get-user-certificate/45CElks1TpXmUa59WEhK","Завантажити сертифікат")</f>
        <v>Завантажити сертифікат</v>
      </c>
    </row>
    <row r="3765" spans="1:6" x14ac:dyDescent="0.3">
      <c r="A3765" t="s">
        <v>8060</v>
      </c>
      <c r="B3765" t="s">
        <v>6</v>
      </c>
      <c r="C3765" t="s">
        <v>8061</v>
      </c>
      <c r="D3765" t="s">
        <v>8062</v>
      </c>
      <c r="E3765" t="s">
        <v>8055</v>
      </c>
      <c r="F3765" t="str">
        <f>HYPERLINK("https://talan.bank.gov.ua/get-user-certificate/45CElrZ3eaL2Ile1jWfn","Завантажити сертифікат")</f>
        <v>Завантажити сертифікат</v>
      </c>
    </row>
    <row r="3766" spans="1:6" x14ac:dyDescent="0.3">
      <c r="A3766" t="s">
        <v>8063</v>
      </c>
      <c r="B3766" t="s">
        <v>6</v>
      </c>
      <c r="C3766" t="s">
        <v>8064</v>
      </c>
      <c r="D3766" t="s">
        <v>8062</v>
      </c>
      <c r="E3766" t="s">
        <v>8055</v>
      </c>
      <c r="F3766" t="str">
        <f>HYPERLINK("https://talan.bank.gov.ua/get-user-certificate/45CElFBV2tVnzJAaLArP","Завантажити сертифікат")</f>
        <v>Завантажити сертифікат</v>
      </c>
    </row>
    <row r="3767" spans="1:6" x14ac:dyDescent="0.3">
      <c r="A3767" t="s">
        <v>8065</v>
      </c>
      <c r="B3767" t="s">
        <v>6</v>
      </c>
      <c r="C3767" t="s">
        <v>8066</v>
      </c>
      <c r="D3767" t="s">
        <v>8062</v>
      </c>
      <c r="E3767" t="s">
        <v>8055</v>
      </c>
      <c r="F3767" t="str">
        <f>HYPERLINK("https://talan.bank.gov.ua/get-user-certificate/45CElLAqomnqQX8Mtnmg","Завантажити сертифікат")</f>
        <v>Завантажити сертифікат</v>
      </c>
    </row>
    <row r="3768" spans="1:6" x14ac:dyDescent="0.3">
      <c r="A3768" t="s">
        <v>8067</v>
      </c>
      <c r="B3768" t="s">
        <v>6</v>
      </c>
      <c r="C3768" t="s">
        <v>8068</v>
      </c>
      <c r="D3768" t="s">
        <v>8069</v>
      </c>
      <c r="E3768" t="s">
        <v>8070</v>
      </c>
      <c r="F3768" t="str">
        <f>HYPERLINK("https://talan.bank.gov.ua/get-user-certificate/45CEl22gJlTk5kEVwTYW","Завантажити сертифікат")</f>
        <v>Завантажити сертифікат</v>
      </c>
    </row>
    <row r="3769" spans="1:6" x14ac:dyDescent="0.3">
      <c r="A3769" t="s">
        <v>8071</v>
      </c>
      <c r="B3769" t="s">
        <v>6</v>
      </c>
      <c r="C3769" t="s">
        <v>8072</v>
      </c>
      <c r="D3769" t="s">
        <v>8069</v>
      </c>
      <c r="E3769" t="s">
        <v>8070</v>
      </c>
      <c r="F3769" t="str">
        <f>HYPERLINK("https://talan.bank.gov.ua/get-user-certificate/45CElUvtoV2uH69kvv_T","Завантажити сертифікат")</f>
        <v>Завантажити сертифікат</v>
      </c>
    </row>
    <row r="3770" spans="1:6" x14ac:dyDescent="0.3">
      <c r="A3770" t="s">
        <v>8073</v>
      </c>
      <c r="B3770" t="s">
        <v>6</v>
      </c>
      <c r="C3770" t="s">
        <v>8074</v>
      </c>
      <c r="D3770" t="s">
        <v>8069</v>
      </c>
      <c r="E3770" t="s">
        <v>8070</v>
      </c>
      <c r="F3770" t="str">
        <f>HYPERLINK("https://talan.bank.gov.ua/get-user-certificate/45CEluDMx2SWpe45WF1E","Завантажити сертифікат")</f>
        <v>Завантажити сертифікат</v>
      </c>
    </row>
    <row r="3771" spans="1:6" x14ac:dyDescent="0.3">
      <c r="A3771" t="s">
        <v>8075</v>
      </c>
      <c r="B3771" t="s">
        <v>6</v>
      </c>
      <c r="C3771" t="s">
        <v>8076</v>
      </c>
      <c r="D3771" t="s">
        <v>8069</v>
      </c>
      <c r="E3771" t="s">
        <v>8070</v>
      </c>
      <c r="F3771" t="str">
        <f>HYPERLINK("https://talan.bank.gov.ua/get-user-certificate/45CElf8rpsjuZUrxrCF7","Завантажити сертифікат")</f>
        <v>Завантажити сертифікат</v>
      </c>
    </row>
    <row r="3772" spans="1:6" x14ac:dyDescent="0.3">
      <c r="A3772" t="s">
        <v>8077</v>
      </c>
      <c r="B3772" t="s">
        <v>6</v>
      </c>
      <c r="C3772" t="s">
        <v>8078</v>
      </c>
      <c r="D3772" t="s">
        <v>8069</v>
      </c>
      <c r="E3772" t="s">
        <v>8070</v>
      </c>
      <c r="F3772" t="str">
        <f>HYPERLINK("https://talan.bank.gov.ua/get-user-certificate/45CEl04V3FF10rjQ4GcM","Завантажити сертифікат")</f>
        <v>Завантажити сертифікат</v>
      </c>
    </row>
    <row r="3773" spans="1:6" x14ac:dyDescent="0.3">
      <c r="A3773" t="s">
        <v>8079</v>
      </c>
      <c r="B3773" t="s">
        <v>6</v>
      </c>
      <c r="C3773" t="s">
        <v>8080</v>
      </c>
      <c r="D3773" t="s">
        <v>8069</v>
      </c>
      <c r="E3773" t="s">
        <v>8070</v>
      </c>
      <c r="F3773" t="str">
        <f>HYPERLINK("https://talan.bank.gov.ua/get-user-certificate/45CElQaTxZwHgZEYlPbU","Завантажити сертифікат")</f>
        <v>Завантажити сертифікат</v>
      </c>
    </row>
    <row r="3774" spans="1:6" x14ac:dyDescent="0.3">
      <c r="A3774" t="s">
        <v>8081</v>
      </c>
      <c r="B3774" t="s">
        <v>6</v>
      </c>
      <c r="C3774" t="s">
        <v>8082</v>
      </c>
      <c r="D3774" t="s">
        <v>8069</v>
      </c>
      <c r="E3774" t="s">
        <v>8070</v>
      </c>
      <c r="F3774" t="str">
        <f>HYPERLINK("https://talan.bank.gov.ua/get-user-certificate/45CElE7kMsa-VB4dHIh6","Завантажити сертифікат")</f>
        <v>Завантажити сертифікат</v>
      </c>
    </row>
    <row r="3775" spans="1:6" x14ac:dyDescent="0.3">
      <c r="A3775" t="s">
        <v>8083</v>
      </c>
      <c r="B3775" t="s">
        <v>6</v>
      </c>
      <c r="C3775" t="s">
        <v>8084</v>
      </c>
      <c r="D3775" t="s">
        <v>8069</v>
      </c>
      <c r="E3775" t="s">
        <v>8070</v>
      </c>
      <c r="F3775" t="str">
        <f>HYPERLINK("https://talan.bank.gov.ua/get-user-certificate/45CEl_06TkYAyvVfEh5I","Завантажити сертифікат")</f>
        <v>Завантажити сертифікат</v>
      </c>
    </row>
    <row r="3776" spans="1:6" x14ac:dyDescent="0.3">
      <c r="A3776" t="s">
        <v>8085</v>
      </c>
      <c r="B3776" t="s">
        <v>6</v>
      </c>
      <c r="C3776" t="s">
        <v>8086</v>
      </c>
      <c r="D3776" t="s">
        <v>8069</v>
      </c>
      <c r="E3776" t="s">
        <v>8070</v>
      </c>
      <c r="F3776" t="str">
        <f>HYPERLINK("https://talan.bank.gov.ua/get-user-certificate/45CElRddLzb76whPR0D2","Завантажити сертифікат")</f>
        <v>Завантажити сертифікат</v>
      </c>
    </row>
    <row r="3777" spans="1:6" x14ac:dyDescent="0.3">
      <c r="A3777" t="s">
        <v>8087</v>
      </c>
      <c r="B3777" t="s">
        <v>6</v>
      </c>
      <c r="C3777" t="s">
        <v>8088</v>
      </c>
      <c r="D3777" t="s">
        <v>8069</v>
      </c>
      <c r="E3777" t="s">
        <v>8070</v>
      </c>
      <c r="F3777" t="str">
        <f>HYPERLINK("https://talan.bank.gov.ua/get-user-certificate/45CEl6AyCmyywsch2VMJ","Завантажити сертифікат")</f>
        <v>Завантажити сертифікат</v>
      </c>
    </row>
    <row r="3778" spans="1:6" x14ac:dyDescent="0.3">
      <c r="A3778" t="s">
        <v>8089</v>
      </c>
      <c r="B3778" t="s">
        <v>6</v>
      </c>
      <c r="C3778" t="s">
        <v>8090</v>
      </c>
      <c r="D3778" t="s">
        <v>8069</v>
      </c>
      <c r="E3778" t="s">
        <v>8070</v>
      </c>
      <c r="F3778" t="str">
        <f>HYPERLINK("https://talan.bank.gov.ua/get-user-certificate/45CElO8XztO0HaehPdpF","Завантажити сертифікат")</f>
        <v>Завантажити сертифікат</v>
      </c>
    </row>
    <row r="3779" spans="1:6" x14ac:dyDescent="0.3">
      <c r="A3779" t="s">
        <v>8091</v>
      </c>
      <c r="B3779" t="s">
        <v>6</v>
      </c>
      <c r="C3779" t="s">
        <v>8092</v>
      </c>
      <c r="D3779" t="s">
        <v>8069</v>
      </c>
      <c r="E3779" t="s">
        <v>8070</v>
      </c>
      <c r="F3779" t="str">
        <f>HYPERLINK("https://talan.bank.gov.ua/get-user-certificate/45CElgaWgVUFLlg2UzGN","Завантажити сертифікат")</f>
        <v>Завантажити сертифікат</v>
      </c>
    </row>
    <row r="3780" spans="1:6" x14ac:dyDescent="0.3">
      <c r="A3780" t="s">
        <v>8093</v>
      </c>
      <c r="B3780" t="s">
        <v>6</v>
      </c>
      <c r="C3780" t="s">
        <v>8094</v>
      </c>
      <c r="D3780" t="s">
        <v>8069</v>
      </c>
      <c r="E3780" t="s">
        <v>8070</v>
      </c>
      <c r="F3780" t="str">
        <f>HYPERLINK("https://talan.bank.gov.ua/get-user-certificate/45CEl44kVI79yCnFhUjo","Завантажити сертифікат")</f>
        <v>Завантажити сертифікат</v>
      </c>
    </row>
    <row r="3781" spans="1:6" x14ac:dyDescent="0.3">
      <c r="A3781" t="s">
        <v>8095</v>
      </c>
      <c r="B3781" t="s">
        <v>6</v>
      </c>
      <c r="C3781" t="s">
        <v>8096</v>
      </c>
      <c r="D3781" t="s">
        <v>8069</v>
      </c>
      <c r="E3781" t="s">
        <v>8070</v>
      </c>
      <c r="F3781" t="str">
        <f>HYPERLINK("https://talan.bank.gov.ua/get-user-certificate/45CElCNSYfTWA5IUMXbU","Завантажити сертифікат")</f>
        <v>Завантажити сертифікат</v>
      </c>
    </row>
    <row r="3782" spans="1:6" x14ac:dyDescent="0.3">
      <c r="A3782" t="s">
        <v>8097</v>
      </c>
      <c r="B3782" t="s">
        <v>6</v>
      </c>
      <c r="C3782" t="s">
        <v>8098</v>
      </c>
      <c r="D3782" t="s">
        <v>8069</v>
      </c>
      <c r="E3782" t="s">
        <v>8070</v>
      </c>
      <c r="F3782" t="str">
        <f>HYPERLINK("https://talan.bank.gov.ua/get-user-certificate/45CElcBI5VnfxZdQmZNE","Завантажити сертифікат")</f>
        <v>Завантажити сертифікат</v>
      </c>
    </row>
    <row r="3783" spans="1:6" x14ac:dyDescent="0.3">
      <c r="A3783" t="s">
        <v>8099</v>
      </c>
      <c r="B3783" t="s">
        <v>6</v>
      </c>
      <c r="C3783" t="s">
        <v>8100</v>
      </c>
      <c r="D3783" t="s">
        <v>8069</v>
      </c>
      <c r="E3783" t="s">
        <v>8070</v>
      </c>
      <c r="F3783" t="str">
        <f>HYPERLINK("https://talan.bank.gov.ua/get-user-certificate/45CEl150jXqK0q4fYRG6","Завантажити сертифікат")</f>
        <v>Завантажити сертифікат</v>
      </c>
    </row>
    <row r="3784" spans="1:6" x14ac:dyDescent="0.3">
      <c r="A3784" t="s">
        <v>8101</v>
      </c>
      <c r="B3784" t="s">
        <v>6</v>
      </c>
      <c r="C3784" t="s">
        <v>8102</v>
      </c>
      <c r="D3784" t="s">
        <v>8069</v>
      </c>
      <c r="E3784" t="s">
        <v>8070</v>
      </c>
      <c r="F3784" t="str">
        <f>HYPERLINK("https://talan.bank.gov.ua/get-user-certificate/45CElLt1J0NRtbC-QNSd","Завантажити сертифікат")</f>
        <v>Завантажити сертифікат</v>
      </c>
    </row>
    <row r="3785" spans="1:6" x14ac:dyDescent="0.3">
      <c r="A3785" t="s">
        <v>8103</v>
      </c>
      <c r="B3785" t="s">
        <v>6</v>
      </c>
      <c r="C3785" t="s">
        <v>8104</v>
      </c>
      <c r="D3785" t="s">
        <v>8069</v>
      </c>
      <c r="E3785" t="s">
        <v>8070</v>
      </c>
      <c r="F3785" t="str">
        <f>HYPERLINK("https://talan.bank.gov.ua/get-user-certificate/45CElMd51Z3cl0PlIb5i","Завантажити сертифікат")</f>
        <v>Завантажити сертифікат</v>
      </c>
    </row>
    <row r="3786" spans="1:6" x14ac:dyDescent="0.3">
      <c r="A3786" t="s">
        <v>8105</v>
      </c>
      <c r="B3786" t="s">
        <v>6</v>
      </c>
      <c r="C3786" t="s">
        <v>8106</v>
      </c>
      <c r="D3786" t="s">
        <v>8069</v>
      </c>
      <c r="E3786" t="s">
        <v>8070</v>
      </c>
      <c r="F3786" t="str">
        <f>HYPERLINK("https://talan.bank.gov.ua/get-user-certificate/45CElFXKxWMZ6BsBEYX9","Завантажити сертифікат")</f>
        <v>Завантажити сертифікат</v>
      </c>
    </row>
    <row r="3787" spans="1:6" x14ac:dyDescent="0.3">
      <c r="A3787" t="s">
        <v>8107</v>
      </c>
      <c r="B3787" t="s">
        <v>6</v>
      </c>
      <c r="C3787" t="s">
        <v>8108</v>
      </c>
      <c r="D3787" t="s">
        <v>8069</v>
      </c>
      <c r="E3787" t="s">
        <v>8070</v>
      </c>
      <c r="F3787" t="str">
        <f>HYPERLINK("https://talan.bank.gov.ua/get-user-certificate/45CElHMinQT4r00u93ma","Завантажити сертифікат")</f>
        <v>Завантажити сертифікат</v>
      </c>
    </row>
    <row r="3788" spans="1:6" x14ac:dyDescent="0.3">
      <c r="A3788" t="s">
        <v>8109</v>
      </c>
      <c r="B3788" t="s">
        <v>6</v>
      </c>
      <c r="C3788" t="s">
        <v>8110</v>
      </c>
      <c r="D3788" t="s">
        <v>8069</v>
      </c>
      <c r="E3788" t="s">
        <v>8070</v>
      </c>
      <c r="F3788" t="str">
        <f>HYPERLINK("https://talan.bank.gov.ua/get-user-certificate/45CElGFbZaaBFNECmUyu","Завантажити сертифікат")</f>
        <v>Завантажити сертифікат</v>
      </c>
    </row>
    <row r="3789" spans="1:6" x14ac:dyDescent="0.3">
      <c r="A3789" t="s">
        <v>8111</v>
      </c>
      <c r="B3789" t="s">
        <v>6</v>
      </c>
      <c r="C3789" t="s">
        <v>8112</v>
      </c>
      <c r="D3789" t="s">
        <v>8069</v>
      </c>
      <c r="E3789" t="s">
        <v>8070</v>
      </c>
      <c r="F3789" t="str">
        <f>HYPERLINK("https://talan.bank.gov.ua/get-user-certificate/45CEld98LhlM3OA2-dmT","Завантажити сертифікат")</f>
        <v>Завантажити сертифікат</v>
      </c>
    </row>
    <row r="3790" spans="1:6" x14ac:dyDescent="0.3">
      <c r="A3790" t="s">
        <v>8113</v>
      </c>
      <c r="B3790" t="s">
        <v>6</v>
      </c>
      <c r="C3790" t="s">
        <v>8114</v>
      </c>
      <c r="D3790" t="s">
        <v>8069</v>
      </c>
      <c r="E3790" t="s">
        <v>8070</v>
      </c>
      <c r="F3790" t="str">
        <f>HYPERLINK("https://talan.bank.gov.ua/get-user-certificate/45CElYwqb9XsJGlSYU6b","Завантажити сертифікат")</f>
        <v>Завантажити сертифікат</v>
      </c>
    </row>
    <row r="3791" spans="1:6" x14ac:dyDescent="0.3">
      <c r="A3791" t="s">
        <v>8115</v>
      </c>
      <c r="B3791" t="s">
        <v>6</v>
      </c>
      <c r="C3791" t="s">
        <v>8116</v>
      </c>
      <c r="D3791" t="s">
        <v>8069</v>
      </c>
      <c r="E3791" t="s">
        <v>8070</v>
      </c>
      <c r="F3791" t="str">
        <f>HYPERLINK("https://talan.bank.gov.ua/get-user-certificate/45CElcL9yJah0tWwppGn","Завантажити сертифікат")</f>
        <v>Завантажити сертифікат</v>
      </c>
    </row>
    <row r="3792" spans="1:6" x14ac:dyDescent="0.3">
      <c r="A3792" t="s">
        <v>8117</v>
      </c>
      <c r="B3792" t="s">
        <v>6</v>
      </c>
      <c r="C3792" t="s">
        <v>8118</v>
      </c>
      <c r="D3792" t="s">
        <v>8069</v>
      </c>
      <c r="E3792" t="s">
        <v>8070</v>
      </c>
      <c r="F3792" t="str">
        <f>HYPERLINK("https://talan.bank.gov.ua/get-user-certificate/45CEl8pmUpmPe9y48f4q","Завантажити сертифікат")</f>
        <v>Завантажити сертифікат</v>
      </c>
    </row>
    <row r="3793" spans="1:6" x14ac:dyDescent="0.3">
      <c r="A3793" t="s">
        <v>8119</v>
      </c>
      <c r="B3793" t="s">
        <v>6</v>
      </c>
      <c r="C3793" t="s">
        <v>8120</v>
      </c>
      <c r="D3793" t="s">
        <v>8069</v>
      </c>
      <c r="E3793" t="s">
        <v>8070</v>
      </c>
      <c r="F3793" t="str">
        <f>HYPERLINK("https://talan.bank.gov.ua/get-user-certificate/45CElWGF9lGvVrbO52G5","Завантажити сертифікат")</f>
        <v>Завантажити сертифікат</v>
      </c>
    </row>
    <row r="3794" spans="1:6" x14ac:dyDescent="0.3">
      <c r="A3794" t="s">
        <v>8121</v>
      </c>
      <c r="B3794" t="s">
        <v>6</v>
      </c>
      <c r="C3794" t="s">
        <v>8122</v>
      </c>
      <c r="D3794" t="s">
        <v>8069</v>
      </c>
      <c r="E3794" t="s">
        <v>8070</v>
      </c>
      <c r="F3794" t="str">
        <f>HYPERLINK("https://talan.bank.gov.ua/get-user-certificate/45CEl7-289LfS8_WekkF","Завантажити сертифікат")</f>
        <v>Завантажити сертифікат</v>
      </c>
    </row>
    <row r="3795" spans="1:6" x14ac:dyDescent="0.3">
      <c r="A3795" t="s">
        <v>8123</v>
      </c>
      <c r="B3795" t="s">
        <v>6</v>
      </c>
      <c r="C3795" t="s">
        <v>8124</v>
      </c>
      <c r="D3795" t="s">
        <v>8069</v>
      </c>
      <c r="E3795" t="s">
        <v>8070</v>
      </c>
      <c r="F3795" t="str">
        <f>HYPERLINK("https://talan.bank.gov.ua/get-user-certificate/45CElI_fiZ3yhIFEM4O8","Завантажити сертифікат")</f>
        <v>Завантажити сертифікат</v>
      </c>
    </row>
    <row r="3796" spans="1:6" x14ac:dyDescent="0.3">
      <c r="A3796" t="s">
        <v>8125</v>
      </c>
      <c r="B3796" t="s">
        <v>6</v>
      </c>
      <c r="C3796" t="s">
        <v>8126</v>
      </c>
      <c r="D3796" t="s">
        <v>8069</v>
      </c>
      <c r="E3796" t="s">
        <v>8070</v>
      </c>
      <c r="F3796" t="str">
        <f>HYPERLINK("https://talan.bank.gov.ua/get-user-certificate/45CEl3q59PvKWcRUW-Ec","Завантажити сертифікат")</f>
        <v>Завантажити сертифікат</v>
      </c>
    </row>
    <row r="3797" spans="1:6" x14ac:dyDescent="0.3">
      <c r="A3797" t="s">
        <v>8127</v>
      </c>
      <c r="B3797" t="s">
        <v>6</v>
      </c>
      <c r="C3797" t="s">
        <v>8128</v>
      </c>
      <c r="D3797" t="s">
        <v>8069</v>
      </c>
      <c r="E3797" t="s">
        <v>8070</v>
      </c>
      <c r="F3797" t="str">
        <f>HYPERLINK("https://talan.bank.gov.ua/get-user-certificate/45CEld6JZMAcvW5WxGB8","Завантажити сертифікат")</f>
        <v>Завантажити сертифікат</v>
      </c>
    </row>
    <row r="3798" spans="1:6" x14ac:dyDescent="0.3">
      <c r="A3798" t="s">
        <v>8129</v>
      </c>
      <c r="B3798" t="s">
        <v>6</v>
      </c>
      <c r="C3798" t="s">
        <v>8130</v>
      </c>
      <c r="D3798" t="s">
        <v>8069</v>
      </c>
      <c r="E3798" t="s">
        <v>8070</v>
      </c>
      <c r="F3798" t="str">
        <f>HYPERLINK("https://talan.bank.gov.ua/get-user-certificate/45CElMAYMbn8KvrWDl0C","Завантажити сертифікат")</f>
        <v>Завантажити сертифікат</v>
      </c>
    </row>
    <row r="3799" spans="1:6" x14ac:dyDescent="0.3">
      <c r="A3799" t="s">
        <v>8131</v>
      </c>
      <c r="B3799" t="s">
        <v>6</v>
      </c>
      <c r="C3799" t="s">
        <v>8132</v>
      </c>
      <c r="D3799" t="s">
        <v>8069</v>
      </c>
      <c r="E3799" t="s">
        <v>8070</v>
      </c>
      <c r="F3799" t="str">
        <f>HYPERLINK("https://talan.bank.gov.ua/get-user-certificate/45CElmoLSkYnYxe_YPNY","Завантажити сертифікат")</f>
        <v>Завантажити сертифікат</v>
      </c>
    </row>
    <row r="3800" spans="1:6" x14ac:dyDescent="0.3">
      <c r="A3800" t="s">
        <v>8133</v>
      </c>
      <c r="B3800" t="s">
        <v>6</v>
      </c>
      <c r="C3800" t="s">
        <v>8134</v>
      </c>
      <c r="D3800" t="s">
        <v>8069</v>
      </c>
      <c r="E3800" t="s">
        <v>8070</v>
      </c>
      <c r="F3800" t="str">
        <f>HYPERLINK("https://talan.bank.gov.ua/get-user-certificate/45CEljNt35R2NwjogSt4","Завантажити сертифікат")</f>
        <v>Завантажити сертифікат</v>
      </c>
    </row>
    <row r="3801" spans="1:6" x14ac:dyDescent="0.3">
      <c r="A3801" t="s">
        <v>8135</v>
      </c>
      <c r="B3801" t="s">
        <v>6</v>
      </c>
      <c r="C3801" t="s">
        <v>8136</v>
      </c>
      <c r="D3801" t="s">
        <v>8069</v>
      </c>
      <c r="E3801" t="s">
        <v>8070</v>
      </c>
      <c r="F3801" t="str">
        <f>HYPERLINK("https://talan.bank.gov.ua/get-user-certificate/45CEl_Erw6BoElpR7Igw","Завантажити сертифікат")</f>
        <v>Завантажити сертифікат</v>
      </c>
    </row>
    <row r="3802" spans="1:6" x14ac:dyDescent="0.3">
      <c r="A3802" t="s">
        <v>8137</v>
      </c>
      <c r="B3802" t="s">
        <v>6</v>
      </c>
      <c r="C3802" t="s">
        <v>8138</v>
      </c>
      <c r="D3802" t="s">
        <v>8069</v>
      </c>
      <c r="E3802" t="s">
        <v>8070</v>
      </c>
      <c r="F3802" t="str">
        <f>HYPERLINK("https://talan.bank.gov.ua/get-user-certificate/45CElaMEYfubwuMuUT96","Завантажити сертифікат")</f>
        <v>Завантажити сертифікат</v>
      </c>
    </row>
    <row r="3803" spans="1:6" x14ac:dyDescent="0.3">
      <c r="A3803" t="s">
        <v>8139</v>
      </c>
      <c r="B3803" t="s">
        <v>6</v>
      </c>
      <c r="C3803" t="s">
        <v>8140</v>
      </c>
      <c r="D3803" t="s">
        <v>8069</v>
      </c>
      <c r="E3803" t="s">
        <v>8070</v>
      </c>
      <c r="F3803" t="str">
        <f>HYPERLINK("https://talan.bank.gov.ua/get-user-certificate/45CElSedqhiq9SkJ4dJT","Завантажити сертифікат")</f>
        <v>Завантажити сертифікат</v>
      </c>
    </row>
    <row r="3804" spans="1:6" x14ac:dyDescent="0.3">
      <c r="A3804" t="s">
        <v>8141</v>
      </c>
      <c r="B3804" t="s">
        <v>6</v>
      </c>
      <c r="C3804" t="s">
        <v>8142</v>
      </c>
      <c r="D3804" t="s">
        <v>8069</v>
      </c>
      <c r="E3804" t="s">
        <v>8070</v>
      </c>
      <c r="F3804" t="str">
        <f>HYPERLINK("https://talan.bank.gov.ua/get-user-certificate/45CElsBoY77VvxGaHCtC","Завантажити сертифікат")</f>
        <v>Завантажити сертифікат</v>
      </c>
    </row>
    <row r="3805" spans="1:6" x14ac:dyDescent="0.3">
      <c r="A3805" t="s">
        <v>8143</v>
      </c>
      <c r="B3805" t="s">
        <v>6</v>
      </c>
      <c r="C3805" t="s">
        <v>8144</v>
      </c>
      <c r="D3805" t="s">
        <v>8069</v>
      </c>
      <c r="E3805" t="s">
        <v>8070</v>
      </c>
      <c r="F3805" t="str">
        <f>HYPERLINK("https://talan.bank.gov.ua/get-user-certificate/45CEl59jXPb9yX7E0g0l","Завантажити сертифікат")</f>
        <v>Завантажити сертифікат</v>
      </c>
    </row>
    <row r="3806" spans="1:6" x14ac:dyDescent="0.3">
      <c r="A3806" t="s">
        <v>8145</v>
      </c>
      <c r="B3806" t="s">
        <v>6</v>
      </c>
      <c r="C3806" t="s">
        <v>8146</v>
      </c>
      <c r="D3806" t="s">
        <v>8069</v>
      </c>
      <c r="E3806" t="s">
        <v>8070</v>
      </c>
      <c r="F3806" t="str">
        <f>HYPERLINK("https://talan.bank.gov.ua/get-user-certificate/45CElqUXkpnZn_rkhEtZ","Завантажити сертифікат")</f>
        <v>Завантажити сертифікат</v>
      </c>
    </row>
    <row r="3807" spans="1:6" x14ac:dyDescent="0.3">
      <c r="A3807" t="s">
        <v>8147</v>
      </c>
      <c r="B3807" t="s">
        <v>6</v>
      </c>
      <c r="C3807" t="s">
        <v>8148</v>
      </c>
      <c r="D3807" t="s">
        <v>8069</v>
      </c>
      <c r="E3807" t="s">
        <v>8070</v>
      </c>
      <c r="F3807" t="str">
        <f>HYPERLINK("https://talan.bank.gov.ua/get-user-certificate/45CElEFjI6DBslezYtGt","Завантажити сертифікат")</f>
        <v>Завантажити сертифікат</v>
      </c>
    </row>
    <row r="3808" spans="1:6" x14ac:dyDescent="0.3">
      <c r="A3808" t="s">
        <v>8149</v>
      </c>
      <c r="B3808" t="s">
        <v>6</v>
      </c>
      <c r="C3808" t="s">
        <v>8150</v>
      </c>
      <c r="D3808" t="s">
        <v>8069</v>
      </c>
      <c r="E3808" t="s">
        <v>8070</v>
      </c>
      <c r="F3808" t="str">
        <f>HYPERLINK("https://talan.bank.gov.ua/get-user-certificate/45CEl_1xRIc52UHJqZXG","Завантажити сертифікат")</f>
        <v>Завантажити сертифікат</v>
      </c>
    </row>
    <row r="3809" spans="1:6" x14ac:dyDescent="0.3">
      <c r="A3809" t="s">
        <v>8151</v>
      </c>
      <c r="B3809" t="s">
        <v>6</v>
      </c>
      <c r="C3809" t="s">
        <v>8152</v>
      </c>
      <c r="D3809" t="s">
        <v>8069</v>
      </c>
      <c r="E3809" t="s">
        <v>8070</v>
      </c>
      <c r="F3809" t="str">
        <f>HYPERLINK("https://talan.bank.gov.ua/get-user-certificate/45CElDas428rXqrlQI0n","Завантажити сертифікат")</f>
        <v>Завантажити сертифікат</v>
      </c>
    </row>
    <row r="3810" spans="1:6" x14ac:dyDescent="0.3">
      <c r="A3810" t="s">
        <v>8153</v>
      </c>
      <c r="B3810" t="s">
        <v>6</v>
      </c>
      <c r="C3810" t="s">
        <v>8154</v>
      </c>
      <c r="D3810" t="s">
        <v>8069</v>
      </c>
      <c r="E3810" t="s">
        <v>8070</v>
      </c>
      <c r="F3810" t="str">
        <f>HYPERLINK("https://talan.bank.gov.ua/get-user-certificate/45CElfQR_1yC2dxeaCsL","Завантажити сертифікат")</f>
        <v>Завантажити сертифікат</v>
      </c>
    </row>
    <row r="3811" spans="1:6" x14ac:dyDescent="0.3">
      <c r="A3811" t="s">
        <v>8155</v>
      </c>
      <c r="B3811" t="s">
        <v>6</v>
      </c>
      <c r="C3811" t="s">
        <v>8156</v>
      </c>
      <c r="D3811" t="s">
        <v>8069</v>
      </c>
      <c r="E3811" t="s">
        <v>8070</v>
      </c>
      <c r="F3811" t="str">
        <f>HYPERLINK("https://talan.bank.gov.ua/get-user-certificate/45CElnDTXK7RrWDTHjXl","Завантажити сертифікат")</f>
        <v>Завантажити сертифікат</v>
      </c>
    </row>
    <row r="3812" spans="1:6" x14ac:dyDescent="0.3">
      <c r="A3812" t="s">
        <v>8157</v>
      </c>
      <c r="B3812" t="s">
        <v>6</v>
      </c>
      <c r="C3812" t="s">
        <v>8158</v>
      </c>
      <c r="D3812" t="s">
        <v>8069</v>
      </c>
      <c r="E3812" t="s">
        <v>8070</v>
      </c>
      <c r="F3812" t="str">
        <f>HYPERLINK("https://talan.bank.gov.ua/get-user-certificate/45CElpScVoHqeKBKeC2G","Завантажити сертифікат")</f>
        <v>Завантажити сертифікат</v>
      </c>
    </row>
    <row r="3813" spans="1:6" x14ac:dyDescent="0.3">
      <c r="A3813" t="s">
        <v>8159</v>
      </c>
      <c r="B3813" t="s">
        <v>6</v>
      </c>
      <c r="C3813" t="s">
        <v>8160</v>
      </c>
      <c r="D3813" t="s">
        <v>8069</v>
      </c>
      <c r="E3813" t="s">
        <v>8070</v>
      </c>
      <c r="F3813" t="str">
        <f>HYPERLINK("https://talan.bank.gov.ua/get-user-certificate/45CElizBWT7cbDbA0Jso","Завантажити сертифікат")</f>
        <v>Завантажити сертифікат</v>
      </c>
    </row>
    <row r="3814" spans="1:6" x14ac:dyDescent="0.3">
      <c r="A3814" t="s">
        <v>8161</v>
      </c>
      <c r="B3814" t="s">
        <v>6</v>
      </c>
      <c r="C3814" t="s">
        <v>8162</v>
      </c>
      <c r="D3814" t="s">
        <v>8069</v>
      </c>
      <c r="E3814" t="s">
        <v>8070</v>
      </c>
      <c r="F3814" t="str">
        <f>HYPERLINK("https://talan.bank.gov.ua/get-user-certificate/45CElcy6jgQBI4BQ5jDV","Завантажити сертифікат")</f>
        <v>Завантажити сертифікат</v>
      </c>
    </row>
    <row r="3815" spans="1:6" x14ac:dyDescent="0.3">
      <c r="A3815" t="s">
        <v>8163</v>
      </c>
      <c r="B3815" t="s">
        <v>6</v>
      </c>
      <c r="C3815" t="s">
        <v>8164</v>
      </c>
      <c r="D3815" t="s">
        <v>8069</v>
      </c>
      <c r="E3815" t="s">
        <v>8070</v>
      </c>
      <c r="F3815" t="str">
        <f>HYPERLINK("https://talan.bank.gov.ua/get-user-certificate/45CElWL0etCMYtXQoOC9","Завантажити сертифікат")</f>
        <v>Завантажити сертифікат</v>
      </c>
    </row>
    <row r="3816" spans="1:6" x14ac:dyDescent="0.3">
      <c r="A3816" t="s">
        <v>8165</v>
      </c>
      <c r="B3816" t="s">
        <v>6</v>
      </c>
      <c r="C3816" t="s">
        <v>8166</v>
      </c>
      <c r="D3816" t="s">
        <v>8069</v>
      </c>
      <c r="E3816" t="s">
        <v>8070</v>
      </c>
      <c r="F3816" t="str">
        <f>HYPERLINK("https://talan.bank.gov.ua/get-user-certificate/45CElDlcOoUIK3Z53KDl","Завантажити сертифікат")</f>
        <v>Завантажити сертифікат</v>
      </c>
    </row>
    <row r="3817" spans="1:6" x14ac:dyDescent="0.3">
      <c r="A3817" t="s">
        <v>8167</v>
      </c>
      <c r="B3817" t="s">
        <v>6</v>
      </c>
      <c r="C3817" t="s">
        <v>8168</v>
      </c>
      <c r="D3817" t="s">
        <v>8069</v>
      </c>
      <c r="E3817" t="s">
        <v>8070</v>
      </c>
      <c r="F3817" t="str">
        <f>HYPERLINK("https://talan.bank.gov.ua/get-user-certificate/45CEly1W8CD5GmocCvJO","Завантажити сертифікат")</f>
        <v>Завантажити сертифікат</v>
      </c>
    </row>
    <row r="3818" spans="1:6" x14ac:dyDescent="0.3">
      <c r="A3818" t="s">
        <v>8169</v>
      </c>
      <c r="B3818" t="s">
        <v>6</v>
      </c>
      <c r="C3818" t="s">
        <v>8170</v>
      </c>
      <c r="D3818" t="s">
        <v>8069</v>
      </c>
      <c r="E3818" t="s">
        <v>8070</v>
      </c>
      <c r="F3818" t="str">
        <f>HYPERLINK("https://talan.bank.gov.ua/get-user-certificate/45CEl95_Vg9GeXMh60Sf","Завантажити сертифікат")</f>
        <v>Завантажити сертифікат</v>
      </c>
    </row>
    <row r="3819" spans="1:6" x14ac:dyDescent="0.3">
      <c r="A3819" t="s">
        <v>8171</v>
      </c>
      <c r="B3819" t="s">
        <v>6</v>
      </c>
      <c r="C3819" t="s">
        <v>8172</v>
      </c>
      <c r="D3819" t="s">
        <v>8173</v>
      </c>
      <c r="E3819" t="s">
        <v>8174</v>
      </c>
      <c r="F3819" t="str">
        <f>HYPERLINK("https://talan.bank.gov.ua/get-user-certificate/45CEljDSYWSRkbjFYu45","Завантажити сертифікат")</f>
        <v>Завантажити сертифікат</v>
      </c>
    </row>
    <row r="3820" spans="1:6" x14ac:dyDescent="0.3">
      <c r="A3820" t="s">
        <v>8175</v>
      </c>
      <c r="B3820" t="s">
        <v>6</v>
      </c>
      <c r="C3820" t="s">
        <v>8176</v>
      </c>
      <c r="D3820" t="s">
        <v>8173</v>
      </c>
      <c r="E3820" t="s">
        <v>8174</v>
      </c>
      <c r="F3820" t="str">
        <f>HYPERLINK("https://talan.bank.gov.ua/get-user-certificate/45CElA0S66NrgAUSJCSd","Завантажити сертифікат")</f>
        <v>Завантажити сертифікат</v>
      </c>
    </row>
    <row r="3821" spans="1:6" x14ac:dyDescent="0.3">
      <c r="A3821" t="s">
        <v>8177</v>
      </c>
      <c r="B3821" t="s">
        <v>6</v>
      </c>
      <c r="C3821" t="s">
        <v>8178</v>
      </c>
      <c r="D3821" t="s">
        <v>8173</v>
      </c>
      <c r="E3821" t="s">
        <v>8174</v>
      </c>
      <c r="F3821" t="str">
        <f>HYPERLINK("https://talan.bank.gov.ua/get-user-certificate/45CElhfSjNnQ_1w7y1jP","Завантажити сертифікат")</f>
        <v>Завантажити сертифікат</v>
      </c>
    </row>
    <row r="3822" spans="1:6" x14ac:dyDescent="0.3">
      <c r="A3822" t="s">
        <v>8179</v>
      </c>
      <c r="B3822" t="s">
        <v>6</v>
      </c>
      <c r="C3822" t="s">
        <v>8180</v>
      </c>
      <c r="D3822" t="s">
        <v>8173</v>
      </c>
      <c r="E3822" t="s">
        <v>8174</v>
      </c>
      <c r="F3822" t="str">
        <f>HYPERLINK("https://talan.bank.gov.ua/get-user-certificate/45CEl4onJ0NpcrMuitpe","Завантажити сертифікат")</f>
        <v>Завантажити сертифікат</v>
      </c>
    </row>
    <row r="3823" spans="1:6" x14ac:dyDescent="0.3">
      <c r="A3823" t="s">
        <v>8181</v>
      </c>
      <c r="B3823" t="s">
        <v>6</v>
      </c>
      <c r="C3823" t="s">
        <v>8182</v>
      </c>
      <c r="D3823" t="s">
        <v>8173</v>
      </c>
      <c r="E3823" t="s">
        <v>8174</v>
      </c>
      <c r="F3823" t="str">
        <f>HYPERLINK("https://talan.bank.gov.ua/get-user-certificate/45CEl6BAEYkJEgbLms94","Завантажити сертифікат")</f>
        <v>Завантажити сертифікат</v>
      </c>
    </row>
    <row r="3824" spans="1:6" x14ac:dyDescent="0.3">
      <c r="A3824" t="s">
        <v>8183</v>
      </c>
      <c r="B3824" t="s">
        <v>6</v>
      </c>
      <c r="C3824" t="s">
        <v>8184</v>
      </c>
      <c r="D3824" t="s">
        <v>8173</v>
      </c>
      <c r="E3824" t="s">
        <v>8174</v>
      </c>
      <c r="F3824" t="str">
        <f>HYPERLINK("https://talan.bank.gov.ua/get-user-certificate/45CElL3SdHo0L9A7W5EE","Завантажити сертифікат")</f>
        <v>Завантажити сертифікат</v>
      </c>
    </row>
    <row r="3825" spans="1:6" x14ac:dyDescent="0.3">
      <c r="A3825" t="s">
        <v>8185</v>
      </c>
      <c r="B3825" t="s">
        <v>6</v>
      </c>
      <c r="C3825" t="s">
        <v>8186</v>
      </c>
      <c r="D3825" t="s">
        <v>8187</v>
      </c>
      <c r="E3825" t="s">
        <v>8188</v>
      </c>
      <c r="F3825" t="str">
        <f>HYPERLINK("https://talan.bank.gov.ua/get-user-certificate/45CElyrc-udfp3m5s2T1","Завантажити сертифікат")</f>
        <v>Завантажити сертифікат</v>
      </c>
    </row>
    <row r="3826" spans="1:6" x14ac:dyDescent="0.3">
      <c r="A3826" t="s">
        <v>8189</v>
      </c>
      <c r="B3826" t="s">
        <v>6</v>
      </c>
      <c r="C3826" t="s">
        <v>8190</v>
      </c>
      <c r="D3826" t="s">
        <v>8187</v>
      </c>
      <c r="E3826" t="s">
        <v>8188</v>
      </c>
      <c r="F3826" t="str">
        <f>HYPERLINK("https://talan.bank.gov.ua/get-user-certificate/45CEldC-24v-pduMwdcG","Завантажити сертифікат")</f>
        <v>Завантажити сертифікат</v>
      </c>
    </row>
    <row r="3827" spans="1:6" x14ac:dyDescent="0.3">
      <c r="A3827" t="s">
        <v>8191</v>
      </c>
      <c r="B3827" t="s">
        <v>6</v>
      </c>
      <c r="C3827" t="s">
        <v>8192</v>
      </c>
      <c r="D3827" t="s">
        <v>8187</v>
      </c>
      <c r="E3827" t="s">
        <v>8188</v>
      </c>
      <c r="F3827" t="str">
        <f>HYPERLINK("https://talan.bank.gov.ua/get-user-certificate/45CElKrIeV_Xr_kVUu7Q","Завантажити сертифікат")</f>
        <v>Завантажити сертифікат</v>
      </c>
    </row>
    <row r="3828" spans="1:6" x14ac:dyDescent="0.3">
      <c r="A3828" t="s">
        <v>8193</v>
      </c>
      <c r="B3828" t="s">
        <v>6</v>
      </c>
      <c r="C3828" t="s">
        <v>8194</v>
      </c>
      <c r="D3828" t="s">
        <v>8187</v>
      </c>
      <c r="E3828" t="s">
        <v>8188</v>
      </c>
      <c r="F3828" t="str">
        <f>HYPERLINK("https://talan.bank.gov.ua/get-user-certificate/45CEleecesZWFSAcodJY","Завантажити сертифікат")</f>
        <v>Завантажити сертифікат</v>
      </c>
    </row>
    <row r="3829" spans="1:6" x14ac:dyDescent="0.3">
      <c r="A3829" t="s">
        <v>8195</v>
      </c>
      <c r="B3829" t="s">
        <v>6</v>
      </c>
      <c r="C3829" t="s">
        <v>8196</v>
      </c>
      <c r="D3829" t="s">
        <v>8187</v>
      </c>
      <c r="E3829" t="s">
        <v>8188</v>
      </c>
      <c r="F3829" t="str">
        <f>HYPERLINK("https://talan.bank.gov.ua/get-user-certificate/45CEl378W9oTCsRel86C","Завантажити сертифікат")</f>
        <v>Завантажити сертифікат</v>
      </c>
    </row>
    <row r="3830" spans="1:6" x14ac:dyDescent="0.3">
      <c r="A3830" t="s">
        <v>8197</v>
      </c>
      <c r="B3830" t="s">
        <v>6</v>
      </c>
      <c r="C3830" t="s">
        <v>8198</v>
      </c>
      <c r="D3830" t="s">
        <v>8187</v>
      </c>
      <c r="E3830" t="s">
        <v>8188</v>
      </c>
      <c r="F3830" t="str">
        <f>HYPERLINK("https://talan.bank.gov.ua/get-user-certificate/45CElyx1I-njXBTQOALq","Завантажити сертифікат")</f>
        <v>Завантажити сертифікат</v>
      </c>
    </row>
    <row r="3831" spans="1:6" x14ac:dyDescent="0.3">
      <c r="A3831" t="s">
        <v>8199</v>
      </c>
      <c r="B3831" t="s">
        <v>6</v>
      </c>
      <c r="C3831" t="s">
        <v>8200</v>
      </c>
      <c r="D3831" t="s">
        <v>8187</v>
      </c>
      <c r="E3831" t="s">
        <v>8188</v>
      </c>
      <c r="F3831" t="str">
        <f>HYPERLINK("https://talan.bank.gov.ua/get-user-certificate/45CEl5qFQR90HBJ-Q3Cw","Завантажити сертифікат")</f>
        <v>Завантажити сертифікат</v>
      </c>
    </row>
    <row r="3832" spans="1:6" x14ac:dyDescent="0.3">
      <c r="A3832" t="s">
        <v>8201</v>
      </c>
      <c r="B3832" t="s">
        <v>6</v>
      </c>
      <c r="C3832" t="s">
        <v>8202</v>
      </c>
      <c r="D3832" t="s">
        <v>8187</v>
      </c>
      <c r="E3832" t="s">
        <v>8188</v>
      </c>
      <c r="F3832" t="str">
        <f>HYPERLINK("https://talan.bank.gov.ua/get-user-certificate/45CElVniFc0XoYbqTEKp","Завантажити сертифікат")</f>
        <v>Завантажити сертифікат</v>
      </c>
    </row>
    <row r="3833" spans="1:6" x14ac:dyDescent="0.3">
      <c r="A3833" t="s">
        <v>8203</v>
      </c>
      <c r="B3833" t="s">
        <v>6</v>
      </c>
      <c r="C3833" t="s">
        <v>8204</v>
      </c>
      <c r="D3833" t="s">
        <v>8187</v>
      </c>
      <c r="E3833" t="s">
        <v>8188</v>
      </c>
      <c r="F3833" t="str">
        <f>HYPERLINK("https://talan.bank.gov.ua/get-user-certificate/45CElQceaZ9J4PkASANh","Завантажити сертифікат")</f>
        <v>Завантажити сертифікат</v>
      </c>
    </row>
    <row r="3834" spans="1:6" x14ac:dyDescent="0.3">
      <c r="A3834" t="s">
        <v>8205</v>
      </c>
      <c r="B3834" t="s">
        <v>6</v>
      </c>
      <c r="C3834" t="s">
        <v>8206</v>
      </c>
      <c r="D3834" t="s">
        <v>8187</v>
      </c>
      <c r="E3834" t="s">
        <v>8188</v>
      </c>
      <c r="F3834" t="str">
        <f>HYPERLINK("https://talan.bank.gov.ua/get-user-certificate/45CElb_tzkWtzSMhz_IN","Завантажити сертифікат")</f>
        <v>Завантажити сертифікат</v>
      </c>
    </row>
    <row r="3835" spans="1:6" x14ac:dyDescent="0.3">
      <c r="A3835" t="s">
        <v>8207</v>
      </c>
      <c r="B3835" t="s">
        <v>6</v>
      </c>
      <c r="C3835" t="s">
        <v>8208</v>
      </c>
      <c r="D3835" t="s">
        <v>8187</v>
      </c>
      <c r="E3835" t="s">
        <v>8188</v>
      </c>
      <c r="F3835" t="str">
        <f>HYPERLINK("https://talan.bank.gov.ua/get-user-certificate/45CEl5k1eDqEZBEmc3v1","Завантажити сертифікат")</f>
        <v>Завантажити сертифікат</v>
      </c>
    </row>
    <row r="3836" spans="1:6" x14ac:dyDescent="0.3">
      <c r="A3836" t="s">
        <v>8209</v>
      </c>
      <c r="B3836" t="s">
        <v>6</v>
      </c>
      <c r="C3836" t="s">
        <v>8210</v>
      </c>
      <c r="D3836" t="s">
        <v>8187</v>
      </c>
      <c r="E3836" t="s">
        <v>8188</v>
      </c>
      <c r="F3836" t="str">
        <f>HYPERLINK("https://talan.bank.gov.ua/get-user-certificate/45CEl3S-gQmFVFDN2zyp","Завантажити сертифікат")</f>
        <v>Завантажити сертифікат</v>
      </c>
    </row>
    <row r="3837" spans="1:6" x14ac:dyDescent="0.3">
      <c r="A3837" t="s">
        <v>8211</v>
      </c>
      <c r="B3837" t="s">
        <v>6</v>
      </c>
      <c r="C3837" t="s">
        <v>8212</v>
      </c>
      <c r="D3837" t="s">
        <v>8187</v>
      </c>
      <c r="E3837" t="s">
        <v>8188</v>
      </c>
      <c r="F3837" t="str">
        <f>HYPERLINK("https://talan.bank.gov.ua/get-user-certificate/45CElddzbv0Grabg3hW9","Завантажити сертифікат")</f>
        <v>Завантажити сертифікат</v>
      </c>
    </row>
    <row r="3838" spans="1:6" x14ac:dyDescent="0.3">
      <c r="A3838" t="s">
        <v>8213</v>
      </c>
      <c r="B3838" t="s">
        <v>6</v>
      </c>
      <c r="C3838" t="s">
        <v>8214</v>
      </c>
      <c r="D3838" t="s">
        <v>8215</v>
      </c>
      <c r="E3838" t="s">
        <v>8216</v>
      </c>
      <c r="F3838" t="str">
        <f>HYPERLINK("https://talan.bank.gov.ua/get-user-certificate/45CElC0hjuE6TonOrV-p","Завантажити сертифікат")</f>
        <v>Завантажити сертифікат</v>
      </c>
    </row>
    <row r="3839" spans="1:6" x14ac:dyDescent="0.3">
      <c r="A3839" t="s">
        <v>8217</v>
      </c>
      <c r="B3839" t="s">
        <v>6</v>
      </c>
      <c r="C3839" t="s">
        <v>8218</v>
      </c>
      <c r="D3839" t="s">
        <v>8215</v>
      </c>
      <c r="E3839" t="s">
        <v>8216</v>
      </c>
      <c r="F3839" t="str">
        <f>HYPERLINK("https://talan.bank.gov.ua/get-user-certificate/45CEl18foMDEcEQONQIM","Завантажити сертифікат")</f>
        <v>Завантажити сертифікат</v>
      </c>
    </row>
    <row r="3840" spans="1:6" x14ac:dyDescent="0.3">
      <c r="A3840" t="s">
        <v>8219</v>
      </c>
      <c r="B3840" t="s">
        <v>6</v>
      </c>
      <c r="C3840" t="s">
        <v>8220</v>
      </c>
      <c r="D3840" t="s">
        <v>8215</v>
      </c>
      <c r="E3840" t="s">
        <v>8216</v>
      </c>
      <c r="F3840" t="str">
        <f>HYPERLINK("https://talan.bank.gov.ua/get-user-certificate/45CElGmp5zm0oDIF3VZ6","Завантажити сертифікат")</f>
        <v>Завантажити сертифікат</v>
      </c>
    </row>
    <row r="3841" spans="1:6" x14ac:dyDescent="0.3">
      <c r="A3841" t="s">
        <v>8221</v>
      </c>
      <c r="B3841" t="s">
        <v>6</v>
      </c>
      <c r="C3841" t="s">
        <v>8222</v>
      </c>
      <c r="D3841" t="s">
        <v>8215</v>
      </c>
      <c r="E3841" t="s">
        <v>8216</v>
      </c>
      <c r="F3841" t="str">
        <f>HYPERLINK("https://talan.bank.gov.ua/get-user-certificate/45CElBM5SJhyElkWWnyD","Завантажити сертифікат")</f>
        <v>Завантажити сертифікат</v>
      </c>
    </row>
    <row r="3842" spans="1:6" x14ac:dyDescent="0.3">
      <c r="A3842" t="s">
        <v>8223</v>
      </c>
      <c r="B3842" t="s">
        <v>6</v>
      </c>
      <c r="C3842" t="s">
        <v>8224</v>
      </c>
      <c r="D3842" t="s">
        <v>8215</v>
      </c>
      <c r="E3842" t="s">
        <v>8216</v>
      </c>
      <c r="F3842" t="str">
        <f>HYPERLINK("https://talan.bank.gov.ua/get-user-certificate/45CEl0-CVqwsXq05KIOM","Завантажити сертифікат")</f>
        <v>Завантажити сертифікат</v>
      </c>
    </row>
    <row r="3843" spans="1:6" x14ac:dyDescent="0.3">
      <c r="A3843" t="s">
        <v>8225</v>
      </c>
      <c r="B3843" t="s">
        <v>6</v>
      </c>
      <c r="C3843" t="s">
        <v>8226</v>
      </c>
      <c r="D3843" t="s">
        <v>8215</v>
      </c>
      <c r="E3843" t="s">
        <v>8216</v>
      </c>
      <c r="F3843" t="str">
        <f>HYPERLINK("https://talan.bank.gov.ua/get-user-certificate/45CEl47-CI1AoEYTp8pn","Завантажити сертифікат")</f>
        <v>Завантажити сертифікат</v>
      </c>
    </row>
    <row r="3844" spans="1:6" x14ac:dyDescent="0.3">
      <c r="A3844" t="s">
        <v>8227</v>
      </c>
      <c r="B3844" t="s">
        <v>6</v>
      </c>
      <c r="C3844" t="s">
        <v>8228</v>
      </c>
      <c r="D3844" t="s">
        <v>8215</v>
      </c>
      <c r="E3844" t="s">
        <v>8216</v>
      </c>
      <c r="F3844" t="str">
        <f>HYPERLINK("https://talan.bank.gov.ua/get-user-certificate/45CEl5_TVI_Pc3Ey8otT","Завантажити сертифікат")</f>
        <v>Завантажити сертифікат</v>
      </c>
    </row>
    <row r="3845" spans="1:6" x14ac:dyDescent="0.3">
      <c r="A3845" t="s">
        <v>8229</v>
      </c>
      <c r="B3845" t="s">
        <v>6</v>
      </c>
      <c r="C3845" t="s">
        <v>8230</v>
      </c>
      <c r="D3845" t="s">
        <v>8215</v>
      </c>
      <c r="E3845" t="s">
        <v>8216</v>
      </c>
      <c r="F3845" t="str">
        <f>HYPERLINK("https://talan.bank.gov.ua/get-user-certificate/45CElmb2V_4jL2xv9mbA","Завантажити сертифікат")</f>
        <v>Завантажити сертифікат</v>
      </c>
    </row>
    <row r="3846" spans="1:6" x14ac:dyDescent="0.3">
      <c r="A3846" t="s">
        <v>8231</v>
      </c>
      <c r="B3846" t="s">
        <v>6</v>
      </c>
      <c r="C3846" t="s">
        <v>8232</v>
      </c>
      <c r="D3846" t="s">
        <v>8215</v>
      </c>
      <c r="E3846" t="s">
        <v>8216</v>
      </c>
      <c r="F3846" t="str">
        <f>HYPERLINK("https://talan.bank.gov.ua/get-user-certificate/45CElu2aVX29LFB-_FL6","Завантажити сертифікат")</f>
        <v>Завантажити сертифікат</v>
      </c>
    </row>
    <row r="3847" spans="1:6" x14ac:dyDescent="0.3">
      <c r="A3847" t="s">
        <v>8233</v>
      </c>
      <c r="B3847" t="s">
        <v>6</v>
      </c>
      <c r="C3847" t="s">
        <v>8234</v>
      </c>
      <c r="D3847" t="s">
        <v>8215</v>
      </c>
      <c r="E3847" t="s">
        <v>8216</v>
      </c>
      <c r="F3847" t="str">
        <f>HYPERLINK("https://talan.bank.gov.ua/get-user-certificate/45CElBeG0tuxoNh5ogTr","Завантажити сертифікат")</f>
        <v>Завантажити сертифікат</v>
      </c>
    </row>
    <row r="3848" spans="1:6" x14ac:dyDescent="0.3">
      <c r="A3848" t="s">
        <v>8235</v>
      </c>
      <c r="B3848" t="s">
        <v>6</v>
      </c>
      <c r="C3848" t="s">
        <v>8236</v>
      </c>
      <c r="D3848" t="s">
        <v>8215</v>
      </c>
      <c r="E3848" t="s">
        <v>8216</v>
      </c>
      <c r="F3848" t="str">
        <f>HYPERLINK("https://talan.bank.gov.ua/get-user-certificate/45CElRYNGwcFXopstIQ9","Завантажити сертифікат")</f>
        <v>Завантажити сертифікат</v>
      </c>
    </row>
    <row r="3849" spans="1:6" x14ac:dyDescent="0.3">
      <c r="A3849" t="s">
        <v>8237</v>
      </c>
      <c r="B3849" t="s">
        <v>6</v>
      </c>
      <c r="C3849" t="s">
        <v>8238</v>
      </c>
      <c r="D3849" t="s">
        <v>8215</v>
      </c>
      <c r="E3849" t="s">
        <v>8216</v>
      </c>
      <c r="F3849" t="str">
        <f>HYPERLINK("https://talan.bank.gov.ua/get-user-certificate/45CElcDY1sMEBL8CbBQ7","Завантажити сертифікат")</f>
        <v>Завантажити сертифікат</v>
      </c>
    </row>
    <row r="3850" spans="1:6" x14ac:dyDescent="0.3">
      <c r="A3850" t="s">
        <v>8239</v>
      </c>
      <c r="B3850" t="s">
        <v>6</v>
      </c>
      <c r="C3850" t="s">
        <v>8240</v>
      </c>
      <c r="D3850" t="s">
        <v>8215</v>
      </c>
      <c r="E3850" t="s">
        <v>8216</v>
      </c>
      <c r="F3850" t="str">
        <f>HYPERLINK("https://talan.bank.gov.ua/get-user-certificate/45CElIQ9lB2cJdpgYsnJ","Завантажити сертифікат")</f>
        <v>Завантажити сертифікат</v>
      </c>
    </row>
    <row r="3851" spans="1:6" x14ac:dyDescent="0.3">
      <c r="A3851" t="s">
        <v>8241</v>
      </c>
      <c r="B3851" t="s">
        <v>6</v>
      </c>
      <c r="C3851" t="s">
        <v>8242</v>
      </c>
      <c r="D3851" t="s">
        <v>8215</v>
      </c>
      <c r="E3851" t="s">
        <v>8216</v>
      </c>
      <c r="F3851" t="str">
        <f>HYPERLINK("https://talan.bank.gov.ua/get-user-certificate/45CEl6jQ-OIIg-pc8o_A","Завантажити сертифікат")</f>
        <v>Завантажити сертифікат</v>
      </c>
    </row>
    <row r="3852" spans="1:6" x14ac:dyDescent="0.3">
      <c r="A3852" t="s">
        <v>8243</v>
      </c>
      <c r="B3852" t="s">
        <v>6</v>
      </c>
      <c r="C3852" t="s">
        <v>8244</v>
      </c>
      <c r="D3852" t="s">
        <v>8215</v>
      </c>
      <c r="E3852" t="s">
        <v>8216</v>
      </c>
      <c r="F3852" t="str">
        <f>HYPERLINK("https://talan.bank.gov.ua/get-user-certificate/45CElSfLrpa47103Dl2P","Завантажити сертифікат")</f>
        <v>Завантажити сертифікат</v>
      </c>
    </row>
    <row r="3853" spans="1:6" x14ac:dyDescent="0.3">
      <c r="A3853" t="s">
        <v>8245</v>
      </c>
      <c r="B3853" t="s">
        <v>6</v>
      </c>
      <c r="C3853" t="s">
        <v>8246</v>
      </c>
      <c r="D3853" t="s">
        <v>8215</v>
      </c>
      <c r="E3853" t="s">
        <v>8216</v>
      </c>
      <c r="F3853" t="str">
        <f>HYPERLINK("https://talan.bank.gov.ua/get-user-certificate/45CElkJzkKe5nk0bZ-TD","Завантажити сертифікат")</f>
        <v>Завантажити сертифікат</v>
      </c>
    </row>
    <row r="3854" spans="1:6" x14ac:dyDescent="0.3">
      <c r="A3854" t="s">
        <v>8247</v>
      </c>
      <c r="B3854" t="s">
        <v>6</v>
      </c>
      <c r="C3854" t="s">
        <v>8248</v>
      </c>
      <c r="D3854" t="s">
        <v>8215</v>
      </c>
      <c r="E3854" t="s">
        <v>8216</v>
      </c>
      <c r="F3854" t="str">
        <f>HYPERLINK("https://talan.bank.gov.ua/get-user-certificate/45CElXTrfGGxUivkTe_r","Завантажити сертифікат")</f>
        <v>Завантажити сертифікат</v>
      </c>
    </row>
    <row r="3855" spans="1:6" x14ac:dyDescent="0.3">
      <c r="A3855" t="s">
        <v>8249</v>
      </c>
      <c r="B3855" t="s">
        <v>6</v>
      </c>
      <c r="C3855" t="s">
        <v>8250</v>
      </c>
      <c r="D3855" t="s">
        <v>8215</v>
      </c>
      <c r="E3855" t="s">
        <v>8216</v>
      </c>
      <c r="F3855" t="str">
        <f>HYPERLINK("https://talan.bank.gov.ua/get-user-certificate/45CElH74gK3glExttqQK","Завантажити сертифікат")</f>
        <v>Завантажити сертифікат</v>
      </c>
    </row>
    <row r="3856" spans="1:6" x14ac:dyDescent="0.3">
      <c r="A3856" t="s">
        <v>8251</v>
      </c>
      <c r="B3856" t="s">
        <v>6</v>
      </c>
      <c r="C3856" t="s">
        <v>8252</v>
      </c>
      <c r="D3856" t="s">
        <v>8215</v>
      </c>
      <c r="E3856" t="s">
        <v>8216</v>
      </c>
      <c r="F3856" t="str">
        <f>HYPERLINK("https://talan.bank.gov.ua/get-user-certificate/45CElDIZUGqhSTF5T4bl","Завантажити сертифікат")</f>
        <v>Завантажити сертифікат</v>
      </c>
    </row>
    <row r="3857" spans="1:6" x14ac:dyDescent="0.3">
      <c r="A3857" t="s">
        <v>8253</v>
      </c>
      <c r="B3857" t="s">
        <v>6</v>
      </c>
      <c r="C3857" t="s">
        <v>8254</v>
      </c>
      <c r="D3857" t="s">
        <v>8215</v>
      </c>
      <c r="E3857" t="s">
        <v>8216</v>
      </c>
      <c r="F3857" t="str">
        <f>HYPERLINK("https://talan.bank.gov.ua/get-user-certificate/45CElUrm1rObOyHD_QKJ","Завантажити сертифікат")</f>
        <v>Завантажити сертифікат</v>
      </c>
    </row>
    <row r="3858" spans="1:6" x14ac:dyDescent="0.3">
      <c r="A3858" t="s">
        <v>8255</v>
      </c>
      <c r="B3858" t="s">
        <v>6</v>
      </c>
      <c r="C3858" t="s">
        <v>8256</v>
      </c>
      <c r="D3858" t="s">
        <v>8257</v>
      </c>
      <c r="E3858" t="s">
        <v>8258</v>
      </c>
      <c r="F3858" t="str">
        <f>HYPERLINK("https://talan.bank.gov.ua/get-user-certificate/45CElr7j0RZwiWB1ek9X","Завантажити сертифікат")</f>
        <v>Завантажити сертифікат</v>
      </c>
    </row>
    <row r="3859" spans="1:6" x14ac:dyDescent="0.3">
      <c r="A3859" t="s">
        <v>8259</v>
      </c>
      <c r="B3859" t="s">
        <v>6</v>
      </c>
      <c r="C3859" t="s">
        <v>8260</v>
      </c>
      <c r="D3859" t="s">
        <v>8257</v>
      </c>
      <c r="E3859" t="s">
        <v>8258</v>
      </c>
      <c r="F3859" t="str">
        <f>HYPERLINK("https://talan.bank.gov.ua/get-user-certificate/45CElG5xKPqoJJZJSpF9","Завантажити сертифікат")</f>
        <v>Завантажити сертифікат</v>
      </c>
    </row>
    <row r="3860" spans="1:6" x14ac:dyDescent="0.3">
      <c r="A3860" t="s">
        <v>8261</v>
      </c>
      <c r="B3860" t="s">
        <v>6</v>
      </c>
      <c r="C3860" t="s">
        <v>8262</v>
      </c>
      <c r="D3860" t="s">
        <v>8257</v>
      </c>
      <c r="E3860" t="s">
        <v>8258</v>
      </c>
      <c r="F3860" t="str">
        <f>HYPERLINK("https://talan.bank.gov.ua/get-user-certificate/45CEl_nMpn6ObI-P-o12","Завантажити сертифікат")</f>
        <v>Завантажити сертифікат</v>
      </c>
    </row>
    <row r="3861" spans="1:6" x14ac:dyDescent="0.3">
      <c r="A3861" t="s">
        <v>8263</v>
      </c>
      <c r="B3861" t="s">
        <v>6</v>
      </c>
      <c r="C3861" t="s">
        <v>8264</v>
      </c>
      <c r="D3861" t="s">
        <v>8257</v>
      </c>
      <c r="E3861" t="s">
        <v>8258</v>
      </c>
      <c r="F3861" t="str">
        <f>HYPERLINK("https://talan.bank.gov.ua/get-user-certificate/45CElEQb6Q3TMr5ygluj","Завантажити сертифікат")</f>
        <v>Завантажити сертифікат</v>
      </c>
    </row>
    <row r="3862" spans="1:6" x14ac:dyDescent="0.3">
      <c r="A3862" t="s">
        <v>8265</v>
      </c>
      <c r="B3862" t="s">
        <v>6</v>
      </c>
      <c r="C3862" t="s">
        <v>8266</v>
      </c>
      <c r="D3862" t="s">
        <v>8257</v>
      </c>
      <c r="E3862" t="s">
        <v>8258</v>
      </c>
      <c r="F3862" t="str">
        <f>HYPERLINK("https://talan.bank.gov.ua/get-user-certificate/45CElRRnXnKmWBxmw5-z","Завантажити сертифікат")</f>
        <v>Завантажити сертифікат</v>
      </c>
    </row>
    <row r="3863" spans="1:6" x14ac:dyDescent="0.3">
      <c r="A3863" t="s">
        <v>8267</v>
      </c>
      <c r="B3863" t="s">
        <v>6</v>
      </c>
      <c r="C3863" t="s">
        <v>8268</v>
      </c>
      <c r="D3863" t="s">
        <v>8257</v>
      </c>
      <c r="E3863" t="s">
        <v>8258</v>
      </c>
      <c r="F3863" t="str">
        <f>HYPERLINK("https://talan.bank.gov.ua/get-user-certificate/45CElNDFCZMiC3kwg9UF","Завантажити сертифікат")</f>
        <v>Завантажити сертифікат</v>
      </c>
    </row>
    <row r="3864" spans="1:6" x14ac:dyDescent="0.3">
      <c r="A3864" t="s">
        <v>8269</v>
      </c>
      <c r="B3864" t="s">
        <v>6</v>
      </c>
      <c r="C3864" t="s">
        <v>8270</v>
      </c>
      <c r="D3864" t="s">
        <v>8257</v>
      </c>
      <c r="E3864" t="s">
        <v>8258</v>
      </c>
      <c r="F3864" t="str">
        <f>HYPERLINK("https://talan.bank.gov.ua/get-user-certificate/45CElWIEFDIa3YP_e4tJ","Завантажити сертифікат")</f>
        <v>Завантажити сертифікат</v>
      </c>
    </row>
    <row r="3865" spans="1:6" x14ac:dyDescent="0.3">
      <c r="A3865" t="s">
        <v>8271</v>
      </c>
      <c r="B3865" t="s">
        <v>6</v>
      </c>
      <c r="C3865" t="s">
        <v>8272</v>
      </c>
      <c r="D3865" t="s">
        <v>8257</v>
      </c>
      <c r="E3865" t="s">
        <v>8258</v>
      </c>
      <c r="F3865" t="str">
        <f>HYPERLINK("https://talan.bank.gov.ua/get-user-certificate/45CElSbbelfoWmm38EMw","Завантажити сертифікат")</f>
        <v>Завантажити сертифікат</v>
      </c>
    </row>
    <row r="3866" spans="1:6" x14ac:dyDescent="0.3">
      <c r="A3866" t="s">
        <v>8273</v>
      </c>
      <c r="B3866" t="s">
        <v>6</v>
      </c>
      <c r="C3866" t="s">
        <v>8274</v>
      </c>
      <c r="D3866" t="s">
        <v>8257</v>
      </c>
      <c r="E3866" t="s">
        <v>8258</v>
      </c>
      <c r="F3866" t="str">
        <f>HYPERLINK("https://talan.bank.gov.ua/get-user-certificate/45CEl3SFFvfZENQWJkGR","Завантажити сертифікат")</f>
        <v>Завантажити сертифікат</v>
      </c>
    </row>
    <row r="3867" spans="1:6" x14ac:dyDescent="0.3">
      <c r="A3867" t="s">
        <v>8275</v>
      </c>
      <c r="B3867" t="s">
        <v>6</v>
      </c>
      <c r="C3867" t="s">
        <v>8276</v>
      </c>
      <c r="D3867" t="s">
        <v>8257</v>
      </c>
      <c r="E3867" t="s">
        <v>8258</v>
      </c>
      <c r="F3867" t="str">
        <f>HYPERLINK("https://talan.bank.gov.ua/get-user-certificate/45CElCtuzYZx7HvuwuX-","Завантажити сертифікат")</f>
        <v>Завантажити сертифікат</v>
      </c>
    </row>
    <row r="3868" spans="1:6" x14ac:dyDescent="0.3">
      <c r="A3868" t="s">
        <v>8277</v>
      </c>
      <c r="B3868" t="s">
        <v>6</v>
      </c>
      <c r="C3868" t="s">
        <v>8278</v>
      </c>
      <c r="D3868" t="s">
        <v>8257</v>
      </c>
      <c r="E3868" t="s">
        <v>8258</v>
      </c>
      <c r="F3868" t="str">
        <f>HYPERLINK("https://talan.bank.gov.ua/get-user-certificate/45CEloIF6G0rKxf4KWhe","Завантажити сертифікат")</f>
        <v>Завантажити сертифікат</v>
      </c>
    </row>
    <row r="3869" spans="1:6" x14ac:dyDescent="0.3">
      <c r="A3869" t="s">
        <v>8279</v>
      </c>
      <c r="B3869" t="s">
        <v>6</v>
      </c>
      <c r="C3869" t="s">
        <v>8280</v>
      </c>
      <c r="D3869" t="s">
        <v>8257</v>
      </c>
      <c r="E3869" t="s">
        <v>8258</v>
      </c>
      <c r="F3869" t="str">
        <f>HYPERLINK("https://talan.bank.gov.ua/get-user-certificate/45CElDLRpT_CbXlRbn5_","Завантажити сертифікат")</f>
        <v>Завантажити сертифікат</v>
      </c>
    </row>
    <row r="3870" spans="1:6" x14ac:dyDescent="0.3">
      <c r="A3870" t="s">
        <v>8281</v>
      </c>
      <c r="B3870" t="s">
        <v>6</v>
      </c>
      <c r="C3870" t="s">
        <v>8282</v>
      </c>
      <c r="D3870" t="s">
        <v>8257</v>
      </c>
      <c r="E3870" t="s">
        <v>8258</v>
      </c>
      <c r="F3870" t="str">
        <f>HYPERLINK("https://talan.bank.gov.ua/get-user-certificate/45CEl8kkbX2uEZPrhaMH","Завантажити сертифікат")</f>
        <v>Завантажити сертифікат</v>
      </c>
    </row>
    <row r="3871" spans="1:6" x14ac:dyDescent="0.3">
      <c r="A3871" t="s">
        <v>8283</v>
      </c>
      <c r="B3871" t="s">
        <v>6</v>
      </c>
      <c r="C3871" t="s">
        <v>8284</v>
      </c>
      <c r="D3871" t="s">
        <v>8257</v>
      </c>
      <c r="E3871" t="s">
        <v>8258</v>
      </c>
      <c r="F3871" t="str">
        <f>HYPERLINK("https://talan.bank.gov.ua/get-user-certificate/45CElAda8SZGUEfDcSbe","Завантажити сертифікат")</f>
        <v>Завантажити сертифікат</v>
      </c>
    </row>
    <row r="3872" spans="1:6" x14ac:dyDescent="0.3">
      <c r="A3872" t="s">
        <v>8285</v>
      </c>
      <c r="B3872" t="s">
        <v>6</v>
      </c>
      <c r="C3872" t="s">
        <v>8286</v>
      </c>
      <c r="D3872" t="s">
        <v>8257</v>
      </c>
      <c r="E3872" t="s">
        <v>8258</v>
      </c>
      <c r="F3872" t="str">
        <f>HYPERLINK("https://talan.bank.gov.ua/get-user-certificate/45CElhjrX1pTCSve6_Op","Завантажити сертифікат")</f>
        <v>Завантажити сертифікат</v>
      </c>
    </row>
    <row r="3873" spans="1:6" x14ac:dyDescent="0.3">
      <c r="A3873" t="s">
        <v>8287</v>
      </c>
      <c r="B3873" t="s">
        <v>6</v>
      </c>
      <c r="C3873" t="s">
        <v>8288</v>
      </c>
      <c r="D3873" t="s">
        <v>8257</v>
      </c>
      <c r="E3873" t="s">
        <v>8258</v>
      </c>
      <c r="F3873" t="str">
        <f>HYPERLINK("https://talan.bank.gov.ua/get-user-certificate/45CElfejpTFYsdRpnO4d","Завантажити сертифікат")</f>
        <v>Завантажити сертифікат</v>
      </c>
    </row>
    <row r="3874" spans="1:6" x14ac:dyDescent="0.3">
      <c r="A3874" t="s">
        <v>8289</v>
      </c>
      <c r="B3874" t="s">
        <v>6</v>
      </c>
      <c r="C3874" t="s">
        <v>8290</v>
      </c>
      <c r="D3874" t="s">
        <v>8257</v>
      </c>
      <c r="E3874" t="s">
        <v>8258</v>
      </c>
      <c r="F3874" t="str">
        <f>HYPERLINK("https://talan.bank.gov.ua/get-user-certificate/45CEluO_AP05xkfNGyKS","Завантажити сертифікат")</f>
        <v>Завантажити сертифікат</v>
      </c>
    </row>
    <row r="3875" spans="1:6" x14ac:dyDescent="0.3">
      <c r="A3875" t="s">
        <v>8291</v>
      </c>
      <c r="B3875" t="s">
        <v>6</v>
      </c>
      <c r="C3875" t="s">
        <v>8292</v>
      </c>
      <c r="D3875" t="s">
        <v>8257</v>
      </c>
      <c r="E3875" t="s">
        <v>8258</v>
      </c>
      <c r="F3875" t="str">
        <f>HYPERLINK("https://talan.bank.gov.ua/get-user-certificate/45CElhz-M8gzm5kkJGyV","Завантажити сертифікат")</f>
        <v>Завантажити сертифікат</v>
      </c>
    </row>
    <row r="3876" spans="1:6" x14ac:dyDescent="0.3">
      <c r="A3876" t="s">
        <v>8293</v>
      </c>
      <c r="B3876" t="s">
        <v>6</v>
      </c>
      <c r="C3876" t="s">
        <v>8294</v>
      </c>
      <c r="D3876" t="s">
        <v>8257</v>
      </c>
      <c r="E3876" t="s">
        <v>8258</v>
      </c>
      <c r="F3876" t="str">
        <f>HYPERLINK("https://talan.bank.gov.ua/get-user-certificate/45CElhyuxCjPVuJzm7xX","Завантажити сертифікат")</f>
        <v>Завантажити сертифікат</v>
      </c>
    </row>
    <row r="3877" spans="1:6" x14ac:dyDescent="0.3">
      <c r="A3877" t="s">
        <v>8295</v>
      </c>
      <c r="B3877" t="s">
        <v>6</v>
      </c>
      <c r="C3877" t="s">
        <v>8296</v>
      </c>
      <c r="D3877" t="s">
        <v>8257</v>
      </c>
      <c r="E3877" t="s">
        <v>8258</v>
      </c>
      <c r="F3877" t="str">
        <f>HYPERLINK("https://talan.bank.gov.ua/get-user-certificate/45CElB93DZ08oU_H59I2","Завантажити сертифікат")</f>
        <v>Завантажити сертифікат</v>
      </c>
    </row>
    <row r="3878" spans="1:6" x14ac:dyDescent="0.3">
      <c r="A3878" t="s">
        <v>8297</v>
      </c>
      <c r="B3878" t="s">
        <v>6</v>
      </c>
      <c r="C3878" t="s">
        <v>8298</v>
      </c>
      <c r="D3878" t="s">
        <v>8257</v>
      </c>
      <c r="E3878" t="s">
        <v>8258</v>
      </c>
      <c r="F3878" t="str">
        <f>HYPERLINK("https://talan.bank.gov.ua/get-user-certificate/45CElpMEMNpWARE2HDse","Завантажити сертифікат")</f>
        <v>Завантажити сертифікат</v>
      </c>
    </row>
    <row r="3879" spans="1:6" x14ac:dyDescent="0.3">
      <c r="A3879" t="s">
        <v>8299</v>
      </c>
      <c r="B3879" t="s">
        <v>6</v>
      </c>
      <c r="C3879" t="s">
        <v>8300</v>
      </c>
      <c r="D3879" t="s">
        <v>8257</v>
      </c>
      <c r="E3879" t="s">
        <v>8258</v>
      </c>
      <c r="F3879" t="str">
        <f>HYPERLINK("https://talan.bank.gov.ua/get-user-certificate/45CElVxAWeFxDK0K5w1d","Завантажити сертифікат")</f>
        <v>Завантажити сертифікат</v>
      </c>
    </row>
    <row r="3880" spans="1:6" x14ac:dyDescent="0.3">
      <c r="A3880" t="s">
        <v>8301</v>
      </c>
      <c r="B3880" t="s">
        <v>6</v>
      </c>
      <c r="C3880" t="s">
        <v>8302</v>
      </c>
      <c r="D3880" t="s">
        <v>8257</v>
      </c>
      <c r="E3880" t="s">
        <v>8258</v>
      </c>
      <c r="F3880" t="str">
        <f>HYPERLINK("https://talan.bank.gov.ua/get-user-certificate/45CElTQ1jndPxyZRlrkt","Завантажити сертифікат")</f>
        <v>Завантажити сертифікат</v>
      </c>
    </row>
    <row r="3881" spans="1:6" x14ac:dyDescent="0.3">
      <c r="A3881" t="s">
        <v>8303</v>
      </c>
      <c r="B3881" t="s">
        <v>6</v>
      </c>
      <c r="C3881" t="s">
        <v>8304</v>
      </c>
      <c r="D3881" t="s">
        <v>8257</v>
      </c>
      <c r="E3881" t="s">
        <v>8258</v>
      </c>
      <c r="F3881" t="str">
        <f>HYPERLINK("https://talan.bank.gov.ua/get-user-certificate/45CEl9LWHIwhY_CDtNlb","Завантажити сертифікат")</f>
        <v>Завантажити сертифікат</v>
      </c>
    </row>
    <row r="3882" spans="1:6" x14ac:dyDescent="0.3">
      <c r="A3882" t="s">
        <v>8305</v>
      </c>
      <c r="B3882" t="s">
        <v>6</v>
      </c>
      <c r="C3882" t="s">
        <v>8306</v>
      </c>
      <c r="D3882" t="s">
        <v>8307</v>
      </c>
      <c r="E3882" t="s">
        <v>8308</v>
      </c>
      <c r="F3882" t="str">
        <f>HYPERLINK("https://talan.bank.gov.ua/get-user-certificate/45CElAisepR1On4Z8p4_","Завантажити сертифікат")</f>
        <v>Завантажити сертифікат</v>
      </c>
    </row>
    <row r="3883" spans="1:6" x14ac:dyDescent="0.3">
      <c r="A3883" t="s">
        <v>8309</v>
      </c>
      <c r="B3883" t="s">
        <v>6</v>
      </c>
      <c r="C3883" t="s">
        <v>8310</v>
      </c>
      <c r="D3883" t="s">
        <v>8307</v>
      </c>
      <c r="E3883" t="s">
        <v>8308</v>
      </c>
      <c r="F3883" t="str">
        <f>HYPERLINK("https://talan.bank.gov.ua/get-user-certificate/45CElMl0sBs653J32o6p","Завантажити сертифікат")</f>
        <v>Завантажити сертифікат</v>
      </c>
    </row>
    <row r="3884" spans="1:6" x14ac:dyDescent="0.3">
      <c r="A3884" t="s">
        <v>8311</v>
      </c>
      <c r="B3884" t="s">
        <v>6</v>
      </c>
      <c r="C3884" t="s">
        <v>8312</v>
      </c>
      <c r="D3884" t="s">
        <v>8307</v>
      </c>
      <c r="E3884" t="s">
        <v>8308</v>
      </c>
      <c r="F3884" t="str">
        <f>HYPERLINK("https://talan.bank.gov.ua/get-user-certificate/45CEltAAzAn4wXfrFO6G","Завантажити сертифікат")</f>
        <v>Завантажити сертифікат</v>
      </c>
    </row>
    <row r="3885" spans="1:6" x14ac:dyDescent="0.3">
      <c r="A3885" t="s">
        <v>8313</v>
      </c>
      <c r="B3885" t="s">
        <v>6</v>
      </c>
      <c r="C3885" t="s">
        <v>8314</v>
      </c>
      <c r="D3885" t="s">
        <v>8307</v>
      </c>
      <c r="E3885" t="s">
        <v>8308</v>
      </c>
      <c r="F3885" t="str">
        <f>HYPERLINK("https://talan.bank.gov.ua/get-user-certificate/45CElpdJMggp0Qz4A8pe","Завантажити сертифікат")</f>
        <v>Завантажити сертифікат</v>
      </c>
    </row>
    <row r="3886" spans="1:6" x14ac:dyDescent="0.3">
      <c r="A3886" t="s">
        <v>8315</v>
      </c>
      <c r="B3886" t="s">
        <v>6</v>
      </c>
      <c r="C3886" t="s">
        <v>8316</v>
      </c>
      <c r="D3886" t="s">
        <v>8317</v>
      </c>
      <c r="E3886" t="s">
        <v>8318</v>
      </c>
      <c r="F3886" t="str">
        <f>HYPERLINK("https://talan.bank.gov.ua/get-user-certificate/45CElERe2HJHkUoDr2FF","Завантажити сертифікат")</f>
        <v>Завантажити сертифікат</v>
      </c>
    </row>
    <row r="3887" spans="1:6" x14ac:dyDescent="0.3">
      <c r="A3887" t="s">
        <v>8319</v>
      </c>
      <c r="B3887" t="s">
        <v>6</v>
      </c>
      <c r="C3887" t="s">
        <v>8320</v>
      </c>
      <c r="D3887" t="s">
        <v>8321</v>
      </c>
      <c r="E3887" t="s">
        <v>8318</v>
      </c>
      <c r="F3887" t="str">
        <f>HYPERLINK("https://talan.bank.gov.ua/get-user-certificate/45CElMD6vEfUq8zNWu8T","Завантажити сертифікат")</f>
        <v>Завантажити сертифікат</v>
      </c>
    </row>
    <row r="3888" spans="1:6" x14ac:dyDescent="0.3">
      <c r="A3888" t="s">
        <v>8322</v>
      </c>
      <c r="B3888" t="s">
        <v>6</v>
      </c>
      <c r="C3888" t="s">
        <v>8323</v>
      </c>
      <c r="D3888" t="s">
        <v>8324</v>
      </c>
      <c r="E3888" t="s">
        <v>8325</v>
      </c>
      <c r="F3888" t="str">
        <f>HYPERLINK("https://talan.bank.gov.ua/get-user-certificate/45CElSpru9d4Q4cmOQIR","Завантажити сертифікат")</f>
        <v>Завантажити сертифікат</v>
      </c>
    </row>
    <row r="3889" spans="1:6" x14ac:dyDescent="0.3">
      <c r="A3889" t="s">
        <v>8326</v>
      </c>
      <c r="B3889" t="s">
        <v>6</v>
      </c>
      <c r="C3889" t="s">
        <v>8327</v>
      </c>
      <c r="D3889" t="s">
        <v>8324</v>
      </c>
      <c r="E3889" t="s">
        <v>8325</v>
      </c>
      <c r="F3889" t="str">
        <f>HYPERLINK("https://talan.bank.gov.ua/get-user-certificate/45CEla1IixHT3LcT4RGA","Завантажити сертифікат")</f>
        <v>Завантажити сертифікат</v>
      </c>
    </row>
    <row r="3890" spans="1:6" x14ac:dyDescent="0.3">
      <c r="A3890" t="s">
        <v>8328</v>
      </c>
      <c r="B3890" t="s">
        <v>6</v>
      </c>
      <c r="C3890" t="s">
        <v>8329</v>
      </c>
      <c r="D3890" t="s">
        <v>8324</v>
      </c>
      <c r="E3890" t="s">
        <v>8325</v>
      </c>
      <c r="F3890" t="str">
        <f>HYPERLINK("https://talan.bank.gov.ua/get-user-certificate/45CEl025KnZ4OYZSBC04","Завантажити сертифікат")</f>
        <v>Завантажити сертифікат</v>
      </c>
    </row>
    <row r="3891" spans="1:6" x14ac:dyDescent="0.3">
      <c r="A3891" t="s">
        <v>8330</v>
      </c>
      <c r="B3891" t="s">
        <v>6</v>
      </c>
      <c r="C3891" t="s">
        <v>8331</v>
      </c>
      <c r="D3891" t="s">
        <v>8324</v>
      </c>
      <c r="E3891" t="s">
        <v>8325</v>
      </c>
      <c r="F3891" t="str">
        <f>HYPERLINK("https://talan.bank.gov.ua/get-user-certificate/45CElkUqvJT4SIUqAd-H","Завантажити сертифікат")</f>
        <v>Завантажити сертифікат</v>
      </c>
    </row>
    <row r="3892" spans="1:6" x14ac:dyDescent="0.3">
      <c r="A3892" t="s">
        <v>8332</v>
      </c>
      <c r="B3892" t="s">
        <v>6</v>
      </c>
      <c r="C3892" t="s">
        <v>8333</v>
      </c>
      <c r="D3892" t="s">
        <v>8324</v>
      </c>
      <c r="E3892" t="s">
        <v>8325</v>
      </c>
      <c r="F3892" t="str">
        <f>HYPERLINK("https://talan.bank.gov.ua/get-user-certificate/45CElywnUsT-C3XAQAgc","Завантажити сертифікат")</f>
        <v>Завантажити сертифікат</v>
      </c>
    </row>
    <row r="3893" spans="1:6" x14ac:dyDescent="0.3">
      <c r="A3893" t="s">
        <v>8334</v>
      </c>
      <c r="B3893" t="s">
        <v>6</v>
      </c>
      <c r="C3893" t="s">
        <v>8335</v>
      </c>
      <c r="D3893" t="s">
        <v>8324</v>
      </c>
      <c r="E3893" t="s">
        <v>8325</v>
      </c>
      <c r="F3893" t="str">
        <f>HYPERLINK("https://talan.bank.gov.ua/get-user-certificate/45CElGvDWrYMFYpcdLzM","Завантажити сертифікат")</f>
        <v>Завантажити сертифікат</v>
      </c>
    </row>
    <row r="3894" spans="1:6" x14ac:dyDescent="0.3">
      <c r="A3894" t="s">
        <v>8336</v>
      </c>
      <c r="B3894" t="s">
        <v>6</v>
      </c>
      <c r="C3894" t="s">
        <v>8337</v>
      </c>
      <c r="D3894" t="s">
        <v>8324</v>
      </c>
      <c r="E3894" t="s">
        <v>8325</v>
      </c>
      <c r="F3894" t="str">
        <f>HYPERLINK("https://talan.bank.gov.ua/get-user-certificate/45CElunIHSTMoYAIeWCZ","Завантажити сертифікат")</f>
        <v>Завантажити сертифікат</v>
      </c>
    </row>
    <row r="3895" spans="1:6" x14ac:dyDescent="0.3">
      <c r="A3895" t="s">
        <v>8338</v>
      </c>
      <c r="B3895" t="s">
        <v>6</v>
      </c>
      <c r="C3895" t="s">
        <v>8339</v>
      </c>
      <c r="D3895" t="s">
        <v>8324</v>
      </c>
      <c r="E3895" t="s">
        <v>8325</v>
      </c>
      <c r="F3895" t="str">
        <f>HYPERLINK("https://talan.bank.gov.ua/get-user-certificate/45CElZPGkDdaDovc0XwZ","Завантажити сертифікат")</f>
        <v>Завантажити сертифікат</v>
      </c>
    </row>
    <row r="3896" spans="1:6" x14ac:dyDescent="0.3">
      <c r="A3896" t="s">
        <v>8340</v>
      </c>
      <c r="B3896" t="s">
        <v>6</v>
      </c>
      <c r="C3896" t="s">
        <v>8341</v>
      </c>
      <c r="D3896" t="s">
        <v>8324</v>
      </c>
      <c r="E3896" t="s">
        <v>8325</v>
      </c>
      <c r="F3896" t="str">
        <f>HYPERLINK("https://talan.bank.gov.ua/get-user-certificate/45CEl4hIOKfZGPlKd3e5","Завантажити сертифікат")</f>
        <v>Завантажити сертифікат</v>
      </c>
    </row>
    <row r="3897" spans="1:6" x14ac:dyDescent="0.3">
      <c r="A3897" t="s">
        <v>8342</v>
      </c>
      <c r="B3897" t="s">
        <v>6</v>
      </c>
      <c r="C3897" t="s">
        <v>8343</v>
      </c>
      <c r="D3897" t="s">
        <v>8324</v>
      </c>
      <c r="E3897" t="s">
        <v>8325</v>
      </c>
      <c r="F3897" t="str">
        <f>HYPERLINK("https://talan.bank.gov.ua/get-user-certificate/45CEllRLrnELbw5ngTYH","Завантажити сертифікат")</f>
        <v>Завантажити сертифікат</v>
      </c>
    </row>
    <row r="3898" spans="1:6" x14ac:dyDescent="0.3">
      <c r="A3898" t="s">
        <v>8344</v>
      </c>
      <c r="B3898" t="s">
        <v>6</v>
      </c>
      <c r="C3898" t="s">
        <v>8345</v>
      </c>
      <c r="D3898" t="s">
        <v>8324</v>
      </c>
      <c r="E3898" t="s">
        <v>8325</v>
      </c>
      <c r="F3898" t="str">
        <f>HYPERLINK("https://talan.bank.gov.ua/get-user-certificate/45CEl3Y1tePRk15K5ULv","Завантажити сертифікат")</f>
        <v>Завантажити сертифікат</v>
      </c>
    </row>
    <row r="3899" spans="1:6" x14ac:dyDescent="0.3">
      <c r="A3899" t="s">
        <v>8346</v>
      </c>
      <c r="B3899" t="s">
        <v>6</v>
      </c>
      <c r="C3899" t="s">
        <v>8347</v>
      </c>
      <c r="D3899" t="s">
        <v>8324</v>
      </c>
      <c r="E3899" t="s">
        <v>8325</v>
      </c>
      <c r="F3899" t="str">
        <f>HYPERLINK("https://talan.bank.gov.ua/get-user-certificate/45CEldbnLKV93yn4gpLC","Завантажити сертифікат")</f>
        <v>Завантажити сертифікат</v>
      </c>
    </row>
    <row r="3900" spans="1:6" x14ac:dyDescent="0.3">
      <c r="A3900" t="s">
        <v>8348</v>
      </c>
      <c r="B3900" t="s">
        <v>6</v>
      </c>
      <c r="C3900" t="s">
        <v>8349</v>
      </c>
      <c r="D3900" t="s">
        <v>8324</v>
      </c>
      <c r="E3900" t="s">
        <v>8325</v>
      </c>
      <c r="F3900" t="str">
        <f>HYPERLINK("https://talan.bank.gov.ua/get-user-certificate/45CElfhvE3Oyu7Z9LbvM","Завантажити сертифікат")</f>
        <v>Завантажити сертифікат</v>
      </c>
    </row>
    <row r="3901" spans="1:6" x14ac:dyDescent="0.3">
      <c r="A3901" t="s">
        <v>8350</v>
      </c>
      <c r="B3901" t="s">
        <v>6</v>
      </c>
      <c r="C3901" t="s">
        <v>8351</v>
      </c>
      <c r="D3901" t="s">
        <v>8324</v>
      </c>
      <c r="E3901" t="s">
        <v>8325</v>
      </c>
      <c r="F3901" t="str">
        <f>HYPERLINK("https://talan.bank.gov.ua/get-user-certificate/45CElEOLWyx486wtRk4d","Завантажити сертифікат")</f>
        <v>Завантажити сертифікат</v>
      </c>
    </row>
    <row r="3902" spans="1:6" x14ac:dyDescent="0.3">
      <c r="A3902" t="s">
        <v>8352</v>
      </c>
      <c r="B3902" t="s">
        <v>6</v>
      </c>
      <c r="C3902" t="s">
        <v>8353</v>
      </c>
      <c r="D3902" t="s">
        <v>8324</v>
      </c>
      <c r="E3902" t="s">
        <v>8325</v>
      </c>
      <c r="F3902" t="str">
        <f>HYPERLINK("https://talan.bank.gov.ua/get-user-certificate/45CEl3Q7tIA9k_y3G6qr","Завантажити сертифікат")</f>
        <v>Завантажити сертифікат</v>
      </c>
    </row>
    <row r="3903" spans="1:6" x14ac:dyDescent="0.3">
      <c r="A3903" t="s">
        <v>8354</v>
      </c>
      <c r="B3903" t="s">
        <v>6</v>
      </c>
      <c r="C3903" t="s">
        <v>8355</v>
      </c>
      <c r="D3903" t="s">
        <v>8324</v>
      </c>
      <c r="E3903" t="s">
        <v>8325</v>
      </c>
      <c r="F3903" t="str">
        <f>HYPERLINK("https://talan.bank.gov.ua/get-user-certificate/45CElJLBmdxPRcEHjzLi","Завантажити сертифікат")</f>
        <v>Завантажити сертифікат</v>
      </c>
    </row>
    <row r="3904" spans="1:6" x14ac:dyDescent="0.3">
      <c r="A3904" t="s">
        <v>8356</v>
      </c>
      <c r="B3904" t="s">
        <v>6</v>
      </c>
      <c r="C3904" t="s">
        <v>8357</v>
      </c>
      <c r="D3904" t="s">
        <v>8324</v>
      </c>
      <c r="E3904" t="s">
        <v>8325</v>
      </c>
      <c r="F3904" t="str">
        <f>HYPERLINK("https://talan.bank.gov.ua/get-user-certificate/45CEl5RbGoy-GCm6EnbN","Завантажити сертифікат")</f>
        <v>Завантажити сертифікат</v>
      </c>
    </row>
    <row r="3905" spans="1:6" x14ac:dyDescent="0.3">
      <c r="A3905" t="s">
        <v>8358</v>
      </c>
      <c r="B3905" t="s">
        <v>6</v>
      </c>
      <c r="C3905" t="s">
        <v>8359</v>
      </c>
      <c r="D3905" t="s">
        <v>8324</v>
      </c>
      <c r="E3905" t="s">
        <v>8325</v>
      </c>
      <c r="F3905" t="str">
        <f>HYPERLINK("https://talan.bank.gov.ua/get-user-certificate/45CEliT_oQyp4ibaFdSm","Завантажити сертифікат")</f>
        <v>Завантажити сертифікат</v>
      </c>
    </row>
    <row r="3906" spans="1:6" x14ac:dyDescent="0.3">
      <c r="A3906" t="s">
        <v>8360</v>
      </c>
      <c r="B3906" t="s">
        <v>6</v>
      </c>
      <c r="C3906" t="s">
        <v>8361</v>
      </c>
      <c r="D3906" t="s">
        <v>8362</v>
      </c>
      <c r="E3906" t="s">
        <v>8363</v>
      </c>
      <c r="F3906" t="str">
        <f>HYPERLINK("https://talan.bank.gov.ua/get-user-certificate/45CElRs1xCG1E4aF3jJ8","Завантажити сертифікат")</f>
        <v>Завантажити сертифікат</v>
      </c>
    </row>
    <row r="3907" spans="1:6" x14ac:dyDescent="0.3">
      <c r="A3907" t="s">
        <v>8364</v>
      </c>
      <c r="B3907" t="s">
        <v>6</v>
      </c>
      <c r="C3907" t="s">
        <v>8365</v>
      </c>
      <c r="D3907" t="s">
        <v>8362</v>
      </c>
      <c r="E3907" t="s">
        <v>8363</v>
      </c>
      <c r="F3907" t="str">
        <f>HYPERLINK("https://talan.bank.gov.ua/get-user-certificate/45CElpVcuc7J0auZ9x4a","Завантажити сертифікат")</f>
        <v>Завантажити сертифікат</v>
      </c>
    </row>
    <row r="3908" spans="1:6" x14ac:dyDescent="0.3">
      <c r="A3908" t="s">
        <v>8366</v>
      </c>
      <c r="B3908" t="s">
        <v>6</v>
      </c>
      <c r="C3908" t="s">
        <v>8367</v>
      </c>
      <c r="D3908" t="s">
        <v>8362</v>
      </c>
      <c r="E3908" t="s">
        <v>8363</v>
      </c>
      <c r="F3908" t="str">
        <f>HYPERLINK("https://talan.bank.gov.ua/get-user-certificate/45CElZHi0y9PpV60Ky0B","Завантажити сертифікат")</f>
        <v>Завантажити сертифікат</v>
      </c>
    </row>
    <row r="3909" spans="1:6" x14ac:dyDescent="0.3">
      <c r="A3909" t="s">
        <v>8368</v>
      </c>
      <c r="B3909" t="s">
        <v>6</v>
      </c>
      <c r="C3909" t="s">
        <v>8369</v>
      </c>
      <c r="D3909" t="s">
        <v>8362</v>
      </c>
      <c r="E3909" t="s">
        <v>8363</v>
      </c>
      <c r="F3909" t="str">
        <f>HYPERLINK("https://talan.bank.gov.ua/get-user-certificate/45CElkluxuAulC5ofiy2","Завантажити сертифікат")</f>
        <v>Завантажити сертифікат</v>
      </c>
    </row>
    <row r="3910" spans="1:6" x14ac:dyDescent="0.3">
      <c r="A3910" t="s">
        <v>8370</v>
      </c>
      <c r="B3910" t="s">
        <v>6</v>
      </c>
      <c r="C3910" t="s">
        <v>8371</v>
      </c>
      <c r="D3910" t="s">
        <v>8362</v>
      </c>
      <c r="E3910" t="s">
        <v>8363</v>
      </c>
      <c r="F3910" t="str">
        <f>HYPERLINK("https://talan.bank.gov.ua/get-user-certificate/45CEl1T8z_pDx0LRXMU0","Завантажити сертифікат")</f>
        <v>Завантажити сертифікат</v>
      </c>
    </row>
    <row r="3911" spans="1:6" x14ac:dyDescent="0.3">
      <c r="A3911" t="s">
        <v>8372</v>
      </c>
      <c r="B3911" t="s">
        <v>6</v>
      </c>
      <c r="C3911" t="s">
        <v>8373</v>
      </c>
      <c r="D3911" t="s">
        <v>8374</v>
      </c>
      <c r="E3911" t="s">
        <v>8375</v>
      </c>
      <c r="F3911" t="str">
        <f>HYPERLINK("https://talan.bank.gov.ua/get-user-certificate/45CElhIvcm5PU7_QGfdF","Завантажити сертифікат")</f>
        <v>Завантажити сертифікат</v>
      </c>
    </row>
    <row r="3912" spans="1:6" x14ac:dyDescent="0.3">
      <c r="A3912" t="s">
        <v>8376</v>
      </c>
      <c r="B3912" t="s">
        <v>6</v>
      </c>
      <c r="C3912" t="s">
        <v>8377</v>
      </c>
      <c r="D3912" t="s">
        <v>8374</v>
      </c>
      <c r="E3912" t="s">
        <v>8375</v>
      </c>
      <c r="F3912" t="str">
        <f>HYPERLINK("https://talan.bank.gov.ua/get-user-certificate/45CElkwHdL-ujgJvnOxo","Завантажити сертифікат")</f>
        <v>Завантажити сертифікат</v>
      </c>
    </row>
    <row r="3913" spans="1:6" x14ac:dyDescent="0.3">
      <c r="A3913" t="s">
        <v>8378</v>
      </c>
      <c r="B3913" t="s">
        <v>6</v>
      </c>
      <c r="C3913" t="s">
        <v>8379</v>
      </c>
      <c r="D3913" t="s">
        <v>8374</v>
      </c>
      <c r="E3913" t="s">
        <v>8375</v>
      </c>
      <c r="F3913" t="str">
        <f>HYPERLINK("https://talan.bank.gov.ua/get-user-certificate/45CElyeWy-ptO8CnpMRw","Завантажити сертифікат")</f>
        <v>Завантажити сертифікат</v>
      </c>
    </row>
    <row r="3914" spans="1:6" x14ac:dyDescent="0.3">
      <c r="A3914" t="s">
        <v>8380</v>
      </c>
      <c r="B3914" t="s">
        <v>6</v>
      </c>
      <c r="C3914" t="s">
        <v>8381</v>
      </c>
      <c r="D3914" t="s">
        <v>8374</v>
      </c>
      <c r="E3914" t="s">
        <v>8375</v>
      </c>
      <c r="F3914" t="str">
        <f>HYPERLINK("https://talan.bank.gov.ua/get-user-certificate/45CElHGbPGEj4L5oox1i","Завантажити сертифікат")</f>
        <v>Завантажити сертифікат</v>
      </c>
    </row>
    <row r="3915" spans="1:6" x14ac:dyDescent="0.3">
      <c r="A3915" t="s">
        <v>8382</v>
      </c>
      <c r="B3915" t="s">
        <v>6</v>
      </c>
      <c r="C3915" t="s">
        <v>8383</v>
      </c>
      <c r="D3915" t="s">
        <v>8374</v>
      </c>
      <c r="E3915" t="s">
        <v>8375</v>
      </c>
      <c r="F3915" t="str">
        <f>HYPERLINK("https://talan.bank.gov.ua/get-user-certificate/45CElHFWWdcC4zi8mMdS","Завантажити сертифікат")</f>
        <v>Завантажити сертифікат</v>
      </c>
    </row>
    <row r="3916" spans="1:6" x14ac:dyDescent="0.3">
      <c r="A3916" t="s">
        <v>8384</v>
      </c>
      <c r="B3916" t="s">
        <v>6</v>
      </c>
      <c r="C3916" t="s">
        <v>8385</v>
      </c>
      <c r="D3916" t="s">
        <v>8374</v>
      </c>
      <c r="E3916" t="s">
        <v>8375</v>
      </c>
      <c r="F3916" t="str">
        <f>HYPERLINK("https://talan.bank.gov.ua/get-user-certificate/45CElW2LCYMWFweNgvOk","Завантажити сертифікат")</f>
        <v>Завантажити сертифікат</v>
      </c>
    </row>
    <row r="3917" spans="1:6" x14ac:dyDescent="0.3">
      <c r="A3917" t="s">
        <v>8386</v>
      </c>
      <c r="B3917" t="s">
        <v>6</v>
      </c>
      <c r="C3917" t="s">
        <v>8387</v>
      </c>
      <c r="D3917" t="s">
        <v>8374</v>
      </c>
      <c r="E3917" t="s">
        <v>8375</v>
      </c>
      <c r="F3917" t="str">
        <f>HYPERLINK("https://talan.bank.gov.ua/get-user-certificate/45CElou-CCw_yXDZJ3yX","Завантажити сертифікат")</f>
        <v>Завантажити сертифікат</v>
      </c>
    </row>
    <row r="3918" spans="1:6" x14ac:dyDescent="0.3">
      <c r="A3918" t="s">
        <v>8388</v>
      </c>
      <c r="B3918" t="s">
        <v>6</v>
      </c>
      <c r="C3918" t="s">
        <v>8389</v>
      </c>
      <c r="D3918" t="s">
        <v>8374</v>
      </c>
      <c r="E3918" t="s">
        <v>8375</v>
      </c>
      <c r="F3918" t="str">
        <f>HYPERLINK("https://talan.bank.gov.ua/get-user-certificate/45CElSqXtGBJgI2n7nva","Завантажити сертифікат")</f>
        <v>Завантажити сертифікат</v>
      </c>
    </row>
    <row r="3919" spans="1:6" x14ac:dyDescent="0.3">
      <c r="A3919" t="s">
        <v>8390</v>
      </c>
      <c r="B3919" t="s">
        <v>6</v>
      </c>
      <c r="C3919" t="s">
        <v>8391</v>
      </c>
      <c r="D3919" t="s">
        <v>8374</v>
      </c>
      <c r="E3919" t="s">
        <v>8375</v>
      </c>
      <c r="F3919" t="str">
        <f>HYPERLINK("https://talan.bank.gov.ua/get-user-certificate/45CEl6VMZc7PLK9WiHfm","Завантажити сертифікат")</f>
        <v>Завантажити сертифікат</v>
      </c>
    </row>
    <row r="3920" spans="1:6" x14ac:dyDescent="0.3">
      <c r="A3920" t="s">
        <v>8392</v>
      </c>
      <c r="B3920" t="s">
        <v>6</v>
      </c>
      <c r="C3920" t="s">
        <v>8393</v>
      </c>
      <c r="D3920" t="s">
        <v>8374</v>
      </c>
      <c r="E3920" t="s">
        <v>8375</v>
      </c>
      <c r="F3920" t="str">
        <f>HYPERLINK("https://talan.bank.gov.ua/get-user-certificate/45CEljA4U4plmbRmBWoW","Завантажити сертифікат")</f>
        <v>Завантажити сертифікат</v>
      </c>
    </row>
    <row r="3921" spans="1:6" x14ac:dyDescent="0.3">
      <c r="A3921" t="s">
        <v>8394</v>
      </c>
      <c r="B3921" t="s">
        <v>6</v>
      </c>
      <c r="C3921" t="s">
        <v>8395</v>
      </c>
      <c r="D3921" t="s">
        <v>8374</v>
      </c>
      <c r="E3921" t="s">
        <v>8375</v>
      </c>
      <c r="F3921" t="str">
        <f>HYPERLINK("https://talan.bank.gov.ua/get-user-certificate/45CElMp6-VRa5WqilCtm","Завантажити сертифікат")</f>
        <v>Завантажити сертифікат</v>
      </c>
    </row>
    <row r="3922" spans="1:6" x14ac:dyDescent="0.3">
      <c r="A3922" t="s">
        <v>8396</v>
      </c>
      <c r="B3922" t="s">
        <v>6</v>
      </c>
      <c r="C3922" t="s">
        <v>8397</v>
      </c>
      <c r="D3922" t="s">
        <v>8374</v>
      </c>
      <c r="E3922" t="s">
        <v>8375</v>
      </c>
      <c r="F3922" t="str">
        <f>HYPERLINK("https://talan.bank.gov.ua/get-user-certificate/45CEllmt5GkbubfGOp_i","Завантажити сертифікат")</f>
        <v>Завантажити сертифікат</v>
      </c>
    </row>
    <row r="3923" spans="1:6" x14ac:dyDescent="0.3">
      <c r="A3923" t="s">
        <v>8398</v>
      </c>
      <c r="B3923" t="s">
        <v>6</v>
      </c>
      <c r="C3923" t="s">
        <v>8399</v>
      </c>
      <c r="D3923" t="s">
        <v>8374</v>
      </c>
      <c r="E3923" t="s">
        <v>8375</v>
      </c>
      <c r="F3923" t="str">
        <f>HYPERLINK("https://talan.bank.gov.ua/get-user-certificate/45CElcVGfiTkfvEMj3Z0","Завантажити сертифікат")</f>
        <v>Завантажити сертифікат</v>
      </c>
    </row>
    <row r="3924" spans="1:6" x14ac:dyDescent="0.3">
      <c r="A3924" t="s">
        <v>8400</v>
      </c>
      <c r="B3924" t="s">
        <v>6</v>
      </c>
      <c r="C3924" t="s">
        <v>8401</v>
      </c>
      <c r="D3924" t="s">
        <v>8402</v>
      </c>
      <c r="E3924" t="s">
        <v>8403</v>
      </c>
      <c r="F3924" t="str">
        <f>HYPERLINK("https://talan.bank.gov.ua/get-user-certificate/45CElHo0BJcijLQAcVRl","Завантажити сертифікат")</f>
        <v>Завантажити сертифікат</v>
      </c>
    </row>
    <row r="3925" spans="1:6" x14ac:dyDescent="0.3">
      <c r="A3925" t="s">
        <v>8404</v>
      </c>
      <c r="B3925" t="s">
        <v>6</v>
      </c>
      <c r="C3925" t="s">
        <v>8405</v>
      </c>
      <c r="D3925" t="s">
        <v>8406</v>
      </c>
      <c r="E3925" t="s">
        <v>8403</v>
      </c>
      <c r="F3925" t="str">
        <f>HYPERLINK("https://talan.bank.gov.ua/get-user-certificate/45CEl6bPBdkLwEnLkGEN","Завантажити сертифікат")</f>
        <v>Завантажити сертифікат</v>
      </c>
    </row>
    <row r="3926" spans="1:6" x14ac:dyDescent="0.3">
      <c r="A3926" t="s">
        <v>8407</v>
      </c>
      <c r="B3926" t="s">
        <v>6</v>
      </c>
      <c r="C3926" t="s">
        <v>8408</v>
      </c>
      <c r="D3926" t="s">
        <v>8409</v>
      </c>
      <c r="E3926" t="s">
        <v>8410</v>
      </c>
      <c r="F3926" t="str">
        <f>HYPERLINK("https://talan.bank.gov.ua/get-user-certificate/45CElnphwu1mgXq2-hiB","Завантажити сертифікат")</f>
        <v>Завантажити сертифікат</v>
      </c>
    </row>
    <row r="3927" spans="1:6" x14ac:dyDescent="0.3">
      <c r="A3927" t="s">
        <v>8411</v>
      </c>
      <c r="B3927" t="s">
        <v>6</v>
      </c>
      <c r="C3927" t="s">
        <v>8412</v>
      </c>
      <c r="D3927" t="s">
        <v>8409</v>
      </c>
      <c r="E3927" t="s">
        <v>8410</v>
      </c>
      <c r="F3927" t="str">
        <f>HYPERLINK("https://talan.bank.gov.ua/get-user-certificate/45CEl_UZSoPnCvYQlxvH","Завантажити сертифікат")</f>
        <v>Завантажити сертифікат</v>
      </c>
    </row>
    <row r="3928" spans="1:6" x14ac:dyDescent="0.3">
      <c r="A3928" t="s">
        <v>8413</v>
      </c>
      <c r="B3928" t="s">
        <v>6</v>
      </c>
      <c r="C3928" t="s">
        <v>8414</v>
      </c>
      <c r="D3928" t="s">
        <v>8409</v>
      </c>
      <c r="E3928" t="s">
        <v>8410</v>
      </c>
      <c r="F3928" t="str">
        <f>HYPERLINK("https://talan.bank.gov.ua/get-user-certificate/45CElD1S0RD_HqGEO6Lc","Завантажити сертифікат")</f>
        <v>Завантажити сертифікат</v>
      </c>
    </row>
    <row r="3929" spans="1:6" x14ac:dyDescent="0.3">
      <c r="A3929" t="s">
        <v>8415</v>
      </c>
      <c r="B3929" t="s">
        <v>6</v>
      </c>
      <c r="C3929" t="s">
        <v>8416</v>
      </c>
      <c r="D3929" t="s">
        <v>8409</v>
      </c>
      <c r="E3929" t="s">
        <v>8410</v>
      </c>
      <c r="F3929" t="str">
        <f>HYPERLINK("https://talan.bank.gov.ua/get-user-certificate/45CElBJ1PIeLlwFROHb-","Завантажити сертифікат")</f>
        <v>Завантажити сертифікат</v>
      </c>
    </row>
    <row r="3930" spans="1:6" x14ac:dyDescent="0.3">
      <c r="A3930" t="s">
        <v>8417</v>
      </c>
      <c r="B3930" t="s">
        <v>6</v>
      </c>
      <c r="C3930" t="s">
        <v>8418</v>
      </c>
      <c r="D3930" t="s">
        <v>8409</v>
      </c>
      <c r="E3930" t="s">
        <v>8410</v>
      </c>
      <c r="F3930" t="str">
        <f>HYPERLINK("https://talan.bank.gov.ua/get-user-certificate/45CElGcIfrQJS2hKMNZc","Завантажити сертифікат")</f>
        <v>Завантажити сертифікат</v>
      </c>
    </row>
    <row r="3931" spans="1:6" x14ac:dyDescent="0.3">
      <c r="A3931" t="s">
        <v>8419</v>
      </c>
      <c r="B3931" t="s">
        <v>6</v>
      </c>
      <c r="C3931" t="s">
        <v>8420</v>
      </c>
      <c r="D3931" t="s">
        <v>8409</v>
      </c>
      <c r="E3931" t="s">
        <v>8410</v>
      </c>
      <c r="F3931" t="str">
        <f>HYPERLINK("https://talan.bank.gov.ua/get-user-certificate/45CElOKdug_6Ct2y9jZM","Завантажити сертифікат")</f>
        <v>Завантажити сертифікат</v>
      </c>
    </row>
    <row r="3932" spans="1:6" x14ac:dyDescent="0.3">
      <c r="A3932" t="s">
        <v>8421</v>
      </c>
      <c r="B3932" t="s">
        <v>6</v>
      </c>
      <c r="C3932" t="s">
        <v>8422</v>
      </c>
      <c r="D3932" t="s">
        <v>8409</v>
      </c>
      <c r="E3932" t="s">
        <v>8410</v>
      </c>
      <c r="F3932" t="str">
        <f>HYPERLINK("https://talan.bank.gov.ua/get-user-certificate/45CElFovbeBhZ6iBpVUR","Завантажити сертифікат")</f>
        <v>Завантажити сертифікат</v>
      </c>
    </row>
    <row r="3933" spans="1:6" x14ac:dyDescent="0.3">
      <c r="A3933" t="s">
        <v>8423</v>
      </c>
      <c r="B3933" t="s">
        <v>6</v>
      </c>
      <c r="C3933" t="s">
        <v>8424</v>
      </c>
      <c r="D3933" t="s">
        <v>8409</v>
      </c>
      <c r="E3933" t="s">
        <v>8410</v>
      </c>
      <c r="F3933" t="str">
        <f>HYPERLINK("https://talan.bank.gov.ua/get-user-certificate/45CElPV8r9eAtSvTGJIt","Завантажити сертифікат")</f>
        <v>Завантажити сертифікат</v>
      </c>
    </row>
    <row r="3934" spans="1:6" x14ac:dyDescent="0.3">
      <c r="A3934" t="s">
        <v>8425</v>
      </c>
      <c r="B3934" t="s">
        <v>6</v>
      </c>
      <c r="C3934" t="s">
        <v>8426</v>
      </c>
      <c r="D3934" t="s">
        <v>8409</v>
      </c>
      <c r="E3934" t="s">
        <v>8410</v>
      </c>
      <c r="F3934" t="str">
        <f>HYPERLINK("https://talan.bank.gov.ua/get-user-certificate/45CEljlQw3gFZ3wUHrSS","Завантажити сертифікат")</f>
        <v>Завантажити сертифікат</v>
      </c>
    </row>
    <row r="3935" spans="1:6" x14ac:dyDescent="0.3">
      <c r="A3935" t="s">
        <v>8427</v>
      </c>
      <c r="B3935" t="s">
        <v>6</v>
      </c>
      <c r="C3935" t="s">
        <v>8428</v>
      </c>
      <c r="D3935" t="s">
        <v>8409</v>
      </c>
      <c r="E3935" t="s">
        <v>8410</v>
      </c>
      <c r="F3935" t="str">
        <f>HYPERLINK("https://talan.bank.gov.ua/get-user-certificate/45CElQq9xV9wGWLGdRgH","Завантажити сертифікат")</f>
        <v>Завантажити сертифікат</v>
      </c>
    </row>
    <row r="3936" spans="1:6" x14ac:dyDescent="0.3">
      <c r="A3936" t="s">
        <v>8429</v>
      </c>
      <c r="B3936" t="s">
        <v>6</v>
      </c>
      <c r="C3936" t="s">
        <v>8430</v>
      </c>
      <c r="D3936" t="s">
        <v>8409</v>
      </c>
      <c r="E3936" t="s">
        <v>8410</v>
      </c>
      <c r="F3936" t="str">
        <f>HYPERLINK("https://talan.bank.gov.ua/get-user-certificate/45CEliQin5WfYW75jAbg","Завантажити сертифікат")</f>
        <v>Завантажити сертифікат</v>
      </c>
    </row>
    <row r="3937" spans="1:6" x14ac:dyDescent="0.3">
      <c r="A3937" t="s">
        <v>8431</v>
      </c>
      <c r="B3937" t="s">
        <v>6</v>
      </c>
      <c r="C3937" t="s">
        <v>8432</v>
      </c>
      <c r="D3937" t="s">
        <v>8409</v>
      </c>
      <c r="E3937" t="s">
        <v>8410</v>
      </c>
      <c r="F3937" t="str">
        <f>HYPERLINK("https://talan.bank.gov.ua/get-user-certificate/45CElxyg6b8O9iZAHdhq","Завантажити сертифікат")</f>
        <v>Завантажити сертифікат</v>
      </c>
    </row>
    <row r="3938" spans="1:6" x14ac:dyDescent="0.3">
      <c r="A3938" t="s">
        <v>8433</v>
      </c>
      <c r="B3938" t="s">
        <v>6</v>
      </c>
      <c r="C3938" t="s">
        <v>8434</v>
      </c>
      <c r="D3938" t="s">
        <v>8409</v>
      </c>
      <c r="E3938" t="s">
        <v>8410</v>
      </c>
      <c r="F3938" t="str">
        <f>HYPERLINK("https://talan.bank.gov.ua/get-user-certificate/45CElyZGzlhFO1Tq4DX7","Завантажити сертифікат")</f>
        <v>Завантажити сертифікат</v>
      </c>
    </row>
    <row r="3939" spans="1:6" x14ac:dyDescent="0.3">
      <c r="A3939" t="s">
        <v>8435</v>
      </c>
      <c r="B3939" t="s">
        <v>6</v>
      </c>
      <c r="C3939" t="s">
        <v>8436</v>
      </c>
      <c r="D3939" t="s">
        <v>8409</v>
      </c>
      <c r="E3939" t="s">
        <v>8410</v>
      </c>
      <c r="F3939" t="str">
        <f>HYPERLINK("https://talan.bank.gov.ua/get-user-certificate/45CElB5cWYuSUO_JzUr2","Завантажити сертифікат")</f>
        <v>Завантажити сертифікат</v>
      </c>
    </row>
    <row r="3940" spans="1:6" x14ac:dyDescent="0.3">
      <c r="A3940" t="s">
        <v>8437</v>
      </c>
      <c r="B3940" t="s">
        <v>6</v>
      </c>
      <c r="C3940" t="s">
        <v>8438</v>
      </c>
      <c r="D3940" t="s">
        <v>8409</v>
      </c>
      <c r="E3940" t="s">
        <v>8410</v>
      </c>
      <c r="F3940" t="str">
        <f>HYPERLINK("https://talan.bank.gov.ua/get-user-certificate/45CElRMf_htv9LPKEN1F","Завантажити сертифікат")</f>
        <v>Завантажити сертифікат</v>
      </c>
    </row>
    <row r="3941" spans="1:6" x14ac:dyDescent="0.3">
      <c r="A3941" t="s">
        <v>8439</v>
      </c>
      <c r="B3941" t="s">
        <v>6</v>
      </c>
      <c r="C3941" t="s">
        <v>8440</v>
      </c>
      <c r="D3941" t="s">
        <v>8409</v>
      </c>
      <c r="E3941" t="s">
        <v>8410</v>
      </c>
      <c r="F3941" t="str">
        <f>HYPERLINK("https://talan.bank.gov.ua/get-user-certificate/45CEl2yE7pZ1_ApkMn3p","Завантажити сертифікат")</f>
        <v>Завантажити сертифікат</v>
      </c>
    </row>
    <row r="3942" spans="1:6" x14ac:dyDescent="0.3">
      <c r="A3942" t="s">
        <v>8441</v>
      </c>
      <c r="B3942" t="s">
        <v>6</v>
      </c>
      <c r="C3942" t="s">
        <v>8442</v>
      </c>
      <c r="D3942" t="s">
        <v>8409</v>
      </c>
      <c r="E3942" t="s">
        <v>8410</v>
      </c>
      <c r="F3942" t="str">
        <f>HYPERLINK("https://talan.bank.gov.ua/get-user-certificate/45CEl40epdJlEhmvxuFY","Завантажити сертифікат")</f>
        <v>Завантажити сертифікат</v>
      </c>
    </row>
    <row r="3943" spans="1:6" x14ac:dyDescent="0.3">
      <c r="A3943" t="s">
        <v>8443</v>
      </c>
      <c r="B3943" t="s">
        <v>6</v>
      </c>
      <c r="C3943" t="s">
        <v>8444</v>
      </c>
      <c r="D3943" t="s">
        <v>8409</v>
      </c>
      <c r="E3943" t="s">
        <v>8410</v>
      </c>
      <c r="F3943" t="str">
        <f>HYPERLINK("https://talan.bank.gov.ua/get-user-certificate/45CElKPbHqdFMPzVf2Xy","Завантажити сертифікат")</f>
        <v>Завантажити сертифікат</v>
      </c>
    </row>
    <row r="3944" spans="1:6" x14ac:dyDescent="0.3">
      <c r="A3944" t="s">
        <v>8445</v>
      </c>
      <c r="B3944" t="s">
        <v>6</v>
      </c>
      <c r="C3944" t="s">
        <v>8446</v>
      </c>
      <c r="D3944" t="s">
        <v>8409</v>
      </c>
      <c r="E3944" t="s">
        <v>8410</v>
      </c>
      <c r="F3944" t="str">
        <f>HYPERLINK("https://talan.bank.gov.ua/get-user-certificate/45CElTtb6FAPqS6Kenjp","Завантажити сертифікат")</f>
        <v>Завантажити сертифікат</v>
      </c>
    </row>
    <row r="3945" spans="1:6" x14ac:dyDescent="0.3">
      <c r="A3945" t="s">
        <v>8447</v>
      </c>
      <c r="B3945" t="s">
        <v>6</v>
      </c>
      <c r="C3945" t="s">
        <v>8448</v>
      </c>
      <c r="D3945" t="s">
        <v>8409</v>
      </c>
      <c r="E3945" t="s">
        <v>8410</v>
      </c>
      <c r="F3945" t="str">
        <f>HYPERLINK("https://talan.bank.gov.ua/get-user-certificate/45CElJHTLlfW4zoaQALk","Завантажити сертифікат")</f>
        <v>Завантажити сертифікат</v>
      </c>
    </row>
    <row r="3946" spans="1:6" x14ac:dyDescent="0.3">
      <c r="A3946" t="s">
        <v>8449</v>
      </c>
      <c r="B3946" t="s">
        <v>6</v>
      </c>
      <c r="C3946" t="s">
        <v>8450</v>
      </c>
      <c r="D3946" t="s">
        <v>8409</v>
      </c>
      <c r="E3946" t="s">
        <v>8410</v>
      </c>
      <c r="F3946" t="str">
        <f>HYPERLINK("https://talan.bank.gov.ua/get-user-certificate/45CElyQ4uXVDh03Ektst","Завантажити сертифікат")</f>
        <v>Завантажити сертифікат</v>
      </c>
    </row>
    <row r="3947" spans="1:6" x14ac:dyDescent="0.3">
      <c r="A3947" t="s">
        <v>8451</v>
      </c>
      <c r="B3947" t="s">
        <v>6</v>
      </c>
      <c r="C3947" t="s">
        <v>8452</v>
      </c>
      <c r="D3947" t="s">
        <v>8409</v>
      </c>
      <c r="E3947" t="s">
        <v>8410</v>
      </c>
      <c r="F3947" t="str">
        <f>HYPERLINK("https://talan.bank.gov.ua/get-user-certificate/45CElPpZXlfTxBIw3n05","Завантажити сертифікат")</f>
        <v>Завантажити сертифікат</v>
      </c>
    </row>
    <row r="3948" spans="1:6" x14ac:dyDescent="0.3">
      <c r="A3948" t="s">
        <v>8453</v>
      </c>
      <c r="B3948" t="s">
        <v>6</v>
      </c>
      <c r="C3948" t="s">
        <v>8454</v>
      </c>
      <c r="D3948" t="s">
        <v>8409</v>
      </c>
      <c r="E3948" t="s">
        <v>8410</v>
      </c>
      <c r="F3948" t="str">
        <f>HYPERLINK("https://talan.bank.gov.ua/get-user-certificate/45CElqPlCHXG-MaXSlsC","Завантажити сертифікат")</f>
        <v>Завантажити сертифікат</v>
      </c>
    </row>
    <row r="3949" spans="1:6" x14ac:dyDescent="0.3">
      <c r="A3949" t="s">
        <v>8455</v>
      </c>
      <c r="B3949" t="s">
        <v>6</v>
      </c>
      <c r="C3949" t="s">
        <v>8456</v>
      </c>
      <c r="D3949" t="s">
        <v>8409</v>
      </c>
      <c r="E3949" t="s">
        <v>8410</v>
      </c>
      <c r="F3949" t="str">
        <f>HYPERLINK("https://talan.bank.gov.ua/get-user-certificate/45CElh0KQfW05meqvva2","Завантажити сертифікат")</f>
        <v>Завантажити сертифікат</v>
      </c>
    </row>
    <row r="3950" spans="1:6" x14ac:dyDescent="0.3">
      <c r="A3950" t="s">
        <v>8457</v>
      </c>
      <c r="B3950" t="s">
        <v>6</v>
      </c>
      <c r="C3950" t="s">
        <v>8458</v>
      </c>
      <c r="D3950" t="s">
        <v>8409</v>
      </c>
      <c r="E3950" t="s">
        <v>8410</v>
      </c>
      <c r="F3950" t="str">
        <f>HYPERLINK("https://talan.bank.gov.ua/get-user-certificate/45CEluupcE0Me5JNXwFC","Завантажити сертифікат")</f>
        <v>Завантажити сертифікат</v>
      </c>
    </row>
    <row r="3951" spans="1:6" x14ac:dyDescent="0.3">
      <c r="A3951" t="s">
        <v>8459</v>
      </c>
      <c r="B3951" t="s">
        <v>6</v>
      </c>
      <c r="C3951" t="s">
        <v>8460</v>
      </c>
      <c r="D3951" t="s">
        <v>8409</v>
      </c>
      <c r="E3951" t="s">
        <v>8410</v>
      </c>
      <c r="F3951" t="str">
        <f>HYPERLINK("https://talan.bank.gov.ua/get-user-certificate/45CElZuk7UlypNER8sBP","Завантажити сертифікат")</f>
        <v>Завантажити сертифікат</v>
      </c>
    </row>
    <row r="3952" spans="1:6" x14ac:dyDescent="0.3">
      <c r="A3952" t="s">
        <v>8461</v>
      </c>
      <c r="B3952" t="s">
        <v>6</v>
      </c>
      <c r="C3952" t="s">
        <v>8462</v>
      </c>
      <c r="D3952" t="s">
        <v>8409</v>
      </c>
      <c r="E3952" t="s">
        <v>8410</v>
      </c>
      <c r="F3952" t="str">
        <f>HYPERLINK("https://talan.bank.gov.ua/get-user-certificate/45CElB3Th_PxqmWn5kkf","Завантажити сертифікат")</f>
        <v>Завантажити сертифікат</v>
      </c>
    </row>
    <row r="3953" spans="1:6" x14ac:dyDescent="0.3">
      <c r="A3953" t="s">
        <v>8463</v>
      </c>
      <c r="B3953" t="s">
        <v>6</v>
      </c>
      <c r="C3953" t="s">
        <v>8464</v>
      </c>
      <c r="D3953" t="s">
        <v>8409</v>
      </c>
      <c r="E3953" t="s">
        <v>8410</v>
      </c>
      <c r="F3953" t="str">
        <f>HYPERLINK("https://talan.bank.gov.ua/get-user-certificate/45CEluebiO9mAse7vTDr","Завантажити сертифікат")</f>
        <v>Завантажити сертифікат</v>
      </c>
    </row>
    <row r="3954" spans="1:6" x14ac:dyDescent="0.3">
      <c r="A3954" t="s">
        <v>8465</v>
      </c>
      <c r="B3954" t="s">
        <v>6</v>
      </c>
      <c r="C3954" t="s">
        <v>8466</v>
      </c>
      <c r="D3954" t="s">
        <v>8409</v>
      </c>
      <c r="E3954" t="s">
        <v>8410</v>
      </c>
      <c r="F3954" t="str">
        <f>HYPERLINK("https://talan.bank.gov.ua/get-user-certificate/45CElpyNZ-D6gDC8NDdx","Завантажити сертифікат")</f>
        <v>Завантажити сертифікат</v>
      </c>
    </row>
    <row r="3955" spans="1:6" x14ac:dyDescent="0.3">
      <c r="A3955" t="s">
        <v>8467</v>
      </c>
      <c r="B3955" t="s">
        <v>6</v>
      </c>
      <c r="C3955" t="s">
        <v>8468</v>
      </c>
      <c r="D3955" t="s">
        <v>8469</v>
      </c>
      <c r="E3955" t="s">
        <v>8470</v>
      </c>
      <c r="F3955" t="str">
        <f>HYPERLINK("https://talan.bank.gov.ua/get-user-certificate/45CElNgL2PLG466KCiwi","Завантажити сертифікат")</f>
        <v>Завантажити сертифікат</v>
      </c>
    </row>
    <row r="3956" spans="1:6" x14ac:dyDescent="0.3">
      <c r="A3956" t="s">
        <v>8471</v>
      </c>
      <c r="B3956" t="s">
        <v>6</v>
      </c>
      <c r="C3956" t="s">
        <v>8472</v>
      </c>
      <c r="D3956" t="s">
        <v>8473</v>
      </c>
      <c r="E3956" t="s">
        <v>8470</v>
      </c>
      <c r="F3956" t="str">
        <f>HYPERLINK("https://talan.bank.gov.ua/get-user-certificate/45CElUBcFp19KL5YVmLn","Завантажити сертифікат")</f>
        <v>Завантажити сертифікат</v>
      </c>
    </row>
    <row r="3957" spans="1:6" x14ac:dyDescent="0.3">
      <c r="A3957" t="s">
        <v>8474</v>
      </c>
      <c r="B3957" t="s">
        <v>6</v>
      </c>
      <c r="C3957" t="s">
        <v>8475</v>
      </c>
      <c r="D3957" t="s">
        <v>8476</v>
      </c>
      <c r="E3957" t="s">
        <v>8470</v>
      </c>
      <c r="F3957" t="str">
        <f>HYPERLINK("https://talan.bank.gov.ua/get-user-certificate/45CEl5nPBLUAfGsPdRAI","Завантажити сертифікат")</f>
        <v>Завантажити сертифікат</v>
      </c>
    </row>
    <row r="3958" spans="1:6" x14ac:dyDescent="0.3">
      <c r="A3958" t="s">
        <v>8477</v>
      </c>
      <c r="B3958" t="s">
        <v>6</v>
      </c>
      <c r="C3958" t="s">
        <v>8478</v>
      </c>
      <c r="D3958" t="s">
        <v>8479</v>
      </c>
      <c r="E3958" t="s">
        <v>8470</v>
      </c>
      <c r="F3958" t="str">
        <f>HYPERLINK("https://talan.bank.gov.ua/get-user-certificate/45CElRNMeD3qRMi_Mvks","Завантажити сертифікат")</f>
        <v>Завантажити сертифікат</v>
      </c>
    </row>
    <row r="3959" spans="1:6" x14ac:dyDescent="0.3">
      <c r="A3959" t="s">
        <v>8480</v>
      </c>
      <c r="B3959" t="s">
        <v>6</v>
      </c>
      <c r="C3959" t="s">
        <v>8481</v>
      </c>
      <c r="D3959" t="s">
        <v>8482</v>
      </c>
      <c r="E3959" t="s">
        <v>8470</v>
      </c>
      <c r="F3959" t="str">
        <f>HYPERLINK("https://talan.bank.gov.ua/get-user-certificate/45CElkaitqBZUQGlwnpJ","Завантажити сертифікат")</f>
        <v>Завантажити сертифікат</v>
      </c>
    </row>
    <row r="3960" spans="1:6" x14ac:dyDescent="0.3">
      <c r="A3960" t="s">
        <v>8483</v>
      </c>
      <c r="B3960" t="s">
        <v>6</v>
      </c>
      <c r="C3960" t="s">
        <v>8484</v>
      </c>
      <c r="D3960" t="s">
        <v>8485</v>
      </c>
      <c r="E3960" t="s">
        <v>8470</v>
      </c>
      <c r="F3960" t="str">
        <f>HYPERLINK("https://talan.bank.gov.ua/get-user-certificate/45CElHjl0VOPCqhNkofg","Завантажити сертифікат")</f>
        <v>Завантажити сертифікат</v>
      </c>
    </row>
    <row r="3961" spans="1:6" x14ac:dyDescent="0.3">
      <c r="A3961" t="s">
        <v>8486</v>
      </c>
      <c r="B3961" t="s">
        <v>6</v>
      </c>
      <c r="C3961" t="s">
        <v>8487</v>
      </c>
      <c r="D3961" t="s">
        <v>8488</v>
      </c>
      <c r="E3961" t="s">
        <v>8470</v>
      </c>
      <c r="F3961" t="str">
        <f>HYPERLINK("https://talan.bank.gov.ua/get-user-certificate/45CEl1f8tzvy28EXENiZ","Завантажити сертифікат")</f>
        <v>Завантажити сертифікат</v>
      </c>
    </row>
    <row r="3962" spans="1:6" x14ac:dyDescent="0.3">
      <c r="A3962" t="s">
        <v>8489</v>
      </c>
      <c r="B3962" t="s">
        <v>6</v>
      </c>
      <c r="C3962" t="s">
        <v>8490</v>
      </c>
      <c r="D3962" t="s">
        <v>8491</v>
      </c>
      <c r="E3962" t="s">
        <v>8470</v>
      </c>
      <c r="F3962" t="str">
        <f>HYPERLINK("https://talan.bank.gov.ua/get-user-certificate/45CEldRaiIlrL8aXoSBf","Завантажити сертифікат")</f>
        <v>Завантажити сертифікат</v>
      </c>
    </row>
    <row r="3963" spans="1:6" x14ac:dyDescent="0.3">
      <c r="A3963" t="s">
        <v>8492</v>
      </c>
      <c r="B3963" t="s">
        <v>6</v>
      </c>
      <c r="C3963" t="s">
        <v>8493</v>
      </c>
      <c r="D3963" t="s">
        <v>8494</v>
      </c>
      <c r="E3963" t="s">
        <v>8470</v>
      </c>
      <c r="F3963" t="str">
        <f>HYPERLINK("https://talan.bank.gov.ua/get-user-certificate/45CElmjuUqf1hy08PWWy","Завантажити сертифікат")</f>
        <v>Завантажити сертифікат</v>
      </c>
    </row>
    <row r="3964" spans="1:6" x14ac:dyDescent="0.3">
      <c r="A3964" t="s">
        <v>8495</v>
      </c>
      <c r="B3964" t="s">
        <v>6</v>
      </c>
      <c r="C3964" t="s">
        <v>8496</v>
      </c>
      <c r="D3964" t="s">
        <v>8497</v>
      </c>
      <c r="E3964" t="s">
        <v>8470</v>
      </c>
      <c r="F3964" t="str">
        <f>HYPERLINK("https://talan.bank.gov.ua/get-user-certificate/45CElizFsX3jXUfXeTYa","Завантажити сертифікат")</f>
        <v>Завантажити сертифікат</v>
      </c>
    </row>
    <row r="3965" spans="1:6" x14ac:dyDescent="0.3">
      <c r="A3965" t="s">
        <v>8498</v>
      </c>
      <c r="B3965" t="s">
        <v>6</v>
      </c>
      <c r="C3965" t="s">
        <v>8499</v>
      </c>
      <c r="D3965" t="s">
        <v>8500</v>
      </c>
      <c r="E3965" t="s">
        <v>8470</v>
      </c>
      <c r="F3965" t="str">
        <f>HYPERLINK("https://talan.bank.gov.ua/get-user-certificate/45CEloM318KVmtvczQU2","Завантажити сертифікат")</f>
        <v>Завантажити сертифікат</v>
      </c>
    </row>
    <row r="3966" spans="1:6" x14ac:dyDescent="0.3">
      <c r="A3966" t="s">
        <v>8501</v>
      </c>
      <c r="B3966" t="s">
        <v>6</v>
      </c>
      <c r="C3966" t="s">
        <v>8502</v>
      </c>
      <c r="D3966" t="s">
        <v>8503</v>
      </c>
      <c r="E3966" t="s">
        <v>8470</v>
      </c>
      <c r="F3966" t="str">
        <f>HYPERLINK("https://talan.bank.gov.ua/get-user-certificate/45CElct77ZG7DaD6T_zq","Завантажити сертифікат")</f>
        <v>Завантажити сертифікат</v>
      </c>
    </row>
    <row r="3967" spans="1:6" x14ac:dyDescent="0.3">
      <c r="A3967" t="s">
        <v>8504</v>
      </c>
      <c r="B3967" t="s">
        <v>6</v>
      </c>
      <c r="C3967" t="s">
        <v>8505</v>
      </c>
      <c r="D3967" t="s">
        <v>8506</v>
      </c>
      <c r="E3967" t="s">
        <v>8470</v>
      </c>
      <c r="F3967" t="str">
        <f>HYPERLINK("https://talan.bank.gov.ua/get-user-certificate/45CEluf3cijEYmgApznU","Завантажити сертифікат")</f>
        <v>Завантажити сертифікат</v>
      </c>
    </row>
    <row r="3968" spans="1:6" x14ac:dyDescent="0.3">
      <c r="A3968" t="s">
        <v>8507</v>
      </c>
      <c r="B3968" t="s">
        <v>6</v>
      </c>
      <c r="C3968" t="s">
        <v>8508</v>
      </c>
      <c r="D3968" t="s">
        <v>8509</v>
      </c>
      <c r="E3968" t="s">
        <v>8470</v>
      </c>
      <c r="F3968" t="str">
        <f>HYPERLINK("https://talan.bank.gov.ua/get-user-certificate/45CEl0qBjF9SkrEBF8sk","Завантажити сертифікат")</f>
        <v>Завантажити сертифікат</v>
      </c>
    </row>
    <row r="3969" spans="1:6" x14ac:dyDescent="0.3">
      <c r="A3969" t="s">
        <v>8510</v>
      </c>
      <c r="B3969" t="s">
        <v>6</v>
      </c>
      <c r="C3969" t="s">
        <v>8511</v>
      </c>
      <c r="D3969" t="s">
        <v>8512</v>
      </c>
      <c r="E3969" t="s">
        <v>8513</v>
      </c>
      <c r="F3969" t="str">
        <f>HYPERLINK("https://talan.bank.gov.ua/get-user-certificate/45CEl7s-4LJCswQR8fjP","Завантажити сертифікат")</f>
        <v>Завантажити сертифікат</v>
      </c>
    </row>
    <row r="3970" spans="1:6" x14ac:dyDescent="0.3">
      <c r="A3970" t="s">
        <v>8514</v>
      </c>
      <c r="B3970" t="s">
        <v>6</v>
      </c>
      <c r="C3970" t="s">
        <v>8515</v>
      </c>
      <c r="D3970" t="s">
        <v>8512</v>
      </c>
      <c r="E3970" t="s">
        <v>8513</v>
      </c>
      <c r="F3970" t="str">
        <f>HYPERLINK("https://talan.bank.gov.ua/get-user-certificate/45CEleY87WkMhhbLhMA3","Завантажити сертифікат")</f>
        <v>Завантажити сертифікат</v>
      </c>
    </row>
    <row r="3971" spans="1:6" x14ac:dyDescent="0.3">
      <c r="A3971" t="s">
        <v>8516</v>
      </c>
      <c r="B3971" t="s">
        <v>6</v>
      </c>
      <c r="C3971" t="s">
        <v>8517</v>
      </c>
      <c r="D3971" t="s">
        <v>8512</v>
      </c>
      <c r="E3971" t="s">
        <v>8513</v>
      </c>
      <c r="F3971" t="str">
        <f>HYPERLINK("https://talan.bank.gov.ua/get-user-certificate/45CElkHqArJE7i-Tk3GN","Завантажити сертифікат")</f>
        <v>Завантажити сертифікат</v>
      </c>
    </row>
    <row r="3972" spans="1:6" x14ac:dyDescent="0.3">
      <c r="A3972" t="s">
        <v>8518</v>
      </c>
      <c r="B3972" t="s">
        <v>6</v>
      </c>
      <c r="C3972" t="s">
        <v>8519</v>
      </c>
      <c r="D3972" t="s">
        <v>8512</v>
      </c>
      <c r="E3972" t="s">
        <v>8513</v>
      </c>
      <c r="F3972" t="str">
        <f>HYPERLINK("https://talan.bank.gov.ua/get-user-certificate/45CElzxRbBxQzGVr_4L2","Завантажити сертифікат")</f>
        <v>Завантажити сертифікат</v>
      </c>
    </row>
    <row r="3973" spans="1:6" x14ac:dyDescent="0.3">
      <c r="A3973" t="s">
        <v>8520</v>
      </c>
      <c r="B3973" t="s">
        <v>6</v>
      </c>
      <c r="C3973" t="s">
        <v>8521</v>
      </c>
      <c r="D3973" t="s">
        <v>8512</v>
      </c>
      <c r="E3973" t="s">
        <v>8513</v>
      </c>
      <c r="F3973" t="str">
        <f>HYPERLINK("https://talan.bank.gov.ua/get-user-certificate/45CElhLqt1vmSaJo2G_C","Завантажити сертифікат")</f>
        <v>Завантажити сертифікат</v>
      </c>
    </row>
    <row r="3974" spans="1:6" x14ac:dyDescent="0.3">
      <c r="A3974" t="s">
        <v>8522</v>
      </c>
      <c r="B3974" t="s">
        <v>6</v>
      </c>
      <c r="C3974" t="s">
        <v>8523</v>
      </c>
      <c r="D3974" t="s">
        <v>8512</v>
      </c>
      <c r="E3974" t="s">
        <v>8513</v>
      </c>
      <c r="F3974" t="str">
        <f>HYPERLINK("https://talan.bank.gov.ua/get-user-certificate/45CElElxnoj0KEHeaamJ","Завантажити сертифікат")</f>
        <v>Завантажити сертифікат</v>
      </c>
    </row>
    <row r="3975" spans="1:6" x14ac:dyDescent="0.3">
      <c r="A3975" t="s">
        <v>8524</v>
      </c>
      <c r="B3975" t="s">
        <v>6</v>
      </c>
      <c r="C3975" t="s">
        <v>8525</v>
      </c>
      <c r="D3975" t="s">
        <v>8512</v>
      </c>
      <c r="E3975" t="s">
        <v>8513</v>
      </c>
      <c r="F3975" t="str">
        <f>HYPERLINK("https://talan.bank.gov.ua/get-user-certificate/45CElNUC67qli8lJX0Qh","Завантажити сертифікат")</f>
        <v>Завантажити сертифікат</v>
      </c>
    </row>
    <row r="3976" spans="1:6" x14ac:dyDescent="0.3">
      <c r="A3976" t="s">
        <v>8526</v>
      </c>
      <c r="B3976" t="s">
        <v>6</v>
      </c>
      <c r="C3976" t="s">
        <v>8527</v>
      </c>
      <c r="D3976" t="s">
        <v>8512</v>
      </c>
      <c r="E3976" t="s">
        <v>8513</v>
      </c>
      <c r="F3976" t="str">
        <f>HYPERLINK("https://talan.bank.gov.ua/get-user-certificate/45CElre4ziaTcPpRv9JR","Завантажити сертифікат")</f>
        <v>Завантажити сертифікат</v>
      </c>
    </row>
    <row r="3977" spans="1:6" x14ac:dyDescent="0.3">
      <c r="A3977" t="s">
        <v>8528</v>
      </c>
      <c r="B3977" t="s">
        <v>6</v>
      </c>
      <c r="C3977" t="s">
        <v>8529</v>
      </c>
      <c r="D3977" t="s">
        <v>8512</v>
      </c>
      <c r="E3977" t="s">
        <v>8513</v>
      </c>
      <c r="F3977" t="str">
        <f>HYPERLINK("https://talan.bank.gov.ua/get-user-certificate/45CElP16qgjefVvQ-Yer","Завантажити сертифікат")</f>
        <v>Завантажити сертифікат</v>
      </c>
    </row>
    <row r="3978" spans="1:6" x14ac:dyDescent="0.3">
      <c r="A3978" t="s">
        <v>8530</v>
      </c>
      <c r="B3978" t="s">
        <v>6</v>
      </c>
      <c r="C3978" t="s">
        <v>8531</v>
      </c>
      <c r="D3978" t="s">
        <v>8512</v>
      </c>
      <c r="E3978" t="s">
        <v>8513</v>
      </c>
      <c r="F3978" t="str">
        <f>HYPERLINK("https://talan.bank.gov.ua/get-user-certificate/45CElRFUuHkxt4Z0e-qJ","Завантажити сертифікат")</f>
        <v>Завантажити сертифікат</v>
      </c>
    </row>
    <row r="3979" spans="1:6" x14ac:dyDescent="0.3">
      <c r="A3979" t="s">
        <v>8532</v>
      </c>
      <c r="B3979" t="s">
        <v>6</v>
      </c>
      <c r="C3979" t="s">
        <v>8533</v>
      </c>
      <c r="D3979" t="s">
        <v>8512</v>
      </c>
      <c r="E3979" t="s">
        <v>8513</v>
      </c>
      <c r="F3979" t="str">
        <f>HYPERLINK("https://talan.bank.gov.ua/get-user-certificate/45CElmhb_zPjoQpupEvZ","Завантажити сертифікат")</f>
        <v>Завантажити сертифікат</v>
      </c>
    </row>
    <row r="3980" spans="1:6" x14ac:dyDescent="0.3">
      <c r="A3980" t="s">
        <v>8534</v>
      </c>
      <c r="B3980" t="s">
        <v>6</v>
      </c>
      <c r="C3980" t="s">
        <v>8535</v>
      </c>
      <c r="D3980" t="s">
        <v>8512</v>
      </c>
      <c r="E3980" t="s">
        <v>8513</v>
      </c>
      <c r="F3980" t="str">
        <f>HYPERLINK("https://talan.bank.gov.ua/get-user-certificate/45CEl5zlc2HaL6pCJi8c","Завантажити сертифікат")</f>
        <v>Завантажити сертифікат</v>
      </c>
    </row>
    <row r="3981" spans="1:6" x14ac:dyDescent="0.3">
      <c r="A3981" t="s">
        <v>8536</v>
      </c>
      <c r="B3981" t="s">
        <v>6</v>
      </c>
      <c r="C3981" t="s">
        <v>8537</v>
      </c>
      <c r="D3981" t="s">
        <v>8512</v>
      </c>
      <c r="E3981" t="s">
        <v>8513</v>
      </c>
      <c r="F3981" t="str">
        <f>HYPERLINK("https://talan.bank.gov.ua/get-user-certificate/45CEldDhTtc7mH6zi7Bn","Завантажити сертифікат")</f>
        <v>Завантажити сертифікат</v>
      </c>
    </row>
    <row r="3982" spans="1:6" x14ac:dyDescent="0.3">
      <c r="A3982" t="s">
        <v>8538</v>
      </c>
      <c r="B3982" t="s">
        <v>6</v>
      </c>
      <c r="C3982" t="s">
        <v>8539</v>
      </c>
      <c r="D3982" t="s">
        <v>8512</v>
      </c>
      <c r="E3982" t="s">
        <v>8513</v>
      </c>
      <c r="F3982" t="str">
        <f>HYPERLINK("https://talan.bank.gov.ua/get-user-certificate/45CEljebzOTn8uT4UMjd","Завантажити сертифікат")</f>
        <v>Завантажити сертифікат</v>
      </c>
    </row>
    <row r="3983" spans="1:6" x14ac:dyDescent="0.3">
      <c r="A3983" t="s">
        <v>8540</v>
      </c>
      <c r="B3983" t="s">
        <v>6</v>
      </c>
      <c r="C3983" t="s">
        <v>8541</v>
      </c>
      <c r="D3983" t="s">
        <v>8512</v>
      </c>
      <c r="E3983" t="s">
        <v>8513</v>
      </c>
      <c r="F3983" t="str">
        <f>HYPERLINK("https://talan.bank.gov.ua/get-user-certificate/45CElGQsBqszwV3PuD-4","Завантажити сертифікат")</f>
        <v>Завантажити сертифікат</v>
      </c>
    </row>
    <row r="3984" spans="1:6" x14ac:dyDescent="0.3">
      <c r="A3984" t="s">
        <v>8542</v>
      </c>
      <c r="B3984" t="s">
        <v>6</v>
      </c>
      <c r="C3984" t="s">
        <v>8543</v>
      </c>
      <c r="D3984" t="s">
        <v>8512</v>
      </c>
      <c r="E3984" t="s">
        <v>8513</v>
      </c>
      <c r="F3984" t="str">
        <f>HYPERLINK("https://talan.bank.gov.ua/get-user-certificate/45CElcPW8gVmq1sEBt24","Завантажити сертифікат")</f>
        <v>Завантажити сертифікат</v>
      </c>
    </row>
    <row r="3985" spans="1:6" x14ac:dyDescent="0.3">
      <c r="A3985" t="s">
        <v>8544</v>
      </c>
      <c r="B3985" t="s">
        <v>6</v>
      </c>
      <c r="C3985" t="s">
        <v>8545</v>
      </c>
      <c r="D3985" t="s">
        <v>8512</v>
      </c>
      <c r="E3985" t="s">
        <v>8513</v>
      </c>
      <c r="F3985" t="str">
        <f>HYPERLINK("https://talan.bank.gov.ua/get-user-certificate/45CEl1XrGGY43BpaLPoI","Завантажити сертифікат")</f>
        <v>Завантажити сертифікат</v>
      </c>
    </row>
    <row r="3986" spans="1:6" x14ac:dyDescent="0.3">
      <c r="A3986" t="s">
        <v>8546</v>
      </c>
      <c r="B3986" t="s">
        <v>6</v>
      </c>
      <c r="C3986" t="s">
        <v>8547</v>
      </c>
      <c r="D3986" t="s">
        <v>8512</v>
      </c>
      <c r="E3986" t="s">
        <v>8513</v>
      </c>
      <c r="F3986" t="str">
        <f>HYPERLINK("https://talan.bank.gov.ua/get-user-certificate/45CElXQEx7xG2u1cy1oV","Завантажити сертифікат")</f>
        <v>Завантажити сертифікат</v>
      </c>
    </row>
    <row r="3987" spans="1:6" x14ac:dyDescent="0.3">
      <c r="A3987" t="s">
        <v>8548</v>
      </c>
      <c r="B3987" t="s">
        <v>6</v>
      </c>
      <c r="C3987" t="s">
        <v>8549</v>
      </c>
      <c r="D3987" t="s">
        <v>8512</v>
      </c>
      <c r="E3987" t="s">
        <v>8513</v>
      </c>
      <c r="F3987" t="str">
        <f>HYPERLINK("https://talan.bank.gov.ua/get-user-certificate/45CElKN9DVp42EXCmUD0","Завантажити сертифікат")</f>
        <v>Завантажити сертифікат</v>
      </c>
    </row>
    <row r="3988" spans="1:6" x14ac:dyDescent="0.3">
      <c r="A3988" t="s">
        <v>8550</v>
      </c>
      <c r="B3988" t="s">
        <v>6</v>
      </c>
      <c r="C3988" t="s">
        <v>8551</v>
      </c>
      <c r="D3988" t="s">
        <v>8512</v>
      </c>
      <c r="E3988" t="s">
        <v>8513</v>
      </c>
      <c r="F3988" t="str">
        <f>HYPERLINK("https://talan.bank.gov.ua/get-user-certificate/45CElsecf45CNEL8e_Sh","Завантажити сертифікат")</f>
        <v>Завантажити сертифікат</v>
      </c>
    </row>
    <row r="3989" spans="1:6" x14ac:dyDescent="0.3">
      <c r="A3989" t="s">
        <v>8552</v>
      </c>
      <c r="B3989" t="s">
        <v>6</v>
      </c>
      <c r="C3989" t="s">
        <v>8553</v>
      </c>
      <c r="D3989" t="s">
        <v>8512</v>
      </c>
      <c r="E3989" t="s">
        <v>8513</v>
      </c>
      <c r="F3989" t="str">
        <f>HYPERLINK("https://talan.bank.gov.ua/get-user-certificate/45CEl6C7oMokVabWBCnD","Завантажити сертифікат")</f>
        <v>Завантажити сертифікат</v>
      </c>
    </row>
    <row r="3990" spans="1:6" x14ac:dyDescent="0.3">
      <c r="A3990" t="s">
        <v>8554</v>
      </c>
      <c r="B3990" t="s">
        <v>6</v>
      </c>
      <c r="C3990" t="s">
        <v>8555</v>
      </c>
      <c r="D3990" t="s">
        <v>8512</v>
      </c>
      <c r="E3990" t="s">
        <v>8513</v>
      </c>
      <c r="F3990" t="str">
        <f>HYPERLINK("https://talan.bank.gov.ua/get-user-certificate/45CElu5Em3Q0WvgnbbeC","Завантажити сертифікат")</f>
        <v>Завантажити сертифікат</v>
      </c>
    </row>
    <row r="3991" spans="1:6" x14ac:dyDescent="0.3">
      <c r="A3991" t="s">
        <v>8556</v>
      </c>
      <c r="B3991" t="s">
        <v>6</v>
      </c>
      <c r="C3991" t="s">
        <v>8557</v>
      </c>
      <c r="D3991" t="s">
        <v>8512</v>
      </c>
      <c r="E3991" t="s">
        <v>8513</v>
      </c>
      <c r="F3991" t="str">
        <f>HYPERLINK("https://talan.bank.gov.ua/get-user-certificate/45CElNA3e-92Ammf0jpQ","Завантажити сертифікат")</f>
        <v>Завантажити сертифікат</v>
      </c>
    </row>
    <row r="3992" spans="1:6" x14ac:dyDescent="0.3">
      <c r="A3992" t="s">
        <v>8558</v>
      </c>
      <c r="B3992" t="s">
        <v>6</v>
      </c>
      <c r="C3992" t="s">
        <v>8559</v>
      </c>
      <c r="D3992" t="s">
        <v>8512</v>
      </c>
      <c r="E3992" t="s">
        <v>8513</v>
      </c>
      <c r="F3992" t="str">
        <f>HYPERLINK("https://talan.bank.gov.ua/get-user-certificate/45CEl4oMt4ToeSHKlu5m","Завантажити сертифікат")</f>
        <v>Завантажити сертифікат</v>
      </c>
    </row>
    <row r="3993" spans="1:6" x14ac:dyDescent="0.3">
      <c r="A3993" t="s">
        <v>8560</v>
      </c>
      <c r="B3993" t="s">
        <v>6</v>
      </c>
      <c r="C3993" t="s">
        <v>8561</v>
      </c>
      <c r="D3993" t="s">
        <v>8512</v>
      </c>
      <c r="E3993" t="s">
        <v>8513</v>
      </c>
      <c r="F3993" t="str">
        <f>HYPERLINK("https://talan.bank.gov.ua/get-user-certificate/45CElBiNrYnZQYR_7d1o","Завантажити сертифікат")</f>
        <v>Завантажити сертифікат</v>
      </c>
    </row>
    <row r="3994" spans="1:6" x14ac:dyDescent="0.3">
      <c r="A3994" t="s">
        <v>8562</v>
      </c>
      <c r="B3994" t="s">
        <v>6</v>
      </c>
      <c r="C3994" t="s">
        <v>8563</v>
      </c>
      <c r="D3994" t="s">
        <v>8512</v>
      </c>
      <c r="E3994" t="s">
        <v>8513</v>
      </c>
      <c r="F3994" t="str">
        <f>HYPERLINK("https://talan.bank.gov.ua/get-user-certificate/45CElfJH8lxmdvFLSctn","Завантажити сертифікат")</f>
        <v>Завантажити сертифікат</v>
      </c>
    </row>
    <row r="3995" spans="1:6" x14ac:dyDescent="0.3">
      <c r="A3995" t="s">
        <v>8564</v>
      </c>
      <c r="B3995" t="s">
        <v>6</v>
      </c>
      <c r="C3995" t="s">
        <v>8565</v>
      </c>
      <c r="D3995" t="s">
        <v>8512</v>
      </c>
      <c r="E3995" t="s">
        <v>8513</v>
      </c>
      <c r="F3995" t="str">
        <f>HYPERLINK("https://talan.bank.gov.ua/get-user-certificate/45CElLnAShdbI-TE9uL6","Завантажити сертифікат")</f>
        <v>Завантажити сертифікат</v>
      </c>
    </row>
    <row r="3996" spans="1:6" x14ac:dyDescent="0.3">
      <c r="A3996" t="s">
        <v>8566</v>
      </c>
      <c r="B3996" t="s">
        <v>6</v>
      </c>
      <c r="C3996" t="s">
        <v>8567</v>
      </c>
      <c r="D3996" t="s">
        <v>8512</v>
      </c>
      <c r="E3996" t="s">
        <v>8513</v>
      </c>
      <c r="F3996" t="str">
        <f>HYPERLINK("https://talan.bank.gov.ua/get-user-certificate/45CElAna2eLKNWz_NBMU","Завантажити сертифікат")</f>
        <v>Завантажити сертифікат</v>
      </c>
    </row>
    <row r="3997" spans="1:6" x14ac:dyDescent="0.3">
      <c r="A3997" t="s">
        <v>8568</v>
      </c>
      <c r="B3997" t="s">
        <v>6</v>
      </c>
      <c r="C3997" t="s">
        <v>8569</v>
      </c>
      <c r="D3997" t="s">
        <v>8512</v>
      </c>
      <c r="E3997" t="s">
        <v>8513</v>
      </c>
      <c r="F3997" t="str">
        <f>HYPERLINK("https://talan.bank.gov.ua/get-user-certificate/45CElfsBC42jL570QmvB","Завантажити сертифікат")</f>
        <v>Завантажити сертифікат</v>
      </c>
    </row>
    <row r="3998" spans="1:6" x14ac:dyDescent="0.3">
      <c r="A3998" t="s">
        <v>8570</v>
      </c>
      <c r="B3998" t="s">
        <v>6</v>
      </c>
      <c r="C3998" t="s">
        <v>8571</v>
      </c>
      <c r="D3998" t="s">
        <v>8512</v>
      </c>
      <c r="E3998" t="s">
        <v>8513</v>
      </c>
      <c r="F3998" t="str">
        <f>HYPERLINK("https://talan.bank.gov.ua/get-user-certificate/45CEl4OE1PGccrtl3brt","Завантажити сертифікат")</f>
        <v>Завантажити сертифікат</v>
      </c>
    </row>
    <row r="3999" spans="1:6" x14ac:dyDescent="0.3">
      <c r="A3999" t="s">
        <v>8572</v>
      </c>
      <c r="B3999" t="s">
        <v>6</v>
      </c>
      <c r="C3999" t="s">
        <v>8573</v>
      </c>
      <c r="D3999" t="s">
        <v>8512</v>
      </c>
      <c r="E3999" t="s">
        <v>8513</v>
      </c>
      <c r="F3999" t="str">
        <f>HYPERLINK("https://talan.bank.gov.ua/get-user-certificate/45CEljUEcAbqez_2TRTU","Завантажити сертифікат")</f>
        <v>Завантажити сертифікат</v>
      </c>
    </row>
    <row r="4000" spans="1:6" x14ac:dyDescent="0.3">
      <c r="A4000" t="s">
        <v>8574</v>
      </c>
      <c r="B4000" t="s">
        <v>6</v>
      </c>
      <c r="C4000" t="s">
        <v>8575</v>
      </c>
      <c r="D4000" t="s">
        <v>8576</v>
      </c>
      <c r="E4000" t="s">
        <v>8577</v>
      </c>
      <c r="F4000" t="str">
        <f>HYPERLINK("https://talan.bank.gov.ua/get-user-certificate/45CElrDPC8WCT6PsLJEM","Завантажити сертифікат")</f>
        <v>Завантажити сертифікат</v>
      </c>
    </row>
    <row r="4001" spans="1:6" x14ac:dyDescent="0.3">
      <c r="A4001" t="s">
        <v>8578</v>
      </c>
      <c r="B4001" t="s">
        <v>6</v>
      </c>
      <c r="C4001" t="s">
        <v>8579</v>
      </c>
      <c r="D4001" t="s">
        <v>8576</v>
      </c>
      <c r="E4001" t="s">
        <v>8577</v>
      </c>
      <c r="F4001" t="str">
        <f>HYPERLINK("https://talan.bank.gov.ua/get-user-certificate/45CEl5C8wKF_U-N5Rh9E","Завантажити сертифікат")</f>
        <v>Завантажити сертифікат</v>
      </c>
    </row>
    <row r="4002" spans="1:6" x14ac:dyDescent="0.3">
      <c r="A4002" t="s">
        <v>8580</v>
      </c>
      <c r="B4002" t="s">
        <v>6</v>
      </c>
      <c r="C4002" t="s">
        <v>8581</v>
      </c>
      <c r="D4002" t="s">
        <v>8576</v>
      </c>
      <c r="E4002" t="s">
        <v>8577</v>
      </c>
      <c r="F4002" t="str">
        <f>HYPERLINK("https://talan.bank.gov.ua/get-user-certificate/45CElSq_vqiwJ_G_dzgm","Завантажити сертифікат")</f>
        <v>Завантажити сертифікат</v>
      </c>
    </row>
    <row r="4003" spans="1:6" x14ac:dyDescent="0.3">
      <c r="A4003" t="s">
        <v>8582</v>
      </c>
      <c r="B4003" t="s">
        <v>6</v>
      </c>
      <c r="C4003" t="s">
        <v>8583</v>
      </c>
      <c r="D4003" t="s">
        <v>8584</v>
      </c>
      <c r="E4003" t="s">
        <v>8585</v>
      </c>
      <c r="F4003" t="str">
        <f>HYPERLINK("https://talan.bank.gov.ua/get-user-certificate/45CElqjen8phCWhmKb5U","Завантажити сертифікат")</f>
        <v>Завантажити сертифікат</v>
      </c>
    </row>
    <row r="4004" spans="1:6" x14ac:dyDescent="0.3">
      <c r="A4004" t="s">
        <v>8586</v>
      </c>
      <c r="B4004" t="s">
        <v>6</v>
      </c>
      <c r="C4004" t="s">
        <v>8587</v>
      </c>
      <c r="D4004" t="s">
        <v>8584</v>
      </c>
      <c r="E4004" t="s">
        <v>8585</v>
      </c>
      <c r="F4004" t="str">
        <f>HYPERLINK("https://talan.bank.gov.ua/get-user-certificate/45CElHdVwAC_8oaHywyt","Завантажити сертифікат")</f>
        <v>Завантажити сертифікат</v>
      </c>
    </row>
    <row r="4005" spans="1:6" x14ac:dyDescent="0.3">
      <c r="A4005" t="s">
        <v>8588</v>
      </c>
      <c r="B4005" t="s">
        <v>6</v>
      </c>
      <c r="C4005" t="s">
        <v>8589</v>
      </c>
      <c r="D4005" t="s">
        <v>8584</v>
      </c>
      <c r="E4005" t="s">
        <v>8585</v>
      </c>
      <c r="F4005" t="str">
        <f>HYPERLINK("https://talan.bank.gov.ua/get-user-certificate/45CElApxGeCcOtI3cno4","Завантажити сертифікат")</f>
        <v>Завантажити сертифікат</v>
      </c>
    </row>
    <row r="4006" spans="1:6" x14ac:dyDescent="0.3">
      <c r="A4006" t="s">
        <v>8590</v>
      </c>
      <c r="B4006" t="s">
        <v>6</v>
      </c>
      <c r="C4006" t="s">
        <v>8591</v>
      </c>
      <c r="D4006" t="s">
        <v>8584</v>
      </c>
      <c r="E4006" t="s">
        <v>8585</v>
      </c>
      <c r="F4006" t="str">
        <f>HYPERLINK("https://talan.bank.gov.ua/get-user-certificate/45CElyHN0zC6Ll42TAMY","Завантажити сертифікат")</f>
        <v>Завантажити сертифікат</v>
      </c>
    </row>
    <row r="4007" spans="1:6" x14ac:dyDescent="0.3">
      <c r="A4007" t="s">
        <v>8592</v>
      </c>
      <c r="B4007" t="s">
        <v>6</v>
      </c>
      <c r="C4007" t="s">
        <v>8593</v>
      </c>
      <c r="D4007" t="s">
        <v>8584</v>
      </c>
      <c r="E4007" t="s">
        <v>8585</v>
      </c>
      <c r="F4007" t="str">
        <f>HYPERLINK("https://talan.bank.gov.ua/get-user-certificate/45CElNpNfN9xcHBsx7jZ","Завантажити сертифікат")</f>
        <v>Завантажити сертифікат</v>
      </c>
    </row>
    <row r="4008" spans="1:6" x14ac:dyDescent="0.3">
      <c r="A4008" t="s">
        <v>8594</v>
      </c>
      <c r="B4008" t="s">
        <v>6</v>
      </c>
      <c r="C4008" t="s">
        <v>8595</v>
      </c>
      <c r="D4008" t="s">
        <v>8584</v>
      </c>
      <c r="E4008" t="s">
        <v>8585</v>
      </c>
      <c r="F4008" t="str">
        <f>HYPERLINK("https://talan.bank.gov.ua/get-user-certificate/45CElVmZzndvlHsaInqR","Завантажити сертифікат")</f>
        <v>Завантажити сертифікат</v>
      </c>
    </row>
    <row r="4009" spans="1:6" x14ac:dyDescent="0.3">
      <c r="A4009" t="s">
        <v>8596</v>
      </c>
      <c r="B4009" t="s">
        <v>6</v>
      </c>
      <c r="C4009" t="s">
        <v>8597</v>
      </c>
      <c r="D4009" t="s">
        <v>8584</v>
      </c>
      <c r="E4009" t="s">
        <v>8585</v>
      </c>
      <c r="F4009" t="str">
        <f>HYPERLINK("https://talan.bank.gov.ua/get-user-certificate/45CEl0tuBGPaf1pvn1RZ","Завантажити сертифікат")</f>
        <v>Завантажити сертифікат</v>
      </c>
    </row>
    <row r="4010" spans="1:6" x14ac:dyDescent="0.3">
      <c r="A4010" t="s">
        <v>8598</v>
      </c>
      <c r="B4010" t="s">
        <v>6</v>
      </c>
      <c r="C4010" t="s">
        <v>8599</v>
      </c>
      <c r="D4010" t="s">
        <v>8584</v>
      </c>
      <c r="E4010" t="s">
        <v>8585</v>
      </c>
      <c r="F4010" t="str">
        <f>HYPERLINK("https://talan.bank.gov.ua/get-user-certificate/45CElr4DPuFNS1WC5Xep","Завантажити сертифікат")</f>
        <v>Завантажити сертифікат</v>
      </c>
    </row>
    <row r="4011" spans="1:6" x14ac:dyDescent="0.3">
      <c r="A4011" t="s">
        <v>8600</v>
      </c>
      <c r="B4011" t="s">
        <v>6</v>
      </c>
      <c r="C4011" t="s">
        <v>8601</v>
      </c>
      <c r="D4011" t="s">
        <v>8602</v>
      </c>
      <c r="E4011" t="s">
        <v>8603</v>
      </c>
      <c r="F4011" t="str">
        <f>HYPERLINK("https://talan.bank.gov.ua/get-user-certificate/45CElW5Q7ubhcdRwZ3dQ","Завантажити сертифікат")</f>
        <v>Завантажити сертифікат</v>
      </c>
    </row>
    <row r="4012" spans="1:6" x14ac:dyDescent="0.3">
      <c r="A4012" t="s">
        <v>8604</v>
      </c>
      <c r="B4012" t="s">
        <v>6</v>
      </c>
      <c r="C4012" t="s">
        <v>8605</v>
      </c>
      <c r="D4012" t="s">
        <v>8602</v>
      </c>
      <c r="E4012" t="s">
        <v>8603</v>
      </c>
      <c r="F4012" t="str">
        <f>HYPERLINK("https://talan.bank.gov.ua/get-user-certificate/45CEln2-0Sc_MfJyuiVx","Завантажити сертифікат")</f>
        <v>Завантажити сертифікат</v>
      </c>
    </row>
    <row r="4013" spans="1:6" x14ac:dyDescent="0.3">
      <c r="A4013" t="s">
        <v>8606</v>
      </c>
      <c r="B4013" t="s">
        <v>6</v>
      </c>
      <c r="C4013" t="s">
        <v>8607</v>
      </c>
      <c r="D4013" t="s">
        <v>8602</v>
      </c>
      <c r="E4013" t="s">
        <v>8603</v>
      </c>
      <c r="F4013" t="str">
        <f>HYPERLINK("https://talan.bank.gov.ua/get-user-certificate/45CElUMZoEK_tcF8ulmO","Завантажити сертифікат")</f>
        <v>Завантажити сертифікат</v>
      </c>
    </row>
    <row r="4014" spans="1:6" x14ac:dyDescent="0.3">
      <c r="A4014" t="s">
        <v>8608</v>
      </c>
      <c r="B4014" t="s">
        <v>6</v>
      </c>
      <c r="C4014" t="s">
        <v>8609</v>
      </c>
      <c r="D4014" t="s">
        <v>8602</v>
      </c>
      <c r="E4014" t="s">
        <v>8603</v>
      </c>
      <c r="F4014" t="str">
        <f>HYPERLINK("https://talan.bank.gov.ua/get-user-certificate/45CEl2lgWVcunt8sV5Ne","Завантажити сертифікат")</f>
        <v>Завантажити сертифікат</v>
      </c>
    </row>
    <row r="4015" spans="1:6" x14ac:dyDescent="0.3">
      <c r="A4015" t="s">
        <v>8610</v>
      </c>
      <c r="B4015" t="s">
        <v>6</v>
      </c>
      <c r="C4015" t="s">
        <v>8611</v>
      </c>
      <c r="D4015" t="s">
        <v>8602</v>
      </c>
      <c r="E4015" t="s">
        <v>8603</v>
      </c>
      <c r="F4015" t="str">
        <f>HYPERLINK("https://talan.bank.gov.ua/get-user-certificate/45CElTUGW5o6iALaXrRk","Завантажити сертифікат")</f>
        <v>Завантажити сертифікат</v>
      </c>
    </row>
    <row r="4016" spans="1:6" x14ac:dyDescent="0.3">
      <c r="A4016" t="s">
        <v>8612</v>
      </c>
      <c r="B4016" t="s">
        <v>6</v>
      </c>
      <c r="C4016" t="s">
        <v>8613</v>
      </c>
      <c r="D4016" t="s">
        <v>8602</v>
      </c>
      <c r="E4016" t="s">
        <v>8603</v>
      </c>
      <c r="F4016" t="str">
        <f>HYPERLINK("https://talan.bank.gov.ua/get-user-certificate/45CElXG5t62yTwZL29Ws","Завантажити сертифікат")</f>
        <v>Завантажити сертифікат</v>
      </c>
    </row>
    <row r="4017" spans="1:6" x14ac:dyDescent="0.3">
      <c r="A4017" t="s">
        <v>8614</v>
      </c>
      <c r="B4017" t="s">
        <v>6</v>
      </c>
      <c r="C4017" t="s">
        <v>8615</v>
      </c>
      <c r="D4017" t="s">
        <v>8602</v>
      </c>
      <c r="E4017" t="s">
        <v>8603</v>
      </c>
      <c r="F4017" t="str">
        <f>HYPERLINK("https://talan.bank.gov.ua/get-user-certificate/45CEl6_VEoK7oAAzSLlF","Завантажити сертифікат")</f>
        <v>Завантажити сертифікат</v>
      </c>
    </row>
    <row r="4018" spans="1:6" x14ac:dyDescent="0.3">
      <c r="A4018" t="s">
        <v>8616</v>
      </c>
      <c r="B4018" t="s">
        <v>6</v>
      </c>
      <c r="C4018" t="s">
        <v>8617</v>
      </c>
      <c r="D4018" t="s">
        <v>8618</v>
      </c>
      <c r="E4018" t="s">
        <v>8619</v>
      </c>
      <c r="F4018" t="str">
        <f>HYPERLINK("https://talan.bank.gov.ua/get-user-certificate/45CEligwSnoAUplH2sUK","Завантажити сертифікат")</f>
        <v>Завантажити сертифікат</v>
      </c>
    </row>
    <row r="4019" spans="1:6" x14ac:dyDescent="0.3">
      <c r="A4019" t="s">
        <v>8620</v>
      </c>
      <c r="B4019" t="s">
        <v>6</v>
      </c>
      <c r="C4019" t="s">
        <v>8621</v>
      </c>
      <c r="D4019" t="s">
        <v>8618</v>
      </c>
      <c r="E4019" t="s">
        <v>8619</v>
      </c>
      <c r="F4019" t="str">
        <f>HYPERLINK("https://talan.bank.gov.ua/get-user-certificate/45CElKXkNQr78vzJRt3n","Завантажити сертифікат")</f>
        <v>Завантажити сертифікат</v>
      </c>
    </row>
    <row r="4020" spans="1:6" x14ac:dyDescent="0.3">
      <c r="A4020" t="s">
        <v>8622</v>
      </c>
      <c r="B4020" t="s">
        <v>6</v>
      </c>
      <c r="C4020" t="s">
        <v>8623</v>
      </c>
      <c r="D4020" t="s">
        <v>8618</v>
      </c>
      <c r="E4020" t="s">
        <v>8619</v>
      </c>
      <c r="F4020" t="str">
        <f>HYPERLINK("https://talan.bank.gov.ua/get-user-certificate/45CElTr0W0ZP-SEQVwjD","Завантажити сертифікат")</f>
        <v>Завантажити сертифікат</v>
      </c>
    </row>
    <row r="4021" spans="1:6" x14ac:dyDescent="0.3">
      <c r="A4021" t="s">
        <v>8624</v>
      </c>
      <c r="B4021" t="s">
        <v>6</v>
      </c>
      <c r="C4021" t="s">
        <v>8625</v>
      </c>
      <c r="D4021" t="s">
        <v>8618</v>
      </c>
      <c r="E4021" t="s">
        <v>8619</v>
      </c>
      <c r="F4021" t="str">
        <f>HYPERLINK("https://talan.bank.gov.ua/get-user-certificate/45CEltVx0xrAtg78gUmJ","Завантажити сертифікат")</f>
        <v>Завантажити сертифікат</v>
      </c>
    </row>
    <row r="4022" spans="1:6" x14ac:dyDescent="0.3">
      <c r="A4022" t="s">
        <v>8626</v>
      </c>
      <c r="B4022" t="s">
        <v>6</v>
      </c>
      <c r="C4022" t="s">
        <v>8627</v>
      </c>
      <c r="D4022" t="s">
        <v>8618</v>
      </c>
      <c r="E4022" t="s">
        <v>8619</v>
      </c>
      <c r="F4022" t="str">
        <f>HYPERLINK("https://talan.bank.gov.ua/get-user-certificate/45CElTMgMmFD2Ze4aTCw","Завантажити сертифікат")</f>
        <v>Завантажити сертифікат</v>
      </c>
    </row>
    <row r="4023" spans="1:6" x14ac:dyDescent="0.3">
      <c r="A4023" t="s">
        <v>8628</v>
      </c>
      <c r="B4023" t="s">
        <v>6</v>
      </c>
      <c r="C4023" t="s">
        <v>8629</v>
      </c>
      <c r="D4023" t="s">
        <v>8618</v>
      </c>
      <c r="E4023" t="s">
        <v>8619</v>
      </c>
      <c r="F4023" t="str">
        <f>HYPERLINK("https://talan.bank.gov.ua/get-user-certificate/45CEl6BU_UTZFGW9i-g9","Завантажити сертифікат")</f>
        <v>Завантажити сертифікат</v>
      </c>
    </row>
    <row r="4024" spans="1:6" x14ac:dyDescent="0.3">
      <c r="A4024" t="s">
        <v>8630</v>
      </c>
      <c r="B4024" t="s">
        <v>6</v>
      </c>
      <c r="C4024" t="s">
        <v>8631</v>
      </c>
      <c r="D4024" t="s">
        <v>8618</v>
      </c>
      <c r="E4024" t="s">
        <v>8619</v>
      </c>
      <c r="F4024" t="str">
        <f>HYPERLINK("https://talan.bank.gov.ua/get-user-certificate/45CElNLuJifHofZLSzFs","Завантажити сертифікат")</f>
        <v>Завантажити сертифікат</v>
      </c>
    </row>
    <row r="4025" spans="1:6" x14ac:dyDescent="0.3">
      <c r="A4025" t="s">
        <v>8632</v>
      </c>
      <c r="B4025" t="s">
        <v>6</v>
      </c>
      <c r="C4025" t="s">
        <v>8633</v>
      </c>
      <c r="D4025" t="s">
        <v>8618</v>
      </c>
      <c r="E4025" t="s">
        <v>8619</v>
      </c>
      <c r="F4025" t="str">
        <f>HYPERLINK("https://talan.bank.gov.ua/get-user-certificate/45CEllvGJ5_XC3I3ozcG","Завантажити сертифікат")</f>
        <v>Завантажити сертифікат</v>
      </c>
    </row>
    <row r="4026" spans="1:6" x14ac:dyDescent="0.3">
      <c r="A4026" t="s">
        <v>8634</v>
      </c>
      <c r="B4026" t="s">
        <v>6</v>
      </c>
      <c r="C4026" t="s">
        <v>8635</v>
      </c>
      <c r="D4026" t="s">
        <v>8618</v>
      </c>
      <c r="E4026" t="s">
        <v>8619</v>
      </c>
      <c r="F4026" t="str">
        <f>HYPERLINK("https://talan.bank.gov.ua/get-user-certificate/45CElfbQsCvF7fCsJkjc","Завантажити сертифікат")</f>
        <v>Завантажити сертифікат</v>
      </c>
    </row>
    <row r="4027" spans="1:6" x14ac:dyDescent="0.3">
      <c r="A4027" t="s">
        <v>8636</v>
      </c>
      <c r="B4027" t="s">
        <v>6</v>
      </c>
      <c r="C4027" t="s">
        <v>8637</v>
      </c>
      <c r="D4027" t="s">
        <v>8618</v>
      </c>
      <c r="E4027" t="s">
        <v>8619</v>
      </c>
      <c r="F4027" t="str">
        <f>HYPERLINK("https://talan.bank.gov.ua/get-user-certificate/45CElDlTky0iV-efc-VQ","Завантажити сертифікат")</f>
        <v>Завантажити сертифікат</v>
      </c>
    </row>
    <row r="4028" spans="1:6" x14ac:dyDescent="0.3">
      <c r="A4028" t="s">
        <v>8638</v>
      </c>
      <c r="B4028" t="s">
        <v>6</v>
      </c>
      <c r="C4028" t="s">
        <v>8639</v>
      </c>
      <c r="D4028" t="s">
        <v>8618</v>
      </c>
      <c r="E4028" t="s">
        <v>8619</v>
      </c>
      <c r="F4028" t="str">
        <f>HYPERLINK("https://talan.bank.gov.ua/get-user-certificate/45CElOoAVTZD4tPZXB-v","Завантажити сертифікат")</f>
        <v>Завантажити сертифікат</v>
      </c>
    </row>
    <row r="4029" spans="1:6" x14ac:dyDescent="0.3">
      <c r="A4029" t="s">
        <v>8640</v>
      </c>
      <c r="B4029" t="s">
        <v>6</v>
      </c>
      <c r="C4029" t="s">
        <v>8641</v>
      </c>
      <c r="D4029" t="s">
        <v>8618</v>
      </c>
      <c r="E4029" t="s">
        <v>8619</v>
      </c>
      <c r="F4029" t="str">
        <f>HYPERLINK("https://talan.bank.gov.ua/get-user-certificate/45CEl_j8EDjgV1xk653s","Завантажити сертифікат")</f>
        <v>Завантажити сертифікат</v>
      </c>
    </row>
    <row r="4030" spans="1:6" x14ac:dyDescent="0.3">
      <c r="A4030" t="s">
        <v>8642</v>
      </c>
      <c r="B4030" t="s">
        <v>6</v>
      </c>
      <c r="C4030" t="s">
        <v>8643</v>
      </c>
      <c r="D4030" t="s">
        <v>8618</v>
      </c>
      <c r="E4030" t="s">
        <v>8619</v>
      </c>
      <c r="F4030" t="str">
        <f>HYPERLINK("https://talan.bank.gov.ua/get-user-certificate/45CEl7m_m1vdRPahGdJQ","Завантажити сертифікат")</f>
        <v>Завантажити сертифікат</v>
      </c>
    </row>
    <row r="4031" spans="1:6" x14ac:dyDescent="0.3">
      <c r="A4031" t="s">
        <v>8644</v>
      </c>
      <c r="B4031" t="s">
        <v>6</v>
      </c>
      <c r="C4031" t="s">
        <v>8645</v>
      </c>
      <c r="D4031" t="s">
        <v>8618</v>
      </c>
      <c r="E4031" t="s">
        <v>8619</v>
      </c>
      <c r="F4031" t="str">
        <f>HYPERLINK("https://talan.bank.gov.ua/get-user-certificate/45CElLonqhwUssRhM7zI","Завантажити сертифікат")</f>
        <v>Завантажити сертифікат</v>
      </c>
    </row>
    <row r="4032" spans="1:6" x14ac:dyDescent="0.3">
      <c r="A4032" t="s">
        <v>8646</v>
      </c>
      <c r="B4032" t="s">
        <v>6</v>
      </c>
      <c r="C4032" t="s">
        <v>8647</v>
      </c>
      <c r="D4032" t="s">
        <v>8618</v>
      </c>
      <c r="E4032" t="s">
        <v>8619</v>
      </c>
      <c r="F4032" t="str">
        <f>HYPERLINK("https://talan.bank.gov.ua/get-user-certificate/45CEloE59jtdPCx60whT","Завантажити сертифікат")</f>
        <v>Завантажити сертифікат</v>
      </c>
    </row>
    <row r="4033" spans="1:6" x14ac:dyDescent="0.3">
      <c r="A4033" t="s">
        <v>8648</v>
      </c>
      <c r="B4033" t="s">
        <v>6</v>
      </c>
      <c r="C4033" t="s">
        <v>8649</v>
      </c>
      <c r="D4033" t="s">
        <v>8618</v>
      </c>
      <c r="E4033" t="s">
        <v>8619</v>
      </c>
      <c r="F4033" t="str">
        <f>HYPERLINK("https://talan.bank.gov.ua/get-user-certificate/45CElPTVWIHU6uiNHsF0","Завантажити сертифікат")</f>
        <v>Завантажити сертифікат</v>
      </c>
    </row>
    <row r="4034" spans="1:6" x14ac:dyDescent="0.3">
      <c r="A4034" t="s">
        <v>8650</v>
      </c>
      <c r="B4034" t="s">
        <v>6</v>
      </c>
      <c r="C4034" t="s">
        <v>8651</v>
      </c>
      <c r="D4034" t="s">
        <v>8618</v>
      </c>
      <c r="E4034" t="s">
        <v>8619</v>
      </c>
      <c r="F4034" t="str">
        <f>HYPERLINK("https://talan.bank.gov.ua/get-user-certificate/45CEl_eKqFWmhhP8VND4","Завантажити сертифікат")</f>
        <v>Завантажити сертифікат</v>
      </c>
    </row>
    <row r="4035" spans="1:6" x14ac:dyDescent="0.3">
      <c r="A4035" t="s">
        <v>8652</v>
      </c>
      <c r="B4035" t="s">
        <v>6</v>
      </c>
      <c r="C4035" t="s">
        <v>8653</v>
      </c>
      <c r="D4035" t="s">
        <v>8618</v>
      </c>
      <c r="E4035" t="s">
        <v>8619</v>
      </c>
      <c r="F4035" t="str">
        <f>HYPERLINK("https://talan.bank.gov.ua/get-user-certificate/45CElENgjewJ77KG-t_j","Завантажити сертифікат")</f>
        <v>Завантажити сертифікат</v>
      </c>
    </row>
    <row r="4036" spans="1:6" x14ac:dyDescent="0.3">
      <c r="A4036" t="s">
        <v>8654</v>
      </c>
      <c r="B4036" t="s">
        <v>6</v>
      </c>
      <c r="C4036" t="s">
        <v>8655</v>
      </c>
      <c r="D4036" t="s">
        <v>8618</v>
      </c>
      <c r="E4036" t="s">
        <v>8619</v>
      </c>
      <c r="F4036" t="str">
        <f>HYPERLINK("https://talan.bank.gov.ua/get-user-certificate/45CElOyHGvP1qUg9k0ex","Завантажити сертифікат")</f>
        <v>Завантажити сертифікат</v>
      </c>
    </row>
    <row r="4037" spans="1:6" x14ac:dyDescent="0.3">
      <c r="A4037" t="s">
        <v>8656</v>
      </c>
      <c r="B4037" t="s">
        <v>6</v>
      </c>
      <c r="C4037" t="s">
        <v>8657</v>
      </c>
      <c r="D4037" t="s">
        <v>8618</v>
      </c>
      <c r="E4037" t="s">
        <v>8619</v>
      </c>
      <c r="F4037" t="str">
        <f>HYPERLINK("https://talan.bank.gov.ua/get-user-certificate/45CEl5zGv60GhGQsh5Jj","Завантажити сертифікат")</f>
        <v>Завантажити сертифікат</v>
      </c>
    </row>
    <row r="4038" spans="1:6" x14ac:dyDescent="0.3">
      <c r="A4038" t="s">
        <v>8658</v>
      </c>
      <c r="B4038" t="s">
        <v>6</v>
      </c>
      <c r="C4038" t="s">
        <v>8659</v>
      </c>
      <c r="D4038" t="s">
        <v>8618</v>
      </c>
      <c r="E4038" t="s">
        <v>8619</v>
      </c>
      <c r="F4038" t="str">
        <f>HYPERLINK("https://talan.bank.gov.ua/get-user-certificate/45CElj_9GtAP0qyYTRcq","Завантажити сертифікат")</f>
        <v>Завантажити сертифікат</v>
      </c>
    </row>
    <row r="4039" spans="1:6" x14ac:dyDescent="0.3">
      <c r="A4039" t="s">
        <v>8660</v>
      </c>
      <c r="B4039" t="s">
        <v>6</v>
      </c>
      <c r="C4039" t="s">
        <v>8661</v>
      </c>
      <c r="D4039" t="s">
        <v>8662</v>
      </c>
      <c r="E4039" t="s">
        <v>8663</v>
      </c>
      <c r="F4039" t="str">
        <f>HYPERLINK("https://talan.bank.gov.ua/get-user-certificate/45CElnL29DQw_512YeaR","Завантажити сертифікат")</f>
        <v>Завантажити сертифікат</v>
      </c>
    </row>
    <row r="4040" spans="1:6" x14ac:dyDescent="0.3">
      <c r="A4040" t="s">
        <v>8664</v>
      </c>
      <c r="B4040" t="s">
        <v>6</v>
      </c>
      <c r="C4040" t="s">
        <v>8665</v>
      </c>
      <c r="D4040" t="s">
        <v>8662</v>
      </c>
      <c r="E4040" t="s">
        <v>8663</v>
      </c>
      <c r="F4040" t="str">
        <f>HYPERLINK("https://talan.bank.gov.ua/get-user-certificate/45CElMnPM0wY0ea3w8OF","Завантажити сертифікат")</f>
        <v>Завантажити сертифікат</v>
      </c>
    </row>
    <row r="4041" spans="1:6" x14ac:dyDescent="0.3">
      <c r="A4041" t="s">
        <v>8666</v>
      </c>
      <c r="B4041" t="s">
        <v>6</v>
      </c>
      <c r="C4041" t="s">
        <v>8667</v>
      </c>
      <c r="D4041" t="s">
        <v>8662</v>
      </c>
      <c r="E4041" t="s">
        <v>8663</v>
      </c>
      <c r="F4041" t="str">
        <f>HYPERLINK("https://talan.bank.gov.ua/get-user-certificate/45CElX6RRe6UZOOxmodU","Завантажити сертифікат")</f>
        <v>Завантажити сертифікат</v>
      </c>
    </row>
    <row r="4042" spans="1:6" x14ac:dyDescent="0.3">
      <c r="A4042" t="s">
        <v>8668</v>
      </c>
      <c r="B4042" t="s">
        <v>6</v>
      </c>
      <c r="C4042" t="s">
        <v>8669</v>
      </c>
      <c r="D4042" t="s">
        <v>8662</v>
      </c>
      <c r="E4042" t="s">
        <v>8663</v>
      </c>
      <c r="F4042" t="str">
        <f>HYPERLINK("https://talan.bank.gov.ua/get-user-certificate/45CEloU_8h0QB-HUwhFu","Завантажити сертифікат")</f>
        <v>Завантажити сертифікат</v>
      </c>
    </row>
    <row r="4043" spans="1:6" x14ac:dyDescent="0.3">
      <c r="A4043" t="s">
        <v>8670</v>
      </c>
      <c r="B4043" t="s">
        <v>6</v>
      </c>
      <c r="C4043" t="s">
        <v>8671</v>
      </c>
      <c r="D4043" t="s">
        <v>8662</v>
      </c>
      <c r="E4043" t="s">
        <v>8663</v>
      </c>
      <c r="F4043" t="str">
        <f>HYPERLINK("https://talan.bank.gov.ua/get-user-certificate/45CElPb4X5CEfm41MfDJ","Завантажити сертифікат")</f>
        <v>Завантажити сертифікат</v>
      </c>
    </row>
    <row r="4044" spans="1:6" x14ac:dyDescent="0.3">
      <c r="A4044" t="s">
        <v>8672</v>
      </c>
      <c r="B4044" t="s">
        <v>6</v>
      </c>
      <c r="C4044" t="s">
        <v>8673</v>
      </c>
      <c r="D4044" t="s">
        <v>8662</v>
      </c>
      <c r="E4044" t="s">
        <v>8663</v>
      </c>
      <c r="F4044" t="str">
        <f>HYPERLINK("https://talan.bank.gov.ua/get-user-certificate/45CElnfNOssfplfPQ4eF","Завантажити сертифікат")</f>
        <v>Завантажити сертифікат</v>
      </c>
    </row>
    <row r="4045" spans="1:6" x14ac:dyDescent="0.3">
      <c r="A4045" t="s">
        <v>8674</v>
      </c>
      <c r="B4045" t="s">
        <v>6</v>
      </c>
      <c r="C4045" t="s">
        <v>8675</v>
      </c>
      <c r="D4045" t="s">
        <v>8662</v>
      </c>
      <c r="E4045" t="s">
        <v>8663</v>
      </c>
      <c r="F4045" t="str">
        <f>HYPERLINK("https://talan.bank.gov.ua/get-user-certificate/45CElqyaOsvigEI9jEt1","Завантажити сертифікат")</f>
        <v>Завантажити сертифікат</v>
      </c>
    </row>
    <row r="4046" spans="1:6" x14ac:dyDescent="0.3">
      <c r="A4046" t="s">
        <v>8676</v>
      </c>
      <c r="B4046" t="s">
        <v>6</v>
      </c>
      <c r="C4046" t="s">
        <v>8677</v>
      </c>
      <c r="D4046" t="s">
        <v>8678</v>
      </c>
      <c r="E4046" t="s">
        <v>8679</v>
      </c>
      <c r="F4046" t="str">
        <f>HYPERLINK("https://talan.bank.gov.ua/get-user-certificate/45CElapctgBd3Wf77wFt","Завантажити сертифікат")</f>
        <v>Завантажити сертифікат</v>
      </c>
    </row>
    <row r="4047" spans="1:6" x14ac:dyDescent="0.3">
      <c r="A4047" t="s">
        <v>8680</v>
      </c>
      <c r="B4047" t="s">
        <v>6</v>
      </c>
      <c r="C4047" t="s">
        <v>8681</v>
      </c>
      <c r="D4047" t="s">
        <v>8678</v>
      </c>
      <c r="E4047" t="s">
        <v>8679</v>
      </c>
      <c r="F4047" t="str">
        <f>HYPERLINK("https://talan.bank.gov.ua/get-user-certificate/45CElqSuNPYg-JexSg1_","Завантажити сертифікат")</f>
        <v>Завантажити сертифікат</v>
      </c>
    </row>
    <row r="4048" spans="1:6" x14ac:dyDescent="0.3">
      <c r="A4048" t="s">
        <v>8682</v>
      </c>
      <c r="B4048" t="s">
        <v>6</v>
      </c>
      <c r="C4048" t="s">
        <v>8683</v>
      </c>
      <c r="D4048" t="s">
        <v>8678</v>
      </c>
      <c r="E4048" t="s">
        <v>8679</v>
      </c>
      <c r="F4048" t="str">
        <f>HYPERLINK("https://talan.bank.gov.ua/get-user-certificate/45CElyfU5Pa--FStkaxi","Завантажити сертифікат")</f>
        <v>Завантажити сертифікат</v>
      </c>
    </row>
    <row r="4049" spans="1:6" x14ac:dyDescent="0.3">
      <c r="A4049" t="s">
        <v>8684</v>
      </c>
      <c r="B4049" t="s">
        <v>6</v>
      </c>
      <c r="C4049" t="s">
        <v>8685</v>
      </c>
      <c r="D4049" t="s">
        <v>8678</v>
      </c>
      <c r="E4049" t="s">
        <v>8679</v>
      </c>
      <c r="F4049" t="str">
        <f>HYPERLINK("https://talan.bank.gov.ua/get-user-certificate/45CElzA3MK7X8yzq-6TD","Завантажити сертифікат")</f>
        <v>Завантажити сертифікат</v>
      </c>
    </row>
    <row r="4050" spans="1:6" x14ac:dyDescent="0.3">
      <c r="A4050" t="s">
        <v>8686</v>
      </c>
      <c r="B4050" t="s">
        <v>6</v>
      </c>
      <c r="C4050" t="s">
        <v>8687</v>
      </c>
      <c r="D4050" t="s">
        <v>8678</v>
      </c>
      <c r="E4050" t="s">
        <v>8679</v>
      </c>
      <c r="F4050" t="str">
        <f>HYPERLINK("https://talan.bank.gov.ua/get-user-certificate/45CElcRT9MLdExtshzws","Завантажити сертифікат")</f>
        <v>Завантажити сертифікат</v>
      </c>
    </row>
    <row r="4051" spans="1:6" x14ac:dyDescent="0.3">
      <c r="A4051" t="s">
        <v>8688</v>
      </c>
      <c r="B4051" t="s">
        <v>6</v>
      </c>
      <c r="C4051" t="s">
        <v>8689</v>
      </c>
      <c r="D4051" t="s">
        <v>8678</v>
      </c>
      <c r="E4051" t="s">
        <v>8679</v>
      </c>
      <c r="F4051" t="str">
        <f>HYPERLINK("https://talan.bank.gov.ua/get-user-certificate/45CElwB39PrP5pJtcjvN","Завантажити сертифікат")</f>
        <v>Завантажити сертифікат</v>
      </c>
    </row>
    <row r="4052" spans="1:6" x14ac:dyDescent="0.3">
      <c r="A4052" t="s">
        <v>8690</v>
      </c>
      <c r="B4052" t="s">
        <v>6</v>
      </c>
      <c r="C4052" t="s">
        <v>8691</v>
      </c>
      <c r="D4052" t="s">
        <v>8678</v>
      </c>
      <c r="E4052" t="s">
        <v>8679</v>
      </c>
      <c r="F4052" t="str">
        <f>HYPERLINK("https://talan.bank.gov.ua/get-user-certificate/45CElM73qdq3IwQGyDwW","Завантажити сертифікат")</f>
        <v>Завантажити сертифікат</v>
      </c>
    </row>
    <row r="4053" spans="1:6" x14ac:dyDescent="0.3">
      <c r="A4053" t="s">
        <v>8692</v>
      </c>
      <c r="B4053" t="s">
        <v>6</v>
      </c>
      <c r="C4053" t="s">
        <v>8693</v>
      </c>
      <c r="D4053" t="s">
        <v>8678</v>
      </c>
      <c r="E4053" t="s">
        <v>8679</v>
      </c>
      <c r="F4053" t="str">
        <f>HYPERLINK("https://talan.bank.gov.ua/get-user-certificate/45CEl6eDR1dk1P3ruEJQ","Завантажити сертифікат")</f>
        <v>Завантажити сертифікат</v>
      </c>
    </row>
    <row r="4054" spans="1:6" x14ac:dyDescent="0.3">
      <c r="A4054" t="s">
        <v>8694</v>
      </c>
      <c r="B4054" t="s">
        <v>6</v>
      </c>
      <c r="C4054" t="s">
        <v>8695</v>
      </c>
      <c r="D4054" t="s">
        <v>8678</v>
      </c>
      <c r="E4054" t="s">
        <v>8679</v>
      </c>
      <c r="F4054" t="str">
        <f>HYPERLINK("https://talan.bank.gov.ua/get-user-certificate/45CElWwPqkWo7C3kcJ8U","Завантажити сертифікат")</f>
        <v>Завантажити сертифікат</v>
      </c>
    </row>
    <row r="4055" spans="1:6" x14ac:dyDescent="0.3">
      <c r="A4055" t="s">
        <v>8696</v>
      </c>
      <c r="B4055" t="s">
        <v>6</v>
      </c>
      <c r="C4055" t="s">
        <v>8697</v>
      </c>
      <c r="D4055" t="s">
        <v>8678</v>
      </c>
      <c r="E4055" t="s">
        <v>8679</v>
      </c>
      <c r="F4055" t="str">
        <f>HYPERLINK("https://talan.bank.gov.ua/get-user-certificate/45CEljUS6MXkl141dgq-","Завантажити сертифікат")</f>
        <v>Завантажити сертифікат</v>
      </c>
    </row>
    <row r="4056" spans="1:6" x14ac:dyDescent="0.3">
      <c r="A4056" t="s">
        <v>8698</v>
      </c>
      <c r="B4056" t="s">
        <v>6</v>
      </c>
      <c r="C4056" t="s">
        <v>8699</v>
      </c>
      <c r="D4056" t="s">
        <v>8678</v>
      </c>
      <c r="E4056" t="s">
        <v>8679</v>
      </c>
      <c r="F4056" t="str">
        <f>HYPERLINK("https://talan.bank.gov.ua/get-user-certificate/45CElmvICG9H5O2ax9sC","Завантажити сертифікат")</f>
        <v>Завантажити сертифікат</v>
      </c>
    </row>
    <row r="4057" spans="1:6" x14ac:dyDescent="0.3">
      <c r="A4057" t="s">
        <v>8700</v>
      </c>
      <c r="B4057" t="s">
        <v>6</v>
      </c>
      <c r="C4057" t="s">
        <v>8701</v>
      </c>
      <c r="D4057" t="s">
        <v>8678</v>
      </c>
      <c r="E4057" t="s">
        <v>8679</v>
      </c>
      <c r="F4057" t="str">
        <f>HYPERLINK("https://talan.bank.gov.ua/get-user-certificate/45CElO43AbPXZiKnDuFl","Завантажити сертифікат")</f>
        <v>Завантажити сертифікат</v>
      </c>
    </row>
    <row r="4058" spans="1:6" x14ac:dyDescent="0.3">
      <c r="A4058" t="s">
        <v>8702</v>
      </c>
      <c r="B4058" t="s">
        <v>6</v>
      </c>
      <c r="C4058" t="s">
        <v>8703</v>
      </c>
      <c r="D4058" t="s">
        <v>8678</v>
      </c>
      <c r="E4058" t="s">
        <v>8679</v>
      </c>
      <c r="F4058" t="str">
        <f>HYPERLINK("https://talan.bank.gov.ua/get-user-certificate/45CEl9ReIRGfgV35_zc_","Завантажити сертифікат")</f>
        <v>Завантажити сертифікат</v>
      </c>
    </row>
    <row r="4059" spans="1:6" x14ac:dyDescent="0.3">
      <c r="A4059" t="s">
        <v>8704</v>
      </c>
      <c r="B4059" t="s">
        <v>6</v>
      </c>
      <c r="C4059" t="s">
        <v>8705</v>
      </c>
      <c r="D4059" t="s">
        <v>8678</v>
      </c>
      <c r="E4059" t="s">
        <v>8679</v>
      </c>
      <c r="F4059" t="str">
        <f>HYPERLINK("https://talan.bank.gov.ua/get-user-certificate/45CElDhodDkUcuFZH1iy","Завантажити сертифікат")</f>
        <v>Завантажити сертифікат</v>
      </c>
    </row>
    <row r="4060" spans="1:6" x14ac:dyDescent="0.3">
      <c r="A4060" t="s">
        <v>8706</v>
      </c>
      <c r="B4060" t="s">
        <v>6</v>
      </c>
      <c r="C4060" t="s">
        <v>8707</v>
      </c>
      <c r="D4060" t="s">
        <v>8708</v>
      </c>
      <c r="E4060" t="s">
        <v>8709</v>
      </c>
      <c r="F4060" t="str">
        <f>HYPERLINK("https://talan.bank.gov.ua/get-user-certificate/45CEl2ppBYn8A2ZQH2f0","Завантажити сертифікат")</f>
        <v>Завантажити сертифікат</v>
      </c>
    </row>
    <row r="4061" spans="1:6" x14ac:dyDescent="0.3">
      <c r="A4061" t="s">
        <v>8710</v>
      </c>
      <c r="B4061" t="s">
        <v>6</v>
      </c>
      <c r="C4061" t="s">
        <v>8711</v>
      </c>
      <c r="D4061" t="s">
        <v>8708</v>
      </c>
      <c r="E4061" t="s">
        <v>8709</v>
      </c>
      <c r="F4061" t="str">
        <f>HYPERLINK("https://talan.bank.gov.ua/get-user-certificate/45CEl-hh77ZCS1rhp61Q","Завантажити сертифікат")</f>
        <v>Завантажити сертифікат</v>
      </c>
    </row>
    <row r="4062" spans="1:6" x14ac:dyDescent="0.3">
      <c r="A4062" t="s">
        <v>8712</v>
      </c>
      <c r="B4062" t="s">
        <v>6</v>
      </c>
      <c r="C4062" t="s">
        <v>8713</v>
      </c>
      <c r="D4062" t="s">
        <v>8708</v>
      </c>
      <c r="E4062" t="s">
        <v>8709</v>
      </c>
      <c r="F4062" t="str">
        <f>HYPERLINK("https://talan.bank.gov.ua/get-user-certificate/45CElJ_2AwAAZhh8TOc9","Завантажити сертифікат")</f>
        <v>Завантажити сертифікат</v>
      </c>
    </row>
    <row r="4063" spans="1:6" x14ac:dyDescent="0.3">
      <c r="A4063" t="s">
        <v>8714</v>
      </c>
      <c r="B4063" t="s">
        <v>6</v>
      </c>
      <c r="C4063" t="s">
        <v>8715</v>
      </c>
      <c r="D4063" t="s">
        <v>8708</v>
      </c>
      <c r="E4063" t="s">
        <v>8709</v>
      </c>
      <c r="F4063" t="str">
        <f>HYPERLINK("https://talan.bank.gov.ua/get-user-certificate/45CElCDDvvo1AYs3exXL","Завантажити сертифікат")</f>
        <v>Завантажити сертифікат</v>
      </c>
    </row>
    <row r="4064" spans="1:6" x14ac:dyDescent="0.3">
      <c r="A4064" t="s">
        <v>8716</v>
      </c>
      <c r="B4064" t="s">
        <v>6</v>
      </c>
      <c r="C4064" t="s">
        <v>8717</v>
      </c>
      <c r="D4064" t="s">
        <v>8708</v>
      </c>
      <c r="E4064" t="s">
        <v>8709</v>
      </c>
      <c r="F4064" t="str">
        <f>HYPERLINK("https://talan.bank.gov.ua/get-user-certificate/45CElFxRmrQngm9mahGF","Завантажити сертифікат")</f>
        <v>Завантажити сертифікат</v>
      </c>
    </row>
    <row r="4065" spans="1:6" x14ac:dyDescent="0.3">
      <c r="A4065" t="s">
        <v>8718</v>
      </c>
      <c r="B4065" t="s">
        <v>6</v>
      </c>
      <c r="C4065" t="s">
        <v>8719</v>
      </c>
      <c r="D4065" t="s">
        <v>8708</v>
      </c>
      <c r="E4065" t="s">
        <v>8709</v>
      </c>
      <c r="F4065" t="str">
        <f>HYPERLINK("https://talan.bank.gov.ua/get-user-certificate/45CElMxIc2cscWhBFQAr","Завантажити сертифікат")</f>
        <v>Завантажити сертифікат</v>
      </c>
    </row>
    <row r="4066" spans="1:6" x14ac:dyDescent="0.3">
      <c r="A4066" t="s">
        <v>8720</v>
      </c>
      <c r="B4066" t="s">
        <v>6</v>
      </c>
      <c r="C4066" t="s">
        <v>8721</v>
      </c>
      <c r="D4066" t="s">
        <v>8708</v>
      </c>
      <c r="E4066" t="s">
        <v>8709</v>
      </c>
      <c r="F4066" t="str">
        <f>HYPERLINK("https://talan.bank.gov.ua/get-user-certificate/45CEl2ENQMVrvTyQjmXq","Завантажити сертифікат")</f>
        <v>Завантажити сертифікат</v>
      </c>
    </row>
    <row r="4067" spans="1:6" x14ac:dyDescent="0.3">
      <c r="A4067" t="s">
        <v>8722</v>
      </c>
      <c r="B4067" t="s">
        <v>6</v>
      </c>
      <c r="C4067" t="s">
        <v>8723</v>
      </c>
      <c r="D4067" t="s">
        <v>8708</v>
      </c>
      <c r="E4067" t="s">
        <v>8709</v>
      </c>
      <c r="F4067" t="str">
        <f>HYPERLINK("https://talan.bank.gov.ua/get-user-certificate/45CElxkf1HKkdwL5-foy","Завантажити сертифікат")</f>
        <v>Завантажити сертифікат</v>
      </c>
    </row>
    <row r="4068" spans="1:6" x14ac:dyDescent="0.3">
      <c r="A4068" t="s">
        <v>8724</v>
      </c>
      <c r="B4068" t="s">
        <v>6</v>
      </c>
      <c r="C4068" t="s">
        <v>8725</v>
      </c>
      <c r="D4068" t="s">
        <v>8726</v>
      </c>
      <c r="E4068" t="s">
        <v>8727</v>
      </c>
      <c r="F4068" t="str">
        <f>HYPERLINK("https://talan.bank.gov.ua/get-user-certificate/45CElIEHp9u2ezE3-bLQ","Завантажити сертифікат")</f>
        <v>Завантажити сертифікат</v>
      </c>
    </row>
    <row r="4069" spans="1:6" x14ac:dyDescent="0.3">
      <c r="A4069" t="s">
        <v>8728</v>
      </c>
      <c r="B4069" t="s">
        <v>6</v>
      </c>
      <c r="C4069" t="s">
        <v>8729</v>
      </c>
      <c r="D4069" t="s">
        <v>8726</v>
      </c>
      <c r="E4069" t="s">
        <v>8727</v>
      </c>
      <c r="F4069" t="str">
        <f>HYPERLINK("https://talan.bank.gov.ua/get-user-certificate/45CEldAd9sSayQO962Wb","Завантажити сертифікат")</f>
        <v>Завантажити сертифікат</v>
      </c>
    </row>
    <row r="4070" spans="1:6" x14ac:dyDescent="0.3">
      <c r="A4070" t="s">
        <v>8730</v>
      </c>
      <c r="B4070" t="s">
        <v>6</v>
      </c>
      <c r="C4070" t="s">
        <v>8731</v>
      </c>
      <c r="D4070" t="s">
        <v>8726</v>
      </c>
      <c r="E4070" t="s">
        <v>8727</v>
      </c>
      <c r="F4070" t="str">
        <f>HYPERLINK("https://talan.bank.gov.ua/get-user-certificate/45CElDiSBW8b2S5FDaov","Завантажити сертифікат")</f>
        <v>Завантажити сертифікат</v>
      </c>
    </row>
    <row r="4071" spans="1:6" x14ac:dyDescent="0.3">
      <c r="A4071" t="s">
        <v>8732</v>
      </c>
      <c r="B4071" t="s">
        <v>6</v>
      </c>
      <c r="C4071" t="s">
        <v>8733</v>
      </c>
      <c r="D4071" t="s">
        <v>8726</v>
      </c>
      <c r="E4071" t="s">
        <v>8727</v>
      </c>
      <c r="F4071" t="str">
        <f>HYPERLINK("https://talan.bank.gov.ua/get-user-certificate/45CEl4WPHfuAAWdenGxb","Завантажити сертифікат")</f>
        <v>Завантажити сертифікат</v>
      </c>
    </row>
    <row r="4072" spans="1:6" x14ac:dyDescent="0.3">
      <c r="A4072" t="s">
        <v>8734</v>
      </c>
      <c r="B4072" t="s">
        <v>6</v>
      </c>
      <c r="C4072" t="s">
        <v>8735</v>
      </c>
      <c r="D4072" t="s">
        <v>8726</v>
      </c>
      <c r="E4072" t="s">
        <v>8727</v>
      </c>
      <c r="F4072" t="str">
        <f>HYPERLINK("https://talan.bank.gov.ua/get-user-certificate/45CElckLCeBAeFy7G7HM","Завантажити сертифікат")</f>
        <v>Завантажити сертифікат</v>
      </c>
    </row>
    <row r="4073" spans="1:6" x14ac:dyDescent="0.3">
      <c r="A4073" t="s">
        <v>8736</v>
      </c>
      <c r="B4073" t="s">
        <v>6</v>
      </c>
      <c r="C4073" t="s">
        <v>8737</v>
      </c>
      <c r="D4073" t="s">
        <v>8726</v>
      </c>
      <c r="E4073" t="s">
        <v>8727</v>
      </c>
      <c r="F4073" t="str">
        <f>HYPERLINK("https://talan.bank.gov.ua/get-user-certificate/45CElR0aGxVpvUQgFMfd","Завантажити сертифікат")</f>
        <v>Завантажити сертифікат</v>
      </c>
    </row>
    <row r="4074" spans="1:6" x14ac:dyDescent="0.3">
      <c r="A4074" t="s">
        <v>8738</v>
      </c>
      <c r="B4074" t="s">
        <v>6</v>
      </c>
      <c r="C4074" t="s">
        <v>8739</v>
      </c>
      <c r="D4074" t="s">
        <v>8726</v>
      </c>
      <c r="E4074" t="s">
        <v>8727</v>
      </c>
      <c r="F4074" t="str">
        <f>HYPERLINK("https://talan.bank.gov.ua/get-user-certificate/45CElppm4dz0cpKLdL_G","Завантажити сертифікат")</f>
        <v>Завантажити сертифікат</v>
      </c>
    </row>
    <row r="4075" spans="1:6" x14ac:dyDescent="0.3">
      <c r="A4075" t="s">
        <v>8740</v>
      </c>
      <c r="B4075" t="s">
        <v>6</v>
      </c>
      <c r="C4075" t="s">
        <v>8741</v>
      </c>
      <c r="D4075" t="s">
        <v>8726</v>
      </c>
      <c r="E4075" t="s">
        <v>8727</v>
      </c>
      <c r="F4075" t="str">
        <f>HYPERLINK("https://talan.bank.gov.ua/get-user-certificate/45CElAWGZk2FxWkApoZ2","Завантажити сертифікат")</f>
        <v>Завантажити сертифікат</v>
      </c>
    </row>
    <row r="4076" spans="1:6" x14ac:dyDescent="0.3">
      <c r="A4076" t="s">
        <v>8742</v>
      </c>
      <c r="B4076" t="s">
        <v>6</v>
      </c>
      <c r="C4076" t="s">
        <v>8743</v>
      </c>
      <c r="D4076" t="s">
        <v>8726</v>
      </c>
      <c r="E4076" t="s">
        <v>8727</v>
      </c>
      <c r="F4076" t="str">
        <f>HYPERLINK("https://talan.bank.gov.ua/get-user-certificate/45CEl05oHfKghImVoy2s","Завантажити сертифікат")</f>
        <v>Завантажити сертифікат</v>
      </c>
    </row>
    <row r="4077" spans="1:6" x14ac:dyDescent="0.3">
      <c r="A4077" t="s">
        <v>8744</v>
      </c>
      <c r="B4077" t="s">
        <v>6</v>
      </c>
      <c r="C4077" t="s">
        <v>8745</v>
      </c>
      <c r="D4077" t="s">
        <v>8726</v>
      </c>
      <c r="E4077" t="s">
        <v>8727</v>
      </c>
      <c r="F4077" t="str">
        <f>HYPERLINK("https://talan.bank.gov.ua/get-user-certificate/45CElsPXzwYaGC3DASj4","Завантажити сертифікат")</f>
        <v>Завантажити сертифікат</v>
      </c>
    </row>
    <row r="4078" spans="1:6" x14ac:dyDescent="0.3">
      <c r="A4078" t="s">
        <v>8746</v>
      </c>
      <c r="B4078" t="s">
        <v>6</v>
      </c>
      <c r="C4078" t="s">
        <v>8747</v>
      </c>
      <c r="D4078" t="s">
        <v>8726</v>
      </c>
      <c r="E4078" t="s">
        <v>8727</v>
      </c>
      <c r="F4078" t="str">
        <f>HYPERLINK("https://talan.bank.gov.ua/get-user-certificate/45CElG3iyFUk8LMpHyps","Завантажити сертифікат")</f>
        <v>Завантажити сертифікат</v>
      </c>
    </row>
    <row r="4079" spans="1:6" x14ac:dyDescent="0.3">
      <c r="A4079" t="s">
        <v>8748</v>
      </c>
      <c r="B4079" t="s">
        <v>6</v>
      </c>
      <c r="C4079" t="s">
        <v>8749</v>
      </c>
      <c r="D4079" t="s">
        <v>8726</v>
      </c>
      <c r="E4079" t="s">
        <v>8727</v>
      </c>
      <c r="F4079" t="str">
        <f>HYPERLINK("https://talan.bank.gov.ua/get-user-certificate/45CEleJS1UXRUbdNHpVN","Завантажити сертифікат")</f>
        <v>Завантажити сертифікат</v>
      </c>
    </row>
    <row r="4080" spans="1:6" x14ac:dyDescent="0.3">
      <c r="A4080" t="s">
        <v>8750</v>
      </c>
      <c r="B4080" t="s">
        <v>6</v>
      </c>
      <c r="C4080" t="s">
        <v>8751</v>
      </c>
      <c r="D4080" t="s">
        <v>8752</v>
      </c>
      <c r="E4080" t="s">
        <v>8753</v>
      </c>
      <c r="F4080" t="str">
        <f>HYPERLINK("https://talan.bank.gov.ua/get-user-certificate/45CElKUiQ4wzoICaeJRo","Завантажити сертифікат")</f>
        <v>Завантажити сертифікат</v>
      </c>
    </row>
    <row r="4081" spans="1:6" x14ac:dyDescent="0.3">
      <c r="A4081" t="s">
        <v>8754</v>
      </c>
      <c r="B4081" t="s">
        <v>6</v>
      </c>
      <c r="C4081" t="s">
        <v>8755</v>
      </c>
      <c r="D4081" t="s">
        <v>8752</v>
      </c>
      <c r="E4081" t="s">
        <v>8753</v>
      </c>
      <c r="F4081" t="str">
        <f>HYPERLINK("https://talan.bank.gov.ua/get-user-certificate/45CEl-TA0V8i2W52Q5rm","Завантажити сертифікат")</f>
        <v>Завантажити сертифікат</v>
      </c>
    </row>
    <row r="4082" spans="1:6" x14ac:dyDescent="0.3">
      <c r="A4082" t="s">
        <v>8756</v>
      </c>
      <c r="B4082" t="s">
        <v>6</v>
      </c>
      <c r="C4082" t="s">
        <v>8757</v>
      </c>
      <c r="D4082" t="s">
        <v>8752</v>
      </c>
      <c r="E4082" t="s">
        <v>8753</v>
      </c>
      <c r="F4082" t="str">
        <f>HYPERLINK("https://talan.bank.gov.ua/get-user-certificate/45CElZSzwyOk1NmFmAJh","Завантажити сертифікат")</f>
        <v>Завантажити сертифікат</v>
      </c>
    </row>
    <row r="4083" spans="1:6" x14ac:dyDescent="0.3">
      <c r="A4083" t="s">
        <v>8758</v>
      </c>
      <c r="B4083" t="s">
        <v>6</v>
      </c>
      <c r="C4083" t="s">
        <v>8759</v>
      </c>
      <c r="D4083" t="s">
        <v>8752</v>
      </c>
      <c r="E4083" t="s">
        <v>8753</v>
      </c>
      <c r="F4083" t="str">
        <f>HYPERLINK("https://talan.bank.gov.ua/get-user-certificate/45CElfSisJ0oJMjn5mrI","Завантажити сертифікат")</f>
        <v>Завантажити сертифікат</v>
      </c>
    </row>
    <row r="4084" spans="1:6" x14ac:dyDescent="0.3">
      <c r="A4084" t="s">
        <v>8760</v>
      </c>
      <c r="B4084" t="s">
        <v>6</v>
      </c>
      <c r="C4084" t="s">
        <v>8761</v>
      </c>
      <c r="D4084" t="s">
        <v>8752</v>
      </c>
      <c r="E4084" t="s">
        <v>8753</v>
      </c>
      <c r="F4084" t="str">
        <f>HYPERLINK("https://talan.bank.gov.ua/get-user-certificate/45CElwh_cCk6jS2a_vtV","Завантажити сертифікат")</f>
        <v>Завантажити сертифікат</v>
      </c>
    </row>
    <row r="4085" spans="1:6" x14ac:dyDescent="0.3">
      <c r="A4085" t="s">
        <v>8762</v>
      </c>
      <c r="B4085" t="s">
        <v>6</v>
      </c>
      <c r="C4085" t="s">
        <v>8763</v>
      </c>
      <c r="D4085" t="s">
        <v>8764</v>
      </c>
      <c r="E4085" t="s">
        <v>8765</v>
      </c>
      <c r="F4085" t="str">
        <f>HYPERLINK("https://talan.bank.gov.ua/get-user-certificate/45CElXUrl7mvlYRZ64YB","Завантажити сертифікат")</f>
        <v>Завантажити сертифікат</v>
      </c>
    </row>
    <row r="4086" spans="1:6" x14ac:dyDescent="0.3">
      <c r="A4086" t="s">
        <v>8766</v>
      </c>
      <c r="B4086" t="s">
        <v>6</v>
      </c>
      <c r="C4086" t="s">
        <v>8767</v>
      </c>
      <c r="D4086" t="s">
        <v>8764</v>
      </c>
      <c r="E4086" t="s">
        <v>8765</v>
      </c>
      <c r="F4086" t="str">
        <f>HYPERLINK("https://talan.bank.gov.ua/get-user-certificate/45CElFy9hgcidzTd3oW5","Завантажити сертифікат")</f>
        <v>Завантажити сертифікат</v>
      </c>
    </row>
    <row r="4087" spans="1:6" x14ac:dyDescent="0.3">
      <c r="A4087" t="s">
        <v>8768</v>
      </c>
      <c r="B4087" t="s">
        <v>6</v>
      </c>
      <c r="C4087" t="s">
        <v>8769</v>
      </c>
      <c r="D4087" t="s">
        <v>8764</v>
      </c>
      <c r="E4087" t="s">
        <v>8765</v>
      </c>
      <c r="F4087" t="str">
        <f>HYPERLINK("https://talan.bank.gov.ua/get-user-certificate/45CElxKN2Xfe9Exp1ugv","Завантажити сертифікат")</f>
        <v>Завантажити сертифікат</v>
      </c>
    </row>
    <row r="4088" spans="1:6" x14ac:dyDescent="0.3">
      <c r="A4088" t="s">
        <v>8770</v>
      </c>
      <c r="B4088" t="s">
        <v>6</v>
      </c>
      <c r="C4088" t="s">
        <v>8771</v>
      </c>
      <c r="D4088" t="s">
        <v>8764</v>
      </c>
      <c r="E4088" t="s">
        <v>8765</v>
      </c>
      <c r="F4088" t="str">
        <f>HYPERLINK("https://talan.bank.gov.ua/get-user-certificate/45CElt6Q-Qyc9rZC-tdz","Завантажити сертифікат")</f>
        <v>Завантажити сертифікат</v>
      </c>
    </row>
    <row r="4089" spans="1:6" x14ac:dyDescent="0.3">
      <c r="A4089" t="s">
        <v>8772</v>
      </c>
      <c r="B4089" t="s">
        <v>6</v>
      </c>
      <c r="C4089" t="s">
        <v>8773</v>
      </c>
      <c r="D4089" t="s">
        <v>8764</v>
      </c>
      <c r="E4089" t="s">
        <v>8765</v>
      </c>
      <c r="F4089" t="str">
        <f>HYPERLINK("https://talan.bank.gov.ua/get-user-certificate/45CElyi6BZZL9Ii9ikih","Завантажити сертифікат")</f>
        <v>Завантажити сертифікат</v>
      </c>
    </row>
    <row r="4090" spans="1:6" x14ac:dyDescent="0.3">
      <c r="A4090" t="s">
        <v>8774</v>
      </c>
      <c r="B4090" t="s">
        <v>6</v>
      </c>
      <c r="C4090" t="s">
        <v>8775</v>
      </c>
      <c r="D4090" t="s">
        <v>8764</v>
      </c>
      <c r="E4090" t="s">
        <v>8765</v>
      </c>
      <c r="F4090" t="str">
        <f>HYPERLINK("https://talan.bank.gov.ua/get-user-certificate/45CElA4FMNcVuLom0JlD","Завантажити сертифікат")</f>
        <v>Завантажити сертифікат</v>
      </c>
    </row>
    <row r="4091" spans="1:6" x14ac:dyDescent="0.3">
      <c r="A4091" t="s">
        <v>8776</v>
      </c>
      <c r="B4091" t="s">
        <v>6</v>
      </c>
      <c r="C4091" t="s">
        <v>8777</v>
      </c>
      <c r="D4091" t="s">
        <v>8764</v>
      </c>
      <c r="E4091" t="s">
        <v>8765</v>
      </c>
      <c r="F4091" t="str">
        <f>HYPERLINK("https://talan.bank.gov.ua/get-user-certificate/45CElM_TtHxGXrGUy2aG","Завантажити сертифікат")</f>
        <v>Завантажити сертифікат</v>
      </c>
    </row>
    <row r="4092" spans="1:6" x14ac:dyDescent="0.3">
      <c r="A4092" t="s">
        <v>8778</v>
      </c>
      <c r="B4092" t="s">
        <v>6</v>
      </c>
      <c r="C4092" t="s">
        <v>8779</v>
      </c>
      <c r="D4092" t="s">
        <v>8764</v>
      </c>
      <c r="E4092" t="s">
        <v>8765</v>
      </c>
      <c r="F4092" t="str">
        <f>HYPERLINK("https://talan.bank.gov.ua/get-user-certificate/45CElCaXZiXD5JDWstcI","Завантажити сертифікат")</f>
        <v>Завантажити сертифікат</v>
      </c>
    </row>
    <row r="4093" spans="1:6" x14ac:dyDescent="0.3">
      <c r="A4093" t="s">
        <v>8780</v>
      </c>
      <c r="B4093" t="s">
        <v>6</v>
      </c>
      <c r="C4093" t="s">
        <v>8781</v>
      </c>
      <c r="D4093" t="s">
        <v>8764</v>
      </c>
      <c r="E4093" t="s">
        <v>8765</v>
      </c>
      <c r="F4093" t="str">
        <f>HYPERLINK("https://talan.bank.gov.ua/get-user-certificate/45CElqO2-ve9-kDkJa74","Завантажити сертифікат")</f>
        <v>Завантажити сертифікат</v>
      </c>
    </row>
    <row r="4094" spans="1:6" x14ac:dyDescent="0.3">
      <c r="A4094" t="s">
        <v>8782</v>
      </c>
      <c r="B4094" t="s">
        <v>6</v>
      </c>
      <c r="C4094" t="s">
        <v>8783</v>
      </c>
      <c r="D4094" t="s">
        <v>8764</v>
      </c>
      <c r="E4094" t="s">
        <v>8765</v>
      </c>
      <c r="F4094" t="str">
        <f>HYPERLINK("https://talan.bank.gov.ua/get-user-certificate/45CElqem4mXc887MDfFE","Завантажити сертифікат")</f>
        <v>Завантажити сертифікат</v>
      </c>
    </row>
    <row r="4095" spans="1:6" x14ac:dyDescent="0.3">
      <c r="A4095" t="s">
        <v>8784</v>
      </c>
      <c r="B4095" t="s">
        <v>6</v>
      </c>
      <c r="C4095" t="s">
        <v>8785</v>
      </c>
      <c r="D4095" t="s">
        <v>8764</v>
      </c>
      <c r="E4095" t="s">
        <v>8765</v>
      </c>
      <c r="F4095" t="str">
        <f>HYPERLINK("https://talan.bank.gov.ua/get-user-certificate/45CElMUGVk8wtEjT9V9e","Завантажити сертифікат")</f>
        <v>Завантажити сертифікат</v>
      </c>
    </row>
    <row r="4096" spans="1:6" x14ac:dyDescent="0.3">
      <c r="A4096" t="s">
        <v>8786</v>
      </c>
      <c r="B4096" t="s">
        <v>6</v>
      </c>
      <c r="C4096" t="s">
        <v>8787</v>
      </c>
      <c r="D4096" t="s">
        <v>8764</v>
      </c>
      <c r="E4096" t="s">
        <v>8765</v>
      </c>
      <c r="F4096" t="str">
        <f>HYPERLINK("https://talan.bank.gov.ua/get-user-certificate/45CEl-sLQuULvOxaZN2a","Завантажити сертифікат")</f>
        <v>Завантажити сертифікат</v>
      </c>
    </row>
    <row r="4097" spans="1:6" x14ac:dyDescent="0.3">
      <c r="A4097" t="s">
        <v>8788</v>
      </c>
      <c r="B4097" t="s">
        <v>6</v>
      </c>
      <c r="C4097" t="s">
        <v>8789</v>
      </c>
      <c r="D4097" t="s">
        <v>8764</v>
      </c>
      <c r="E4097" t="s">
        <v>8765</v>
      </c>
      <c r="F4097" t="str">
        <f>HYPERLINK("https://talan.bank.gov.ua/get-user-certificate/45CElf_BevLUdIffmRdr","Завантажити сертифікат")</f>
        <v>Завантажити сертифікат</v>
      </c>
    </row>
    <row r="4098" spans="1:6" x14ac:dyDescent="0.3">
      <c r="A4098" t="s">
        <v>8790</v>
      </c>
      <c r="B4098" t="s">
        <v>6</v>
      </c>
      <c r="C4098" t="s">
        <v>8791</v>
      </c>
      <c r="D4098" t="s">
        <v>8764</v>
      </c>
      <c r="E4098" t="s">
        <v>8765</v>
      </c>
      <c r="F4098" t="str">
        <f>HYPERLINK("https://talan.bank.gov.ua/get-user-certificate/45CElMds8lIFGfY8lBwE","Завантажити сертифікат")</f>
        <v>Завантажити сертифікат</v>
      </c>
    </row>
    <row r="4099" spans="1:6" x14ac:dyDescent="0.3">
      <c r="A4099" t="s">
        <v>8792</v>
      </c>
      <c r="B4099" t="s">
        <v>6</v>
      </c>
      <c r="C4099" t="s">
        <v>8793</v>
      </c>
      <c r="D4099" t="s">
        <v>8764</v>
      </c>
      <c r="E4099" t="s">
        <v>8765</v>
      </c>
      <c r="F4099" t="str">
        <f>HYPERLINK("https://talan.bank.gov.ua/get-user-certificate/45CEldCvXkGtZXgm1-Re","Завантажити сертифікат")</f>
        <v>Завантажити сертифікат</v>
      </c>
    </row>
    <row r="4100" spans="1:6" x14ac:dyDescent="0.3">
      <c r="A4100" t="s">
        <v>8794</v>
      </c>
      <c r="B4100" t="s">
        <v>6</v>
      </c>
      <c r="C4100" t="s">
        <v>8795</v>
      </c>
      <c r="D4100" t="s">
        <v>8796</v>
      </c>
      <c r="E4100" t="s">
        <v>8797</v>
      </c>
      <c r="F4100" t="str">
        <f>HYPERLINK("https://talan.bank.gov.ua/get-user-certificate/45CElZX9OPZ-HaH6vMxr","Завантажити сертифікат")</f>
        <v>Завантажити сертифікат</v>
      </c>
    </row>
    <row r="4101" spans="1:6" x14ac:dyDescent="0.3">
      <c r="A4101" t="s">
        <v>8798</v>
      </c>
      <c r="B4101" t="s">
        <v>6</v>
      </c>
      <c r="C4101" t="s">
        <v>8799</v>
      </c>
      <c r="D4101" t="s">
        <v>8796</v>
      </c>
      <c r="E4101" t="s">
        <v>8797</v>
      </c>
      <c r="F4101" t="str">
        <f>HYPERLINK("https://talan.bank.gov.ua/get-user-certificate/45CElkpxuBIqj3lg48qM","Завантажити сертифікат")</f>
        <v>Завантажити сертифікат</v>
      </c>
    </row>
    <row r="4102" spans="1:6" x14ac:dyDescent="0.3">
      <c r="A4102" t="s">
        <v>8800</v>
      </c>
      <c r="B4102" t="s">
        <v>6</v>
      </c>
      <c r="C4102" t="s">
        <v>8801</v>
      </c>
      <c r="D4102" t="s">
        <v>8802</v>
      </c>
      <c r="E4102" t="s">
        <v>8803</v>
      </c>
      <c r="F4102" t="str">
        <f>HYPERLINK("https://talan.bank.gov.ua/get-user-certificate/45CElgf_A_JA4Jj-sv7-","Завантажити сертифікат")</f>
        <v>Завантажити сертифікат</v>
      </c>
    </row>
    <row r="4103" spans="1:6" x14ac:dyDescent="0.3">
      <c r="A4103" t="s">
        <v>8804</v>
      </c>
      <c r="B4103" t="s">
        <v>6</v>
      </c>
      <c r="C4103" t="s">
        <v>8805</v>
      </c>
      <c r="D4103" t="s">
        <v>8802</v>
      </c>
      <c r="E4103" t="s">
        <v>8803</v>
      </c>
      <c r="F4103" t="str">
        <f>HYPERLINK("https://talan.bank.gov.ua/get-user-certificate/45CElgcltldKa59Uf0ON","Завантажити сертифікат")</f>
        <v>Завантажити сертифікат</v>
      </c>
    </row>
    <row r="4104" spans="1:6" x14ac:dyDescent="0.3">
      <c r="A4104" t="s">
        <v>8806</v>
      </c>
      <c r="B4104" t="s">
        <v>6</v>
      </c>
      <c r="C4104" t="s">
        <v>8807</v>
      </c>
      <c r="D4104" t="s">
        <v>8802</v>
      </c>
      <c r="E4104" t="s">
        <v>8803</v>
      </c>
      <c r="F4104" t="str">
        <f>HYPERLINK("https://talan.bank.gov.ua/get-user-certificate/45CElMTFFtp7AakmVbHb","Завантажити сертифікат")</f>
        <v>Завантажити сертифікат</v>
      </c>
    </row>
    <row r="4105" spans="1:6" x14ac:dyDescent="0.3">
      <c r="A4105" t="s">
        <v>8808</v>
      </c>
      <c r="B4105" t="s">
        <v>6</v>
      </c>
      <c r="C4105" t="s">
        <v>8809</v>
      </c>
      <c r="D4105" t="s">
        <v>8802</v>
      </c>
      <c r="E4105" t="s">
        <v>8803</v>
      </c>
      <c r="F4105" t="str">
        <f>HYPERLINK("https://talan.bank.gov.ua/get-user-certificate/45CElt-JtjKf-A1Qn2FV","Завантажити сертифікат")</f>
        <v>Завантажити сертифікат</v>
      </c>
    </row>
    <row r="4106" spans="1:6" x14ac:dyDescent="0.3">
      <c r="A4106" t="s">
        <v>8810</v>
      </c>
      <c r="B4106" t="s">
        <v>6</v>
      </c>
      <c r="C4106" t="s">
        <v>8811</v>
      </c>
      <c r="D4106" t="s">
        <v>8802</v>
      </c>
      <c r="E4106" t="s">
        <v>8803</v>
      </c>
      <c r="F4106" t="str">
        <f>HYPERLINK("https://talan.bank.gov.ua/get-user-certificate/45CElcfLLJERaHL1nhZI","Завантажити сертифікат")</f>
        <v>Завантажити сертифікат</v>
      </c>
    </row>
    <row r="4107" spans="1:6" x14ac:dyDescent="0.3">
      <c r="A4107" t="s">
        <v>8812</v>
      </c>
      <c r="B4107" t="s">
        <v>6</v>
      </c>
      <c r="C4107" t="s">
        <v>8813</v>
      </c>
      <c r="D4107" t="s">
        <v>8802</v>
      </c>
      <c r="E4107" t="s">
        <v>8803</v>
      </c>
      <c r="F4107" t="str">
        <f>HYPERLINK("https://talan.bank.gov.ua/get-user-certificate/45CElYuEoI9SI-AX1k7a","Завантажити сертифікат")</f>
        <v>Завантажити сертифікат</v>
      </c>
    </row>
    <row r="4108" spans="1:6" x14ac:dyDescent="0.3">
      <c r="A4108" t="s">
        <v>8814</v>
      </c>
      <c r="B4108" t="s">
        <v>6</v>
      </c>
      <c r="C4108" t="s">
        <v>8815</v>
      </c>
      <c r="D4108" t="s">
        <v>8802</v>
      </c>
      <c r="E4108" t="s">
        <v>8803</v>
      </c>
      <c r="F4108" t="str">
        <f>HYPERLINK("https://talan.bank.gov.ua/get-user-certificate/45CEllaJVKZAKdM0IcMr","Завантажити сертифікат")</f>
        <v>Завантажити сертифікат</v>
      </c>
    </row>
    <row r="4109" spans="1:6" x14ac:dyDescent="0.3">
      <c r="A4109" t="s">
        <v>8816</v>
      </c>
      <c r="B4109" t="s">
        <v>6</v>
      </c>
      <c r="C4109" t="s">
        <v>8817</v>
      </c>
      <c r="D4109" t="s">
        <v>8802</v>
      </c>
      <c r="E4109" t="s">
        <v>8803</v>
      </c>
      <c r="F4109" t="str">
        <f>HYPERLINK("https://talan.bank.gov.ua/get-user-certificate/45CElamhxKYQSKVBHJUU","Завантажити сертифікат")</f>
        <v>Завантажити сертифікат</v>
      </c>
    </row>
    <row r="4110" spans="1:6" x14ac:dyDescent="0.3">
      <c r="A4110" t="s">
        <v>8818</v>
      </c>
      <c r="B4110" t="s">
        <v>6</v>
      </c>
      <c r="C4110" t="s">
        <v>8819</v>
      </c>
      <c r="D4110" t="s">
        <v>8802</v>
      </c>
      <c r="E4110" t="s">
        <v>8803</v>
      </c>
      <c r="F4110" t="str">
        <f>HYPERLINK("https://talan.bank.gov.ua/get-user-certificate/45CEl_hZf5klPo-9n-d8","Завантажити сертифікат")</f>
        <v>Завантажити сертифікат</v>
      </c>
    </row>
    <row r="4111" spans="1:6" x14ac:dyDescent="0.3">
      <c r="A4111" t="s">
        <v>8820</v>
      </c>
      <c r="B4111" t="s">
        <v>6</v>
      </c>
      <c r="C4111" t="s">
        <v>8821</v>
      </c>
      <c r="D4111" t="s">
        <v>8802</v>
      </c>
      <c r="E4111" t="s">
        <v>8803</v>
      </c>
      <c r="F4111" t="str">
        <f>HYPERLINK("https://talan.bank.gov.ua/get-user-certificate/45CElXq_vA6I1sf-uGMK","Завантажити сертифікат")</f>
        <v>Завантажити сертифікат</v>
      </c>
    </row>
    <row r="4112" spans="1:6" x14ac:dyDescent="0.3">
      <c r="A4112" t="s">
        <v>8822</v>
      </c>
      <c r="B4112" t="s">
        <v>6</v>
      </c>
      <c r="C4112" t="s">
        <v>8823</v>
      </c>
      <c r="D4112" t="s">
        <v>8802</v>
      </c>
      <c r="E4112" t="s">
        <v>8803</v>
      </c>
      <c r="F4112" t="str">
        <f>HYPERLINK("https://talan.bank.gov.ua/get-user-certificate/45CElZJcLpWs_ImiuwdL","Завантажити сертифікат")</f>
        <v>Завантажити сертифікат</v>
      </c>
    </row>
    <row r="4113" spans="1:6" x14ac:dyDescent="0.3">
      <c r="A4113" t="s">
        <v>8824</v>
      </c>
      <c r="B4113" t="s">
        <v>6</v>
      </c>
      <c r="C4113" t="s">
        <v>8825</v>
      </c>
      <c r="D4113" t="s">
        <v>8802</v>
      </c>
      <c r="E4113" t="s">
        <v>8803</v>
      </c>
      <c r="F4113" t="str">
        <f>HYPERLINK("https://talan.bank.gov.ua/get-user-certificate/45CElANw1bs3WICewb-_","Завантажити сертифікат")</f>
        <v>Завантажити сертифікат</v>
      </c>
    </row>
    <row r="4114" spans="1:6" x14ac:dyDescent="0.3">
      <c r="A4114" t="s">
        <v>8826</v>
      </c>
      <c r="B4114" t="s">
        <v>6</v>
      </c>
      <c r="C4114" t="s">
        <v>8827</v>
      </c>
      <c r="D4114" t="s">
        <v>8802</v>
      </c>
      <c r="E4114" t="s">
        <v>8803</v>
      </c>
      <c r="F4114" t="str">
        <f>HYPERLINK("https://talan.bank.gov.ua/get-user-certificate/45CElgpbXseFDExRMXZP","Завантажити сертифікат")</f>
        <v>Завантажити сертифікат</v>
      </c>
    </row>
    <row r="4115" spans="1:6" x14ac:dyDescent="0.3">
      <c r="A4115" t="s">
        <v>8828</v>
      </c>
      <c r="B4115" t="s">
        <v>6</v>
      </c>
      <c r="C4115" t="s">
        <v>8829</v>
      </c>
      <c r="D4115" t="s">
        <v>8802</v>
      </c>
      <c r="E4115" t="s">
        <v>8803</v>
      </c>
      <c r="F4115" t="str">
        <f>HYPERLINK("https://talan.bank.gov.ua/get-user-certificate/45CElAWolZpzUnLxk1yP","Завантажити сертифікат")</f>
        <v>Завантажити сертифікат</v>
      </c>
    </row>
    <row r="4116" spans="1:6" x14ac:dyDescent="0.3">
      <c r="A4116" t="s">
        <v>8830</v>
      </c>
      <c r="B4116" t="s">
        <v>6</v>
      </c>
      <c r="C4116" t="s">
        <v>8831</v>
      </c>
      <c r="D4116" t="s">
        <v>8802</v>
      </c>
      <c r="E4116" t="s">
        <v>8803</v>
      </c>
      <c r="F4116" t="str">
        <f>HYPERLINK("https://talan.bank.gov.ua/get-user-certificate/45CElwoPNeU1_yQD9c01","Завантажити сертифікат")</f>
        <v>Завантажити сертифікат</v>
      </c>
    </row>
    <row r="4117" spans="1:6" x14ac:dyDescent="0.3">
      <c r="A4117" t="s">
        <v>8832</v>
      </c>
      <c r="B4117" t="s">
        <v>6</v>
      </c>
      <c r="C4117" t="s">
        <v>8833</v>
      </c>
      <c r="D4117" t="s">
        <v>8802</v>
      </c>
      <c r="E4117" t="s">
        <v>8803</v>
      </c>
      <c r="F4117" t="str">
        <f>HYPERLINK("https://talan.bank.gov.ua/get-user-certificate/45CElNKLkIrZ3CxMGAc0","Завантажити сертифікат")</f>
        <v>Завантажити сертифікат</v>
      </c>
    </row>
    <row r="4118" spans="1:6" x14ac:dyDescent="0.3">
      <c r="A4118" t="s">
        <v>8834</v>
      </c>
      <c r="B4118" t="s">
        <v>6</v>
      </c>
      <c r="C4118" t="s">
        <v>8835</v>
      </c>
      <c r="D4118" t="s">
        <v>8802</v>
      </c>
      <c r="E4118" t="s">
        <v>8803</v>
      </c>
      <c r="F4118" t="str">
        <f>HYPERLINK("https://talan.bank.gov.ua/get-user-certificate/45CElnjjc7FITo7EHIyN","Завантажити сертифікат")</f>
        <v>Завантажити сертифікат</v>
      </c>
    </row>
    <row r="4119" spans="1:6" x14ac:dyDescent="0.3">
      <c r="A4119" t="s">
        <v>8836</v>
      </c>
      <c r="B4119" t="s">
        <v>6</v>
      </c>
      <c r="C4119" t="s">
        <v>8837</v>
      </c>
      <c r="D4119" t="s">
        <v>8838</v>
      </c>
      <c r="E4119" t="s">
        <v>8839</v>
      </c>
      <c r="F4119" t="str">
        <f>HYPERLINK("https://talan.bank.gov.ua/get-user-certificate/45CEl6Sec9TdJZGC9igu","Завантажити сертифікат")</f>
        <v>Завантажити сертифікат</v>
      </c>
    </row>
    <row r="4120" spans="1:6" x14ac:dyDescent="0.3">
      <c r="A4120" t="s">
        <v>8840</v>
      </c>
      <c r="B4120" t="s">
        <v>6</v>
      </c>
      <c r="C4120" t="s">
        <v>8841</v>
      </c>
      <c r="D4120" t="s">
        <v>8838</v>
      </c>
      <c r="E4120" t="s">
        <v>8839</v>
      </c>
      <c r="F4120" t="str">
        <f>HYPERLINK("https://talan.bank.gov.ua/get-user-certificate/45CElVVV-pOfDDU5t729","Завантажити сертифікат")</f>
        <v>Завантажити сертифікат</v>
      </c>
    </row>
    <row r="4121" spans="1:6" x14ac:dyDescent="0.3">
      <c r="A4121" t="s">
        <v>8842</v>
      </c>
      <c r="B4121" t="s">
        <v>6</v>
      </c>
      <c r="C4121" t="s">
        <v>8843</v>
      </c>
      <c r="D4121" t="s">
        <v>8838</v>
      </c>
      <c r="E4121" t="s">
        <v>8839</v>
      </c>
      <c r="F4121" t="str">
        <f>HYPERLINK("https://talan.bank.gov.ua/get-user-certificate/45CEloZE8XmRUgZxeq3Y","Завантажити сертифікат")</f>
        <v>Завантажити сертифікат</v>
      </c>
    </row>
    <row r="4122" spans="1:6" x14ac:dyDescent="0.3">
      <c r="A4122" t="s">
        <v>8844</v>
      </c>
      <c r="B4122" t="s">
        <v>6</v>
      </c>
      <c r="C4122" t="s">
        <v>8845</v>
      </c>
      <c r="D4122" t="s">
        <v>8838</v>
      </c>
      <c r="E4122" t="s">
        <v>8839</v>
      </c>
      <c r="F4122" t="str">
        <f>HYPERLINK("https://talan.bank.gov.ua/get-user-certificate/45CElq1S__TcNa2ahJnX","Завантажити сертифікат")</f>
        <v>Завантажити сертифікат</v>
      </c>
    </row>
    <row r="4123" spans="1:6" x14ac:dyDescent="0.3">
      <c r="A4123" t="s">
        <v>8846</v>
      </c>
      <c r="B4123" t="s">
        <v>6</v>
      </c>
      <c r="C4123" t="s">
        <v>8847</v>
      </c>
      <c r="D4123" t="s">
        <v>8838</v>
      </c>
      <c r="E4123" t="s">
        <v>8839</v>
      </c>
      <c r="F4123" t="str">
        <f>HYPERLINK("https://talan.bank.gov.ua/get-user-certificate/45CElr7m2lFHqIuQPByv","Завантажити сертифікат")</f>
        <v>Завантажити сертифікат</v>
      </c>
    </row>
    <row r="4124" spans="1:6" x14ac:dyDescent="0.3">
      <c r="A4124" t="s">
        <v>8848</v>
      </c>
      <c r="B4124" t="s">
        <v>6</v>
      </c>
      <c r="C4124" t="s">
        <v>8849</v>
      </c>
      <c r="D4124" t="s">
        <v>8838</v>
      </c>
      <c r="E4124" t="s">
        <v>8839</v>
      </c>
      <c r="F4124" t="str">
        <f>HYPERLINK("https://talan.bank.gov.ua/get-user-certificate/45CElA6z97gRLcYvThrU","Завантажити сертифікат")</f>
        <v>Завантажити сертифікат</v>
      </c>
    </row>
    <row r="4125" spans="1:6" x14ac:dyDescent="0.3">
      <c r="A4125" t="s">
        <v>8850</v>
      </c>
      <c r="B4125" t="s">
        <v>6</v>
      </c>
      <c r="C4125" t="s">
        <v>8851</v>
      </c>
      <c r="D4125" t="s">
        <v>8838</v>
      </c>
      <c r="E4125" t="s">
        <v>8839</v>
      </c>
      <c r="F4125" t="str">
        <f>HYPERLINK("https://talan.bank.gov.ua/get-user-certificate/45CElZrA4n7rRnl0ySE8","Завантажити сертифікат")</f>
        <v>Завантажити сертифікат</v>
      </c>
    </row>
    <row r="4126" spans="1:6" x14ac:dyDescent="0.3">
      <c r="A4126" t="s">
        <v>8852</v>
      </c>
      <c r="B4126" t="s">
        <v>6</v>
      </c>
      <c r="C4126" t="s">
        <v>8853</v>
      </c>
      <c r="D4126" t="s">
        <v>8838</v>
      </c>
      <c r="E4126" t="s">
        <v>8839</v>
      </c>
      <c r="F4126" t="str">
        <f>HYPERLINK("https://talan.bank.gov.ua/get-user-certificate/45CElNN4PJRDpKVNk5NU","Завантажити сертифікат")</f>
        <v>Завантажити сертифікат</v>
      </c>
    </row>
    <row r="4127" spans="1:6" x14ac:dyDescent="0.3">
      <c r="A4127" t="s">
        <v>8854</v>
      </c>
      <c r="B4127" t="s">
        <v>6</v>
      </c>
      <c r="C4127" t="s">
        <v>8855</v>
      </c>
      <c r="D4127" t="s">
        <v>8838</v>
      </c>
      <c r="E4127" t="s">
        <v>8839</v>
      </c>
      <c r="F4127" t="str">
        <f>HYPERLINK("https://talan.bank.gov.ua/get-user-certificate/45CElQIB6cdVVhs2nerS","Завантажити сертифікат")</f>
        <v>Завантажити сертифікат</v>
      </c>
    </row>
    <row r="4128" spans="1:6" x14ac:dyDescent="0.3">
      <c r="A4128" t="s">
        <v>8856</v>
      </c>
      <c r="B4128" t="s">
        <v>6</v>
      </c>
      <c r="C4128" t="s">
        <v>8857</v>
      </c>
      <c r="D4128" t="s">
        <v>8838</v>
      </c>
      <c r="E4128" t="s">
        <v>8839</v>
      </c>
      <c r="F4128" t="str">
        <f>HYPERLINK("https://talan.bank.gov.ua/get-user-certificate/45CEl5Nivej5sW9PjfXC","Завантажити сертифікат")</f>
        <v>Завантажити сертифікат</v>
      </c>
    </row>
    <row r="4129" spans="1:6" x14ac:dyDescent="0.3">
      <c r="A4129" t="s">
        <v>8858</v>
      </c>
      <c r="B4129" t="s">
        <v>6</v>
      </c>
      <c r="C4129" t="s">
        <v>8859</v>
      </c>
      <c r="D4129" t="s">
        <v>8838</v>
      </c>
      <c r="E4129" t="s">
        <v>8839</v>
      </c>
      <c r="F4129" t="str">
        <f>HYPERLINK("https://talan.bank.gov.ua/get-user-certificate/45CElmgIGFOqLffufCDR","Завантажити сертифікат")</f>
        <v>Завантажити сертифікат</v>
      </c>
    </row>
    <row r="4130" spans="1:6" x14ac:dyDescent="0.3">
      <c r="A4130" t="s">
        <v>8860</v>
      </c>
      <c r="B4130" t="s">
        <v>6</v>
      </c>
      <c r="C4130" t="s">
        <v>8861</v>
      </c>
      <c r="D4130" t="s">
        <v>8838</v>
      </c>
      <c r="E4130" t="s">
        <v>8839</v>
      </c>
      <c r="F4130" t="str">
        <f>HYPERLINK("https://talan.bank.gov.ua/get-user-certificate/45CElHhHBluPQ_9w1mp1","Завантажити сертифікат")</f>
        <v>Завантажити сертифікат</v>
      </c>
    </row>
    <row r="4131" spans="1:6" x14ac:dyDescent="0.3">
      <c r="A4131" t="s">
        <v>8862</v>
      </c>
      <c r="B4131" t="s">
        <v>6</v>
      </c>
      <c r="C4131" t="s">
        <v>8863</v>
      </c>
      <c r="D4131" t="s">
        <v>8838</v>
      </c>
      <c r="E4131" t="s">
        <v>8839</v>
      </c>
      <c r="F4131" t="str">
        <f>HYPERLINK("https://talan.bank.gov.ua/get-user-certificate/45CElafb4MImx-JWoIbB","Завантажити сертифікат")</f>
        <v>Завантажити сертифікат</v>
      </c>
    </row>
    <row r="4132" spans="1:6" x14ac:dyDescent="0.3">
      <c r="A4132" t="s">
        <v>8864</v>
      </c>
      <c r="B4132" t="s">
        <v>6</v>
      </c>
      <c r="C4132" t="s">
        <v>8865</v>
      </c>
      <c r="D4132" t="s">
        <v>8838</v>
      </c>
      <c r="E4132" t="s">
        <v>8839</v>
      </c>
      <c r="F4132" t="str">
        <f>HYPERLINK("https://talan.bank.gov.ua/get-user-certificate/45CElJHlYS3NrGW4_yCK","Завантажити сертифікат")</f>
        <v>Завантажити сертифікат</v>
      </c>
    </row>
    <row r="4133" spans="1:6" x14ac:dyDescent="0.3">
      <c r="A4133" t="s">
        <v>8866</v>
      </c>
      <c r="B4133" t="s">
        <v>6</v>
      </c>
      <c r="C4133" t="s">
        <v>8867</v>
      </c>
      <c r="D4133" t="s">
        <v>8838</v>
      </c>
      <c r="E4133" t="s">
        <v>8839</v>
      </c>
      <c r="F4133" t="str">
        <f>HYPERLINK("https://talan.bank.gov.ua/get-user-certificate/45CElzxFJqbvtdalzR4k","Завантажити сертифікат")</f>
        <v>Завантажити сертифікат</v>
      </c>
    </row>
    <row r="4134" spans="1:6" x14ac:dyDescent="0.3">
      <c r="A4134" t="s">
        <v>8868</v>
      </c>
      <c r="B4134" t="s">
        <v>6</v>
      </c>
      <c r="C4134" t="s">
        <v>8869</v>
      </c>
      <c r="D4134" t="s">
        <v>8870</v>
      </c>
      <c r="E4134" t="s">
        <v>8871</v>
      </c>
      <c r="F4134" t="str">
        <f>HYPERLINK("https://talan.bank.gov.ua/get-user-certificate/45CElaxx0yigVC4WfKO9","Завантажити сертифікат")</f>
        <v>Завантажити сертифікат</v>
      </c>
    </row>
    <row r="4135" spans="1:6" x14ac:dyDescent="0.3">
      <c r="A4135" t="s">
        <v>8872</v>
      </c>
      <c r="B4135" t="s">
        <v>6</v>
      </c>
      <c r="C4135" t="s">
        <v>8873</v>
      </c>
      <c r="D4135" t="s">
        <v>8870</v>
      </c>
      <c r="E4135" t="s">
        <v>8871</v>
      </c>
      <c r="F4135" t="str">
        <f>HYPERLINK("https://talan.bank.gov.ua/get-user-certificate/45CEloo0SgfNr_L9i6ck","Завантажити сертифікат")</f>
        <v>Завантажити сертифікат</v>
      </c>
    </row>
    <row r="4136" spans="1:6" x14ac:dyDescent="0.3">
      <c r="A4136" t="s">
        <v>8874</v>
      </c>
      <c r="B4136" t="s">
        <v>6</v>
      </c>
      <c r="C4136" t="s">
        <v>8875</v>
      </c>
      <c r="D4136" t="s">
        <v>8876</v>
      </c>
      <c r="E4136" t="s">
        <v>8877</v>
      </c>
      <c r="F4136" t="str">
        <f>HYPERLINK("https://talan.bank.gov.ua/get-user-certificate/45CElHcC8d00518R1bn_","Завантажити сертифікат")</f>
        <v>Завантажити сертифікат</v>
      </c>
    </row>
    <row r="4137" spans="1:6" x14ac:dyDescent="0.3">
      <c r="A4137" t="s">
        <v>8878</v>
      </c>
      <c r="B4137" t="s">
        <v>6</v>
      </c>
      <c r="C4137" t="s">
        <v>8879</v>
      </c>
      <c r="D4137" t="s">
        <v>8876</v>
      </c>
      <c r="E4137" t="s">
        <v>8877</v>
      </c>
      <c r="F4137" t="str">
        <f>HYPERLINK("https://talan.bank.gov.ua/get-user-certificate/45CElaNwF2WSNSCFeArn","Завантажити сертифікат")</f>
        <v>Завантажити сертифікат</v>
      </c>
    </row>
    <row r="4138" spans="1:6" x14ac:dyDescent="0.3">
      <c r="A4138" t="s">
        <v>8880</v>
      </c>
      <c r="B4138" t="s">
        <v>6</v>
      </c>
      <c r="C4138" t="s">
        <v>8881</v>
      </c>
      <c r="D4138" t="s">
        <v>8876</v>
      </c>
      <c r="E4138" t="s">
        <v>8877</v>
      </c>
      <c r="F4138" t="str">
        <f>HYPERLINK("https://talan.bank.gov.ua/get-user-certificate/45CEl1wftRpFkcAuqw5D","Завантажити сертифікат")</f>
        <v>Завантажити сертифікат</v>
      </c>
    </row>
    <row r="4139" spans="1:6" x14ac:dyDescent="0.3">
      <c r="A4139" t="s">
        <v>8882</v>
      </c>
      <c r="B4139" t="s">
        <v>6</v>
      </c>
      <c r="C4139" t="s">
        <v>8883</v>
      </c>
      <c r="D4139" t="s">
        <v>8884</v>
      </c>
      <c r="E4139" t="s">
        <v>8885</v>
      </c>
      <c r="F4139" t="str">
        <f>HYPERLINK("https://talan.bank.gov.ua/get-user-certificate/45CElMpjSVnng8wyT-J0","Завантажити сертифікат")</f>
        <v>Завантажити сертифікат</v>
      </c>
    </row>
    <row r="4140" spans="1:6" x14ac:dyDescent="0.3">
      <c r="A4140" t="s">
        <v>8886</v>
      </c>
      <c r="B4140" t="s">
        <v>6</v>
      </c>
      <c r="C4140" t="s">
        <v>8887</v>
      </c>
      <c r="D4140" t="s">
        <v>8888</v>
      </c>
      <c r="E4140" t="s">
        <v>8889</v>
      </c>
      <c r="F4140" t="str">
        <f>HYPERLINK("https://talan.bank.gov.ua/get-user-certificate/45CElgBs-Gk9nGlZDaT8","Завантажити сертифікат")</f>
        <v>Завантажити сертифікат</v>
      </c>
    </row>
    <row r="4141" spans="1:6" x14ac:dyDescent="0.3">
      <c r="A4141" t="s">
        <v>8890</v>
      </c>
      <c r="B4141" t="s">
        <v>6</v>
      </c>
      <c r="C4141" t="s">
        <v>8891</v>
      </c>
      <c r="D4141" t="s">
        <v>8888</v>
      </c>
      <c r="E4141" t="s">
        <v>8889</v>
      </c>
      <c r="F4141" t="str">
        <f>HYPERLINK("https://talan.bank.gov.ua/get-user-certificate/45CEl-6bAP9wc8SkeS8M","Завантажити сертифікат")</f>
        <v>Завантажити сертифікат</v>
      </c>
    </row>
    <row r="4142" spans="1:6" x14ac:dyDescent="0.3">
      <c r="A4142" t="s">
        <v>8892</v>
      </c>
      <c r="B4142" t="s">
        <v>6</v>
      </c>
      <c r="C4142" t="s">
        <v>8893</v>
      </c>
      <c r="D4142" t="s">
        <v>8888</v>
      </c>
      <c r="E4142" t="s">
        <v>8889</v>
      </c>
      <c r="F4142" t="str">
        <f>HYPERLINK("https://talan.bank.gov.ua/get-user-certificate/45CElTxNO4KRTxj2aDAn","Завантажити сертифікат")</f>
        <v>Завантажити сертифікат</v>
      </c>
    </row>
    <row r="4143" spans="1:6" x14ac:dyDescent="0.3">
      <c r="A4143" t="s">
        <v>8894</v>
      </c>
      <c r="B4143" t="s">
        <v>6</v>
      </c>
      <c r="C4143" t="s">
        <v>8895</v>
      </c>
      <c r="D4143" t="s">
        <v>8888</v>
      </c>
      <c r="E4143" t="s">
        <v>8889</v>
      </c>
      <c r="F4143" t="str">
        <f>HYPERLINK("https://talan.bank.gov.ua/get-user-certificate/45CElA_AJRhJ0RG8DRrk","Завантажити сертифікат")</f>
        <v>Завантажити сертифікат</v>
      </c>
    </row>
    <row r="4144" spans="1:6" x14ac:dyDescent="0.3">
      <c r="A4144" t="s">
        <v>8896</v>
      </c>
      <c r="B4144" t="s">
        <v>6</v>
      </c>
      <c r="C4144" t="s">
        <v>8897</v>
      </c>
      <c r="D4144" t="s">
        <v>8898</v>
      </c>
      <c r="E4144" t="s">
        <v>8899</v>
      </c>
      <c r="F4144" t="str">
        <f>HYPERLINK("https://talan.bank.gov.ua/get-user-certificate/45CElflnKKU8kdn5Vvpe","Завантажити сертифікат")</f>
        <v>Завантажити сертифікат</v>
      </c>
    </row>
    <row r="4145" spans="1:6" x14ac:dyDescent="0.3">
      <c r="A4145" t="s">
        <v>8900</v>
      </c>
      <c r="B4145" t="s">
        <v>6</v>
      </c>
      <c r="C4145" t="s">
        <v>8901</v>
      </c>
      <c r="D4145" t="s">
        <v>8898</v>
      </c>
      <c r="E4145" t="s">
        <v>8899</v>
      </c>
      <c r="F4145" t="str">
        <f>HYPERLINK("https://talan.bank.gov.ua/get-user-certificate/45CEl0b1aDHDtGgNcBFJ","Завантажити сертифікат")</f>
        <v>Завантажити сертифікат</v>
      </c>
    </row>
    <row r="4146" spans="1:6" x14ac:dyDescent="0.3">
      <c r="A4146" t="s">
        <v>8902</v>
      </c>
      <c r="B4146" t="s">
        <v>6</v>
      </c>
      <c r="C4146" t="s">
        <v>8903</v>
      </c>
      <c r="D4146" t="s">
        <v>8898</v>
      </c>
      <c r="E4146" t="s">
        <v>8899</v>
      </c>
      <c r="F4146" t="str">
        <f>HYPERLINK("https://talan.bank.gov.ua/get-user-certificate/45CElyZi12lcsRB7QyyB","Завантажити сертифікат")</f>
        <v>Завантажити сертифікат</v>
      </c>
    </row>
    <row r="4147" spans="1:6" x14ac:dyDescent="0.3">
      <c r="A4147" t="s">
        <v>8904</v>
      </c>
      <c r="B4147" t="s">
        <v>6</v>
      </c>
      <c r="C4147" t="s">
        <v>8905</v>
      </c>
      <c r="D4147" t="s">
        <v>8898</v>
      </c>
      <c r="E4147" t="s">
        <v>8899</v>
      </c>
      <c r="F4147" t="str">
        <f>HYPERLINK("https://talan.bank.gov.ua/get-user-certificate/45CElgXoR9qZARxW1_Fn","Завантажити сертифікат")</f>
        <v>Завантажити сертифікат</v>
      </c>
    </row>
    <row r="4148" spans="1:6" x14ac:dyDescent="0.3">
      <c r="A4148" t="s">
        <v>8906</v>
      </c>
      <c r="B4148" t="s">
        <v>6</v>
      </c>
      <c r="C4148" t="s">
        <v>8907</v>
      </c>
      <c r="D4148" t="s">
        <v>8898</v>
      </c>
      <c r="E4148" t="s">
        <v>8899</v>
      </c>
      <c r="F4148" t="str">
        <f>HYPERLINK("https://talan.bank.gov.ua/get-user-certificate/45CElQWVaAXk8MVta3Zh","Завантажити сертифікат")</f>
        <v>Завантажити сертифікат</v>
      </c>
    </row>
    <row r="4149" spans="1:6" x14ac:dyDescent="0.3">
      <c r="A4149" t="s">
        <v>8908</v>
      </c>
      <c r="B4149" t="s">
        <v>6</v>
      </c>
      <c r="C4149" t="s">
        <v>8909</v>
      </c>
      <c r="D4149" t="s">
        <v>8898</v>
      </c>
      <c r="E4149" t="s">
        <v>8899</v>
      </c>
      <c r="F4149" t="str">
        <f>HYPERLINK("https://talan.bank.gov.ua/get-user-certificate/45CElgbrNh3N5vENT08J","Завантажити сертифікат")</f>
        <v>Завантажити сертифікат</v>
      </c>
    </row>
    <row r="4150" spans="1:6" x14ac:dyDescent="0.3">
      <c r="A4150" t="s">
        <v>8910</v>
      </c>
      <c r="B4150" t="s">
        <v>6</v>
      </c>
      <c r="C4150" t="s">
        <v>8911</v>
      </c>
      <c r="D4150" t="s">
        <v>8898</v>
      </c>
      <c r="E4150" t="s">
        <v>8899</v>
      </c>
      <c r="F4150" t="str">
        <f>HYPERLINK("https://talan.bank.gov.ua/get-user-certificate/45CElDitlu5Ak9giun7A","Завантажити сертифікат")</f>
        <v>Завантажити сертифікат</v>
      </c>
    </row>
    <row r="4151" spans="1:6" x14ac:dyDescent="0.3">
      <c r="A4151" t="s">
        <v>8912</v>
      </c>
      <c r="B4151" t="s">
        <v>6</v>
      </c>
      <c r="C4151" t="s">
        <v>8913</v>
      </c>
      <c r="D4151" t="s">
        <v>8914</v>
      </c>
      <c r="E4151" t="s">
        <v>8915</v>
      </c>
      <c r="F4151" t="str">
        <f>HYPERLINK("https://talan.bank.gov.ua/get-user-certificate/45CElEdSGRjBi0VXDudy","Завантажити сертифікат")</f>
        <v>Завантажити сертифікат</v>
      </c>
    </row>
    <row r="4152" spans="1:6" x14ac:dyDescent="0.3">
      <c r="A4152" t="s">
        <v>8916</v>
      </c>
      <c r="B4152" t="s">
        <v>6</v>
      </c>
      <c r="C4152" t="s">
        <v>8917</v>
      </c>
      <c r="D4152" t="s">
        <v>8914</v>
      </c>
      <c r="E4152" t="s">
        <v>8915</v>
      </c>
      <c r="F4152" t="str">
        <f>HYPERLINK("https://talan.bank.gov.ua/get-user-certificate/45CElMnzRM6hTPQ6iJaU","Завантажити сертифікат")</f>
        <v>Завантажити сертифікат</v>
      </c>
    </row>
    <row r="4153" spans="1:6" x14ac:dyDescent="0.3">
      <c r="A4153" t="s">
        <v>8918</v>
      </c>
      <c r="B4153" t="s">
        <v>6</v>
      </c>
      <c r="C4153" t="s">
        <v>8919</v>
      </c>
      <c r="D4153" t="s">
        <v>8914</v>
      </c>
      <c r="E4153" t="s">
        <v>8915</v>
      </c>
      <c r="F4153" t="str">
        <f>HYPERLINK("https://talan.bank.gov.ua/get-user-certificate/45CElOgkkpVsSfOIxVS0","Завантажити сертифікат")</f>
        <v>Завантажити сертифікат</v>
      </c>
    </row>
    <row r="4154" spans="1:6" x14ac:dyDescent="0.3">
      <c r="A4154" t="s">
        <v>8920</v>
      </c>
      <c r="B4154" t="s">
        <v>6</v>
      </c>
      <c r="C4154" t="s">
        <v>8921</v>
      </c>
      <c r="D4154" t="s">
        <v>8914</v>
      </c>
      <c r="E4154" t="s">
        <v>8915</v>
      </c>
      <c r="F4154" t="str">
        <f>HYPERLINK("https://talan.bank.gov.ua/get-user-certificate/45CElG7nHeY37U-8E826","Завантажити сертифікат")</f>
        <v>Завантажити сертифікат</v>
      </c>
    </row>
    <row r="4155" spans="1:6" x14ac:dyDescent="0.3">
      <c r="A4155" t="s">
        <v>8922</v>
      </c>
      <c r="B4155" t="s">
        <v>6</v>
      </c>
      <c r="C4155" t="s">
        <v>8923</v>
      </c>
      <c r="D4155" t="s">
        <v>8914</v>
      </c>
      <c r="E4155" t="s">
        <v>8915</v>
      </c>
      <c r="F4155" t="str">
        <f>HYPERLINK("https://talan.bank.gov.ua/get-user-certificate/45CElEr8AFp30zpUjIBN","Завантажити сертифікат")</f>
        <v>Завантажити сертифікат</v>
      </c>
    </row>
    <row r="4156" spans="1:6" x14ac:dyDescent="0.3">
      <c r="A4156" t="s">
        <v>8924</v>
      </c>
      <c r="B4156" t="s">
        <v>6</v>
      </c>
      <c r="C4156" t="s">
        <v>8925</v>
      </c>
      <c r="D4156" t="s">
        <v>8914</v>
      </c>
      <c r="E4156" t="s">
        <v>8915</v>
      </c>
      <c r="F4156" t="str">
        <f>HYPERLINK("https://talan.bank.gov.ua/get-user-certificate/45CElg4FilIG0UpvErIE","Завантажити сертифікат")</f>
        <v>Завантажити сертифікат</v>
      </c>
    </row>
    <row r="4157" spans="1:6" x14ac:dyDescent="0.3">
      <c r="A4157" t="s">
        <v>8926</v>
      </c>
      <c r="B4157" t="s">
        <v>6</v>
      </c>
      <c r="C4157" t="s">
        <v>8927</v>
      </c>
      <c r="D4157" t="s">
        <v>8914</v>
      </c>
      <c r="E4157" t="s">
        <v>8915</v>
      </c>
      <c r="F4157" t="str">
        <f>HYPERLINK("https://talan.bank.gov.ua/get-user-certificate/45CElLPTL8Ax-5RcQs2e","Завантажити сертифікат")</f>
        <v>Завантажити сертифікат</v>
      </c>
    </row>
    <row r="4158" spans="1:6" x14ac:dyDescent="0.3">
      <c r="A4158" t="s">
        <v>8928</v>
      </c>
      <c r="B4158" t="s">
        <v>6</v>
      </c>
      <c r="C4158" t="s">
        <v>8929</v>
      </c>
      <c r="D4158" t="s">
        <v>8914</v>
      </c>
      <c r="E4158" t="s">
        <v>8915</v>
      </c>
      <c r="F4158" t="str">
        <f>HYPERLINK("https://talan.bank.gov.ua/get-user-certificate/45CElUyZUm358T6Q0nca","Завантажити сертифікат")</f>
        <v>Завантажити сертифікат</v>
      </c>
    </row>
    <row r="4159" spans="1:6" x14ac:dyDescent="0.3">
      <c r="A4159" t="s">
        <v>8930</v>
      </c>
      <c r="B4159" t="s">
        <v>6</v>
      </c>
      <c r="C4159" t="s">
        <v>8931</v>
      </c>
      <c r="D4159" t="s">
        <v>8914</v>
      </c>
      <c r="E4159" t="s">
        <v>8915</v>
      </c>
      <c r="F4159" t="str">
        <f>HYPERLINK("https://talan.bank.gov.ua/get-user-certificate/45CElvmiWMMkUDVih-zo","Завантажити сертифікат")</f>
        <v>Завантажити сертифікат</v>
      </c>
    </row>
    <row r="4160" spans="1:6" x14ac:dyDescent="0.3">
      <c r="A4160" t="s">
        <v>8932</v>
      </c>
      <c r="B4160" t="s">
        <v>6</v>
      </c>
      <c r="C4160" t="s">
        <v>8933</v>
      </c>
      <c r="D4160" t="s">
        <v>8934</v>
      </c>
      <c r="E4160" t="s">
        <v>8935</v>
      </c>
      <c r="F4160" t="str">
        <f>HYPERLINK("https://talan.bank.gov.ua/get-user-certificate/45CElSD0sZRkHfHWW6Pm","Завантажити сертифікат")</f>
        <v>Завантажити сертифікат</v>
      </c>
    </row>
    <row r="4161" spans="1:6" x14ac:dyDescent="0.3">
      <c r="A4161" t="s">
        <v>8936</v>
      </c>
      <c r="B4161" t="s">
        <v>6</v>
      </c>
      <c r="C4161" t="s">
        <v>8937</v>
      </c>
      <c r="D4161" t="s">
        <v>8934</v>
      </c>
      <c r="E4161" t="s">
        <v>8935</v>
      </c>
      <c r="F4161" t="str">
        <f>HYPERLINK("https://talan.bank.gov.ua/get-user-certificate/45CElAAZPI34DUNwe6JD","Завантажити сертифікат")</f>
        <v>Завантажити сертифікат</v>
      </c>
    </row>
    <row r="4162" spans="1:6" x14ac:dyDescent="0.3">
      <c r="A4162" t="s">
        <v>8938</v>
      </c>
      <c r="B4162" t="s">
        <v>6</v>
      </c>
      <c r="C4162" t="s">
        <v>8939</v>
      </c>
      <c r="D4162" t="s">
        <v>8934</v>
      </c>
      <c r="E4162" t="s">
        <v>8935</v>
      </c>
      <c r="F4162" t="str">
        <f>HYPERLINK("https://talan.bank.gov.ua/get-user-certificate/45CElt4zvJ2EFPOqyxOe","Завантажити сертифікат")</f>
        <v>Завантажити сертифікат</v>
      </c>
    </row>
    <row r="4163" spans="1:6" x14ac:dyDescent="0.3">
      <c r="A4163" t="s">
        <v>8940</v>
      </c>
      <c r="B4163" t="s">
        <v>6</v>
      </c>
      <c r="C4163" t="s">
        <v>8941</v>
      </c>
      <c r="D4163" t="s">
        <v>8934</v>
      </c>
      <c r="E4163" t="s">
        <v>8935</v>
      </c>
      <c r="F4163" t="str">
        <f>HYPERLINK("https://talan.bank.gov.ua/get-user-certificate/45CElhyy8m0fWLfJk9Go","Завантажити сертифікат")</f>
        <v>Завантажити сертифікат</v>
      </c>
    </row>
    <row r="4164" spans="1:6" x14ac:dyDescent="0.3">
      <c r="A4164" t="s">
        <v>8942</v>
      </c>
      <c r="B4164" t="s">
        <v>6</v>
      </c>
      <c r="C4164" t="s">
        <v>8943</v>
      </c>
      <c r="D4164" t="s">
        <v>8934</v>
      </c>
      <c r="E4164" t="s">
        <v>8935</v>
      </c>
      <c r="F4164" t="str">
        <f>HYPERLINK("https://talan.bank.gov.ua/get-user-certificate/45CElvRaIF_v6W9lWAy0","Завантажити сертифікат")</f>
        <v>Завантажити сертифікат</v>
      </c>
    </row>
    <row r="4165" spans="1:6" x14ac:dyDescent="0.3">
      <c r="A4165" t="s">
        <v>8944</v>
      </c>
      <c r="B4165" t="s">
        <v>6</v>
      </c>
      <c r="C4165" t="s">
        <v>8945</v>
      </c>
      <c r="D4165" t="s">
        <v>8934</v>
      </c>
      <c r="E4165" t="s">
        <v>8935</v>
      </c>
      <c r="F4165" t="str">
        <f>HYPERLINK("https://talan.bank.gov.ua/get-user-certificate/45CElwL1uorNlAfdG9oF","Завантажити сертифікат")</f>
        <v>Завантажити сертифікат</v>
      </c>
    </row>
    <row r="4166" spans="1:6" x14ac:dyDescent="0.3">
      <c r="A4166" t="s">
        <v>8946</v>
      </c>
      <c r="B4166" t="s">
        <v>6</v>
      </c>
      <c r="C4166" t="s">
        <v>8947</v>
      </c>
      <c r="D4166" t="s">
        <v>8948</v>
      </c>
      <c r="E4166" t="s">
        <v>8949</v>
      </c>
      <c r="F4166" t="str">
        <f>HYPERLINK("https://talan.bank.gov.ua/get-user-certificate/45CElZo--4H-_2kSCgpI","Завантажити сертифікат")</f>
        <v>Завантажити сертифікат</v>
      </c>
    </row>
    <row r="4167" spans="1:6" x14ac:dyDescent="0.3">
      <c r="A4167" t="s">
        <v>8950</v>
      </c>
      <c r="B4167" t="s">
        <v>6</v>
      </c>
      <c r="C4167" t="s">
        <v>8951</v>
      </c>
      <c r="D4167" t="s">
        <v>8948</v>
      </c>
      <c r="E4167" t="s">
        <v>8949</v>
      </c>
      <c r="F4167" t="str">
        <f>HYPERLINK("https://talan.bank.gov.ua/get-user-certificate/45CElau7by_VFiEeQSUk","Завантажити сертифікат")</f>
        <v>Завантажити сертифікат</v>
      </c>
    </row>
    <row r="4168" spans="1:6" x14ac:dyDescent="0.3">
      <c r="A4168" t="s">
        <v>8952</v>
      </c>
      <c r="B4168" t="s">
        <v>6</v>
      </c>
      <c r="C4168" t="s">
        <v>8953</v>
      </c>
      <c r="D4168" t="s">
        <v>8948</v>
      </c>
      <c r="E4168" t="s">
        <v>8949</v>
      </c>
      <c r="F4168" t="str">
        <f>HYPERLINK("https://talan.bank.gov.ua/get-user-certificate/45CElJ92wVu2WUnFM3YK","Завантажити сертифікат")</f>
        <v>Завантажити сертифікат</v>
      </c>
    </row>
    <row r="4169" spans="1:6" x14ac:dyDescent="0.3">
      <c r="A4169" t="s">
        <v>8954</v>
      </c>
      <c r="B4169" t="s">
        <v>6</v>
      </c>
      <c r="C4169" t="s">
        <v>8955</v>
      </c>
      <c r="D4169" t="s">
        <v>8948</v>
      </c>
      <c r="E4169" t="s">
        <v>8949</v>
      </c>
      <c r="F4169" t="str">
        <f>HYPERLINK("https://talan.bank.gov.ua/get-user-certificate/45CElNrAFunpdgkRHbOr","Завантажити сертифікат")</f>
        <v>Завантажити сертифікат</v>
      </c>
    </row>
    <row r="4170" spans="1:6" x14ac:dyDescent="0.3">
      <c r="A4170" t="s">
        <v>8956</v>
      </c>
      <c r="B4170" t="s">
        <v>6</v>
      </c>
      <c r="C4170" t="s">
        <v>8957</v>
      </c>
      <c r="D4170" t="s">
        <v>8948</v>
      </c>
      <c r="E4170" t="s">
        <v>8949</v>
      </c>
      <c r="F4170" t="str">
        <f>HYPERLINK("https://talan.bank.gov.ua/get-user-certificate/45CEl4gftbdfTLfi1dhq","Завантажити сертифікат")</f>
        <v>Завантажити сертифікат</v>
      </c>
    </row>
    <row r="4171" spans="1:6" x14ac:dyDescent="0.3">
      <c r="A4171" t="s">
        <v>8958</v>
      </c>
      <c r="B4171" t="s">
        <v>6</v>
      </c>
      <c r="C4171" t="s">
        <v>8959</v>
      </c>
      <c r="D4171" t="s">
        <v>8948</v>
      </c>
      <c r="E4171" t="s">
        <v>8949</v>
      </c>
      <c r="F4171" t="str">
        <f>HYPERLINK("https://talan.bank.gov.ua/get-user-certificate/45CElvV-qslF_2IrGybx","Завантажити сертифікат")</f>
        <v>Завантажити сертифікат</v>
      </c>
    </row>
    <row r="4172" spans="1:6" x14ac:dyDescent="0.3">
      <c r="A4172" t="s">
        <v>8960</v>
      </c>
      <c r="B4172" t="s">
        <v>6</v>
      </c>
      <c r="C4172" t="s">
        <v>8961</v>
      </c>
      <c r="D4172" t="s">
        <v>8948</v>
      </c>
      <c r="E4172" t="s">
        <v>8949</v>
      </c>
      <c r="F4172" t="str">
        <f>HYPERLINK("https://talan.bank.gov.ua/get-user-certificate/45CElw_931EMBaNieh3o","Завантажити сертифікат")</f>
        <v>Завантажити сертифікат</v>
      </c>
    </row>
    <row r="4173" spans="1:6" x14ac:dyDescent="0.3">
      <c r="A4173" t="s">
        <v>8962</v>
      </c>
      <c r="B4173" t="s">
        <v>6</v>
      </c>
      <c r="C4173" t="s">
        <v>8963</v>
      </c>
      <c r="D4173" t="s">
        <v>8948</v>
      </c>
      <c r="E4173" t="s">
        <v>8949</v>
      </c>
      <c r="F4173" t="str">
        <f>HYPERLINK("https://talan.bank.gov.ua/get-user-certificate/45CElZe-XYsxai9DdrDJ","Завантажити сертифікат")</f>
        <v>Завантажити сертифікат</v>
      </c>
    </row>
    <row r="4174" spans="1:6" x14ac:dyDescent="0.3">
      <c r="A4174" t="s">
        <v>8964</v>
      </c>
      <c r="B4174" t="s">
        <v>6</v>
      </c>
      <c r="C4174" t="s">
        <v>8965</v>
      </c>
      <c r="D4174" t="s">
        <v>8966</v>
      </c>
      <c r="E4174" t="s">
        <v>8967</v>
      </c>
      <c r="F4174" t="str">
        <f>HYPERLINK("https://talan.bank.gov.ua/get-user-certificate/45CElZYW6gGFcAwM9-Ta","Завантажити сертифікат")</f>
        <v>Завантажити сертифікат</v>
      </c>
    </row>
    <row r="4175" spans="1:6" x14ac:dyDescent="0.3">
      <c r="A4175" t="s">
        <v>8968</v>
      </c>
      <c r="B4175" t="s">
        <v>6</v>
      </c>
      <c r="C4175" t="s">
        <v>8969</v>
      </c>
      <c r="D4175" t="s">
        <v>8966</v>
      </c>
      <c r="E4175" t="s">
        <v>8967</v>
      </c>
      <c r="F4175" t="str">
        <f>HYPERLINK("https://talan.bank.gov.ua/get-user-certificate/45CElBC5otGdZTDruiH7","Завантажити сертифікат")</f>
        <v>Завантажити сертифікат</v>
      </c>
    </row>
    <row r="4176" spans="1:6" x14ac:dyDescent="0.3">
      <c r="A4176" t="s">
        <v>8970</v>
      </c>
      <c r="B4176" t="s">
        <v>6</v>
      </c>
      <c r="C4176" t="s">
        <v>8971</v>
      </c>
      <c r="D4176" t="s">
        <v>8966</v>
      </c>
      <c r="E4176" t="s">
        <v>8967</v>
      </c>
      <c r="F4176" t="str">
        <f>HYPERLINK("https://talan.bank.gov.ua/get-user-certificate/45CElAqiR9on5qb8BBTN","Завантажити сертифікат")</f>
        <v>Завантажити сертифікат</v>
      </c>
    </row>
    <row r="4177" spans="1:6" x14ac:dyDescent="0.3">
      <c r="A4177" t="s">
        <v>8972</v>
      </c>
      <c r="B4177" t="s">
        <v>6</v>
      </c>
      <c r="C4177" t="s">
        <v>8973</v>
      </c>
      <c r="D4177" t="s">
        <v>8966</v>
      </c>
      <c r="E4177" t="s">
        <v>8967</v>
      </c>
      <c r="F4177" t="str">
        <f>HYPERLINK("https://talan.bank.gov.ua/get-user-certificate/45CElAaOouFLPXwvdBGw","Завантажити сертифікат")</f>
        <v>Завантажити сертифікат</v>
      </c>
    </row>
    <row r="4178" spans="1:6" x14ac:dyDescent="0.3">
      <c r="A4178" t="s">
        <v>8974</v>
      </c>
      <c r="B4178" t="s">
        <v>6</v>
      </c>
      <c r="C4178" t="s">
        <v>8975</v>
      </c>
      <c r="D4178" t="s">
        <v>8966</v>
      </c>
      <c r="E4178" t="s">
        <v>8967</v>
      </c>
      <c r="F4178" t="str">
        <f>HYPERLINK("https://talan.bank.gov.ua/get-user-certificate/45CElQSDtUDDzKFM6YCj","Завантажити сертифікат")</f>
        <v>Завантажити сертифікат</v>
      </c>
    </row>
    <row r="4179" spans="1:6" x14ac:dyDescent="0.3">
      <c r="A4179" t="s">
        <v>8976</v>
      </c>
      <c r="B4179" t="s">
        <v>6</v>
      </c>
      <c r="C4179" t="s">
        <v>8977</v>
      </c>
      <c r="D4179" t="s">
        <v>8966</v>
      </c>
      <c r="E4179" t="s">
        <v>8967</v>
      </c>
      <c r="F4179" t="str">
        <f>HYPERLINK("https://talan.bank.gov.ua/get-user-certificate/45CEllMGQ8PYKWZZ1Zpb","Завантажити сертифікат")</f>
        <v>Завантажити сертифікат</v>
      </c>
    </row>
    <row r="4180" spans="1:6" x14ac:dyDescent="0.3">
      <c r="A4180" t="s">
        <v>8978</v>
      </c>
      <c r="B4180" t="s">
        <v>6</v>
      </c>
      <c r="C4180" t="s">
        <v>8979</v>
      </c>
      <c r="D4180" t="s">
        <v>8966</v>
      </c>
      <c r="E4180" t="s">
        <v>8967</v>
      </c>
      <c r="F4180" t="str">
        <f>HYPERLINK("https://talan.bank.gov.ua/get-user-certificate/45CElH9-w0nBlvGdz_yz","Завантажити сертифікат")</f>
        <v>Завантажити сертифікат</v>
      </c>
    </row>
    <row r="4181" spans="1:6" x14ac:dyDescent="0.3">
      <c r="A4181" t="s">
        <v>8980</v>
      </c>
      <c r="B4181" t="s">
        <v>6</v>
      </c>
      <c r="C4181" t="s">
        <v>8981</v>
      </c>
      <c r="D4181" t="s">
        <v>8966</v>
      </c>
      <c r="E4181" t="s">
        <v>8967</v>
      </c>
      <c r="F4181" t="str">
        <f>HYPERLINK("https://talan.bank.gov.ua/get-user-certificate/45CEl49ndXMYatB_Go-t","Завантажити сертифікат")</f>
        <v>Завантажити сертифікат</v>
      </c>
    </row>
    <row r="4182" spans="1:6" x14ac:dyDescent="0.3">
      <c r="A4182" t="s">
        <v>8982</v>
      </c>
      <c r="B4182" t="s">
        <v>6</v>
      </c>
      <c r="C4182" t="s">
        <v>8983</v>
      </c>
      <c r="D4182" t="s">
        <v>8966</v>
      </c>
      <c r="E4182" t="s">
        <v>8967</v>
      </c>
      <c r="F4182" t="str">
        <f>HYPERLINK("https://talan.bank.gov.ua/get-user-certificate/45CElpJsKYFDwVSSorx4","Завантажити сертифікат")</f>
        <v>Завантажити сертифікат</v>
      </c>
    </row>
    <row r="4183" spans="1:6" x14ac:dyDescent="0.3">
      <c r="A4183" t="s">
        <v>8984</v>
      </c>
      <c r="B4183" t="s">
        <v>6</v>
      </c>
      <c r="C4183" t="s">
        <v>8985</v>
      </c>
      <c r="D4183" t="s">
        <v>8986</v>
      </c>
      <c r="E4183" t="s">
        <v>8987</v>
      </c>
      <c r="F4183" t="str">
        <f>HYPERLINK("https://talan.bank.gov.ua/get-user-certificate/45CElo2z5C013hBlwLMl","Завантажити сертифікат")</f>
        <v>Завантажити сертифікат</v>
      </c>
    </row>
    <row r="4184" spans="1:6" x14ac:dyDescent="0.3">
      <c r="A4184" t="s">
        <v>8988</v>
      </c>
      <c r="B4184" t="s">
        <v>6</v>
      </c>
      <c r="C4184" t="s">
        <v>8989</v>
      </c>
      <c r="D4184" t="s">
        <v>8986</v>
      </c>
      <c r="E4184" t="s">
        <v>8987</v>
      </c>
      <c r="F4184" t="str">
        <f>HYPERLINK("https://talan.bank.gov.ua/get-user-certificate/45CElA0Bz-HAxyayRKfu","Завантажити сертифікат")</f>
        <v>Завантажити сертифікат</v>
      </c>
    </row>
    <row r="4185" spans="1:6" x14ac:dyDescent="0.3">
      <c r="A4185" t="s">
        <v>8990</v>
      </c>
      <c r="B4185" t="s">
        <v>6</v>
      </c>
      <c r="C4185" t="s">
        <v>8991</v>
      </c>
      <c r="D4185" t="s">
        <v>8986</v>
      </c>
      <c r="E4185" t="s">
        <v>8987</v>
      </c>
      <c r="F4185" t="str">
        <f>HYPERLINK("https://talan.bank.gov.ua/get-user-certificate/45CElvkYFVAsDvZ4jzCR","Завантажити сертифікат")</f>
        <v>Завантажити сертифікат</v>
      </c>
    </row>
    <row r="4186" spans="1:6" x14ac:dyDescent="0.3">
      <c r="A4186" t="s">
        <v>8992</v>
      </c>
      <c r="B4186" t="s">
        <v>6</v>
      </c>
      <c r="C4186" t="s">
        <v>8993</v>
      </c>
      <c r="D4186" t="s">
        <v>8986</v>
      </c>
      <c r="E4186" t="s">
        <v>8987</v>
      </c>
      <c r="F4186" t="str">
        <f>HYPERLINK("https://talan.bank.gov.ua/get-user-certificate/45CEljRjC3uZfhkrcYBz","Завантажити сертифікат")</f>
        <v>Завантажити сертифікат</v>
      </c>
    </row>
    <row r="4187" spans="1:6" x14ac:dyDescent="0.3">
      <c r="A4187" t="s">
        <v>8994</v>
      </c>
      <c r="B4187" t="s">
        <v>6</v>
      </c>
      <c r="C4187" t="s">
        <v>8995</v>
      </c>
      <c r="D4187" t="s">
        <v>8986</v>
      </c>
      <c r="E4187" t="s">
        <v>8987</v>
      </c>
      <c r="F4187" t="str">
        <f>HYPERLINK("https://talan.bank.gov.ua/get-user-certificate/45CElxKk-fQD9EAa9IYS","Завантажити сертифікат")</f>
        <v>Завантажити сертифікат</v>
      </c>
    </row>
    <row r="4188" spans="1:6" x14ac:dyDescent="0.3">
      <c r="A4188" t="s">
        <v>8996</v>
      </c>
      <c r="B4188" t="s">
        <v>6</v>
      </c>
      <c r="C4188" t="s">
        <v>8997</v>
      </c>
      <c r="D4188" t="s">
        <v>8986</v>
      </c>
      <c r="E4188" t="s">
        <v>8987</v>
      </c>
      <c r="F4188" t="str">
        <f>HYPERLINK("https://talan.bank.gov.ua/get-user-certificate/45CEl27n1xSYVWQUXcW1","Завантажити сертифікат")</f>
        <v>Завантажити сертифікат</v>
      </c>
    </row>
    <row r="4189" spans="1:6" x14ac:dyDescent="0.3">
      <c r="A4189" t="s">
        <v>8998</v>
      </c>
      <c r="B4189" t="s">
        <v>6</v>
      </c>
      <c r="C4189" t="s">
        <v>8999</v>
      </c>
      <c r="D4189" t="s">
        <v>8986</v>
      </c>
      <c r="E4189" t="s">
        <v>8987</v>
      </c>
      <c r="F4189" t="str">
        <f>HYPERLINK("https://talan.bank.gov.ua/get-user-certificate/45CElljPudtfx6B0iaYF","Завантажити сертифікат")</f>
        <v>Завантажити сертифікат</v>
      </c>
    </row>
    <row r="4190" spans="1:6" x14ac:dyDescent="0.3">
      <c r="A4190" t="s">
        <v>9000</v>
      </c>
      <c r="B4190" t="s">
        <v>6</v>
      </c>
      <c r="C4190" t="s">
        <v>9001</v>
      </c>
      <c r="D4190" t="s">
        <v>8986</v>
      </c>
      <c r="E4190" t="s">
        <v>8987</v>
      </c>
      <c r="F4190" t="str">
        <f>HYPERLINK("https://talan.bank.gov.ua/get-user-certificate/45CEl5lqO2l0l_gGcmhL","Завантажити сертифікат")</f>
        <v>Завантажити сертифікат</v>
      </c>
    </row>
    <row r="4191" spans="1:6" x14ac:dyDescent="0.3">
      <c r="A4191" t="s">
        <v>9002</v>
      </c>
      <c r="B4191" t="s">
        <v>6</v>
      </c>
      <c r="C4191" t="s">
        <v>9003</v>
      </c>
      <c r="D4191" t="s">
        <v>9004</v>
      </c>
      <c r="E4191" t="s">
        <v>9005</v>
      </c>
      <c r="F4191" t="str">
        <f>HYPERLINK("https://talan.bank.gov.ua/get-user-certificate/45CElpWCAlYtJ4pnQKUA","Завантажити сертифікат")</f>
        <v>Завантажити сертифікат</v>
      </c>
    </row>
    <row r="4192" spans="1:6" x14ac:dyDescent="0.3">
      <c r="A4192" t="s">
        <v>9006</v>
      </c>
      <c r="B4192" t="s">
        <v>6</v>
      </c>
      <c r="C4192" t="s">
        <v>9007</v>
      </c>
      <c r="D4192" t="s">
        <v>9004</v>
      </c>
      <c r="E4192" t="s">
        <v>9005</v>
      </c>
      <c r="F4192" t="str">
        <f>HYPERLINK("https://talan.bank.gov.ua/get-user-certificate/45CElYUlNIRngUHderbT","Завантажити сертифікат")</f>
        <v>Завантажити сертифікат</v>
      </c>
    </row>
    <row r="4193" spans="1:6" x14ac:dyDescent="0.3">
      <c r="A4193" t="s">
        <v>9008</v>
      </c>
      <c r="B4193" t="s">
        <v>6</v>
      </c>
      <c r="C4193" t="s">
        <v>9009</v>
      </c>
      <c r="D4193" t="s">
        <v>9004</v>
      </c>
      <c r="E4193" t="s">
        <v>9005</v>
      </c>
      <c r="F4193" t="str">
        <f>HYPERLINK("https://talan.bank.gov.ua/get-user-certificate/45CElJI9Ay9MWn573niA","Завантажити сертифікат")</f>
        <v>Завантажити сертифікат</v>
      </c>
    </row>
    <row r="4194" spans="1:6" x14ac:dyDescent="0.3">
      <c r="A4194" t="s">
        <v>9010</v>
      </c>
      <c r="B4194" t="s">
        <v>6</v>
      </c>
      <c r="C4194" t="s">
        <v>9011</v>
      </c>
      <c r="D4194" t="s">
        <v>9004</v>
      </c>
      <c r="E4194" t="s">
        <v>9005</v>
      </c>
      <c r="F4194" t="str">
        <f>HYPERLINK("https://talan.bank.gov.ua/get-user-certificate/45CEligsMqT_jwqRJrLj","Завантажити сертифікат")</f>
        <v>Завантажити сертифікат</v>
      </c>
    </row>
    <row r="4195" spans="1:6" x14ac:dyDescent="0.3">
      <c r="A4195" t="s">
        <v>9012</v>
      </c>
      <c r="B4195" t="s">
        <v>6</v>
      </c>
      <c r="C4195" t="s">
        <v>9013</v>
      </c>
      <c r="D4195" t="s">
        <v>9004</v>
      </c>
      <c r="E4195" t="s">
        <v>9005</v>
      </c>
      <c r="F4195" t="str">
        <f>HYPERLINK("https://talan.bank.gov.ua/get-user-certificate/45CElFaQrmDvx1sShMMN","Завантажити сертифікат")</f>
        <v>Завантажити сертифікат</v>
      </c>
    </row>
    <row r="4196" spans="1:6" x14ac:dyDescent="0.3">
      <c r="A4196" t="s">
        <v>9014</v>
      </c>
      <c r="B4196" t="s">
        <v>6</v>
      </c>
      <c r="C4196" t="s">
        <v>9015</v>
      </c>
      <c r="D4196" t="s">
        <v>9004</v>
      </c>
      <c r="E4196" t="s">
        <v>9005</v>
      </c>
      <c r="F4196" t="str">
        <f>HYPERLINK("https://talan.bank.gov.ua/get-user-certificate/45CEluK6MM63luJBNsd4","Завантажити сертифікат")</f>
        <v>Завантажити сертифікат</v>
      </c>
    </row>
    <row r="4197" spans="1:6" x14ac:dyDescent="0.3">
      <c r="A4197" t="s">
        <v>9016</v>
      </c>
      <c r="B4197" t="s">
        <v>6</v>
      </c>
      <c r="C4197" t="s">
        <v>9017</v>
      </c>
      <c r="D4197" t="s">
        <v>9004</v>
      </c>
      <c r="E4197" t="s">
        <v>9005</v>
      </c>
      <c r="F4197" t="str">
        <f>HYPERLINK("https://talan.bank.gov.ua/get-user-certificate/45CElLisnrluBYyV8olX","Завантажити сертифікат")</f>
        <v>Завантажити сертифікат</v>
      </c>
    </row>
    <row r="4198" spans="1:6" x14ac:dyDescent="0.3">
      <c r="A4198" t="s">
        <v>9018</v>
      </c>
      <c r="B4198" t="s">
        <v>6</v>
      </c>
      <c r="C4198" t="s">
        <v>9019</v>
      </c>
      <c r="D4198" t="s">
        <v>9004</v>
      </c>
      <c r="E4198" t="s">
        <v>9005</v>
      </c>
      <c r="F4198" t="str">
        <f>HYPERLINK("https://talan.bank.gov.ua/get-user-certificate/45CElbdxqClD2U7tPpEy","Завантажити сертифікат")</f>
        <v>Завантажити сертифікат</v>
      </c>
    </row>
    <row r="4199" spans="1:6" x14ac:dyDescent="0.3">
      <c r="A4199" t="s">
        <v>9020</v>
      </c>
      <c r="B4199" t="s">
        <v>6</v>
      </c>
      <c r="C4199" t="s">
        <v>9021</v>
      </c>
      <c r="D4199" t="s">
        <v>9004</v>
      </c>
      <c r="E4199" t="s">
        <v>9005</v>
      </c>
      <c r="F4199" t="str">
        <f>HYPERLINK("https://talan.bank.gov.ua/get-user-certificate/45CEl9eij5_-viLyqu_Q","Завантажити сертифікат")</f>
        <v>Завантажити сертифікат</v>
      </c>
    </row>
    <row r="4200" spans="1:6" x14ac:dyDescent="0.3">
      <c r="A4200" t="s">
        <v>9022</v>
      </c>
      <c r="B4200" t="s">
        <v>6</v>
      </c>
      <c r="C4200" t="s">
        <v>9023</v>
      </c>
      <c r="D4200" t="s">
        <v>9024</v>
      </c>
      <c r="E4200" t="s">
        <v>9025</v>
      </c>
      <c r="F4200" t="str">
        <f>HYPERLINK("https://talan.bank.gov.ua/get-user-certificate/45CElG0KvDHSC5ZqcOfS","Завантажити сертифікат")</f>
        <v>Завантажити сертифікат</v>
      </c>
    </row>
    <row r="4201" spans="1:6" x14ac:dyDescent="0.3">
      <c r="A4201" t="s">
        <v>9026</v>
      </c>
      <c r="B4201" t="s">
        <v>6</v>
      </c>
      <c r="C4201" t="s">
        <v>9027</v>
      </c>
      <c r="D4201" t="s">
        <v>9028</v>
      </c>
      <c r="E4201" t="s">
        <v>9029</v>
      </c>
      <c r="F4201" t="str">
        <f>HYPERLINK("https://talan.bank.gov.ua/get-user-certificate/45CElNcZPel_zvVMpUN2","Завантажити сертифікат")</f>
        <v>Завантажити сертифікат</v>
      </c>
    </row>
    <row r="4202" spans="1:6" x14ac:dyDescent="0.3">
      <c r="A4202" t="s">
        <v>9030</v>
      </c>
      <c r="B4202" t="s">
        <v>6</v>
      </c>
      <c r="C4202" t="s">
        <v>9031</v>
      </c>
      <c r="D4202" t="s">
        <v>9028</v>
      </c>
      <c r="E4202" t="s">
        <v>9029</v>
      </c>
      <c r="F4202" t="str">
        <f>HYPERLINK("https://talan.bank.gov.ua/get-user-certificate/45CElSc1bk_4GHQ1VwEv","Завантажити сертифікат")</f>
        <v>Завантажити сертифікат</v>
      </c>
    </row>
    <row r="4203" spans="1:6" x14ac:dyDescent="0.3">
      <c r="A4203" t="s">
        <v>9032</v>
      </c>
      <c r="B4203" t="s">
        <v>6</v>
      </c>
      <c r="C4203" t="s">
        <v>9033</v>
      </c>
      <c r="D4203" t="s">
        <v>9034</v>
      </c>
      <c r="E4203" t="s">
        <v>9035</v>
      </c>
      <c r="F4203" t="str">
        <f>HYPERLINK("https://talan.bank.gov.ua/get-user-certificate/45CElbSqChvGE6D3aBP2","Завантажити сертифікат")</f>
        <v>Завантажити сертифікат</v>
      </c>
    </row>
    <row r="4204" spans="1:6" x14ac:dyDescent="0.3">
      <c r="A4204" t="s">
        <v>9036</v>
      </c>
      <c r="B4204" t="s">
        <v>6</v>
      </c>
      <c r="C4204" t="s">
        <v>9037</v>
      </c>
      <c r="D4204" t="s">
        <v>9038</v>
      </c>
      <c r="E4204" t="s">
        <v>9039</v>
      </c>
      <c r="F4204" t="str">
        <f>HYPERLINK("https://talan.bank.gov.ua/get-user-certificate/45CElXtmOwmaXiUF33Bv","Завантажити сертифікат")</f>
        <v>Завантажити сертифікат</v>
      </c>
    </row>
    <row r="4205" spans="1:6" x14ac:dyDescent="0.3">
      <c r="A4205" t="s">
        <v>9040</v>
      </c>
      <c r="B4205" t="s">
        <v>6</v>
      </c>
      <c r="C4205" t="s">
        <v>9041</v>
      </c>
      <c r="D4205" t="s">
        <v>9038</v>
      </c>
      <c r="E4205" t="s">
        <v>9039</v>
      </c>
      <c r="F4205" t="str">
        <f>HYPERLINK("https://talan.bank.gov.ua/get-user-certificate/45CElHkWU-9qtTOU_GVt","Завантажити сертифікат")</f>
        <v>Завантажити сертифікат</v>
      </c>
    </row>
    <row r="4206" spans="1:6" x14ac:dyDescent="0.3">
      <c r="A4206" t="s">
        <v>9042</v>
      </c>
      <c r="B4206" t="s">
        <v>6</v>
      </c>
      <c r="C4206" t="s">
        <v>9043</v>
      </c>
      <c r="D4206" t="s">
        <v>9038</v>
      </c>
      <c r="E4206" t="s">
        <v>9039</v>
      </c>
      <c r="F4206" t="str">
        <f>HYPERLINK("https://talan.bank.gov.ua/get-user-certificate/45CEleIaiIRuAo7Mr3UY","Завантажити сертифікат")</f>
        <v>Завантажити сертифікат</v>
      </c>
    </row>
    <row r="4207" spans="1:6" x14ac:dyDescent="0.3">
      <c r="A4207" t="s">
        <v>9044</v>
      </c>
      <c r="B4207" t="s">
        <v>6</v>
      </c>
      <c r="C4207" t="s">
        <v>9045</v>
      </c>
      <c r="D4207" t="s">
        <v>9038</v>
      </c>
      <c r="E4207" t="s">
        <v>9039</v>
      </c>
      <c r="F4207" t="str">
        <f>HYPERLINK("https://talan.bank.gov.ua/get-user-certificate/45CElFn9QzTu6EXa-HAb","Завантажити сертифікат")</f>
        <v>Завантажити сертифікат</v>
      </c>
    </row>
    <row r="4208" spans="1:6" x14ac:dyDescent="0.3">
      <c r="A4208" t="s">
        <v>9046</v>
      </c>
      <c r="B4208" t="s">
        <v>6</v>
      </c>
      <c r="C4208" t="s">
        <v>9047</v>
      </c>
      <c r="D4208" t="s">
        <v>9038</v>
      </c>
      <c r="E4208" t="s">
        <v>9039</v>
      </c>
      <c r="F4208" t="str">
        <f>HYPERLINK("https://talan.bank.gov.ua/get-user-certificate/45CElLS-aBlkHl7kLtl6","Завантажити сертифікат")</f>
        <v>Завантажити сертифікат</v>
      </c>
    </row>
    <row r="4209" spans="1:6" x14ac:dyDescent="0.3">
      <c r="A4209" t="s">
        <v>9048</v>
      </c>
      <c r="B4209" t="s">
        <v>6</v>
      </c>
      <c r="C4209" t="s">
        <v>9049</v>
      </c>
      <c r="D4209" t="s">
        <v>9038</v>
      </c>
      <c r="E4209" t="s">
        <v>9039</v>
      </c>
      <c r="F4209" t="str">
        <f>HYPERLINK("https://talan.bank.gov.ua/get-user-certificate/45CElsVs35tmRFRHtlhz","Завантажити сертифікат")</f>
        <v>Завантажити сертифікат</v>
      </c>
    </row>
    <row r="4210" spans="1:6" x14ac:dyDescent="0.3">
      <c r="A4210" t="s">
        <v>9050</v>
      </c>
      <c r="B4210" t="s">
        <v>6</v>
      </c>
      <c r="C4210" t="s">
        <v>9051</v>
      </c>
      <c r="D4210" t="s">
        <v>9038</v>
      </c>
      <c r="E4210" t="s">
        <v>9039</v>
      </c>
      <c r="F4210" t="str">
        <f>HYPERLINK("https://talan.bank.gov.ua/get-user-certificate/45CElWQC526I1D9S5mKl","Завантажити сертифікат")</f>
        <v>Завантажити сертифікат</v>
      </c>
    </row>
    <row r="4211" spans="1:6" x14ac:dyDescent="0.3">
      <c r="A4211" t="s">
        <v>9052</v>
      </c>
      <c r="B4211" t="s">
        <v>6</v>
      </c>
      <c r="C4211" t="s">
        <v>9053</v>
      </c>
      <c r="D4211" t="s">
        <v>9054</v>
      </c>
      <c r="E4211" t="s">
        <v>9055</v>
      </c>
      <c r="F4211" t="str">
        <f>HYPERLINK("https://talan.bank.gov.ua/get-user-certificate/45CElpjxyF_vDCBhen7j","Завантажити сертифікат")</f>
        <v>Завантажити сертифікат</v>
      </c>
    </row>
    <row r="4212" spans="1:6" x14ac:dyDescent="0.3">
      <c r="A4212" t="s">
        <v>9056</v>
      </c>
      <c r="B4212" t="s">
        <v>6</v>
      </c>
      <c r="C4212" t="s">
        <v>9057</v>
      </c>
      <c r="D4212" t="s">
        <v>9054</v>
      </c>
      <c r="E4212" t="s">
        <v>9055</v>
      </c>
      <c r="F4212" t="str">
        <f>HYPERLINK("https://talan.bank.gov.ua/get-user-certificate/45CEl11AAHokhmeH0keg","Завантажити сертифікат")</f>
        <v>Завантажити сертифікат</v>
      </c>
    </row>
    <row r="4213" spans="1:6" x14ac:dyDescent="0.3">
      <c r="A4213" t="s">
        <v>9058</v>
      </c>
      <c r="B4213" t="s">
        <v>6</v>
      </c>
      <c r="C4213" t="s">
        <v>9059</v>
      </c>
      <c r="D4213" t="s">
        <v>9054</v>
      </c>
      <c r="E4213" t="s">
        <v>9055</v>
      </c>
      <c r="F4213" t="str">
        <f>HYPERLINK("https://talan.bank.gov.ua/get-user-certificate/45CElunBZcHe7qNLSVe-","Завантажити сертифікат")</f>
        <v>Завантажити сертифікат</v>
      </c>
    </row>
    <row r="4214" spans="1:6" x14ac:dyDescent="0.3">
      <c r="A4214" t="s">
        <v>9060</v>
      </c>
      <c r="B4214" t="s">
        <v>6</v>
      </c>
      <c r="C4214" t="s">
        <v>9061</v>
      </c>
      <c r="D4214" t="s">
        <v>9054</v>
      </c>
      <c r="E4214" t="s">
        <v>9055</v>
      </c>
      <c r="F4214" t="str">
        <f>HYPERLINK("https://talan.bank.gov.ua/get-user-certificate/45CElDjOq-0CCSC_7JJb","Завантажити сертифікат")</f>
        <v>Завантажити сертифікат</v>
      </c>
    </row>
    <row r="4215" spans="1:6" x14ac:dyDescent="0.3">
      <c r="A4215" t="s">
        <v>9062</v>
      </c>
      <c r="B4215" t="s">
        <v>6</v>
      </c>
      <c r="C4215" t="s">
        <v>9063</v>
      </c>
      <c r="D4215" t="s">
        <v>9064</v>
      </c>
      <c r="E4215" t="s">
        <v>9065</v>
      </c>
      <c r="F4215" t="str">
        <f>HYPERLINK("https://talan.bank.gov.ua/get-user-certificate/45CElL9VjacRsMq6Z6w-","Завантажити сертифікат")</f>
        <v>Завантажити сертифікат</v>
      </c>
    </row>
    <row r="4216" spans="1:6" x14ac:dyDescent="0.3">
      <c r="A4216" t="s">
        <v>9066</v>
      </c>
      <c r="B4216" t="s">
        <v>6</v>
      </c>
      <c r="C4216" t="s">
        <v>9067</v>
      </c>
      <c r="D4216" t="s">
        <v>9064</v>
      </c>
      <c r="E4216" t="s">
        <v>9065</v>
      </c>
      <c r="F4216" t="str">
        <f>HYPERLINK("https://talan.bank.gov.ua/get-user-certificate/45CElO_8ttuANpxG_s_y","Завантажити сертифікат")</f>
        <v>Завантажити сертифікат</v>
      </c>
    </row>
    <row r="4217" spans="1:6" x14ac:dyDescent="0.3">
      <c r="A4217" t="s">
        <v>9068</v>
      </c>
      <c r="B4217" t="s">
        <v>6</v>
      </c>
      <c r="C4217" t="s">
        <v>9069</v>
      </c>
      <c r="D4217" t="s">
        <v>9064</v>
      </c>
      <c r="E4217" t="s">
        <v>9065</v>
      </c>
      <c r="F4217" t="str">
        <f>HYPERLINK("https://talan.bank.gov.ua/get-user-certificate/45CElIf4CjeEGHOq20TI","Завантажити сертифікат")</f>
        <v>Завантажити сертифікат</v>
      </c>
    </row>
    <row r="4218" spans="1:6" x14ac:dyDescent="0.3">
      <c r="A4218" t="s">
        <v>9070</v>
      </c>
      <c r="B4218" t="s">
        <v>6</v>
      </c>
      <c r="C4218" t="s">
        <v>9071</v>
      </c>
      <c r="D4218" t="s">
        <v>9064</v>
      </c>
      <c r="E4218" t="s">
        <v>9065</v>
      </c>
      <c r="F4218" t="str">
        <f>HYPERLINK("https://talan.bank.gov.ua/get-user-certificate/45CEl23YnKq8L7mUwoRf","Завантажити сертифікат")</f>
        <v>Завантажити сертифікат</v>
      </c>
    </row>
    <row r="4219" spans="1:6" x14ac:dyDescent="0.3">
      <c r="A4219" t="s">
        <v>9072</v>
      </c>
      <c r="B4219" t="s">
        <v>6</v>
      </c>
      <c r="C4219" t="s">
        <v>9073</v>
      </c>
      <c r="D4219" t="s">
        <v>9064</v>
      </c>
      <c r="E4219" t="s">
        <v>9065</v>
      </c>
      <c r="F4219" t="str">
        <f>HYPERLINK("https://talan.bank.gov.ua/get-user-certificate/45CEljplrtwqiIXB_s2H","Завантажити сертифікат")</f>
        <v>Завантажити сертифікат</v>
      </c>
    </row>
    <row r="4220" spans="1:6" x14ac:dyDescent="0.3">
      <c r="A4220" t="s">
        <v>9074</v>
      </c>
      <c r="B4220" t="s">
        <v>6</v>
      </c>
      <c r="C4220" t="s">
        <v>9075</v>
      </c>
      <c r="D4220" t="s">
        <v>9064</v>
      </c>
      <c r="E4220" t="s">
        <v>9065</v>
      </c>
      <c r="F4220" t="str">
        <f>HYPERLINK("https://talan.bank.gov.ua/get-user-certificate/45CElpxEJA38arZgl35j","Завантажити сертифікат")</f>
        <v>Завантажити сертифікат</v>
      </c>
    </row>
    <row r="4221" spans="1:6" x14ac:dyDescent="0.3">
      <c r="A4221" t="s">
        <v>9076</v>
      </c>
      <c r="B4221" t="s">
        <v>6</v>
      </c>
      <c r="C4221" t="s">
        <v>9077</v>
      </c>
      <c r="D4221" t="s">
        <v>9064</v>
      </c>
      <c r="E4221" t="s">
        <v>9065</v>
      </c>
      <c r="F4221" t="str">
        <f>HYPERLINK("https://talan.bank.gov.ua/get-user-certificate/45CEllx1B8l_Gd_Gspz5","Завантажити сертифікат")</f>
        <v>Завантажити сертифікат</v>
      </c>
    </row>
    <row r="4222" spans="1:6" x14ac:dyDescent="0.3">
      <c r="A4222" t="s">
        <v>9078</v>
      </c>
      <c r="B4222" t="s">
        <v>6</v>
      </c>
      <c r="C4222" t="s">
        <v>9079</v>
      </c>
      <c r="D4222" t="s">
        <v>9064</v>
      </c>
      <c r="E4222" t="s">
        <v>9065</v>
      </c>
      <c r="F4222" t="str">
        <f>HYPERLINK("https://talan.bank.gov.ua/get-user-certificate/45CElwE8gCp9ImYQXZNB","Завантажити сертифікат")</f>
        <v>Завантажити сертифікат</v>
      </c>
    </row>
    <row r="4223" spans="1:6" x14ac:dyDescent="0.3">
      <c r="A4223" t="s">
        <v>9080</v>
      </c>
      <c r="B4223" t="s">
        <v>6</v>
      </c>
      <c r="C4223" t="s">
        <v>9081</v>
      </c>
      <c r="D4223" t="s">
        <v>9064</v>
      </c>
      <c r="E4223" t="s">
        <v>9065</v>
      </c>
      <c r="F4223" t="str">
        <f>HYPERLINK("https://talan.bank.gov.ua/get-user-certificate/45CElmPBZ1zcR4TKzBjA","Завантажити сертифікат")</f>
        <v>Завантажити сертифікат</v>
      </c>
    </row>
    <row r="4224" spans="1:6" x14ac:dyDescent="0.3">
      <c r="A4224" t="s">
        <v>9082</v>
      </c>
      <c r="B4224" t="s">
        <v>6</v>
      </c>
      <c r="C4224" t="s">
        <v>9083</v>
      </c>
      <c r="D4224" t="s">
        <v>9064</v>
      </c>
      <c r="E4224" t="s">
        <v>9065</v>
      </c>
      <c r="F4224" t="str">
        <f>HYPERLINK("https://talan.bank.gov.ua/get-user-certificate/45CEltPPAsfu8gfDrnEG","Завантажити сертифікат")</f>
        <v>Завантажити сертифікат</v>
      </c>
    </row>
    <row r="4225" spans="1:6" x14ac:dyDescent="0.3">
      <c r="A4225" t="s">
        <v>9084</v>
      </c>
      <c r="B4225" t="s">
        <v>6</v>
      </c>
      <c r="C4225" t="s">
        <v>9085</v>
      </c>
      <c r="D4225" t="s">
        <v>9064</v>
      </c>
      <c r="E4225" t="s">
        <v>9065</v>
      </c>
      <c r="F4225" t="str">
        <f>HYPERLINK("https://talan.bank.gov.ua/get-user-certificate/45CElHe0dlhWmjo9IVs7","Завантажити сертифікат")</f>
        <v>Завантажити сертифікат</v>
      </c>
    </row>
    <row r="4226" spans="1:6" x14ac:dyDescent="0.3">
      <c r="A4226" t="s">
        <v>9086</v>
      </c>
      <c r="B4226" t="s">
        <v>6</v>
      </c>
      <c r="C4226" t="s">
        <v>9087</v>
      </c>
      <c r="D4226" t="s">
        <v>9064</v>
      </c>
      <c r="E4226" t="s">
        <v>9065</v>
      </c>
      <c r="F4226" t="str">
        <f>HYPERLINK("https://talan.bank.gov.ua/get-user-certificate/45CElvyYopqgo-EmYVGN","Завантажити сертифікат")</f>
        <v>Завантажити сертифікат</v>
      </c>
    </row>
    <row r="4227" spans="1:6" x14ac:dyDescent="0.3">
      <c r="A4227" t="s">
        <v>9088</v>
      </c>
      <c r="B4227" t="s">
        <v>6</v>
      </c>
      <c r="C4227" t="s">
        <v>9089</v>
      </c>
      <c r="D4227" t="s">
        <v>9064</v>
      </c>
      <c r="E4227" t="s">
        <v>9065</v>
      </c>
      <c r="F4227" t="str">
        <f>HYPERLINK("https://talan.bank.gov.ua/get-user-certificate/45CEljCwg7mVnykAFFlZ","Завантажити сертифікат")</f>
        <v>Завантажити сертифікат</v>
      </c>
    </row>
    <row r="4228" spans="1:6" x14ac:dyDescent="0.3">
      <c r="A4228" t="s">
        <v>9090</v>
      </c>
      <c r="B4228" t="s">
        <v>6</v>
      </c>
      <c r="C4228" t="s">
        <v>9091</v>
      </c>
      <c r="D4228" t="s">
        <v>9064</v>
      </c>
      <c r="E4228" t="s">
        <v>9065</v>
      </c>
      <c r="F4228" t="str">
        <f>HYPERLINK("https://talan.bank.gov.ua/get-user-certificate/45CElm8J0pCbJkCmkOAX","Завантажити сертифікат")</f>
        <v>Завантажити сертифікат</v>
      </c>
    </row>
    <row r="4229" spans="1:6" x14ac:dyDescent="0.3">
      <c r="A4229" t="s">
        <v>9092</v>
      </c>
      <c r="B4229" t="s">
        <v>6</v>
      </c>
      <c r="C4229" t="s">
        <v>9093</v>
      </c>
      <c r="D4229" t="s">
        <v>9094</v>
      </c>
      <c r="E4229" t="s">
        <v>9095</v>
      </c>
      <c r="F4229" t="str">
        <f>HYPERLINK("https://talan.bank.gov.ua/get-user-certificate/45CElZOyTgQnFPGVH69z","Завантажити сертифікат")</f>
        <v>Завантажити сертифікат</v>
      </c>
    </row>
    <row r="4230" spans="1:6" x14ac:dyDescent="0.3">
      <c r="A4230" t="s">
        <v>9096</v>
      </c>
      <c r="B4230" t="s">
        <v>6</v>
      </c>
      <c r="C4230" t="s">
        <v>9097</v>
      </c>
      <c r="D4230" t="s">
        <v>9098</v>
      </c>
      <c r="E4230" t="s">
        <v>9099</v>
      </c>
      <c r="F4230" t="str">
        <f>HYPERLINK("https://talan.bank.gov.ua/get-user-certificate/45CEljqf8asiaG6EY8lF","Завантажити сертифікат")</f>
        <v>Завантажити сертифікат</v>
      </c>
    </row>
    <row r="4231" spans="1:6" x14ac:dyDescent="0.3">
      <c r="A4231" t="s">
        <v>9100</v>
      </c>
      <c r="B4231" t="s">
        <v>6</v>
      </c>
      <c r="C4231" t="s">
        <v>9101</v>
      </c>
      <c r="D4231" t="s">
        <v>9098</v>
      </c>
      <c r="E4231" t="s">
        <v>9099</v>
      </c>
      <c r="F4231" t="str">
        <f>HYPERLINK("https://talan.bank.gov.ua/get-user-certificate/45CEl1Ihd_IbXtzeDt6J","Завантажити сертифікат")</f>
        <v>Завантажити сертифікат</v>
      </c>
    </row>
    <row r="4232" spans="1:6" x14ac:dyDescent="0.3">
      <c r="A4232" t="s">
        <v>9102</v>
      </c>
      <c r="B4232" t="s">
        <v>6</v>
      </c>
      <c r="C4232" t="s">
        <v>9103</v>
      </c>
      <c r="D4232" t="s">
        <v>9098</v>
      </c>
      <c r="E4232" t="s">
        <v>9099</v>
      </c>
      <c r="F4232" t="str">
        <f>HYPERLINK("https://talan.bank.gov.ua/get-user-certificate/45CEl_m1MrEHBhYabZ6B","Завантажити сертифікат")</f>
        <v>Завантажити сертифікат</v>
      </c>
    </row>
    <row r="4233" spans="1:6" x14ac:dyDescent="0.3">
      <c r="A4233" t="s">
        <v>9104</v>
      </c>
      <c r="B4233" t="s">
        <v>6</v>
      </c>
      <c r="C4233" t="s">
        <v>9105</v>
      </c>
      <c r="D4233" t="s">
        <v>9098</v>
      </c>
      <c r="E4233" t="s">
        <v>9099</v>
      </c>
      <c r="F4233" t="str">
        <f>HYPERLINK("https://talan.bank.gov.ua/get-user-certificate/45CEldOP7bGK9TdJ9q0b","Завантажити сертифікат")</f>
        <v>Завантажити сертифікат</v>
      </c>
    </row>
    <row r="4234" spans="1:6" x14ac:dyDescent="0.3">
      <c r="A4234" t="s">
        <v>9106</v>
      </c>
      <c r="B4234" t="s">
        <v>6</v>
      </c>
      <c r="C4234" t="s">
        <v>9107</v>
      </c>
      <c r="D4234" t="s">
        <v>9098</v>
      </c>
      <c r="E4234" t="s">
        <v>9099</v>
      </c>
      <c r="F4234" t="str">
        <f>HYPERLINK("https://talan.bank.gov.ua/get-user-certificate/45CEl5f9zIG3jGlRMxe-","Завантажити сертифікат")</f>
        <v>Завантажити сертифікат</v>
      </c>
    </row>
    <row r="4235" spans="1:6" x14ac:dyDescent="0.3">
      <c r="A4235" t="s">
        <v>9108</v>
      </c>
      <c r="B4235" t="s">
        <v>6</v>
      </c>
      <c r="C4235" t="s">
        <v>9109</v>
      </c>
      <c r="D4235" t="s">
        <v>9110</v>
      </c>
      <c r="E4235" t="s">
        <v>9111</v>
      </c>
      <c r="F4235" t="str">
        <f>HYPERLINK("https://talan.bank.gov.ua/get-user-certificate/45CEl4Tm2ULQ4eSBONrG","Завантажити сертифікат")</f>
        <v>Завантажити сертифікат</v>
      </c>
    </row>
    <row r="4236" spans="1:6" x14ac:dyDescent="0.3">
      <c r="A4236" t="s">
        <v>9112</v>
      </c>
      <c r="B4236" t="s">
        <v>6</v>
      </c>
      <c r="C4236" t="s">
        <v>9113</v>
      </c>
      <c r="D4236" t="s">
        <v>9110</v>
      </c>
      <c r="E4236" t="s">
        <v>9111</v>
      </c>
      <c r="F4236" t="str">
        <f>HYPERLINK("https://talan.bank.gov.ua/get-user-certificate/45CElA7G6oORpnuBlmAK","Завантажити сертифікат")</f>
        <v>Завантажити сертифікат</v>
      </c>
    </row>
    <row r="4237" spans="1:6" x14ac:dyDescent="0.3">
      <c r="A4237" t="s">
        <v>9114</v>
      </c>
      <c r="B4237" t="s">
        <v>6</v>
      </c>
      <c r="C4237" t="s">
        <v>9115</v>
      </c>
      <c r="D4237" t="s">
        <v>9110</v>
      </c>
      <c r="E4237" t="s">
        <v>9111</v>
      </c>
      <c r="F4237" t="str">
        <f>HYPERLINK("https://talan.bank.gov.ua/get-user-certificate/45CElBRUzhoJSY3qS8I5","Завантажити сертифікат")</f>
        <v>Завантажити сертифікат</v>
      </c>
    </row>
    <row r="4238" spans="1:6" x14ac:dyDescent="0.3">
      <c r="A4238" t="s">
        <v>9116</v>
      </c>
      <c r="B4238" t="s">
        <v>6</v>
      </c>
      <c r="C4238" t="s">
        <v>9117</v>
      </c>
      <c r="D4238" t="s">
        <v>9110</v>
      </c>
      <c r="E4238" t="s">
        <v>9111</v>
      </c>
      <c r="F4238" t="str">
        <f>HYPERLINK("https://talan.bank.gov.ua/get-user-certificate/45CElcTnk-7PAzIiSKYs","Завантажити сертифікат")</f>
        <v>Завантажити сертифікат</v>
      </c>
    </row>
    <row r="4239" spans="1:6" x14ac:dyDescent="0.3">
      <c r="A4239" t="s">
        <v>9118</v>
      </c>
      <c r="B4239" t="s">
        <v>6</v>
      </c>
      <c r="C4239" t="s">
        <v>9119</v>
      </c>
      <c r="D4239" t="s">
        <v>9110</v>
      </c>
      <c r="E4239" t="s">
        <v>9111</v>
      </c>
      <c r="F4239" t="str">
        <f>HYPERLINK("https://talan.bank.gov.ua/get-user-certificate/45CElLxgR6NP5qC7UL5q","Завантажити сертифікат")</f>
        <v>Завантажити сертифікат</v>
      </c>
    </row>
    <row r="4240" spans="1:6" x14ac:dyDescent="0.3">
      <c r="A4240" t="s">
        <v>9120</v>
      </c>
      <c r="B4240" t="s">
        <v>6</v>
      </c>
      <c r="C4240" t="s">
        <v>9121</v>
      </c>
      <c r="D4240" t="s">
        <v>9110</v>
      </c>
      <c r="E4240" t="s">
        <v>9111</v>
      </c>
      <c r="F4240" t="str">
        <f>HYPERLINK("https://talan.bank.gov.ua/get-user-certificate/45CElIAiPyvHmqfHz9eo","Завантажити сертифікат")</f>
        <v>Завантажити сертифікат</v>
      </c>
    </row>
    <row r="4241" spans="1:6" x14ac:dyDescent="0.3">
      <c r="A4241" t="s">
        <v>9122</v>
      </c>
      <c r="B4241" t="s">
        <v>6</v>
      </c>
      <c r="C4241" t="s">
        <v>9123</v>
      </c>
      <c r="D4241" t="s">
        <v>9110</v>
      </c>
      <c r="E4241" t="s">
        <v>9111</v>
      </c>
      <c r="F4241" t="str">
        <f>HYPERLINK("https://talan.bank.gov.ua/get-user-certificate/45CEl1px27cvCFD0nwMx","Завантажити сертифікат")</f>
        <v>Завантажити сертифікат</v>
      </c>
    </row>
    <row r="4242" spans="1:6" x14ac:dyDescent="0.3">
      <c r="A4242" t="s">
        <v>9124</v>
      </c>
      <c r="B4242" t="s">
        <v>6</v>
      </c>
      <c r="C4242" t="s">
        <v>9125</v>
      </c>
      <c r="D4242" t="s">
        <v>9110</v>
      </c>
      <c r="E4242" t="s">
        <v>9111</v>
      </c>
      <c r="F4242" t="str">
        <f>HYPERLINK("https://talan.bank.gov.ua/get-user-certificate/45CElH1v5C9GnZrIIgQy","Завантажити сертифікат")</f>
        <v>Завантажити сертифікат</v>
      </c>
    </row>
    <row r="4243" spans="1:6" x14ac:dyDescent="0.3">
      <c r="A4243" t="s">
        <v>9126</v>
      </c>
      <c r="B4243" t="s">
        <v>6</v>
      </c>
      <c r="C4243" t="s">
        <v>9127</v>
      </c>
      <c r="D4243" t="s">
        <v>9110</v>
      </c>
      <c r="E4243" t="s">
        <v>9111</v>
      </c>
      <c r="F4243" t="str">
        <f>HYPERLINK("https://talan.bank.gov.ua/get-user-certificate/45CEl5el7RcrBf7sEMP-","Завантажити сертифікат")</f>
        <v>Завантажити сертифікат</v>
      </c>
    </row>
    <row r="4244" spans="1:6" x14ac:dyDescent="0.3">
      <c r="A4244" t="s">
        <v>9128</v>
      </c>
      <c r="B4244" t="s">
        <v>6</v>
      </c>
      <c r="C4244" t="s">
        <v>9129</v>
      </c>
      <c r="D4244" t="s">
        <v>9110</v>
      </c>
      <c r="E4244" t="s">
        <v>9111</v>
      </c>
      <c r="F4244" t="str">
        <f>HYPERLINK("https://talan.bank.gov.ua/get-user-certificate/45CElEK_C4kplZNRGj8v","Завантажити сертифікат")</f>
        <v>Завантажити сертифікат</v>
      </c>
    </row>
    <row r="4245" spans="1:6" x14ac:dyDescent="0.3">
      <c r="A4245" t="s">
        <v>9130</v>
      </c>
      <c r="B4245" t="s">
        <v>6</v>
      </c>
      <c r="C4245" t="s">
        <v>9131</v>
      </c>
      <c r="D4245" t="s">
        <v>9110</v>
      </c>
      <c r="E4245" t="s">
        <v>9111</v>
      </c>
      <c r="F4245" t="str">
        <f>HYPERLINK("https://talan.bank.gov.ua/get-user-certificate/45CElMUd_-diDNqpqbJT","Завантажити сертифікат")</f>
        <v>Завантажити сертифікат</v>
      </c>
    </row>
    <row r="4246" spans="1:6" x14ac:dyDescent="0.3">
      <c r="A4246" t="s">
        <v>9132</v>
      </c>
      <c r="B4246" t="s">
        <v>6</v>
      </c>
      <c r="C4246" t="s">
        <v>9133</v>
      </c>
      <c r="D4246" t="s">
        <v>9110</v>
      </c>
      <c r="E4246" t="s">
        <v>9111</v>
      </c>
      <c r="F4246" t="str">
        <f>HYPERLINK("https://talan.bank.gov.ua/get-user-certificate/45CEl1qTW_Mvm2aayRId","Завантажити сертифікат")</f>
        <v>Завантажити сертифікат</v>
      </c>
    </row>
    <row r="4247" spans="1:6" x14ac:dyDescent="0.3">
      <c r="A4247" t="s">
        <v>9134</v>
      </c>
      <c r="B4247" t="s">
        <v>6</v>
      </c>
      <c r="C4247" t="s">
        <v>9135</v>
      </c>
      <c r="D4247" t="s">
        <v>9110</v>
      </c>
      <c r="E4247" t="s">
        <v>9111</v>
      </c>
      <c r="F4247" t="str">
        <f>HYPERLINK("https://talan.bank.gov.ua/get-user-certificate/45CEllORPCRVQg2XTBSI","Завантажити сертифікат")</f>
        <v>Завантажити сертифікат</v>
      </c>
    </row>
    <row r="4248" spans="1:6" x14ac:dyDescent="0.3">
      <c r="A4248" t="s">
        <v>9136</v>
      </c>
      <c r="B4248" t="s">
        <v>6</v>
      </c>
      <c r="C4248" t="s">
        <v>9137</v>
      </c>
      <c r="D4248" t="s">
        <v>9110</v>
      </c>
      <c r="E4248" t="s">
        <v>9111</v>
      </c>
      <c r="F4248" t="str">
        <f>HYPERLINK("https://talan.bank.gov.ua/get-user-certificate/45CElrr859Q_y_mo0Jro","Завантажити сертифікат")</f>
        <v>Завантажити сертифікат</v>
      </c>
    </row>
    <row r="4249" spans="1:6" x14ac:dyDescent="0.3">
      <c r="A4249" t="s">
        <v>9138</v>
      </c>
      <c r="B4249" t="s">
        <v>6</v>
      </c>
      <c r="C4249" t="s">
        <v>9139</v>
      </c>
      <c r="D4249" t="s">
        <v>9110</v>
      </c>
      <c r="E4249" t="s">
        <v>9111</v>
      </c>
      <c r="F4249" t="str">
        <f>HYPERLINK("https://talan.bank.gov.ua/get-user-certificate/45CElJgczuxLCv31TCJY","Завантажити сертифікат")</f>
        <v>Завантажити сертифікат</v>
      </c>
    </row>
    <row r="4250" spans="1:6" x14ac:dyDescent="0.3">
      <c r="A4250" t="s">
        <v>9140</v>
      </c>
      <c r="B4250" t="s">
        <v>6</v>
      </c>
      <c r="C4250" t="s">
        <v>9141</v>
      </c>
      <c r="D4250" t="s">
        <v>9110</v>
      </c>
      <c r="E4250" t="s">
        <v>9111</v>
      </c>
      <c r="F4250" t="str">
        <f>HYPERLINK("https://talan.bank.gov.ua/get-user-certificate/45CEl8jKTQAA6kEqFlCK","Завантажити сертифікат")</f>
        <v>Завантажити сертифікат</v>
      </c>
    </row>
    <row r="4251" spans="1:6" x14ac:dyDescent="0.3">
      <c r="A4251" t="s">
        <v>9142</v>
      </c>
      <c r="B4251" t="s">
        <v>6</v>
      </c>
      <c r="C4251" t="s">
        <v>9143</v>
      </c>
      <c r="D4251" t="s">
        <v>9110</v>
      </c>
      <c r="E4251" t="s">
        <v>9111</v>
      </c>
      <c r="F4251" t="str">
        <f>HYPERLINK("https://talan.bank.gov.ua/get-user-certificate/45CElCRQW6kT8mA8d3f9","Завантажити сертифікат")</f>
        <v>Завантажити сертифікат</v>
      </c>
    </row>
    <row r="4252" spans="1:6" x14ac:dyDescent="0.3">
      <c r="A4252" t="s">
        <v>9144</v>
      </c>
      <c r="B4252" t="s">
        <v>6</v>
      </c>
      <c r="C4252" t="s">
        <v>9145</v>
      </c>
      <c r="D4252" t="s">
        <v>9110</v>
      </c>
      <c r="E4252" t="s">
        <v>9111</v>
      </c>
      <c r="F4252" t="str">
        <f>HYPERLINK("https://talan.bank.gov.ua/get-user-certificate/45CElVXlQGitEpg_44MG","Завантажити сертифікат")</f>
        <v>Завантажити сертифікат</v>
      </c>
    </row>
    <row r="4253" spans="1:6" x14ac:dyDescent="0.3">
      <c r="A4253" t="s">
        <v>9146</v>
      </c>
      <c r="B4253" t="s">
        <v>6</v>
      </c>
      <c r="C4253" t="s">
        <v>9147</v>
      </c>
      <c r="D4253" t="s">
        <v>9110</v>
      </c>
      <c r="E4253" t="s">
        <v>9111</v>
      </c>
      <c r="F4253" t="str">
        <f>HYPERLINK("https://talan.bank.gov.ua/get-user-certificate/45CElU0hwDCYARHqvhEn","Завантажити сертифікат")</f>
        <v>Завантажити сертифікат</v>
      </c>
    </row>
    <row r="4254" spans="1:6" x14ac:dyDescent="0.3">
      <c r="A4254" t="s">
        <v>9148</v>
      </c>
      <c r="B4254" t="s">
        <v>6</v>
      </c>
      <c r="C4254" t="s">
        <v>9149</v>
      </c>
      <c r="D4254" t="s">
        <v>9110</v>
      </c>
      <c r="E4254" t="s">
        <v>9111</v>
      </c>
      <c r="F4254" t="str">
        <f>HYPERLINK("https://talan.bank.gov.ua/get-user-certificate/45CElATdkwN66hwb-Jcf","Завантажити сертифікат")</f>
        <v>Завантажити сертифікат</v>
      </c>
    </row>
    <row r="4255" spans="1:6" x14ac:dyDescent="0.3">
      <c r="A4255" t="s">
        <v>9150</v>
      </c>
      <c r="B4255" t="s">
        <v>6</v>
      </c>
      <c r="C4255" t="s">
        <v>9151</v>
      </c>
      <c r="D4255" t="s">
        <v>9110</v>
      </c>
      <c r="E4255" t="s">
        <v>9111</v>
      </c>
      <c r="F4255" t="str">
        <f>HYPERLINK("https://talan.bank.gov.ua/get-user-certificate/45CElUOsV5kMB8YBu79a","Завантажити сертифікат")</f>
        <v>Завантажити сертифікат</v>
      </c>
    </row>
    <row r="4256" spans="1:6" x14ac:dyDescent="0.3">
      <c r="A4256" t="s">
        <v>9152</v>
      </c>
      <c r="B4256" t="s">
        <v>6</v>
      </c>
      <c r="C4256" t="s">
        <v>9153</v>
      </c>
      <c r="D4256" t="s">
        <v>9110</v>
      </c>
      <c r="E4256" t="s">
        <v>9111</v>
      </c>
      <c r="F4256" t="str">
        <f>HYPERLINK("https://talan.bank.gov.ua/get-user-certificate/45CEliD2TnWNlsIxjQNP","Завантажити сертифікат")</f>
        <v>Завантажити сертифікат</v>
      </c>
    </row>
    <row r="4257" spans="1:6" x14ac:dyDescent="0.3">
      <c r="A4257" t="s">
        <v>9154</v>
      </c>
      <c r="B4257" t="s">
        <v>6</v>
      </c>
      <c r="C4257" t="s">
        <v>9155</v>
      </c>
      <c r="D4257" t="s">
        <v>9156</v>
      </c>
      <c r="E4257" t="s">
        <v>9157</v>
      </c>
      <c r="F4257" t="str">
        <f>HYPERLINK("https://talan.bank.gov.ua/get-user-certificate/45CElO7q54quu83UyfSI","Завантажити сертифікат")</f>
        <v>Завантажити сертифікат</v>
      </c>
    </row>
    <row r="4258" spans="1:6" x14ac:dyDescent="0.3">
      <c r="A4258" t="s">
        <v>9158</v>
      </c>
      <c r="B4258" t="s">
        <v>6</v>
      </c>
      <c r="C4258" t="s">
        <v>9159</v>
      </c>
      <c r="D4258" t="s">
        <v>9156</v>
      </c>
      <c r="E4258" t="s">
        <v>9157</v>
      </c>
      <c r="F4258" t="str">
        <f>HYPERLINK("https://talan.bank.gov.ua/get-user-certificate/45CElZBJUA9V1AD7bC3c","Завантажити сертифікат")</f>
        <v>Завантажити сертифікат</v>
      </c>
    </row>
    <row r="4259" spans="1:6" x14ac:dyDescent="0.3">
      <c r="A4259" t="s">
        <v>9160</v>
      </c>
      <c r="B4259" t="s">
        <v>6</v>
      </c>
      <c r="C4259" t="s">
        <v>9161</v>
      </c>
      <c r="D4259" t="s">
        <v>9156</v>
      </c>
      <c r="E4259" t="s">
        <v>9157</v>
      </c>
      <c r="F4259" t="str">
        <f>HYPERLINK("https://talan.bank.gov.ua/get-user-certificate/45CEll72mj9BC1nN-W9K","Завантажити сертифікат")</f>
        <v>Завантажити сертифікат</v>
      </c>
    </row>
    <row r="4260" spans="1:6" x14ac:dyDescent="0.3">
      <c r="A4260" t="s">
        <v>9162</v>
      </c>
      <c r="B4260" t="s">
        <v>6</v>
      </c>
      <c r="C4260" t="s">
        <v>9163</v>
      </c>
      <c r="D4260" t="s">
        <v>9156</v>
      </c>
      <c r="E4260" t="s">
        <v>9157</v>
      </c>
      <c r="F4260" t="str">
        <f>HYPERLINK("https://talan.bank.gov.ua/get-user-certificate/45CEl27sgZ7uDQLI3mGS","Завантажити сертифікат")</f>
        <v>Завантажити сертифікат</v>
      </c>
    </row>
    <row r="4261" spans="1:6" x14ac:dyDescent="0.3">
      <c r="A4261" t="s">
        <v>9164</v>
      </c>
      <c r="B4261" t="s">
        <v>6</v>
      </c>
      <c r="C4261" t="s">
        <v>9165</v>
      </c>
      <c r="D4261" t="s">
        <v>9156</v>
      </c>
      <c r="E4261" t="s">
        <v>9157</v>
      </c>
      <c r="F4261" t="str">
        <f>HYPERLINK("https://talan.bank.gov.ua/get-user-certificate/45CElCZLb2gm74VMeYli","Завантажити сертифікат")</f>
        <v>Завантажити сертифікат</v>
      </c>
    </row>
    <row r="4262" spans="1:6" x14ac:dyDescent="0.3">
      <c r="A4262" t="s">
        <v>9166</v>
      </c>
      <c r="B4262" t="s">
        <v>6</v>
      </c>
      <c r="C4262" t="s">
        <v>9167</v>
      </c>
      <c r="D4262" t="s">
        <v>9168</v>
      </c>
      <c r="E4262" t="s">
        <v>9169</v>
      </c>
      <c r="F4262" t="str">
        <f>HYPERLINK("https://talan.bank.gov.ua/get-user-certificate/45CElqZfjA-CQZQdmN54","Завантажити сертифікат")</f>
        <v>Завантажити сертифікат</v>
      </c>
    </row>
    <row r="4263" spans="1:6" x14ac:dyDescent="0.3">
      <c r="A4263" t="s">
        <v>9170</v>
      </c>
      <c r="B4263" t="s">
        <v>6</v>
      </c>
      <c r="C4263" t="s">
        <v>9171</v>
      </c>
      <c r="D4263" t="s">
        <v>9168</v>
      </c>
      <c r="E4263" t="s">
        <v>9169</v>
      </c>
      <c r="F4263" t="str">
        <f>HYPERLINK("https://talan.bank.gov.ua/get-user-certificate/45CElWSebRgAIdYf6D1g","Завантажити сертифікат")</f>
        <v>Завантажити сертифікат</v>
      </c>
    </row>
    <row r="4264" spans="1:6" x14ac:dyDescent="0.3">
      <c r="A4264" t="s">
        <v>9172</v>
      </c>
      <c r="B4264" t="s">
        <v>6</v>
      </c>
      <c r="C4264" t="s">
        <v>9173</v>
      </c>
      <c r="D4264" t="s">
        <v>9168</v>
      </c>
      <c r="E4264" t="s">
        <v>9169</v>
      </c>
      <c r="F4264" t="str">
        <f>HYPERLINK("https://talan.bank.gov.ua/get-user-certificate/45CElr0jc_sV64WPNLJI","Завантажити сертифікат")</f>
        <v>Завантажити сертифікат</v>
      </c>
    </row>
    <row r="4265" spans="1:6" x14ac:dyDescent="0.3">
      <c r="A4265" t="s">
        <v>9174</v>
      </c>
      <c r="B4265" t="s">
        <v>6</v>
      </c>
      <c r="C4265" t="s">
        <v>9175</v>
      </c>
      <c r="D4265" t="s">
        <v>9168</v>
      </c>
      <c r="E4265" t="s">
        <v>9169</v>
      </c>
      <c r="F4265" t="str">
        <f>HYPERLINK("https://talan.bank.gov.ua/get-user-certificate/45CElyWwZP3q0yzobr0n","Завантажити сертифікат")</f>
        <v>Завантажити сертифікат</v>
      </c>
    </row>
    <row r="4266" spans="1:6" x14ac:dyDescent="0.3">
      <c r="A4266" t="s">
        <v>9176</v>
      </c>
      <c r="B4266" t="s">
        <v>6</v>
      </c>
      <c r="C4266" t="s">
        <v>9177</v>
      </c>
      <c r="D4266" t="s">
        <v>9168</v>
      </c>
      <c r="E4266" t="s">
        <v>9169</v>
      </c>
      <c r="F4266" t="str">
        <f>HYPERLINK("https://talan.bank.gov.ua/get-user-certificate/45CElzTMTROY1yQWx_4_","Завантажити сертифікат")</f>
        <v>Завантажити сертифікат</v>
      </c>
    </row>
    <row r="4267" spans="1:6" x14ac:dyDescent="0.3">
      <c r="A4267" t="s">
        <v>9178</v>
      </c>
      <c r="B4267" t="s">
        <v>6</v>
      </c>
      <c r="C4267" t="s">
        <v>9179</v>
      </c>
      <c r="D4267" t="s">
        <v>9168</v>
      </c>
      <c r="E4267" t="s">
        <v>9169</v>
      </c>
      <c r="F4267" t="str">
        <f>HYPERLINK("https://talan.bank.gov.ua/get-user-certificate/45CElAgmRef6AMWAhoNy","Завантажити сертифікат")</f>
        <v>Завантажити сертифікат</v>
      </c>
    </row>
    <row r="4268" spans="1:6" x14ac:dyDescent="0.3">
      <c r="A4268" t="s">
        <v>9180</v>
      </c>
      <c r="B4268" t="s">
        <v>6</v>
      </c>
      <c r="C4268" t="s">
        <v>9181</v>
      </c>
      <c r="D4268" t="s">
        <v>9168</v>
      </c>
      <c r="E4268" t="s">
        <v>9169</v>
      </c>
      <c r="F4268" t="str">
        <f>HYPERLINK("https://talan.bank.gov.ua/get-user-certificate/45CElV4QSSGRD7hgtWgl","Завантажити сертифікат")</f>
        <v>Завантажити сертифікат</v>
      </c>
    </row>
    <row r="4269" spans="1:6" x14ac:dyDescent="0.3">
      <c r="A4269" t="s">
        <v>9182</v>
      </c>
      <c r="B4269" t="s">
        <v>6</v>
      </c>
      <c r="C4269" t="s">
        <v>9183</v>
      </c>
      <c r="D4269" t="s">
        <v>9168</v>
      </c>
      <c r="E4269" t="s">
        <v>9169</v>
      </c>
      <c r="F4269" t="str">
        <f>HYPERLINK("https://talan.bank.gov.ua/get-user-certificate/45CElImzfXmxM0bdUeHe","Завантажити сертифікат")</f>
        <v>Завантажити сертифікат</v>
      </c>
    </row>
    <row r="4270" spans="1:6" x14ac:dyDescent="0.3">
      <c r="A4270" t="s">
        <v>9184</v>
      </c>
      <c r="B4270" t="s">
        <v>6</v>
      </c>
      <c r="C4270" t="s">
        <v>9185</v>
      </c>
      <c r="D4270" t="s">
        <v>9168</v>
      </c>
      <c r="E4270" t="s">
        <v>9169</v>
      </c>
      <c r="F4270" t="str">
        <f>HYPERLINK("https://talan.bank.gov.ua/get-user-certificate/45CEly9eTq8jeZDxgsD0","Завантажити сертифікат")</f>
        <v>Завантажити сертифікат</v>
      </c>
    </row>
    <row r="4271" spans="1:6" x14ac:dyDescent="0.3">
      <c r="A4271" t="s">
        <v>9186</v>
      </c>
      <c r="B4271" t="s">
        <v>6</v>
      </c>
      <c r="C4271" t="s">
        <v>9187</v>
      </c>
      <c r="D4271" t="s">
        <v>9188</v>
      </c>
      <c r="E4271" t="s">
        <v>9189</v>
      </c>
      <c r="F4271" t="str">
        <f>HYPERLINK("https://talan.bank.gov.ua/get-user-certificate/45CElb_GEPOvpCiHjE9s","Завантажити сертифікат")</f>
        <v>Завантажити сертифікат</v>
      </c>
    </row>
    <row r="4272" spans="1:6" x14ac:dyDescent="0.3">
      <c r="A4272" t="s">
        <v>9190</v>
      </c>
      <c r="B4272" t="s">
        <v>6</v>
      </c>
      <c r="C4272" t="s">
        <v>9191</v>
      </c>
      <c r="D4272" t="s">
        <v>9188</v>
      </c>
      <c r="E4272" t="s">
        <v>9189</v>
      </c>
      <c r="F4272" t="str">
        <f>HYPERLINK("https://talan.bank.gov.ua/get-user-certificate/45CElg-agC6SbarTsTe5","Завантажити сертифікат")</f>
        <v>Завантажити сертифікат</v>
      </c>
    </row>
    <row r="4273" spans="1:6" x14ac:dyDescent="0.3">
      <c r="A4273" t="s">
        <v>9192</v>
      </c>
      <c r="B4273" t="s">
        <v>6</v>
      </c>
      <c r="C4273" t="s">
        <v>9193</v>
      </c>
      <c r="D4273" t="s">
        <v>9188</v>
      </c>
      <c r="E4273" t="s">
        <v>9189</v>
      </c>
      <c r="F4273" t="str">
        <f>HYPERLINK("https://talan.bank.gov.ua/get-user-certificate/45CElV50ug-T6UKfb5eT","Завантажити сертифікат")</f>
        <v>Завантажити сертифікат</v>
      </c>
    </row>
    <row r="4274" spans="1:6" x14ac:dyDescent="0.3">
      <c r="A4274" t="s">
        <v>9194</v>
      </c>
      <c r="B4274" t="s">
        <v>6</v>
      </c>
      <c r="C4274" t="s">
        <v>9195</v>
      </c>
      <c r="D4274" t="s">
        <v>9188</v>
      </c>
      <c r="E4274" t="s">
        <v>9189</v>
      </c>
      <c r="F4274" t="str">
        <f>HYPERLINK("https://talan.bank.gov.ua/get-user-certificate/45CElOcmfWjPsnd2Wlkk","Завантажити сертифікат")</f>
        <v>Завантажити сертифікат</v>
      </c>
    </row>
    <row r="4275" spans="1:6" x14ac:dyDescent="0.3">
      <c r="A4275" t="s">
        <v>9196</v>
      </c>
      <c r="B4275" t="s">
        <v>6</v>
      </c>
      <c r="C4275" t="s">
        <v>9197</v>
      </c>
      <c r="D4275" t="s">
        <v>9188</v>
      </c>
      <c r="E4275" t="s">
        <v>9189</v>
      </c>
      <c r="F4275" t="str">
        <f>HYPERLINK("https://talan.bank.gov.ua/get-user-certificate/45CEl4odCzlCV0ONIzts","Завантажити сертифікат")</f>
        <v>Завантажити сертифікат</v>
      </c>
    </row>
    <row r="4276" spans="1:6" x14ac:dyDescent="0.3">
      <c r="A4276" t="s">
        <v>9198</v>
      </c>
      <c r="B4276" t="s">
        <v>6</v>
      </c>
      <c r="C4276" t="s">
        <v>9199</v>
      </c>
      <c r="D4276" t="s">
        <v>9188</v>
      </c>
      <c r="E4276" t="s">
        <v>9189</v>
      </c>
      <c r="F4276" t="str">
        <f>HYPERLINK("https://talan.bank.gov.ua/get-user-certificate/45CElI1Dj4hIulfGcbde","Завантажити сертифікат")</f>
        <v>Завантажити сертифікат</v>
      </c>
    </row>
    <row r="4277" spans="1:6" x14ac:dyDescent="0.3">
      <c r="A4277" t="s">
        <v>9200</v>
      </c>
      <c r="B4277" t="s">
        <v>6</v>
      </c>
      <c r="C4277" t="s">
        <v>9201</v>
      </c>
      <c r="D4277" t="s">
        <v>9202</v>
      </c>
      <c r="E4277" t="s">
        <v>9203</v>
      </c>
      <c r="F4277" t="str">
        <f>HYPERLINK("https://talan.bank.gov.ua/get-user-certificate/45CElPnyuTs-ysDCnwbX","Завантажити сертифікат")</f>
        <v>Завантажити сертифікат</v>
      </c>
    </row>
    <row r="4278" spans="1:6" x14ac:dyDescent="0.3">
      <c r="A4278" t="s">
        <v>9204</v>
      </c>
      <c r="B4278" t="s">
        <v>6</v>
      </c>
      <c r="C4278" t="s">
        <v>9205</v>
      </c>
      <c r="D4278" t="s">
        <v>9202</v>
      </c>
      <c r="E4278" t="s">
        <v>9203</v>
      </c>
      <c r="F4278" t="str">
        <f>HYPERLINK("https://talan.bank.gov.ua/get-user-certificate/45CElrWVSExWGYl4GCj_","Завантажити сертифікат")</f>
        <v>Завантажити сертифікат</v>
      </c>
    </row>
    <row r="4279" spans="1:6" x14ac:dyDescent="0.3">
      <c r="A4279" t="s">
        <v>9206</v>
      </c>
      <c r="B4279" t="s">
        <v>6</v>
      </c>
      <c r="C4279" t="s">
        <v>9207</v>
      </c>
      <c r="D4279" t="s">
        <v>9202</v>
      </c>
      <c r="E4279" t="s">
        <v>9203</v>
      </c>
      <c r="F4279" t="str">
        <f>HYPERLINK("https://talan.bank.gov.ua/get-user-certificate/45CElm4LNXuI6vu-hJuD","Завантажити сертифікат")</f>
        <v>Завантажити сертифікат</v>
      </c>
    </row>
    <row r="4280" spans="1:6" x14ac:dyDescent="0.3">
      <c r="A4280" t="s">
        <v>9208</v>
      </c>
      <c r="B4280" t="s">
        <v>6</v>
      </c>
      <c r="C4280" t="s">
        <v>9209</v>
      </c>
      <c r="D4280" t="s">
        <v>9202</v>
      </c>
      <c r="E4280" t="s">
        <v>9203</v>
      </c>
      <c r="F4280" t="str">
        <f>HYPERLINK("https://talan.bank.gov.ua/get-user-certificate/45CElMc86jnQeNQWXQbi","Завантажити сертифікат")</f>
        <v>Завантажити сертифікат</v>
      </c>
    </row>
    <row r="4281" spans="1:6" x14ac:dyDescent="0.3">
      <c r="A4281" t="s">
        <v>9210</v>
      </c>
      <c r="B4281" t="s">
        <v>6</v>
      </c>
      <c r="C4281" t="s">
        <v>9211</v>
      </c>
      <c r="D4281" t="s">
        <v>9202</v>
      </c>
      <c r="E4281" t="s">
        <v>9203</v>
      </c>
      <c r="F4281" t="str">
        <f>HYPERLINK("https://talan.bank.gov.ua/get-user-certificate/45CElgmGIdz9fIRwGqcO","Завантажити сертифікат")</f>
        <v>Завантажити сертифікат</v>
      </c>
    </row>
    <row r="4282" spans="1:6" x14ac:dyDescent="0.3">
      <c r="A4282" t="s">
        <v>9212</v>
      </c>
      <c r="B4282" t="s">
        <v>6</v>
      </c>
      <c r="C4282" t="s">
        <v>9213</v>
      </c>
      <c r="D4282" t="s">
        <v>9202</v>
      </c>
      <c r="E4282" t="s">
        <v>9203</v>
      </c>
      <c r="F4282" t="str">
        <f>HYPERLINK("https://talan.bank.gov.ua/get-user-certificate/45CElWRacTAhIhCl06Wb","Завантажити сертифікат")</f>
        <v>Завантажити сертифікат</v>
      </c>
    </row>
    <row r="4283" spans="1:6" x14ac:dyDescent="0.3">
      <c r="A4283" t="s">
        <v>9214</v>
      </c>
      <c r="B4283" t="s">
        <v>6</v>
      </c>
      <c r="C4283" t="s">
        <v>9215</v>
      </c>
      <c r="D4283" t="s">
        <v>9202</v>
      </c>
      <c r="E4283" t="s">
        <v>9203</v>
      </c>
      <c r="F4283" t="str">
        <f>HYPERLINK("https://talan.bank.gov.ua/get-user-certificate/45CElzIyFKuq1tYZeyb1","Завантажити сертифікат")</f>
        <v>Завантажити сертифікат</v>
      </c>
    </row>
    <row r="4284" spans="1:6" x14ac:dyDescent="0.3">
      <c r="A4284" t="s">
        <v>9216</v>
      </c>
      <c r="B4284" t="s">
        <v>6</v>
      </c>
      <c r="C4284" t="s">
        <v>9217</v>
      </c>
      <c r="D4284" t="s">
        <v>9202</v>
      </c>
      <c r="E4284" t="s">
        <v>9203</v>
      </c>
      <c r="F4284" t="str">
        <f>HYPERLINK("https://talan.bank.gov.ua/get-user-certificate/45CEluOp7FSEJl_UGsIK","Завантажити сертифікат")</f>
        <v>Завантажити сертифікат</v>
      </c>
    </row>
    <row r="4285" spans="1:6" x14ac:dyDescent="0.3">
      <c r="A4285" t="s">
        <v>9218</v>
      </c>
      <c r="B4285" t="s">
        <v>6</v>
      </c>
      <c r="C4285" t="s">
        <v>9219</v>
      </c>
      <c r="D4285" t="s">
        <v>9202</v>
      </c>
      <c r="E4285" t="s">
        <v>9203</v>
      </c>
      <c r="F4285" t="str">
        <f>HYPERLINK("https://talan.bank.gov.ua/get-user-certificate/45CEl9dtIoXF-paevbGJ","Завантажити сертифікат")</f>
        <v>Завантажити сертифікат</v>
      </c>
    </row>
    <row r="4286" spans="1:6" x14ac:dyDescent="0.3">
      <c r="A4286" t="s">
        <v>9220</v>
      </c>
      <c r="B4286" t="s">
        <v>6</v>
      </c>
      <c r="C4286" t="s">
        <v>9221</v>
      </c>
      <c r="D4286" t="s">
        <v>9202</v>
      </c>
      <c r="E4286" t="s">
        <v>9203</v>
      </c>
      <c r="F4286" t="str">
        <f>HYPERLINK("https://talan.bank.gov.ua/get-user-certificate/45CEldkbUJzaK-6mrNhG","Завантажити сертифікат")</f>
        <v>Завантажити сертифікат</v>
      </c>
    </row>
    <row r="4287" spans="1:6" x14ac:dyDescent="0.3">
      <c r="A4287" t="s">
        <v>9222</v>
      </c>
      <c r="B4287" t="s">
        <v>6</v>
      </c>
      <c r="C4287" t="s">
        <v>9223</v>
      </c>
      <c r="D4287" t="s">
        <v>9202</v>
      </c>
      <c r="E4287" t="s">
        <v>9203</v>
      </c>
      <c r="F4287" t="str">
        <f>HYPERLINK("https://talan.bank.gov.ua/get-user-certificate/45CElDemtbhaUNFbvGxl","Завантажити сертифікат")</f>
        <v>Завантажити сертифікат</v>
      </c>
    </row>
    <row r="4288" spans="1:6" x14ac:dyDescent="0.3">
      <c r="A4288" t="s">
        <v>9224</v>
      </c>
      <c r="B4288" t="s">
        <v>6</v>
      </c>
      <c r="C4288" t="s">
        <v>9225</v>
      </c>
      <c r="D4288" t="s">
        <v>9202</v>
      </c>
      <c r="E4288" t="s">
        <v>9203</v>
      </c>
      <c r="F4288" t="str">
        <f>HYPERLINK("https://talan.bank.gov.ua/get-user-certificate/45CElzdwPCSyd6zndNA_","Завантажити сертифікат")</f>
        <v>Завантажити сертифікат</v>
      </c>
    </row>
    <row r="4289" spans="1:6" x14ac:dyDescent="0.3">
      <c r="A4289" t="s">
        <v>9226</v>
      </c>
      <c r="B4289" t="s">
        <v>6</v>
      </c>
      <c r="C4289" t="s">
        <v>9227</v>
      </c>
      <c r="D4289" t="s">
        <v>9202</v>
      </c>
      <c r="E4289" t="s">
        <v>9203</v>
      </c>
      <c r="F4289" t="str">
        <f>HYPERLINK("https://talan.bank.gov.ua/get-user-certificate/45CEl60ZFQU5FOSf82So","Завантажити сертифікат")</f>
        <v>Завантажити сертифікат</v>
      </c>
    </row>
    <row r="4290" spans="1:6" x14ac:dyDescent="0.3">
      <c r="A4290" t="s">
        <v>9228</v>
      </c>
      <c r="B4290" t="s">
        <v>6</v>
      </c>
      <c r="C4290" t="s">
        <v>9229</v>
      </c>
      <c r="D4290" t="s">
        <v>9202</v>
      </c>
      <c r="E4290" t="s">
        <v>9203</v>
      </c>
      <c r="F4290" t="str">
        <f>HYPERLINK("https://talan.bank.gov.ua/get-user-certificate/45CEl3J2l9TIi2bRFNrL","Завантажити сертифікат")</f>
        <v>Завантажити сертифікат</v>
      </c>
    </row>
    <row r="4291" spans="1:6" x14ac:dyDescent="0.3">
      <c r="A4291" t="s">
        <v>9230</v>
      </c>
      <c r="B4291" t="s">
        <v>6</v>
      </c>
      <c r="C4291" t="s">
        <v>9231</v>
      </c>
      <c r="D4291" t="s">
        <v>9232</v>
      </c>
      <c r="E4291" t="s">
        <v>9233</v>
      </c>
      <c r="F4291" t="str">
        <f>HYPERLINK("https://talan.bank.gov.ua/get-user-certificate/45CEldG3P6MgYI3eUPcM","Завантажити сертифікат")</f>
        <v>Завантажити сертифікат</v>
      </c>
    </row>
    <row r="4292" spans="1:6" x14ac:dyDescent="0.3">
      <c r="A4292" t="s">
        <v>9234</v>
      </c>
      <c r="B4292" t="s">
        <v>6</v>
      </c>
      <c r="C4292" t="s">
        <v>9235</v>
      </c>
      <c r="D4292" t="s">
        <v>9232</v>
      </c>
      <c r="E4292" t="s">
        <v>9233</v>
      </c>
      <c r="F4292" t="str">
        <f>HYPERLINK("https://talan.bank.gov.ua/get-user-certificate/45CElOQ-73O87U80vmiJ","Завантажити сертифікат")</f>
        <v>Завантажити сертифікат</v>
      </c>
    </row>
    <row r="4293" spans="1:6" x14ac:dyDescent="0.3">
      <c r="A4293" t="s">
        <v>9236</v>
      </c>
      <c r="B4293" t="s">
        <v>6</v>
      </c>
      <c r="C4293" t="s">
        <v>9237</v>
      </c>
      <c r="D4293" t="s">
        <v>9232</v>
      </c>
      <c r="E4293" t="s">
        <v>9233</v>
      </c>
      <c r="F4293" t="str">
        <f>HYPERLINK("https://talan.bank.gov.ua/get-user-certificate/45CEl_Bbw-UXNr3hWYsm","Завантажити сертифікат")</f>
        <v>Завантажити сертифікат</v>
      </c>
    </row>
    <row r="4294" spans="1:6" x14ac:dyDescent="0.3">
      <c r="A4294" t="s">
        <v>9238</v>
      </c>
      <c r="B4294" t="s">
        <v>6</v>
      </c>
      <c r="C4294" t="s">
        <v>9239</v>
      </c>
      <c r="D4294" t="s">
        <v>9232</v>
      </c>
      <c r="E4294" t="s">
        <v>9233</v>
      </c>
      <c r="F4294" t="str">
        <f>HYPERLINK("https://talan.bank.gov.ua/get-user-certificate/45CEl4DpUvgOJ7RM4ThJ","Завантажити сертифікат")</f>
        <v>Завантажити сертифікат</v>
      </c>
    </row>
    <row r="4295" spans="1:6" x14ac:dyDescent="0.3">
      <c r="A4295" t="s">
        <v>9240</v>
      </c>
      <c r="B4295" t="s">
        <v>6</v>
      </c>
      <c r="C4295" t="s">
        <v>9241</v>
      </c>
      <c r="D4295" t="s">
        <v>9232</v>
      </c>
      <c r="E4295" t="s">
        <v>9233</v>
      </c>
      <c r="F4295" t="str">
        <f>HYPERLINK("https://talan.bank.gov.ua/get-user-certificate/45CEleIKo95UHj1fUvdv","Завантажити сертифікат")</f>
        <v>Завантажити сертифікат</v>
      </c>
    </row>
    <row r="4296" spans="1:6" x14ac:dyDescent="0.3">
      <c r="A4296" t="s">
        <v>9242</v>
      </c>
      <c r="B4296" t="s">
        <v>6</v>
      </c>
      <c r="C4296" t="s">
        <v>9243</v>
      </c>
      <c r="D4296" t="s">
        <v>9232</v>
      </c>
      <c r="E4296" t="s">
        <v>9233</v>
      </c>
      <c r="F4296" t="str">
        <f>HYPERLINK("https://talan.bank.gov.ua/get-user-certificate/45CElNYRnrfgPf4vVrIy","Завантажити сертифікат")</f>
        <v>Завантажити сертифікат</v>
      </c>
    </row>
    <row r="4297" spans="1:6" x14ac:dyDescent="0.3">
      <c r="A4297" t="s">
        <v>9244</v>
      </c>
      <c r="B4297" t="s">
        <v>6</v>
      </c>
      <c r="C4297" t="s">
        <v>9245</v>
      </c>
      <c r="D4297" t="s">
        <v>9232</v>
      </c>
      <c r="E4297" t="s">
        <v>9233</v>
      </c>
      <c r="F4297" t="str">
        <f>HYPERLINK("https://talan.bank.gov.ua/get-user-certificate/45CEl5XMNWJujakbCKZ1","Завантажити сертифікат")</f>
        <v>Завантажити сертифікат</v>
      </c>
    </row>
    <row r="4298" spans="1:6" x14ac:dyDescent="0.3">
      <c r="A4298" t="s">
        <v>9246</v>
      </c>
      <c r="B4298" t="s">
        <v>6</v>
      </c>
      <c r="C4298" t="s">
        <v>9247</v>
      </c>
      <c r="D4298" t="s">
        <v>9232</v>
      </c>
      <c r="E4298" t="s">
        <v>9233</v>
      </c>
      <c r="F4298" t="str">
        <f>HYPERLINK("https://talan.bank.gov.ua/get-user-certificate/45CElW7KcpePYjdUKRN9","Завантажити сертифікат")</f>
        <v>Завантажити сертифікат</v>
      </c>
    </row>
    <row r="4299" spans="1:6" x14ac:dyDescent="0.3">
      <c r="A4299" t="s">
        <v>9248</v>
      </c>
      <c r="B4299" t="s">
        <v>6</v>
      </c>
      <c r="C4299" t="s">
        <v>9249</v>
      </c>
      <c r="D4299" t="s">
        <v>9232</v>
      </c>
      <c r="E4299" t="s">
        <v>9233</v>
      </c>
      <c r="F4299" t="str">
        <f>HYPERLINK("https://talan.bank.gov.ua/get-user-certificate/45CEllFMCJ0djUuyVMZP","Завантажити сертифікат")</f>
        <v>Завантажити сертифікат</v>
      </c>
    </row>
    <row r="4300" spans="1:6" x14ac:dyDescent="0.3">
      <c r="A4300" t="s">
        <v>9250</v>
      </c>
      <c r="B4300" t="s">
        <v>6</v>
      </c>
      <c r="C4300" t="s">
        <v>9251</v>
      </c>
      <c r="D4300" t="s">
        <v>9232</v>
      </c>
      <c r="E4300" t="s">
        <v>9233</v>
      </c>
      <c r="F4300" t="str">
        <f>HYPERLINK("https://talan.bank.gov.ua/get-user-certificate/45CElKYmrBUP_HYkOXTS","Завантажити сертифікат")</f>
        <v>Завантажити сертифікат</v>
      </c>
    </row>
    <row r="4301" spans="1:6" x14ac:dyDescent="0.3">
      <c r="A4301" t="s">
        <v>9252</v>
      </c>
      <c r="B4301" t="s">
        <v>6</v>
      </c>
      <c r="C4301" t="s">
        <v>9253</v>
      </c>
      <c r="D4301" t="s">
        <v>9232</v>
      </c>
      <c r="E4301" t="s">
        <v>9233</v>
      </c>
      <c r="F4301" t="str">
        <f>HYPERLINK("https://talan.bank.gov.ua/get-user-certificate/45CEl5kQLnxvx-o3m7bQ","Завантажити сертифікат")</f>
        <v>Завантажити сертифікат</v>
      </c>
    </row>
    <row r="4302" spans="1:6" x14ac:dyDescent="0.3">
      <c r="A4302" t="s">
        <v>9254</v>
      </c>
      <c r="B4302" t="s">
        <v>6</v>
      </c>
      <c r="C4302" t="s">
        <v>9255</v>
      </c>
      <c r="D4302" t="s">
        <v>9232</v>
      </c>
      <c r="E4302" t="s">
        <v>9233</v>
      </c>
      <c r="F4302" t="str">
        <f>HYPERLINK("https://talan.bank.gov.ua/get-user-certificate/45CElu5XiF1hZ4K_UwwF","Завантажити сертифікат")</f>
        <v>Завантажити сертифікат</v>
      </c>
    </row>
    <row r="4303" spans="1:6" x14ac:dyDescent="0.3">
      <c r="A4303" t="s">
        <v>9256</v>
      </c>
      <c r="B4303" t="s">
        <v>6</v>
      </c>
      <c r="C4303" t="s">
        <v>9257</v>
      </c>
      <c r="D4303" t="s">
        <v>9232</v>
      </c>
      <c r="E4303" t="s">
        <v>9233</v>
      </c>
      <c r="F4303" t="str">
        <f>HYPERLINK("https://talan.bank.gov.ua/get-user-certificate/45CEllkHSEndCQbfRF5T","Завантажити сертифікат")</f>
        <v>Завантажити сертифікат</v>
      </c>
    </row>
    <row r="4304" spans="1:6" x14ac:dyDescent="0.3">
      <c r="A4304" t="s">
        <v>9258</v>
      </c>
      <c r="B4304" t="s">
        <v>6</v>
      </c>
      <c r="C4304" t="s">
        <v>9259</v>
      </c>
      <c r="D4304" t="s">
        <v>9232</v>
      </c>
      <c r="E4304" t="s">
        <v>9233</v>
      </c>
      <c r="F4304" t="str">
        <f>HYPERLINK("https://talan.bank.gov.ua/get-user-certificate/45CElCViksD0K1XbG42d","Завантажити сертифікат")</f>
        <v>Завантажити сертифікат</v>
      </c>
    </row>
    <row r="4305" spans="1:6" x14ac:dyDescent="0.3">
      <c r="A4305" t="s">
        <v>9260</v>
      </c>
      <c r="B4305" t="s">
        <v>6</v>
      </c>
      <c r="C4305" t="s">
        <v>9261</v>
      </c>
      <c r="D4305" t="s">
        <v>9232</v>
      </c>
      <c r="E4305" t="s">
        <v>9233</v>
      </c>
      <c r="F4305" t="str">
        <f>HYPERLINK("https://talan.bank.gov.ua/get-user-certificate/45CEluMnhC9zwYwknIxe","Завантажити сертифікат")</f>
        <v>Завантажити сертифікат</v>
      </c>
    </row>
    <row r="4306" spans="1:6" x14ac:dyDescent="0.3">
      <c r="A4306" t="s">
        <v>9262</v>
      </c>
      <c r="B4306" t="s">
        <v>6</v>
      </c>
      <c r="C4306" t="s">
        <v>9263</v>
      </c>
      <c r="D4306" t="s">
        <v>9232</v>
      </c>
      <c r="E4306" t="s">
        <v>9233</v>
      </c>
      <c r="F4306" t="str">
        <f>HYPERLINK("https://talan.bank.gov.ua/get-user-certificate/45CElhuwqKlnt6Bxf9KA","Завантажити сертифікат")</f>
        <v>Завантажити сертифікат</v>
      </c>
    </row>
    <row r="4307" spans="1:6" x14ac:dyDescent="0.3">
      <c r="A4307" t="s">
        <v>9264</v>
      </c>
      <c r="B4307" t="s">
        <v>6</v>
      </c>
      <c r="C4307" t="s">
        <v>9265</v>
      </c>
      <c r="D4307" t="s">
        <v>9266</v>
      </c>
      <c r="E4307" t="s">
        <v>9267</v>
      </c>
      <c r="F4307" t="str">
        <f>HYPERLINK("https://talan.bank.gov.ua/get-user-certificate/45CEluvwdUigYyVBmA-G","Завантажити сертифікат")</f>
        <v>Завантажити сертифікат</v>
      </c>
    </row>
    <row r="4308" spans="1:6" x14ac:dyDescent="0.3">
      <c r="A4308" t="s">
        <v>9268</v>
      </c>
      <c r="B4308" t="s">
        <v>6</v>
      </c>
      <c r="C4308" t="s">
        <v>9269</v>
      </c>
      <c r="D4308" t="s">
        <v>9266</v>
      </c>
      <c r="E4308" t="s">
        <v>9267</v>
      </c>
      <c r="F4308" t="str">
        <f>HYPERLINK("https://talan.bank.gov.ua/get-user-certificate/45CElOq_ayQD5Ne5SaB6","Завантажити сертифікат")</f>
        <v>Завантажити сертифікат</v>
      </c>
    </row>
    <row r="4309" spans="1:6" x14ac:dyDescent="0.3">
      <c r="A4309" t="s">
        <v>9270</v>
      </c>
      <c r="B4309" t="s">
        <v>6</v>
      </c>
      <c r="C4309" t="s">
        <v>9271</v>
      </c>
      <c r="D4309" t="s">
        <v>9266</v>
      </c>
      <c r="E4309" t="s">
        <v>9267</v>
      </c>
      <c r="F4309" t="str">
        <f>HYPERLINK("https://talan.bank.gov.ua/get-user-certificate/45CEllT-frOK6J3NoKFp","Завантажити сертифікат")</f>
        <v>Завантажити сертифікат</v>
      </c>
    </row>
    <row r="4310" spans="1:6" x14ac:dyDescent="0.3">
      <c r="A4310" t="s">
        <v>9272</v>
      </c>
      <c r="B4310" t="s">
        <v>6</v>
      </c>
      <c r="C4310" t="s">
        <v>9273</v>
      </c>
      <c r="D4310" t="s">
        <v>9266</v>
      </c>
      <c r="E4310" t="s">
        <v>9267</v>
      </c>
      <c r="F4310" t="str">
        <f>HYPERLINK("https://talan.bank.gov.ua/get-user-certificate/45CElY4ZsVaHGrYMjubR","Завантажити сертифікат")</f>
        <v>Завантажити сертифікат</v>
      </c>
    </row>
    <row r="4311" spans="1:6" x14ac:dyDescent="0.3">
      <c r="A4311" t="s">
        <v>9274</v>
      </c>
      <c r="B4311" t="s">
        <v>6</v>
      </c>
      <c r="C4311" t="s">
        <v>9275</v>
      </c>
      <c r="D4311" t="s">
        <v>9266</v>
      </c>
      <c r="E4311" t="s">
        <v>9267</v>
      </c>
      <c r="F4311" t="str">
        <f>HYPERLINK("https://talan.bank.gov.ua/get-user-certificate/45CEl_oJmUSNBbINYbvP","Завантажити сертифікат")</f>
        <v>Завантажити сертифікат</v>
      </c>
    </row>
    <row r="4312" spans="1:6" x14ac:dyDescent="0.3">
      <c r="A4312" t="s">
        <v>9276</v>
      </c>
      <c r="B4312" t="s">
        <v>6</v>
      </c>
      <c r="C4312" t="s">
        <v>9277</v>
      </c>
      <c r="D4312" t="s">
        <v>9266</v>
      </c>
      <c r="E4312" t="s">
        <v>9267</v>
      </c>
      <c r="F4312" t="str">
        <f>HYPERLINK("https://talan.bank.gov.ua/get-user-certificate/45CElj1TWwKFYPU1ebhT","Завантажити сертифікат")</f>
        <v>Завантажити сертифікат</v>
      </c>
    </row>
    <row r="4313" spans="1:6" x14ac:dyDescent="0.3">
      <c r="A4313" t="s">
        <v>9278</v>
      </c>
      <c r="B4313" t="s">
        <v>6</v>
      </c>
      <c r="C4313" t="s">
        <v>9279</v>
      </c>
      <c r="D4313" t="s">
        <v>9266</v>
      </c>
      <c r="E4313" t="s">
        <v>9267</v>
      </c>
      <c r="F4313" t="str">
        <f>HYPERLINK("https://talan.bank.gov.ua/get-user-certificate/45CEldPh9b-Jj6glfgca","Завантажити сертифікат")</f>
        <v>Завантажити сертифікат</v>
      </c>
    </row>
    <row r="4314" spans="1:6" x14ac:dyDescent="0.3">
      <c r="A4314" t="s">
        <v>9280</v>
      </c>
      <c r="B4314" t="s">
        <v>6</v>
      </c>
      <c r="C4314" t="s">
        <v>9281</v>
      </c>
      <c r="D4314" t="s">
        <v>9266</v>
      </c>
      <c r="E4314" t="s">
        <v>9267</v>
      </c>
      <c r="F4314" t="str">
        <f>HYPERLINK("https://talan.bank.gov.ua/get-user-certificate/45CEl5AMKPkSRteJ93lK","Завантажити сертифікат")</f>
        <v>Завантажити сертифікат</v>
      </c>
    </row>
    <row r="4315" spans="1:6" x14ac:dyDescent="0.3">
      <c r="A4315" t="s">
        <v>9282</v>
      </c>
      <c r="B4315" t="s">
        <v>6</v>
      </c>
      <c r="C4315" t="s">
        <v>9283</v>
      </c>
      <c r="D4315" t="s">
        <v>9266</v>
      </c>
      <c r="E4315" t="s">
        <v>9267</v>
      </c>
      <c r="F4315" t="str">
        <f>HYPERLINK("https://talan.bank.gov.ua/get-user-certificate/45CEl18UV7ISxCTi6g9L","Завантажити сертифікат")</f>
        <v>Завантажити сертифікат</v>
      </c>
    </row>
    <row r="4316" spans="1:6" x14ac:dyDescent="0.3">
      <c r="A4316" t="s">
        <v>9284</v>
      </c>
      <c r="B4316" t="s">
        <v>6</v>
      </c>
      <c r="C4316" t="s">
        <v>9285</v>
      </c>
      <c r="D4316" t="s">
        <v>9266</v>
      </c>
      <c r="E4316" t="s">
        <v>9267</v>
      </c>
      <c r="F4316" t="str">
        <f>HYPERLINK("https://talan.bank.gov.ua/get-user-certificate/45CElvwoTov9eIRU0GOC","Завантажити сертифікат")</f>
        <v>Завантажити сертифікат</v>
      </c>
    </row>
    <row r="4317" spans="1:6" x14ac:dyDescent="0.3">
      <c r="A4317" t="s">
        <v>9286</v>
      </c>
      <c r="B4317" t="s">
        <v>6</v>
      </c>
      <c r="C4317" t="s">
        <v>9287</v>
      </c>
      <c r="D4317" t="s">
        <v>9266</v>
      </c>
      <c r="E4317" t="s">
        <v>9267</v>
      </c>
      <c r="F4317" t="str">
        <f>HYPERLINK("https://talan.bank.gov.ua/get-user-certificate/45CElqOMaqqz9vKWXdlw","Завантажити сертифікат")</f>
        <v>Завантажити сертифікат</v>
      </c>
    </row>
    <row r="4318" spans="1:6" x14ac:dyDescent="0.3">
      <c r="A4318" t="s">
        <v>9288</v>
      </c>
      <c r="B4318" t="s">
        <v>6</v>
      </c>
      <c r="C4318" t="s">
        <v>9289</v>
      </c>
      <c r="D4318" t="s">
        <v>9266</v>
      </c>
      <c r="E4318" t="s">
        <v>9267</v>
      </c>
      <c r="F4318" t="str">
        <f>HYPERLINK("https://talan.bank.gov.ua/get-user-certificate/45CEl6oGgWwDXR16UBX2","Завантажити сертифікат")</f>
        <v>Завантажити сертифікат</v>
      </c>
    </row>
    <row r="4319" spans="1:6" x14ac:dyDescent="0.3">
      <c r="A4319" t="s">
        <v>9290</v>
      </c>
      <c r="B4319" t="s">
        <v>6</v>
      </c>
      <c r="C4319" t="s">
        <v>9291</v>
      </c>
      <c r="D4319" t="s">
        <v>9266</v>
      </c>
      <c r="E4319" t="s">
        <v>9267</v>
      </c>
      <c r="F4319" t="str">
        <f>HYPERLINK("https://talan.bank.gov.ua/get-user-certificate/45CElvZvYS5E29S4Mb-o","Завантажити сертифікат")</f>
        <v>Завантажити сертифікат</v>
      </c>
    </row>
    <row r="4320" spans="1:6" x14ac:dyDescent="0.3">
      <c r="A4320" t="s">
        <v>9292</v>
      </c>
      <c r="B4320" t="s">
        <v>6</v>
      </c>
      <c r="C4320" t="s">
        <v>9293</v>
      </c>
      <c r="D4320" t="s">
        <v>9266</v>
      </c>
      <c r="E4320" t="s">
        <v>9267</v>
      </c>
      <c r="F4320" t="str">
        <f>HYPERLINK("https://talan.bank.gov.ua/get-user-certificate/45CEluzbrf_RjoPg0hyu","Завантажити сертифікат")</f>
        <v>Завантажити сертифікат</v>
      </c>
    </row>
    <row r="4321" spans="1:6" x14ac:dyDescent="0.3">
      <c r="A4321" t="s">
        <v>9294</v>
      </c>
      <c r="B4321" t="s">
        <v>6</v>
      </c>
      <c r="C4321" t="s">
        <v>9295</v>
      </c>
      <c r="D4321" t="s">
        <v>9266</v>
      </c>
      <c r="E4321" t="s">
        <v>9267</v>
      </c>
      <c r="F4321" t="str">
        <f>HYPERLINK("https://talan.bank.gov.ua/get-user-certificate/45CElxcLQKgcYA7peEfo","Завантажити сертифікат")</f>
        <v>Завантажити сертифікат</v>
      </c>
    </row>
    <row r="4322" spans="1:6" x14ac:dyDescent="0.3">
      <c r="A4322" t="s">
        <v>9296</v>
      </c>
      <c r="B4322" t="s">
        <v>6</v>
      </c>
      <c r="C4322" t="s">
        <v>9297</v>
      </c>
      <c r="D4322" t="s">
        <v>9266</v>
      </c>
      <c r="E4322" t="s">
        <v>9267</v>
      </c>
      <c r="F4322" t="str">
        <f>HYPERLINK("https://talan.bank.gov.ua/get-user-certificate/45CElejSAFrXt533K2sX","Завантажити сертифікат")</f>
        <v>Завантажити сертифікат</v>
      </c>
    </row>
    <row r="4323" spans="1:6" x14ac:dyDescent="0.3">
      <c r="A4323" t="s">
        <v>9298</v>
      </c>
      <c r="B4323" t="s">
        <v>6</v>
      </c>
      <c r="C4323" t="s">
        <v>9299</v>
      </c>
      <c r="D4323" t="s">
        <v>9266</v>
      </c>
      <c r="E4323" t="s">
        <v>9267</v>
      </c>
      <c r="F4323" t="str">
        <f>HYPERLINK("https://talan.bank.gov.ua/get-user-certificate/45CElaM6wmAl_1OQqRXm","Завантажити сертифікат")</f>
        <v>Завантажити сертифікат</v>
      </c>
    </row>
    <row r="4324" spans="1:6" x14ac:dyDescent="0.3">
      <c r="A4324" t="s">
        <v>9300</v>
      </c>
      <c r="B4324" t="s">
        <v>6</v>
      </c>
      <c r="C4324" t="s">
        <v>9301</v>
      </c>
      <c r="D4324" t="s">
        <v>9266</v>
      </c>
      <c r="E4324" t="s">
        <v>9267</v>
      </c>
      <c r="F4324" t="str">
        <f>HYPERLINK("https://talan.bank.gov.ua/get-user-certificate/45CEl5WVF_q-NsMR-hBk","Завантажити сертифікат")</f>
        <v>Завантажити сертифікат</v>
      </c>
    </row>
    <row r="4325" spans="1:6" x14ac:dyDescent="0.3">
      <c r="A4325" t="s">
        <v>9302</v>
      </c>
      <c r="B4325" t="s">
        <v>6</v>
      </c>
      <c r="C4325" t="s">
        <v>9303</v>
      </c>
      <c r="D4325" t="s">
        <v>9266</v>
      </c>
      <c r="E4325" t="s">
        <v>9267</v>
      </c>
      <c r="F4325" t="str">
        <f>HYPERLINK("https://talan.bank.gov.ua/get-user-certificate/45CElCNcLo5j9vkjCTaZ","Завантажити сертифікат")</f>
        <v>Завантажити сертифікат</v>
      </c>
    </row>
    <row r="4326" spans="1:6" x14ac:dyDescent="0.3">
      <c r="A4326" t="s">
        <v>9304</v>
      </c>
      <c r="B4326" t="s">
        <v>6</v>
      </c>
      <c r="C4326" t="s">
        <v>9305</v>
      </c>
      <c r="D4326" t="s">
        <v>9266</v>
      </c>
      <c r="E4326" t="s">
        <v>9267</v>
      </c>
      <c r="F4326" t="str">
        <f>HYPERLINK("https://talan.bank.gov.ua/get-user-certificate/45CElkfgUq4VNX--xmhG","Завантажити сертифікат")</f>
        <v>Завантажити сертифікат</v>
      </c>
    </row>
    <row r="4327" spans="1:6" x14ac:dyDescent="0.3">
      <c r="A4327" t="s">
        <v>9306</v>
      </c>
      <c r="B4327" t="s">
        <v>6</v>
      </c>
      <c r="C4327" t="s">
        <v>9307</v>
      </c>
      <c r="D4327" t="s">
        <v>9266</v>
      </c>
      <c r="E4327" t="s">
        <v>9267</v>
      </c>
      <c r="F4327" t="str">
        <f>HYPERLINK("https://talan.bank.gov.ua/get-user-certificate/45CElnIiF58JR9AEnjJQ","Завантажити сертифікат")</f>
        <v>Завантажити сертифікат</v>
      </c>
    </row>
    <row r="4328" spans="1:6" x14ac:dyDescent="0.3">
      <c r="A4328" t="s">
        <v>9308</v>
      </c>
      <c r="B4328" t="s">
        <v>6</v>
      </c>
      <c r="C4328" t="s">
        <v>9309</v>
      </c>
      <c r="D4328" t="s">
        <v>9266</v>
      </c>
      <c r="E4328" t="s">
        <v>9267</v>
      </c>
      <c r="F4328" t="str">
        <f>HYPERLINK("https://talan.bank.gov.ua/get-user-certificate/45CElqM8xjPtVVAeoVB3","Завантажити сертифікат")</f>
        <v>Завантажити сертифікат</v>
      </c>
    </row>
    <row r="4329" spans="1:6" x14ac:dyDescent="0.3">
      <c r="A4329" t="s">
        <v>9310</v>
      </c>
      <c r="B4329" t="s">
        <v>6</v>
      </c>
      <c r="C4329" t="s">
        <v>9311</v>
      </c>
      <c r="D4329" t="s">
        <v>9266</v>
      </c>
      <c r="E4329" t="s">
        <v>9267</v>
      </c>
      <c r="F4329" t="str">
        <f>HYPERLINK("https://talan.bank.gov.ua/get-user-certificate/45CElHwArec6aVNIGXl9","Завантажити сертифікат")</f>
        <v>Завантажити сертифікат</v>
      </c>
    </row>
    <row r="4330" spans="1:6" x14ac:dyDescent="0.3">
      <c r="A4330" t="s">
        <v>9312</v>
      </c>
      <c r="B4330" t="s">
        <v>6</v>
      </c>
      <c r="C4330" t="s">
        <v>9313</v>
      </c>
      <c r="D4330" t="s">
        <v>9266</v>
      </c>
      <c r="E4330" t="s">
        <v>9267</v>
      </c>
      <c r="F4330" t="str">
        <f>HYPERLINK("https://talan.bank.gov.ua/get-user-certificate/45CEl_Dg1m3u7Qp92SAU","Завантажити сертифікат")</f>
        <v>Завантажити сертифікат</v>
      </c>
    </row>
    <row r="4331" spans="1:6" x14ac:dyDescent="0.3">
      <c r="A4331" t="s">
        <v>9314</v>
      </c>
      <c r="B4331" t="s">
        <v>6</v>
      </c>
      <c r="C4331" t="s">
        <v>9315</v>
      </c>
      <c r="D4331" t="s">
        <v>9266</v>
      </c>
      <c r="E4331" t="s">
        <v>9267</v>
      </c>
      <c r="F4331" t="str">
        <f>HYPERLINK("https://talan.bank.gov.ua/get-user-certificate/45CElXl9U2mfp7pX-WGf","Завантажити сертифікат")</f>
        <v>Завантажити сертифікат</v>
      </c>
    </row>
    <row r="4332" spans="1:6" x14ac:dyDescent="0.3">
      <c r="A4332" t="s">
        <v>9316</v>
      </c>
      <c r="B4332" t="s">
        <v>6</v>
      </c>
      <c r="C4332" t="s">
        <v>9317</v>
      </c>
      <c r="D4332" t="s">
        <v>9318</v>
      </c>
      <c r="E4332" t="s">
        <v>9319</v>
      </c>
      <c r="F4332" t="str">
        <f>HYPERLINK("https://talan.bank.gov.ua/get-user-certificate/45CElm7M8Ftq5O65UJOQ","Завантажити сертифікат")</f>
        <v>Завантажити сертифікат</v>
      </c>
    </row>
    <row r="4333" spans="1:6" x14ac:dyDescent="0.3">
      <c r="A4333" t="s">
        <v>9320</v>
      </c>
      <c r="B4333" t="s">
        <v>6</v>
      </c>
      <c r="C4333" t="s">
        <v>9321</v>
      </c>
      <c r="D4333" t="s">
        <v>9318</v>
      </c>
      <c r="E4333" t="s">
        <v>9319</v>
      </c>
      <c r="F4333" t="str">
        <f>HYPERLINK("https://talan.bank.gov.ua/get-user-certificate/45CElY8DG5TSX-R5dG8i","Завантажити сертифікат")</f>
        <v>Завантажити сертифікат</v>
      </c>
    </row>
    <row r="4334" spans="1:6" x14ac:dyDescent="0.3">
      <c r="A4334" t="s">
        <v>9322</v>
      </c>
      <c r="B4334" t="s">
        <v>6</v>
      </c>
      <c r="C4334" t="s">
        <v>9323</v>
      </c>
      <c r="D4334" t="s">
        <v>9318</v>
      </c>
      <c r="E4334" t="s">
        <v>9319</v>
      </c>
      <c r="F4334" t="str">
        <f>HYPERLINK("https://talan.bank.gov.ua/get-user-certificate/45CElp9-IM2toH8CNWGA","Завантажити сертифікат")</f>
        <v>Завантажити сертифікат</v>
      </c>
    </row>
    <row r="4335" spans="1:6" x14ac:dyDescent="0.3">
      <c r="A4335" t="s">
        <v>9324</v>
      </c>
      <c r="B4335" t="s">
        <v>6</v>
      </c>
      <c r="C4335" t="s">
        <v>9325</v>
      </c>
      <c r="D4335" t="s">
        <v>9318</v>
      </c>
      <c r="E4335" t="s">
        <v>9319</v>
      </c>
      <c r="F4335" t="str">
        <f>HYPERLINK("https://talan.bank.gov.ua/get-user-certificate/45CElCgXU3VZFKL0iTUe","Завантажити сертифікат")</f>
        <v>Завантажити сертифікат</v>
      </c>
    </row>
    <row r="4336" spans="1:6" x14ac:dyDescent="0.3">
      <c r="A4336" t="s">
        <v>9326</v>
      </c>
      <c r="B4336" t="s">
        <v>6</v>
      </c>
      <c r="C4336" t="s">
        <v>9327</v>
      </c>
      <c r="D4336" t="s">
        <v>9318</v>
      </c>
      <c r="E4336" t="s">
        <v>9319</v>
      </c>
      <c r="F4336" t="str">
        <f>HYPERLINK("https://talan.bank.gov.ua/get-user-certificate/45CEl7cIFxrStcmyU3S7","Завантажити сертифікат")</f>
        <v>Завантажити сертифікат</v>
      </c>
    </row>
    <row r="4337" spans="1:6" x14ac:dyDescent="0.3">
      <c r="A4337" t="s">
        <v>9328</v>
      </c>
      <c r="B4337" t="s">
        <v>6</v>
      </c>
      <c r="C4337" t="s">
        <v>9329</v>
      </c>
      <c r="D4337" t="s">
        <v>9330</v>
      </c>
      <c r="E4337" t="s">
        <v>9331</v>
      </c>
      <c r="F4337" t="str">
        <f>HYPERLINK("https://talan.bank.gov.ua/get-user-certificate/45CElX3baFYJNvDSUOmJ","Завантажити сертифікат")</f>
        <v>Завантажити сертифікат</v>
      </c>
    </row>
    <row r="4338" spans="1:6" x14ac:dyDescent="0.3">
      <c r="A4338" t="s">
        <v>9332</v>
      </c>
      <c r="B4338" t="s">
        <v>6</v>
      </c>
      <c r="C4338" t="s">
        <v>9333</v>
      </c>
      <c r="D4338" t="s">
        <v>9330</v>
      </c>
      <c r="E4338" t="s">
        <v>9331</v>
      </c>
      <c r="F4338" t="str">
        <f>HYPERLINK("https://talan.bank.gov.ua/get-user-certificate/45CEl6EbGFL5zs4cDYyF","Завантажити сертифікат")</f>
        <v>Завантажити сертифікат</v>
      </c>
    </row>
    <row r="4339" spans="1:6" x14ac:dyDescent="0.3">
      <c r="A4339" t="s">
        <v>9334</v>
      </c>
      <c r="B4339" t="s">
        <v>6</v>
      </c>
      <c r="C4339" t="s">
        <v>9335</v>
      </c>
      <c r="D4339" t="s">
        <v>9336</v>
      </c>
      <c r="E4339" t="s">
        <v>9337</v>
      </c>
      <c r="F4339" t="str">
        <f>HYPERLINK("https://talan.bank.gov.ua/get-user-certificate/45CElrkBmYr5albuTP8n","Завантажити сертифікат")</f>
        <v>Завантажити сертифікат</v>
      </c>
    </row>
    <row r="4340" spans="1:6" x14ac:dyDescent="0.3">
      <c r="A4340" t="s">
        <v>9338</v>
      </c>
      <c r="B4340" t="s">
        <v>6</v>
      </c>
      <c r="C4340" t="s">
        <v>9339</v>
      </c>
      <c r="D4340" t="s">
        <v>9336</v>
      </c>
      <c r="E4340" t="s">
        <v>9337</v>
      </c>
      <c r="F4340" t="str">
        <f>HYPERLINK("https://talan.bank.gov.ua/get-user-certificate/45CEl0ietT8mdW8rmFEM","Завантажити сертифікат")</f>
        <v>Завантажити сертифікат</v>
      </c>
    </row>
    <row r="4341" spans="1:6" x14ac:dyDescent="0.3">
      <c r="A4341" t="s">
        <v>9340</v>
      </c>
      <c r="B4341" t="s">
        <v>6</v>
      </c>
      <c r="C4341" t="s">
        <v>9341</v>
      </c>
      <c r="D4341" t="s">
        <v>9336</v>
      </c>
      <c r="E4341" t="s">
        <v>9337</v>
      </c>
      <c r="F4341" t="str">
        <f>HYPERLINK("https://talan.bank.gov.ua/get-user-certificate/45CEl3b46QCWl80LvBBv","Завантажити сертифікат")</f>
        <v>Завантажити сертифікат</v>
      </c>
    </row>
    <row r="4342" spans="1:6" x14ac:dyDescent="0.3">
      <c r="A4342" t="s">
        <v>9342</v>
      </c>
      <c r="B4342" t="s">
        <v>6</v>
      </c>
      <c r="C4342" t="s">
        <v>9343</v>
      </c>
      <c r="D4342" t="s">
        <v>9336</v>
      </c>
      <c r="E4342" t="s">
        <v>9337</v>
      </c>
      <c r="F4342" t="str">
        <f>HYPERLINK("https://talan.bank.gov.ua/get-user-certificate/45CElb_l3pYFdc2sDHGD","Завантажити сертифікат")</f>
        <v>Завантажити сертифікат</v>
      </c>
    </row>
    <row r="4343" spans="1:6" x14ac:dyDescent="0.3">
      <c r="A4343" t="s">
        <v>9344</v>
      </c>
      <c r="B4343" t="s">
        <v>6</v>
      </c>
      <c r="C4343" t="s">
        <v>9345</v>
      </c>
      <c r="D4343" t="s">
        <v>9336</v>
      </c>
      <c r="E4343" t="s">
        <v>9337</v>
      </c>
      <c r="F4343" t="str">
        <f>HYPERLINK("https://talan.bank.gov.ua/get-user-certificate/45CElqAqs8mNPCWn-gh1","Завантажити сертифікат")</f>
        <v>Завантажити сертифікат</v>
      </c>
    </row>
    <row r="4344" spans="1:6" x14ac:dyDescent="0.3">
      <c r="A4344" t="s">
        <v>9346</v>
      </c>
      <c r="B4344" t="s">
        <v>6</v>
      </c>
      <c r="C4344" t="s">
        <v>9347</v>
      </c>
      <c r="D4344" t="s">
        <v>9336</v>
      </c>
      <c r="E4344" t="s">
        <v>9337</v>
      </c>
      <c r="F4344" t="str">
        <f>HYPERLINK("https://talan.bank.gov.ua/get-user-certificate/45CElB1osR1FMZF21ihy","Завантажити сертифікат")</f>
        <v>Завантажити сертифікат</v>
      </c>
    </row>
    <row r="4345" spans="1:6" x14ac:dyDescent="0.3">
      <c r="A4345" t="s">
        <v>9348</v>
      </c>
      <c r="B4345" t="s">
        <v>6</v>
      </c>
      <c r="C4345" t="s">
        <v>9349</v>
      </c>
      <c r="D4345" t="s">
        <v>9336</v>
      </c>
      <c r="E4345" t="s">
        <v>9337</v>
      </c>
      <c r="F4345" t="str">
        <f>HYPERLINK("https://talan.bank.gov.ua/get-user-certificate/45CElbqwpHb9KgUWnoN5","Завантажити сертифікат")</f>
        <v>Завантажити сертифікат</v>
      </c>
    </row>
    <row r="4346" spans="1:6" x14ac:dyDescent="0.3">
      <c r="A4346" t="s">
        <v>9350</v>
      </c>
      <c r="B4346" t="s">
        <v>6</v>
      </c>
      <c r="C4346" t="s">
        <v>9351</v>
      </c>
      <c r="D4346" t="s">
        <v>9336</v>
      </c>
      <c r="E4346" t="s">
        <v>9337</v>
      </c>
      <c r="F4346" t="str">
        <f>HYPERLINK("https://talan.bank.gov.ua/get-user-certificate/45CElItgqooqyb61yfNn","Завантажити сертифікат")</f>
        <v>Завантажити сертифікат</v>
      </c>
    </row>
    <row r="4347" spans="1:6" x14ac:dyDescent="0.3">
      <c r="A4347" t="s">
        <v>9352</v>
      </c>
      <c r="B4347" t="s">
        <v>6</v>
      </c>
      <c r="C4347" t="s">
        <v>9353</v>
      </c>
      <c r="D4347" t="s">
        <v>9336</v>
      </c>
      <c r="E4347" t="s">
        <v>9337</v>
      </c>
      <c r="F4347" t="str">
        <f>HYPERLINK("https://talan.bank.gov.ua/get-user-certificate/45CElgpgqJPzlAbUnbMV","Завантажити сертифікат")</f>
        <v>Завантажити сертифікат</v>
      </c>
    </row>
    <row r="4348" spans="1:6" x14ac:dyDescent="0.3">
      <c r="A4348" t="s">
        <v>9354</v>
      </c>
      <c r="B4348" t="s">
        <v>6</v>
      </c>
      <c r="C4348" t="s">
        <v>9355</v>
      </c>
      <c r="D4348" t="s">
        <v>9336</v>
      </c>
      <c r="E4348" t="s">
        <v>9337</v>
      </c>
      <c r="F4348" t="str">
        <f>HYPERLINK("https://talan.bank.gov.ua/get-user-certificate/45CEl5vQwQb7Sp3ZM1EG","Завантажити сертифікат")</f>
        <v>Завантажити сертифікат</v>
      </c>
    </row>
    <row r="4349" spans="1:6" x14ac:dyDescent="0.3">
      <c r="A4349" t="s">
        <v>9356</v>
      </c>
      <c r="B4349" t="s">
        <v>6</v>
      </c>
      <c r="C4349" t="s">
        <v>9357</v>
      </c>
      <c r="D4349" t="s">
        <v>9336</v>
      </c>
      <c r="E4349" t="s">
        <v>9337</v>
      </c>
      <c r="F4349" t="str">
        <f>HYPERLINK("https://talan.bank.gov.ua/get-user-certificate/45CElqJaB4coSVhApGv5","Завантажити сертифікат")</f>
        <v>Завантажити сертифікат</v>
      </c>
    </row>
    <row r="4350" spans="1:6" x14ac:dyDescent="0.3">
      <c r="A4350" t="s">
        <v>9358</v>
      </c>
      <c r="B4350" t="s">
        <v>6</v>
      </c>
      <c r="C4350" t="s">
        <v>9359</v>
      </c>
      <c r="D4350" t="s">
        <v>9336</v>
      </c>
      <c r="E4350" t="s">
        <v>9337</v>
      </c>
      <c r="F4350" t="str">
        <f>HYPERLINK("https://talan.bank.gov.ua/get-user-certificate/45CElOxhL3tRdEi0QQei","Завантажити сертифікат")</f>
        <v>Завантажити сертифікат</v>
      </c>
    </row>
    <row r="4351" spans="1:6" x14ac:dyDescent="0.3">
      <c r="A4351" t="s">
        <v>9360</v>
      </c>
      <c r="B4351" t="s">
        <v>6</v>
      </c>
      <c r="C4351" t="s">
        <v>9361</v>
      </c>
      <c r="D4351" t="s">
        <v>9336</v>
      </c>
      <c r="E4351" t="s">
        <v>9337</v>
      </c>
      <c r="F4351" t="str">
        <f>HYPERLINK("https://talan.bank.gov.ua/get-user-certificate/45CElwRdid3mcgtYabOR","Завантажити сертифікат")</f>
        <v>Завантажити сертифікат</v>
      </c>
    </row>
    <row r="4352" spans="1:6" x14ac:dyDescent="0.3">
      <c r="A4352" t="s">
        <v>9362</v>
      </c>
      <c r="B4352" t="s">
        <v>6</v>
      </c>
      <c r="C4352" t="s">
        <v>9363</v>
      </c>
      <c r="D4352" t="s">
        <v>9336</v>
      </c>
      <c r="E4352" t="s">
        <v>9337</v>
      </c>
      <c r="F4352" t="str">
        <f>HYPERLINK("https://talan.bank.gov.ua/get-user-certificate/45CElbqaMT4lvDx2l69L","Завантажити сертифікат")</f>
        <v>Завантажити сертифікат</v>
      </c>
    </row>
    <row r="4353" spans="1:6" x14ac:dyDescent="0.3">
      <c r="A4353" t="s">
        <v>9364</v>
      </c>
      <c r="B4353" t="s">
        <v>6</v>
      </c>
      <c r="C4353" t="s">
        <v>9365</v>
      </c>
      <c r="D4353" t="s">
        <v>9336</v>
      </c>
      <c r="E4353" t="s">
        <v>9337</v>
      </c>
      <c r="F4353" t="str">
        <f>HYPERLINK("https://talan.bank.gov.ua/get-user-certificate/45CElnb1Tec251KSdK0V","Завантажити сертифікат")</f>
        <v>Завантажити сертифікат</v>
      </c>
    </row>
    <row r="4354" spans="1:6" x14ac:dyDescent="0.3">
      <c r="A4354" t="s">
        <v>9366</v>
      </c>
      <c r="B4354" t="s">
        <v>6</v>
      </c>
      <c r="C4354" t="s">
        <v>9367</v>
      </c>
      <c r="D4354" t="s">
        <v>9336</v>
      </c>
      <c r="E4354" t="s">
        <v>9337</v>
      </c>
      <c r="F4354" t="str">
        <f>HYPERLINK("https://talan.bank.gov.ua/get-user-certificate/45CEl3zmGoqCzzax-cKy","Завантажити сертифікат")</f>
        <v>Завантажити сертифікат</v>
      </c>
    </row>
    <row r="4355" spans="1:6" x14ac:dyDescent="0.3">
      <c r="A4355" t="s">
        <v>9368</v>
      </c>
      <c r="B4355" t="s">
        <v>6</v>
      </c>
      <c r="C4355" t="s">
        <v>9369</v>
      </c>
      <c r="D4355" t="s">
        <v>9336</v>
      </c>
      <c r="E4355" t="s">
        <v>9337</v>
      </c>
      <c r="F4355" t="str">
        <f>HYPERLINK("https://talan.bank.gov.ua/get-user-certificate/45CElQnWu056Ga-Ndg9j","Завантажити сертифікат")</f>
        <v>Завантажити сертифікат</v>
      </c>
    </row>
    <row r="4356" spans="1:6" x14ac:dyDescent="0.3">
      <c r="A4356" t="s">
        <v>9370</v>
      </c>
      <c r="B4356" t="s">
        <v>6</v>
      </c>
      <c r="C4356" t="s">
        <v>9371</v>
      </c>
      <c r="D4356" t="s">
        <v>9336</v>
      </c>
      <c r="E4356" t="s">
        <v>9337</v>
      </c>
      <c r="F4356" t="str">
        <f>HYPERLINK("https://talan.bank.gov.ua/get-user-certificate/45CElO8daBvrNXe5IMmM","Завантажити сертифікат")</f>
        <v>Завантажити сертифікат</v>
      </c>
    </row>
    <row r="4357" spans="1:6" x14ac:dyDescent="0.3">
      <c r="A4357" t="s">
        <v>9372</v>
      </c>
      <c r="B4357" t="s">
        <v>6</v>
      </c>
      <c r="C4357" t="s">
        <v>9373</v>
      </c>
      <c r="D4357" t="s">
        <v>9336</v>
      </c>
      <c r="E4357" t="s">
        <v>9337</v>
      </c>
      <c r="F4357" t="str">
        <f>HYPERLINK("https://talan.bank.gov.ua/get-user-certificate/45CElpU0V6A0KNWWBi-T","Завантажити сертифікат")</f>
        <v>Завантажити сертифікат</v>
      </c>
    </row>
    <row r="4358" spans="1:6" x14ac:dyDescent="0.3">
      <c r="A4358" t="s">
        <v>9374</v>
      </c>
      <c r="B4358" t="s">
        <v>6</v>
      </c>
      <c r="C4358" t="s">
        <v>9375</v>
      </c>
      <c r="D4358" t="s">
        <v>9336</v>
      </c>
      <c r="E4358" t="s">
        <v>9337</v>
      </c>
      <c r="F4358" t="str">
        <f>HYPERLINK("https://talan.bank.gov.ua/get-user-certificate/45CElOptVUhL97MAGc9i","Завантажити сертифікат")</f>
        <v>Завантажити сертифікат</v>
      </c>
    </row>
    <row r="4359" spans="1:6" x14ac:dyDescent="0.3">
      <c r="A4359" t="s">
        <v>9376</v>
      </c>
      <c r="B4359" t="s">
        <v>6</v>
      </c>
      <c r="C4359" t="s">
        <v>9377</v>
      </c>
      <c r="D4359" t="s">
        <v>9336</v>
      </c>
      <c r="E4359" t="s">
        <v>9337</v>
      </c>
      <c r="F4359" t="str">
        <f>HYPERLINK("https://talan.bank.gov.ua/get-user-certificate/45CElUy6D3KP8lUfOQ5F","Завантажити сертифікат")</f>
        <v>Завантажити сертифікат</v>
      </c>
    </row>
    <row r="4360" spans="1:6" x14ac:dyDescent="0.3">
      <c r="A4360" t="s">
        <v>9378</v>
      </c>
      <c r="B4360" t="s">
        <v>6</v>
      </c>
      <c r="C4360" t="s">
        <v>9379</v>
      </c>
      <c r="D4360" t="s">
        <v>9336</v>
      </c>
      <c r="E4360" t="s">
        <v>9337</v>
      </c>
      <c r="F4360" t="str">
        <f>HYPERLINK("https://talan.bank.gov.ua/get-user-certificate/45CElm1Fbm_mi6Uxr_PW","Завантажити сертифікат")</f>
        <v>Завантажити сертифікат</v>
      </c>
    </row>
    <row r="4361" spans="1:6" x14ac:dyDescent="0.3">
      <c r="A4361" t="s">
        <v>9380</v>
      </c>
      <c r="B4361" t="s">
        <v>6</v>
      </c>
      <c r="C4361" t="s">
        <v>9381</v>
      </c>
      <c r="D4361" t="s">
        <v>9336</v>
      </c>
      <c r="E4361" t="s">
        <v>9337</v>
      </c>
      <c r="F4361" t="str">
        <f>HYPERLINK("https://talan.bank.gov.ua/get-user-certificate/45CElzNVRAavIuDpu74c","Завантажити сертифікат")</f>
        <v>Завантажити сертифікат</v>
      </c>
    </row>
    <row r="4362" spans="1:6" x14ac:dyDescent="0.3">
      <c r="A4362" t="s">
        <v>9382</v>
      </c>
      <c r="B4362" t="s">
        <v>6</v>
      </c>
      <c r="C4362" t="s">
        <v>9383</v>
      </c>
      <c r="D4362" t="s">
        <v>9336</v>
      </c>
      <c r="E4362" t="s">
        <v>9337</v>
      </c>
      <c r="F4362" t="str">
        <f>HYPERLINK("https://talan.bank.gov.ua/get-user-certificate/45CElSiAdVRrCy4uYbkZ","Завантажити сертифікат")</f>
        <v>Завантажити сертифікат</v>
      </c>
    </row>
    <row r="4363" spans="1:6" x14ac:dyDescent="0.3">
      <c r="A4363" t="s">
        <v>9384</v>
      </c>
      <c r="B4363" t="s">
        <v>6</v>
      </c>
      <c r="C4363" t="s">
        <v>9385</v>
      </c>
      <c r="D4363" t="s">
        <v>9336</v>
      </c>
      <c r="E4363" t="s">
        <v>9337</v>
      </c>
      <c r="F4363" t="str">
        <f>HYPERLINK("https://talan.bank.gov.ua/get-user-certificate/45CElwMiALEuYBVgnYiN","Завантажити сертифікат")</f>
        <v>Завантажити сертифікат</v>
      </c>
    </row>
    <row r="4364" spans="1:6" x14ac:dyDescent="0.3">
      <c r="A4364" t="s">
        <v>9386</v>
      </c>
      <c r="B4364" t="s">
        <v>6</v>
      </c>
      <c r="C4364" t="s">
        <v>9387</v>
      </c>
      <c r="D4364" t="s">
        <v>9336</v>
      </c>
      <c r="E4364" t="s">
        <v>9337</v>
      </c>
      <c r="F4364" t="str">
        <f>HYPERLINK("https://talan.bank.gov.ua/get-user-certificate/45CElrfX7ZJejlDkR2K1","Завантажити сертифікат")</f>
        <v>Завантажити сертифікат</v>
      </c>
    </row>
    <row r="4365" spans="1:6" x14ac:dyDescent="0.3">
      <c r="A4365" t="s">
        <v>9388</v>
      </c>
      <c r="B4365" t="s">
        <v>6</v>
      </c>
      <c r="C4365" t="s">
        <v>9389</v>
      </c>
      <c r="D4365" t="s">
        <v>9336</v>
      </c>
      <c r="E4365" t="s">
        <v>9337</v>
      </c>
      <c r="F4365" t="str">
        <f>HYPERLINK("https://talan.bank.gov.ua/get-user-certificate/45CElMzZvREzk3hFL7pB","Завантажити сертифікат")</f>
        <v>Завантажити сертифікат</v>
      </c>
    </row>
    <row r="4366" spans="1:6" x14ac:dyDescent="0.3">
      <c r="A4366" t="s">
        <v>9390</v>
      </c>
      <c r="B4366" t="s">
        <v>6</v>
      </c>
      <c r="C4366" t="s">
        <v>9391</v>
      </c>
      <c r="D4366" t="s">
        <v>9336</v>
      </c>
      <c r="E4366" t="s">
        <v>9337</v>
      </c>
      <c r="F4366" t="str">
        <f>HYPERLINK("https://talan.bank.gov.ua/get-user-certificate/45CElYmYC3GMeCxUEbcz","Завантажити сертифікат")</f>
        <v>Завантажити сертифікат</v>
      </c>
    </row>
    <row r="4367" spans="1:6" x14ac:dyDescent="0.3">
      <c r="A4367" t="s">
        <v>9392</v>
      </c>
      <c r="B4367" t="s">
        <v>6</v>
      </c>
      <c r="C4367" t="s">
        <v>9393</v>
      </c>
      <c r="D4367" t="s">
        <v>9336</v>
      </c>
      <c r="E4367" t="s">
        <v>9337</v>
      </c>
      <c r="F4367" t="str">
        <f>HYPERLINK("https://talan.bank.gov.ua/get-user-certificate/45CElX5XVvVNFNqkkRPV","Завантажити сертифікат")</f>
        <v>Завантажити сертифікат</v>
      </c>
    </row>
    <row r="4368" spans="1:6" x14ac:dyDescent="0.3">
      <c r="A4368" t="s">
        <v>9394</v>
      </c>
      <c r="B4368" t="s">
        <v>6</v>
      </c>
      <c r="C4368" t="s">
        <v>9395</v>
      </c>
      <c r="D4368" t="s">
        <v>9336</v>
      </c>
      <c r="E4368" t="s">
        <v>9337</v>
      </c>
      <c r="F4368" t="str">
        <f>HYPERLINK("https://talan.bank.gov.ua/get-user-certificate/45CEl8gaVZlxiDdiTM9l","Завантажити сертифікат")</f>
        <v>Завантажити сертифікат</v>
      </c>
    </row>
    <row r="4369" spans="1:6" x14ac:dyDescent="0.3">
      <c r="A4369" t="s">
        <v>9396</v>
      </c>
      <c r="B4369" t="s">
        <v>6</v>
      </c>
      <c r="C4369" t="s">
        <v>9397</v>
      </c>
      <c r="D4369" t="s">
        <v>9336</v>
      </c>
      <c r="E4369" t="s">
        <v>9337</v>
      </c>
      <c r="F4369" t="str">
        <f>HYPERLINK("https://talan.bank.gov.ua/get-user-certificate/45CEl1hWclFkwKrDIibc","Завантажити сертифікат")</f>
        <v>Завантажити сертифікат</v>
      </c>
    </row>
    <row r="4370" spans="1:6" x14ac:dyDescent="0.3">
      <c r="A4370" t="s">
        <v>9398</v>
      </c>
      <c r="B4370" t="s">
        <v>6</v>
      </c>
      <c r="C4370" t="s">
        <v>9399</v>
      </c>
      <c r="D4370" t="s">
        <v>9336</v>
      </c>
      <c r="E4370" t="s">
        <v>9337</v>
      </c>
      <c r="F4370" t="str">
        <f>HYPERLINK("https://talan.bank.gov.ua/get-user-certificate/45CElP7fpLcOG7q7j4Su","Завантажити сертифікат")</f>
        <v>Завантажити сертифікат</v>
      </c>
    </row>
    <row r="4371" spans="1:6" x14ac:dyDescent="0.3">
      <c r="A4371" t="s">
        <v>9400</v>
      </c>
      <c r="B4371" t="s">
        <v>6</v>
      </c>
      <c r="C4371" t="s">
        <v>9401</v>
      </c>
      <c r="D4371" t="s">
        <v>9336</v>
      </c>
      <c r="E4371" t="s">
        <v>9337</v>
      </c>
      <c r="F4371" t="str">
        <f>HYPERLINK("https://talan.bank.gov.ua/get-user-certificate/45CEl2KERE7dvEIykwOt","Завантажити сертифікат")</f>
        <v>Завантажити сертифікат</v>
      </c>
    </row>
    <row r="4372" spans="1:6" x14ac:dyDescent="0.3">
      <c r="A4372" t="s">
        <v>9402</v>
      </c>
      <c r="B4372" t="s">
        <v>6</v>
      </c>
      <c r="C4372" t="s">
        <v>9403</v>
      </c>
      <c r="D4372" t="s">
        <v>9336</v>
      </c>
      <c r="E4372" t="s">
        <v>9337</v>
      </c>
      <c r="F4372" t="str">
        <f>HYPERLINK("https://talan.bank.gov.ua/get-user-certificate/45CElvok8VFavPtIgod1","Завантажити сертифікат")</f>
        <v>Завантажити сертифікат</v>
      </c>
    </row>
    <row r="4373" spans="1:6" x14ac:dyDescent="0.3">
      <c r="A4373" t="s">
        <v>9404</v>
      </c>
      <c r="B4373" t="s">
        <v>6</v>
      </c>
      <c r="C4373" t="s">
        <v>9405</v>
      </c>
      <c r="D4373" t="s">
        <v>9336</v>
      </c>
      <c r="E4373" t="s">
        <v>9337</v>
      </c>
      <c r="F4373" t="str">
        <f>HYPERLINK("https://talan.bank.gov.ua/get-user-certificate/45CEldoiraaVhicX-nWu","Завантажити сертифікат")</f>
        <v>Завантажити сертифікат</v>
      </c>
    </row>
    <row r="4374" spans="1:6" x14ac:dyDescent="0.3">
      <c r="A4374" t="s">
        <v>9406</v>
      </c>
      <c r="B4374" t="s">
        <v>6</v>
      </c>
      <c r="C4374" t="s">
        <v>9407</v>
      </c>
      <c r="D4374" t="s">
        <v>9336</v>
      </c>
      <c r="E4374" t="s">
        <v>9337</v>
      </c>
      <c r="F4374" t="str">
        <f>HYPERLINK("https://talan.bank.gov.ua/get-user-certificate/45CElEBl0fK_KoM69xWj","Завантажити сертифікат")</f>
        <v>Завантажити сертифікат</v>
      </c>
    </row>
    <row r="4375" spans="1:6" x14ac:dyDescent="0.3">
      <c r="A4375" t="s">
        <v>9408</v>
      </c>
      <c r="B4375" t="s">
        <v>6</v>
      </c>
      <c r="C4375" t="s">
        <v>9409</v>
      </c>
      <c r="D4375" t="s">
        <v>9336</v>
      </c>
      <c r="E4375" t="s">
        <v>9337</v>
      </c>
      <c r="F4375" t="str">
        <f>HYPERLINK("https://talan.bank.gov.ua/get-user-certificate/45CEl8yCt56m5ZxnamyW","Завантажити сертифікат")</f>
        <v>Завантажити сертифікат</v>
      </c>
    </row>
    <row r="4376" spans="1:6" x14ac:dyDescent="0.3">
      <c r="A4376" t="s">
        <v>9410</v>
      </c>
      <c r="B4376" t="s">
        <v>6</v>
      </c>
      <c r="C4376" t="s">
        <v>9411</v>
      </c>
      <c r="D4376" t="s">
        <v>9336</v>
      </c>
      <c r="E4376" t="s">
        <v>9337</v>
      </c>
      <c r="F4376" t="str">
        <f>HYPERLINK("https://talan.bank.gov.ua/get-user-certificate/45CElkPjBgB2nkUcGqp0","Завантажити сертифікат")</f>
        <v>Завантажити сертифікат</v>
      </c>
    </row>
    <row r="4377" spans="1:6" x14ac:dyDescent="0.3">
      <c r="A4377" t="s">
        <v>9412</v>
      </c>
      <c r="B4377" t="s">
        <v>6</v>
      </c>
      <c r="C4377" t="s">
        <v>9413</v>
      </c>
      <c r="D4377" t="s">
        <v>9336</v>
      </c>
      <c r="E4377" t="s">
        <v>9337</v>
      </c>
      <c r="F4377" t="str">
        <f>HYPERLINK("https://talan.bank.gov.ua/get-user-certificate/45CElS0pby7lAJuyOAhQ","Завантажити сертифікат")</f>
        <v>Завантажити сертифікат</v>
      </c>
    </row>
    <row r="4378" spans="1:6" x14ac:dyDescent="0.3">
      <c r="A4378" t="s">
        <v>9414</v>
      </c>
      <c r="B4378" t="s">
        <v>6</v>
      </c>
      <c r="C4378" t="s">
        <v>9415</v>
      </c>
      <c r="D4378" t="s">
        <v>9336</v>
      </c>
      <c r="E4378" t="s">
        <v>9337</v>
      </c>
      <c r="F4378" t="str">
        <f>HYPERLINK("https://talan.bank.gov.ua/get-user-certificate/45CElX2yl9eKEugROzli","Завантажити сертифікат")</f>
        <v>Завантажити сертифікат</v>
      </c>
    </row>
    <row r="4379" spans="1:6" x14ac:dyDescent="0.3">
      <c r="A4379" t="s">
        <v>9416</v>
      </c>
      <c r="B4379" t="s">
        <v>6</v>
      </c>
      <c r="C4379" t="s">
        <v>9417</v>
      </c>
      <c r="D4379" t="s">
        <v>9336</v>
      </c>
      <c r="E4379" t="s">
        <v>9337</v>
      </c>
      <c r="F4379" t="str">
        <f>HYPERLINK("https://talan.bank.gov.ua/get-user-certificate/45CElUhL6lpGuZikK3go","Завантажити сертифікат")</f>
        <v>Завантажити сертифікат</v>
      </c>
    </row>
    <row r="4380" spans="1:6" x14ac:dyDescent="0.3">
      <c r="A4380" t="s">
        <v>9418</v>
      </c>
      <c r="B4380" t="s">
        <v>6</v>
      </c>
      <c r="C4380" t="s">
        <v>9419</v>
      </c>
      <c r="D4380" t="s">
        <v>9336</v>
      </c>
      <c r="E4380" t="s">
        <v>9337</v>
      </c>
      <c r="F4380" t="str">
        <f>HYPERLINK("https://talan.bank.gov.ua/get-user-certificate/45CEl99hjDM2jNK63xi7","Завантажити сертифікат")</f>
        <v>Завантажити сертифікат</v>
      </c>
    </row>
    <row r="4381" spans="1:6" x14ac:dyDescent="0.3">
      <c r="A4381" t="s">
        <v>9420</v>
      </c>
      <c r="B4381" t="s">
        <v>6</v>
      </c>
      <c r="C4381" t="s">
        <v>9421</v>
      </c>
      <c r="D4381" t="s">
        <v>9336</v>
      </c>
      <c r="E4381" t="s">
        <v>9337</v>
      </c>
      <c r="F4381" t="str">
        <f>HYPERLINK("https://talan.bank.gov.ua/get-user-certificate/45CEldvju8M31cYPxyZc","Завантажити сертифікат")</f>
        <v>Завантажити сертифікат</v>
      </c>
    </row>
    <row r="4382" spans="1:6" x14ac:dyDescent="0.3">
      <c r="A4382" t="s">
        <v>9422</v>
      </c>
      <c r="B4382" t="s">
        <v>6</v>
      </c>
      <c r="C4382" t="s">
        <v>9423</v>
      </c>
      <c r="D4382" t="s">
        <v>9336</v>
      </c>
      <c r="E4382" t="s">
        <v>9337</v>
      </c>
      <c r="F4382" t="str">
        <f>HYPERLINK("https://talan.bank.gov.ua/get-user-certificate/45CElSnWZ9v3UUuVfEjB","Завантажити сертифікат")</f>
        <v>Завантажити сертифікат</v>
      </c>
    </row>
    <row r="4383" spans="1:6" x14ac:dyDescent="0.3">
      <c r="A4383" t="s">
        <v>9424</v>
      </c>
      <c r="B4383" t="s">
        <v>6</v>
      </c>
      <c r="C4383" t="s">
        <v>9425</v>
      </c>
      <c r="D4383" t="s">
        <v>9336</v>
      </c>
      <c r="E4383" t="s">
        <v>9337</v>
      </c>
      <c r="F4383" t="str">
        <f>HYPERLINK("https://talan.bank.gov.ua/get-user-certificate/45CElwD8b5Le9MKmkUci","Завантажити сертифікат")</f>
        <v>Завантажити сертифікат</v>
      </c>
    </row>
    <row r="4384" spans="1:6" x14ac:dyDescent="0.3">
      <c r="A4384" t="s">
        <v>9426</v>
      </c>
      <c r="B4384" t="s">
        <v>6</v>
      </c>
      <c r="C4384" t="s">
        <v>9427</v>
      </c>
      <c r="D4384" t="s">
        <v>9336</v>
      </c>
      <c r="E4384" t="s">
        <v>9337</v>
      </c>
      <c r="F4384" t="str">
        <f>HYPERLINK("https://talan.bank.gov.ua/get-user-certificate/45CElSZNQf7WMes7a6Di","Завантажити сертифікат")</f>
        <v>Завантажити сертифікат</v>
      </c>
    </row>
    <row r="4385" spans="1:6" x14ac:dyDescent="0.3">
      <c r="A4385" t="s">
        <v>9428</v>
      </c>
      <c r="B4385" t="s">
        <v>6</v>
      </c>
      <c r="C4385" t="s">
        <v>9429</v>
      </c>
      <c r="D4385" t="s">
        <v>9336</v>
      </c>
      <c r="E4385" t="s">
        <v>9337</v>
      </c>
      <c r="F4385" t="str">
        <f>HYPERLINK("https://talan.bank.gov.ua/get-user-certificate/45CElmj0j45KN6iMm5QO","Завантажити сертифікат")</f>
        <v>Завантажити сертифікат</v>
      </c>
    </row>
    <row r="4386" spans="1:6" x14ac:dyDescent="0.3">
      <c r="A4386" t="s">
        <v>9430</v>
      </c>
      <c r="B4386" t="s">
        <v>6</v>
      </c>
      <c r="C4386" t="s">
        <v>9431</v>
      </c>
      <c r="D4386" t="s">
        <v>9336</v>
      </c>
      <c r="E4386" t="s">
        <v>9337</v>
      </c>
      <c r="F4386" t="str">
        <f>HYPERLINK("https://talan.bank.gov.ua/get-user-certificate/45CElFwJHgQwEvfq0nQI","Завантажити сертифікат")</f>
        <v>Завантажити сертифікат</v>
      </c>
    </row>
    <row r="4387" spans="1:6" x14ac:dyDescent="0.3">
      <c r="A4387" t="s">
        <v>9432</v>
      </c>
      <c r="B4387" t="s">
        <v>6</v>
      </c>
      <c r="C4387" t="s">
        <v>9433</v>
      </c>
      <c r="D4387" t="s">
        <v>9336</v>
      </c>
      <c r="E4387" t="s">
        <v>9337</v>
      </c>
      <c r="F4387" t="str">
        <f>HYPERLINK("https://talan.bank.gov.ua/get-user-certificate/45CEl_lUnV_jNd3ORcrS","Завантажити сертифікат")</f>
        <v>Завантажити сертифікат</v>
      </c>
    </row>
    <row r="4388" spans="1:6" x14ac:dyDescent="0.3">
      <c r="A4388" t="s">
        <v>9434</v>
      </c>
      <c r="B4388" t="s">
        <v>6</v>
      </c>
      <c r="C4388" t="s">
        <v>9435</v>
      </c>
      <c r="D4388" t="s">
        <v>9336</v>
      </c>
      <c r="E4388" t="s">
        <v>9337</v>
      </c>
      <c r="F4388" t="str">
        <f>HYPERLINK("https://talan.bank.gov.ua/get-user-certificate/45CElEpjOrYvSe5VGIZD","Завантажити сертифікат")</f>
        <v>Завантажити сертифікат</v>
      </c>
    </row>
    <row r="4389" spans="1:6" x14ac:dyDescent="0.3">
      <c r="A4389" t="s">
        <v>9436</v>
      </c>
      <c r="B4389" t="s">
        <v>6</v>
      </c>
      <c r="C4389" t="s">
        <v>9437</v>
      </c>
      <c r="D4389" t="s">
        <v>9336</v>
      </c>
      <c r="E4389" t="s">
        <v>9337</v>
      </c>
      <c r="F4389" t="str">
        <f>HYPERLINK("https://talan.bank.gov.ua/get-user-certificate/45CEl15cRstpQ4uouory","Завантажити сертифікат")</f>
        <v>Завантажити сертифікат</v>
      </c>
    </row>
    <row r="4390" spans="1:6" x14ac:dyDescent="0.3">
      <c r="A4390" t="s">
        <v>9438</v>
      </c>
      <c r="B4390" t="s">
        <v>6</v>
      </c>
      <c r="C4390" t="s">
        <v>9439</v>
      </c>
      <c r="D4390" t="s">
        <v>9336</v>
      </c>
      <c r="E4390" t="s">
        <v>9337</v>
      </c>
      <c r="F4390" t="str">
        <f>HYPERLINK("https://talan.bank.gov.ua/get-user-certificate/45CEl3mNrENW5VHVZQKT","Завантажити сертифікат")</f>
        <v>Завантажити сертифікат</v>
      </c>
    </row>
    <row r="4391" spans="1:6" x14ac:dyDescent="0.3">
      <c r="A4391" t="s">
        <v>9440</v>
      </c>
      <c r="B4391" t="s">
        <v>6</v>
      </c>
      <c r="C4391" t="s">
        <v>9441</v>
      </c>
      <c r="D4391" t="s">
        <v>9336</v>
      </c>
      <c r="E4391" t="s">
        <v>9337</v>
      </c>
      <c r="F4391" t="str">
        <f>HYPERLINK("https://talan.bank.gov.ua/get-user-certificate/45CElCCTR-poNS9QM89U","Завантажити сертифікат")</f>
        <v>Завантажити сертифікат</v>
      </c>
    </row>
    <row r="4392" spans="1:6" x14ac:dyDescent="0.3">
      <c r="A4392" t="s">
        <v>9442</v>
      </c>
      <c r="B4392" t="s">
        <v>6</v>
      </c>
      <c r="C4392" t="s">
        <v>9443</v>
      </c>
      <c r="D4392" t="s">
        <v>9336</v>
      </c>
      <c r="E4392" t="s">
        <v>9337</v>
      </c>
      <c r="F4392" t="str">
        <f>HYPERLINK("https://talan.bank.gov.ua/get-user-certificate/45CElK38hZCgK5xGzc7Q","Завантажити сертифікат")</f>
        <v>Завантажити сертифікат</v>
      </c>
    </row>
    <row r="4393" spans="1:6" x14ac:dyDescent="0.3">
      <c r="A4393" t="s">
        <v>9444</v>
      </c>
      <c r="B4393" t="s">
        <v>6</v>
      </c>
      <c r="C4393" t="s">
        <v>9445</v>
      </c>
      <c r="D4393" t="s">
        <v>9336</v>
      </c>
      <c r="E4393" t="s">
        <v>9337</v>
      </c>
      <c r="F4393" t="str">
        <f>HYPERLINK("https://talan.bank.gov.ua/get-user-certificate/45CElr1swA_HXgWOIVIY","Завантажити сертифікат")</f>
        <v>Завантажити сертифікат</v>
      </c>
    </row>
    <row r="4394" spans="1:6" x14ac:dyDescent="0.3">
      <c r="A4394" t="s">
        <v>9446</v>
      </c>
      <c r="B4394" t="s">
        <v>6</v>
      </c>
      <c r="C4394" t="s">
        <v>9447</v>
      </c>
      <c r="D4394" t="s">
        <v>9336</v>
      </c>
      <c r="E4394" t="s">
        <v>9337</v>
      </c>
      <c r="F4394" t="str">
        <f>HYPERLINK("https://talan.bank.gov.ua/get-user-certificate/45CElOMTxvBdNNdBbXat","Завантажити сертифікат")</f>
        <v>Завантажити сертифікат</v>
      </c>
    </row>
    <row r="4395" spans="1:6" x14ac:dyDescent="0.3">
      <c r="A4395" t="s">
        <v>9448</v>
      </c>
      <c r="B4395" t="s">
        <v>6</v>
      </c>
      <c r="C4395" t="s">
        <v>9449</v>
      </c>
      <c r="D4395" t="s">
        <v>9336</v>
      </c>
      <c r="E4395" t="s">
        <v>9337</v>
      </c>
      <c r="F4395" t="str">
        <f>HYPERLINK("https://talan.bank.gov.ua/get-user-certificate/45CEllBUIONGLhLGz7jf","Завантажити сертифікат")</f>
        <v>Завантажити сертифікат</v>
      </c>
    </row>
    <row r="4396" spans="1:6" x14ac:dyDescent="0.3">
      <c r="A4396" t="s">
        <v>9450</v>
      </c>
      <c r="B4396" t="s">
        <v>6</v>
      </c>
      <c r="C4396" t="s">
        <v>9451</v>
      </c>
      <c r="D4396" t="s">
        <v>9336</v>
      </c>
      <c r="E4396" t="s">
        <v>9337</v>
      </c>
      <c r="F4396" t="str">
        <f>HYPERLINK("https://talan.bank.gov.ua/get-user-certificate/45CElJr42ENCUW24QySu","Завантажити сертифікат")</f>
        <v>Завантажити сертифікат</v>
      </c>
    </row>
    <row r="4397" spans="1:6" x14ac:dyDescent="0.3">
      <c r="A4397" t="s">
        <v>9452</v>
      </c>
      <c r="B4397" t="s">
        <v>6</v>
      </c>
      <c r="C4397" t="s">
        <v>9453</v>
      </c>
      <c r="D4397" t="s">
        <v>9336</v>
      </c>
      <c r="E4397" t="s">
        <v>9337</v>
      </c>
      <c r="F4397" t="str">
        <f>HYPERLINK("https://talan.bank.gov.ua/get-user-certificate/45CEliRDS9WwM86ssZ2c","Завантажити сертифікат")</f>
        <v>Завантажити сертифікат</v>
      </c>
    </row>
    <row r="4398" spans="1:6" x14ac:dyDescent="0.3">
      <c r="A4398" t="s">
        <v>9454</v>
      </c>
      <c r="B4398" t="s">
        <v>6</v>
      </c>
      <c r="C4398" t="s">
        <v>9455</v>
      </c>
      <c r="D4398" t="s">
        <v>9336</v>
      </c>
      <c r="E4398" t="s">
        <v>9337</v>
      </c>
      <c r="F4398" t="str">
        <f>HYPERLINK("https://talan.bank.gov.ua/get-user-certificate/45CElBocRKHxez2pRBYO","Завантажити сертифікат")</f>
        <v>Завантажити сертифікат</v>
      </c>
    </row>
    <row r="4399" spans="1:6" x14ac:dyDescent="0.3">
      <c r="A4399" t="s">
        <v>9456</v>
      </c>
      <c r="B4399" t="s">
        <v>6</v>
      </c>
      <c r="C4399" t="s">
        <v>9457</v>
      </c>
      <c r="D4399" t="s">
        <v>9336</v>
      </c>
      <c r="E4399" t="s">
        <v>9337</v>
      </c>
      <c r="F4399" t="str">
        <f>HYPERLINK("https://talan.bank.gov.ua/get-user-certificate/45CElEtCCgHFCaiXYFXq","Завантажити сертифікат")</f>
        <v>Завантажити сертифікат</v>
      </c>
    </row>
    <row r="4400" spans="1:6" x14ac:dyDescent="0.3">
      <c r="A4400" t="s">
        <v>9458</v>
      </c>
      <c r="B4400" t="s">
        <v>6</v>
      </c>
      <c r="C4400" t="s">
        <v>9459</v>
      </c>
      <c r="D4400" t="s">
        <v>9336</v>
      </c>
      <c r="E4400" t="s">
        <v>9337</v>
      </c>
      <c r="F4400" t="str">
        <f>HYPERLINK("https://talan.bank.gov.ua/get-user-certificate/45CElr3PwMPKF_oQSJW4","Завантажити сертифікат")</f>
        <v>Завантажити сертифікат</v>
      </c>
    </row>
    <row r="4401" spans="1:6" x14ac:dyDescent="0.3">
      <c r="A4401" t="s">
        <v>9460</v>
      </c>
      <c r="B4401" t="s">
        <v>6</v>
      </c>
      <c r="C4401" t="s">
        <v>9461</v>
      </c>
      <c r="D4401" t="s">
        <v>9336</v>
      </c>
      <c r="E4401" t="s">
        <v>9337</v>
      </c>
      <c r="F4401" t="str">
        <f>HYPERLINK("https://talan.bank.gov.ua/get-user-certificate/45CElXTZGXRSbbeVD4lY","Завантажити сертифікат")</f>
        <v>Завантажити сертифікат</v>
      </c>
    </row>
    <row r="4402" spans="1:6" x14ac:dyDescent="0.3">
      <c r="A4402" t="s">
        <v>9462</v>
      </c>
      <c r="B4402" t="s">
        <v>6</v>
      </c>
      <c r="C4402" t="s">
        <v>9463</v>
      </c>
      <c r="D4402" t="s">
        <v>9336</v>
      </c>
      <c r="E4402" t="s">
        <v>9337</v>
      </c>
      <c r="F4402" t="str">
        <f>HYPERLINK("https://talan.bank.gov.ua/get-user-certificate/45CElcp8Psyn0AsSJbai","Завантажити сертифікат")</f>
        <v>Завантажити сертифікат</v>
      </c>
    </row>
    <row r="4403" spans="1:6" x14ac:dyDescent="0.3">
      <c r="A4403" t="s">
        <v>9464</v>
      </c>
      <c r="B4403" t="s">
        <v>6</v>
      </c>
      <c r="C4403" t="s">
        <v>9465</v>
      </c>
      <c r="D4403" t="s">
        <v>9336</v>
      </c>
      <c r="E4403" t="s">
        <v>9337</v>
      </c>
      <c r="F4403" t="str">
        <f>HYPERLINK("https://talan.bank.gov.ua/get-user-certificate/45CElTtDgb80N0eS-omX","Завантажити сертифікат")</f>
        <v>Завантажити сертифікат</v>
      </c>
    </row>
    <row r="4404" spans="1:6" x14ac:dyDescent="0.3">
      <c r="A4404" t="s">
        <v>9466</v>
      </c>
      <c r="B4404" t="s">
        <v>6</v>
      </c>
      <c r="C4404" t="s">
        <v>9467</v>
      </c>
      <c r="D4404" t="s">
        <v>9336</v>
      </c>
      <c r="E4404" t="s">
        <v>9337</v>
      </c>
      <c r="F4404" t="str">
        <f>HYPERLINK("https://talan.bank.gov.ua/get-user-certificate/45CElLyZJ0cDIf6JORZU","Завантажити сертифікат")</f>
        <v>Завантажити сертифікат</v>
      </c>
    </row>
    <row r="4405" spans="1:6" x14ac:dyDescent="0.3">
      <c r="A4405" t="s">
        <v>9468</v>
      </c>
      <c r="B4405" t="s">
        <v>6</v>
      </c>
      <c r="C4405" t="s">
        <v>9469</v>
      </c>
      <c r="D4405" t="s">
        <v>9336</v>
      </c>
      <c r="E4405" t="s">
        <v>9337</v>
      </c>
      <c r="F4405" t="str">
        <f>HYPERLINK("https://talan.bank.gov.ua/get-user-certificate/45CEla4ZcHdZotkiAz9W","Завантажити сертифікат")</f>
        <v>Завантажити сертифікат</v>
      </c>
    </row>
    <row r="4406" spans="1:6" x14ac:dyDescent="0.3">
      <c r="A4406" t="s">
        <v>9470</v>
      </c>
      <c r="B4406" t="s">
        <v>6</v>
      </c>
      <c r="C4406" t="s">
        <v>9471</v>
      </c>
      <c r="D4406" t="s">
        <v>9336</v>
      </c>
      <c r="E4406" t="s">
        <v>9337</v>
      </c>
      <c r="F4406" t="str">
        <f>HYPERLINK("https://talan.bank.gov.ua/get-user-certificate/45CElIsdIpaQS5ozCYuu","Завантажити сертифікат")</f>
        <v>Завантажити сертифікат</v>
      </c>
    </row>
    <row r="4407" spans="1:6" x14ac:dyDescent="0.3">
      <c r="A4407" t="s">
        <v>9472</v>
      </c>
      <c r="B4407" t="s">
        <v>6</v>
      </c>
      <c r="C4407" t="s">
        <v>9473</v>
      </c>
      <c r="D4407" t="s">
        <v>9336</v>
      </c>
      <c r="E4407" t="s">
        <v>9337</v>
      </c>
      <c r="F4407" t="str">
        <f>HYPERLINK("https://talan.bank.gov.ua/get-user-certificate/45CElrcxxikZVoT7Tcxf","Завантажити сертифікат")</f>
        <v>Завантажити сертифікат</v>
      </c>
    </row>
    <row r="4408" spans="1:6" x14ac:dyDescent="0.3">
      <c r="A4408" t="s">
        <v>9474</v>
      </c>
      <c r="B4408" t="s">
        <v>6</v>
      </c>
      <c r="C4408" t="s">
        <v>9475</v>
      </c>
      <c r="D4408" t="s">
        <v>9336</v>
      </c>
      <c r="E4408" t="s">
        <v>9337</v>
      </c>
      <c r="F4408" t="str">
        <f>HYPERLINK("https://talan.bank.gov.ua/get-user-certificate/45CEltCI_evMgzxxYEMl","Завантажити сертифікат")</f>
        <v>Завантажити сертифікат</v>
      </c>
    </row>
    <row r="4409" spans="1:6" x14ac:dyDescent="0.3">
      <c r="A4409" t="s">
        <v>9476</v>
      </c>
      <c r="B4409" t="s">
        <v>6</v>
      </c>
      <c r="C4409" t="s">
        <v>9477</v>
      </c>
      <c r="D4409" t="s">
        <v>9336</v>
      </c>
      <c r="E4409" t="s">
        <v>9337</v>
      </c>
      <c r="F4409" t="str">
        <f>HYPERLINK("https://talan.bank.gov.ua/get-user-certificate/45CElMsSDUeTcSbGzKIi","Завантажити сертифікат")</f>
        <v>Завантажити сертифікат</v>
      </c>
    </row>
    <row r="4410" spans="1:6" x14ac:dyDescent="0.3">
      <c r="A4410" t="s">
        <v>9478</v>
      </c>
      <c r="B4410" t="s">
        <v>6</v>
      </c>
      <c r="C4410" t="s">
        <v>9479</v>
      </c>
      <c r="D4410" t="s">
        <v>9336</v>
      </c>
      <c r="E4410" t="s">
        <v>9337</v>
      </c>
      <c r="F4410" t="str">
        <f>HYPERLINK("https://talan.bank.gov.ua/get-user-certificate/45CEl1ZAYY-sRy5COCjf","Завантажити сертифікат")</f>
        <v>Завантажити сертифікат</v>
      </c>
    </row>
    <row r="4411" spans="1:6" x14ac:dyDescent="0.3">
      <c r="A4411" t="s">
        <v>9480</v>
      </c>
      <c r="B4411" t="s">
        <v>6</v>
      </c>
      <c r="C4411" t="s">
        <v>9481</v>
      </c>
      <c r="D4411" t="s">
        <v>9336</v>
      </c>
      <c r="E4411" t="s">
        <v>9337</v>
      </c>
      <c r="F4411" t="str">
        <f>HYPERLINK("https://talan.bank.gov.ua/get-user-certificate/45CEl1PGvoyANGnn9QkT","Завантажити сертифікат")</f>
        <v>Завантажити сертифікат</v>
      </c>
    </row>
    <row r="4412" spans="1:6" x14ac:dyDescent="0.3">
      <c r="A4412" t="s">
        <v>9482</v>
      </c>
      <c r="B4412" t="s">
        <v>6</v>
      </c>
      <c r="C4412" t="s">
        <v>9483</v>
      </c>
      <c r="D4412" t="s">
        <v>9484</v>
      </c>
      <c r="E4412" t="s">
        <v>9485</v>
      </c>
      <c r="F4412" t="str">
        <f>HYPERLINK("https://talan.bank.gov.ua/get-user-certificate/45CElK5Q2mCRloAR1Pgd","Завантажити сертифікат")</f>
        <v>Завантажити сертифікат</v>
      </c>
    </row>
    <row r="4413" spans="1:6" x14ac:dyDescent="0.3">
      <c r="A4413" t="s">
        <v>9486</v>
      </c>
      <c r="B4413" t="s">
        <v>6</v>
      </c>
      <c r="C4413" t="s">
        <v>9487</v>
      </c>
      <c r="D4413" t="s">
        <v>9484</v>
      </c>
      <c r="E4413" t="s">
        <v>9485</v>
      </c>
      <c r="F4413" t="str">
        <f>HYPERLINK("https://talan.bank.gov.ua/get-user-certificate/45CEldRwDioGiR6eveaL","Завантажити сертифікат")</f>
        <v>Завантажити сертифікат</v>
      </c>
    </row>
    <row r="4414" spans="1:6" x14ac:dyDescent="0.3">
      <c r="A4414" t="s">
        <v>9488</v>
      </c>
      <c r="B4414" t="s">
        <v>6</v>
      </c>
      <c r="C4414" t="s">
        <v>9489</v>
      </c>
      <c r="D4414" t="s">
        <v>9484</v>
      </c>
      <c r="E4414" t="s">
        <v>9485</v>
      </c>
      <c r="F4414" t="str">
        <f>HYPERLINK("https://talan.bank.gov.ua/get-user-certificate/45CElcieaCAY_d5_J9U1","Завантажити сертифікат")</f>
        <v>Завантажити сертифікат</v>
      </c>
    </row>
    <row r="4415" spans="1:6" x14ac:dyDescent="0.3">
      <c r="A4415" t="s">
        <v>9490</v>
      </c>
      <c r="B4415" t="s">
        <v>6</v>
      </c>
      <c r="C4415" t="s">
        <v>9491</v>
      </c>
      <c r="D4415" t="s">
        <v>9484</v>
      </c>
      <c r="E4415" t="s">
        <v>9485</v>
      </c>
      <c r="F4415" t="str">
        <f>HYPERLINK("https://talan.bank.gov.ua/get-user-certificate/45CEl2sFAAluUWbwCIS3","Завантажити сертифікат")</f>
        <v>Завантажити сертифікат</v>
      </c>
    </row>
    <row r="4416" spans="1:6" x14ac:dyDescent="0.3">
      <c r="A4416" t="s">
        <v>9492</v>
      </c>
      <c r="B4416" t="s">
        <v>6</v>
      </c>
      <c r="C4416" t="s">
        <v>9493</v>
      </c>
      <c r="D4416" t="s">
        <v>9484</v>
      </c>
      <c r="E4416" t="s">
        <v>9485</v>
      </c>
      <c r="F4416" t="str">
        <f>HYPERLINK("https://talan.bank.gov.ua/get-user-certificate/45CElZlH2MOq-AJQNGpb","Завантажити сертифікат")</f>
        <v>Завантажити сертифікат</v>
      </c>
    </row>
    <row r="4417" spans="1:6" x14ac:dyDescent="0.3">
      <c r="A4417" t="s">
        <v>9494</v>
      </c>
      <c r="B4417" t="s">
        <v>6</v>
      </c>
      <c r="C4417" t="s">
        <v>9495</v>
      </c>
      <c r="D4417" t="s">
        <v>9484</v>
      </c>
      <c r="E4417" t="s">
        <v>9485</v>
      </c>
      <c r="F4417" t="str">
        <f>HYPERLINK("https://talan.bank.gov.ua/get-user-certificate/45CElHb39LGeyHlhGdwd","Завантажити сертифікат")</f>
        <v>Завантажити сертифікат</v>
      </c>
    </row>
    <row r="4418" spans="1:6" x14ac:dyDescent="0.3">
      <c r="A4418" t="s">
        <v>9496</v>
      </c>
      <c r="B4418" t="s">
        <v>6</v>
      </c>
      <c r="C4418" t="s">
        <v>9497</v>
      </c>
      <c r="D4418" t="s">
        <v>9484</v>
      </c>
      <c r="E4418" t="s">
        <v>9485</v>
      </c>
      <c r="F4418" t="str">
        <f>HYPERLINK("https://talan.bank.gov.ua/get-user-certificate/45CElrivQ9Y81GkJsSc6","Завантажити сертифікат")</f>
        <v>Завантажити сертифікат</v>
      </c>
    </row>
    <row r="4419" spans="1:6" x14ac:dyDescent="0.3">
      <c r="A4419" t="s">
        <v>9498</v>
      </c>
      <c r="B4419" t="s">
        <v>6</v>
      </c>
      <c r="C4419" t="s">
        <v>9499</v>
      </c>
      <c r="D4419" t="s">
        <v>9484</v>
      </c>
      <c r="E4419" t="s">
        <v>9485</v>
      </c>
      <c r="F4419" t="str">
        <f>HYPERLINK("https://talan.bank.gov.ua/get-user-certificate/45CElxfLBCbDuW9A9VA5","Завантажити сертифікат")</f>
        <v>Завантажити сертифікат</v>
      </c>
    </row>
    <row r="4420" spans="1:6" x14ac:dyDescent="0.3">
      <c r="A4420" t="s">
        <v>9500</v>
      </c>
      <c r="B4420" t="s">
        <v>6</v>
      </c>
      <c r="C4420" t="s">
        <v>9501</v>
      </c>
      <c r="D4420" t="s">
        <v>9484</v>
      </c>
      <c r="E4420" t="s">
        <v>9485</v>
      </c>
      <c r="F4420" t="str">
        <f>HYPERLINK("https://talan.bank.gov.ua/get-user-certificate/45CElRqntNIcnUOIP14i","Завантажити сертифікат")</f>
        <v>Завантажити сертифікат</v>
      </c>
    </row>
    <row r="4421" spans="1:6" x14ac:dyDescent="0.3">
      <c r="A4421" t="s">
        <v>9502</v>
      </c>
      <c r="B4421" t="s">
        <v>6</v>
      </c>
      <c r="C4421" t="s">
        <v>9503</v>
      </c>
      <c r="D4421" t="s">
        <v>9484</v>
      </c>
      <c r="E4421" t="s">
        <v>9485</v>
      </c>
      <c r="F4421" t="str">
        <f>HYPERLINK("https://talan.bank.gov.ua/get-user-certificate/45CElSaOZAo1yPtZDH_R","Завантажити сертифікат")</f>
        <v>Завантажити сертифікат</v>
      </c>
    </row>
    <row r="4422" spans="1:6" x14ac:dyDescent="0.3">
      <c r="A4422" t="s">
        <v>9504</v>
      </c>
      <c r="B4422" t="s">
        <v>6</v>
      </c>
      <c r="C4422" t="s">
        <v>9505</v>
      </c>
      <c r="D4422" t="s">
        <v>9484</v>
      </c>
      <c r="E4422" t="s">
        <v>9485</v>
      </c>
      <c r="F4422" t="str">
        <f>HYPERLINK("https://talan.bank.gov.ua/get-user-certificate/45CElL2lFlmL_cHKGsmr","Завантажити сертифікат")</f>
        <v>Завантажити сертифікат</v>
      </c>
    </row>
    <row r="4423" spans="1:6" x14ac:dyDescent="0.3">
      <c r="A4423" t="s">
        <v>9506</v>
      </c>
      <c r="B4423" t="s">
        <v>6</v>
      </c>
      <c r="C4423" t="s">
        <v>9507</v>
      </c>
      <c r="D4423" t="s">
        <v>9484</v>
      </c>
      <c r="E4423" t="s">
        <v>9485</v>
      </c>
      <c r="F4423" t="str">
        <f>HYPERLINK("https://talan.bank.gov.ua/get-user-certificate/45CElRdOBkTjOkdQwpxp","Завантажити сертифікат")</f>
        <v>Завантажити сертифікат</v>
      </c>
    </row>
    <row r="4424" spans="1:6" x14ac:dyDescent="0.3">
      <c r="A4424" t="s">
        <v>9508</v>
      </c>
      <c r="B4424" t="s">
        <v>6</v>
      </c>
      <c r="C4424" t="s">
        <v>9509</v>
      </c>
      <c r="D4424" t="s">
        <v>9484</v>
      </c>
      <c r="E4424" t="s">
        <v>9485</v>
      </c>
      <c r="F4424" t="str">
        <f>HYPERLINK("https://talan.bank.gov.ua/get-user-certificate/45CElp2BfzzABm-lD8O-","Завантажити сертифікат")</f>
        <v>Завантажити сертифікат</v>
      </c>
    </row>
    <row r="4425" spans="1:6" x14ac:dyDescent="0.3">
      <c r="A4425" t="s">
        <v>9510</v>
      </c>
      <c r="B4425" t="s">
        <v>6</v>
      </c>
      <c r="C4425" t="s">
        <v>9511</v>
      </c>
      <c r="D4425" t="s">
        <v>9484</v>
      </c>
      <c r="E4425" t="s">
        <v>9485</v>
      </c>
      <c r="F4425" t="str">
        <f>HYPERLINK("https://talan.bank.gov.ua/get-user-certificate/45CElblE3GJ0a0JhcyD8","Завантажити сертифікат")</f>
        <v>Завантажити сертифікат</v>
      </c>
    </row>
    <row r="4426" spans="1:6" x14ac:dyDescent="0.3">
      <c r="A4426" t="s">
        <v>9512</v>
      </c>
      <c r="B4426" t="s">
        <v>6</v>
      </c>
      <c r="C4426" t="s">
        <v>9513</v>
      </c>
      <c r="D4426" t="s">
        <v>9484</v>
      </c>
      <c r="E4426" t="s">
        <v>9485</v>
      </c>
      <c r="F4426" t="str">
        <f>HYPERLINK("https://talan.bank.gov.ua/get-user-certificate/45CEll-dyWvVkuAaK00p","Завантажити сертифікат")</f>
        <v>Завантажити сертифікат</v>
      </c>
    </row>
    <row r="4427" spans="1:6" x14ac:dyDescent="0.3">
      <c r="A4427" t="s">
        <v>9514</v>
      </c>
      <c r="B4427" t="s">
        <v>6</v>
      </c>
      <c r="C4427" t="s">
        <v>9515</v>
      </c>
      <c r="D4427" t="s">
        <v>9484</v>
      </c>
      <c r="E4427" t="s">
        <v>9485</v>
      </c>
      <c r="F4427" t="str">
        <f>HYPERLINK("https://talan.bank.gov.ua/get-user-certificate/45CElqgJtHyOpcpurKSs","Завантажити сертифікат")</f>
        <v>Завантажити сертифікат</v>
      </c>
    </row>
    <row r="4428" spans="1:6" x14ac:dyDescent="0.3">
      <c r="A4428" t="s">
        <v>9516</v>
      </c>
      <c r="B4428" t="s">
        <v>6</v>
      </c>
      <c r="C4428" t="s">
        <v>9517</v>
      </c>
      <c r="D4428" t="s">
        <v>9484</v>
      </c>
      <c r="E4428" t="s">
        <v>9485</v>
      </c>
      <c r="F4428" t="str">
        <f>HYPERLINK("https://talan.bank.gov.ua/get-user-certificate/45CEl_pKlM9gqTrL8wlh","Завантажити сертифікат")</f>
        <v>Завантажити сертифікат</v>
      </c>
    </row>
    <row r="4429" spans="1:6" x14ac:dyDescent="0.3">
      <c r="A4429" t="s">
        <v>9518</v>
      </c>
      <c r="B4429" t="s">
        <v>6</v>
      </c>
      <c r="C4429" t="s">
        <v>9519</v>
      </c>
      <c r="D4429" t="s">
        <v>9484</v>
      </c>
      <c r="E4429" t="s">
        <v>9485</v>
      </c>
      <c r="F4429" t="str">
        <f>HYPERLINK("https://talan.bank.gov.ua/get-user-certificate/45CElxfVT6v4AQBGeR6Q","Завантажити сертифікат")</f>
        <v>Завантажити сертифікат</v>
      </c>
    </row>
    <row r="4430" spans="1:6" x14ac:dyDescent="0.3">
      <c r="A4430" t="s">
        <v>9520</v>
      </c>
      <c r="B4430" t="s">
        <v>6</v>
      </c>
      <c r="C4430" t="s">
        <v>9521</v>
      </c>
      <c r="D4430" t="s">
        <v>9484</v>
      </c>
      <c r="E4430" t="s">
        <v>9485</v>
      </c>
      <c r="F4430" t="str">
        <f>HYPERLINK("https://talan.bank.gov.ua/get-user-certificate/45CElVPHWzUAlqjyCNrh","Завантажити сертифікат")</f>
        <v>Завантажити сертифікат</v>
      </c>
    </row>
    <row r="4431" spans="1:6" x14ac:dyDescent="0.3">
      <c r="A4431" t="s">
        <v>9522</v>
      </c>
      <c r="B4431" t="s">
        <v>6</v>
      </c>
      <c r="C4431" t="s">
        <v>9523</v>
      </c>
      <c r="D4431" t="s">
        <v>9484</v>
      </c>
      <c r="E4431" t="s">
        <v>9485</v>
      </c>
      <c r="F4431" t="str">
        <f>HYPERLINK("https://talan.bank.gov.ua/get-user-certificate/45CElJ2PrGatzrnOIwX7","Завантажити сертифікат")</f>
        <v>Завантажити сертифікат</v>
      </c>
    </row>
    <row r="4432" spans="1:6" x14ac:dyDescent="0.3">
      <c r="A4432" t="s">
        <v>9524</v>
      </c>
      <c r="B4432" t="s">
        <v>6</v>
      </c>
      <c r="C4432" t="s">
        <v>9525</v>
      </c>
      <c r="D4432" t="s">
        <v>9484</v>
      </c>
      <c r="E4432" t="s">
        <v>9485</v>
      </c>
      <c r="F4432" t="str">
        <f>HYPERLINK("https://talan.bank.gov.ua/get-user-certificate/45CElDEKmRE1HCBFe6gS","Завантажити сертифікат")</f>
        <v>Завантажити сертифікат</v>
      </c>
    </row>
    <row r="4433" spans="1:6" x14ac:dyDescent="0.3">
      <c r="A4433" t="s">
        <v>9526</v>
      </c>
      <c r="B4433" t="s">
        <v>6</v>
      </c>
      <c r="C4433" t="s">
        <v>9527</v>
      </c>
      <c r="D4433" t="s">
        <v>9484</v>
      </c>
      <c r="E4433" t="s">
        <v>9485</v>
      </c>
      <c r="F4433" t="str">
        <f>HYPERLINK("https://talan.bank.gov.ua/get-user-certificate/45CElJUQBT1vmoT89e45","Завантажити сертифікат")</f>
        <v>Завантажити сертифікат</v>
      </c>
    </row>
    <row r="4434" spans="1:6" x14ac:dyDescent="0.3">
      <c r="A4434" t="s">
        <v>9528</v>
      </c>
      <c r="B4434" t="s">
        <v>6</v>
      </c>
      <c r="C4434" t="s">
        <v>9529</v>
      </c>
      <c r="D4434" t="s">
        <v>9484</v>
      </c>
      <c r="E4434" t="s">
        <v>9485</v>
      </c>
      <c r="F4434" t="str">
        <f>HYPERLINK("https://talan.bank.gov.ua/get-user-certificate/45CElWEf526bowLJSCli","Завантажити сертифікат")</f>
        <v>Завантажити сертифікат</v>
      </c>
    </row>
    <row r="4435" spans="1:6" x14ac:dyDescent="0.3">
      <c r="A4435" t="s">
        <v>9530</v>
      </c>
      <c r="B4435" t="s">
        <v>6</v>
      </c>
      <c r="C4435" t="s">
        <v>9531</v>
      </c>
      <c r="D4435" t="s">
        <v>9532</v>
      </c>
      <c r="E4435" t="s">
        <v>9533</v>
      </c>
      <c r="F4435" t="str">
        <f>HYPERLINK("https://talan.bank.gov.ua/get-user-certificate/45CEl73uRKmVQyChCaCK","Завантажити сертифікат")</f>
        <v>Завантажити сертифікат</v>
      </c>
    </row>
    <row r="4436" spans="1:6" x14ac:dyDescent="0.3">
      <c r="A4436" t="s">
        <v>9534</v>
      </c>
      <c r="B4436" t="s">
        <v>6</v>
      </c>
      <c r="C4436" t="s">
        <v>9535</v>
      </c>
      <c r="D4436" t="s">
        <v>9532</v>
      </c>
      <c r="E4436" t="s">
        <v>9533</v>
      </c>
      <c r="F4436" t="str">
        <f>HYPERLINK("https://talan.bank.gov.ua/get-user-certificate/45CEl86qSMnI0W8gUdBe","Завантажити сертифікат")</f>
        <v>Завантажити сертифікат</v>
      </c>
    </row>
    <row r="4437" spans="1:6" x14ac:dyDescent="0.3">
      <c r="A4437" t="s">
        <v>9536</v>
      </c>
      <c r="B4437" t="s">
        <v>6</v>
      </c>
      <c r="C4437" t="s">
        <v>9537</v>
      </c>
      <c r="D4437" t="s">
        <v>9532</v>
      </c>
      <c r="E4437" t="s">
        <v>9533</v>
      </c>
      <c r="F4437" t="str">
        <f>HYPERLINK("https://talan.bank.gov.ua/get-user-certificate/45CElYSvbD_FEJZ-4_f_","Завантажити сертифікат")</f>
        <v>Завантажити сертифікат</v>
      </c>
    </row>
    <row r="4438" spans="1:6" x14ac:dyDescent="0.3">
      <c r="A4438" t="s">
        <v>9538</v>
      </c>
      <c r="B4438" t="s">
        <v>6</v>
      </c>
      <c r="C4438" t="s">
        <v>9539</v>
      </c>
      <c r="D4438" t="s">
        <v>9532</v>
      </c>
      <c r="E4438" t="s">
        <v>9533</v>
      </c>
      <c r="F4438" t="str">
        <f>HYPERLINK("https://talan.bank.gov.ua/get-user-certificate/45CElrnXE1gYLYaKTSth","Завантажити сертифікат")</f>
        <v>Завантажити сертифікат</v>
      </c>
    </row>
    <row r="4439" spans="1:6" x14ac:dyDescent="0.3">
      <c r="A4439" t="s">
        <v>9540</v>
      </c>
      <c r="B4439" t="s">
        <v>6</v>
      </c>
      <c r="C4439" t="s">
        <v>9541</v>
      </c>
      <c r="D4439" t="s">
        <v>9532</v>
      </c>
      <c r="E4439" t="s">
        <v>9533</v>
      </c>
      <c r="F4439" t="str">
        <f>HYPERLINK("https://talan.bank.gov.ua/get-user-certificate/45CElUJW5qOiOePlhPMV","Завантажити сертифікат")</f>
        <v>Завантажити сертифікат</v>
      </c>
    </row>
    <row r="4440" spans="1:6" x14ac:dyDescent="0.3">
      <c r="A4440" t="s">
        <v>9542</v>
      </c>
      <c r="B4440" t="s">
        <v>6</v>
      </c>
      <c r="C4440" t="s">
        <v>9543</v>
      </c>
      <c r="D4440" t="s">
        <v>9532</v>
      </c>
      <c r="E4440" t="s">
        <v>9533</v>
      </c>
      <c r="F4440" t="str">
        <f>HYPERLINK("https://talan.bank.gov.ua/get-user-certificate/45CElbokLbHOChu37ivO","Завантажити сертифікат")</f>
        <v>Завантажити сертифікат</v>
      </c>
    </row>
    <row r="4441" spans="1:6" x14ac:dyDescent="0.3">
      <c r="A4441" t="s">
        <v>9544</v>
      </c>
      <c r="B4441" t="s">
        <v>6</v>
      </c>
      <c r="C4441" t="s">
        <v>9545</v>
      </c>
      <c r="D4441" t="s">
        <v>9532</v>
      </c>
      <c r="E4441" t="s">
        <v>9533</v>
      </c>
      <c r="F4441" t="str">
        <f>HYPERLINK("https://talan.bank.gov.ua/get-user-certificate/45CElhxxYiPJd9sUaiRV","Завантажити сертифікат")</f>
        <v>Завантажити сертифікат</v>
      </c>
    </row>
    <row r="4442" spans="1:6" x14ac:dyDescent="0.3">
      <c r="A4442" t="s">
        <v>9546</v>
      </c>
      <c r="B4442" t="s">
        <v>6</v>
      </c>
      <c r="C4442" t="s">
        <v>9547</v>
      </c>
      <c r="D4442" t="s">
        <v>9548</v>
      </c>
      <c r="E4442" t="s">
        <v>9549</v>
      </c>
      <c r="F4442" t="str">
        <f>HYPERLINK("https://talan.bank.gov.ua/get-user-certificate/45CElRbd39NpjJcMiQ9W","Завантажити сертифікат")</f>
        <v>Завантажити сертифікат</v>
      </c>
    </row>
    <row r="4443" spans="1:6" x14ac:dyDescent="0.3">
      <c r="A4443" t="s">
        <v>9550</v>
      </c>
      <c r="B4443" t="s">
        <v>6</v>
      </c>
      <c r="C4443" t="s">
        <v>9551</v>
      </c>
      <c r="D4443" t="s">
        <v>9548</v>
      </c>
      <c r="E4443" t="s">
        <v>9549</v>
      </c>
      <c r="F4443" t="str">
        <f>HYPERLINK("https://talan.bank.gov.ua/get-user-certificate/45CElVWwEi3e-a1WGHlV","Завантажити сертифікат")</f>
        <v>Завантажити сертифікат</v>
      </c>
    </row>
    <row r="4444" spans="1:6" x14ac:dyDescent="0.3">
      <c r="A4444" t="s">
        <v>9552</v>
      </c>
      <c r="B4444" t="s">
        <v>6</v>
      </c>
      <c r="C4444" t="s">
        <v>9553</v>
      </c>
      <c r="D4444" t="s">
        <v>9548</v>
      </c>
      <c r="E4444" t="s">
        <v>9549</v>
      </c>
      <c r="F4444" t="str">
        <f>HYPERLINK("https://talan.bank.gov.ua/get-user-certificate/45CEliozlxkX4pj6jBj4","Завантажити сертифікат")</f>
        <v>Завантажити сертифікат</v>
      </c>
    </row>
    <row r="4445" spans="1:6" x14ac:dyDescent="0.3">
      <c r="A4445" t="s">
        <v>9554</v>
      </c>
      <c r="B4445" t="s">
        <v>6</v>
      </c>
      <c r="C4445" t="s">
        <v>9555</v>
      </c>
      <c r="D4445" t="s">
        <v>9548</v>
      </c>
      <c r="E4445" t="s">
        <v>9549</v>
      </c>
      <c r="F4445" t="str">
        <f>HYPERLINK("https://talan.bank.gov.ua/get-user-certificate/45CElVuCkIy0FNeDryX2","Завантажити сертифікат")</f>
        <v>Завантажити сертифікат</v>
      </c>
    </row>
    <row r="4446" spans="1:6" x14ac:dyDescent="0.3">
      <c r="A4446" t="s">
        <v>9556</v>
      </c>
      <c r="B4446" t="s">
        <v>6</v>
      </c>
      <c r="C4446" t="s">
        <v>9557</v>
      </c>
      <c r="D4446" t="s">
        <v>9548</v>
      </c>
      <c r="E4446" t="s">
        <v>9549</v>
      </c>
      <c r="F4446" t="str">
        <f>HYPERLINK("https://talan.bank.gov.ua/get-user-certificate/45CElg1fwuFYOOrF-lXv","Завантажити сертифікат")</f>
        <v>Завантажити сертифікат</v>
      </c>
    </row>
    <row r="4447" spans="1:6" x14ac:dyDescent="0.3">
      <c r="A4447" t="s">
        <v>9558</v>
      </c>
      <c r="B4447" t="s">
        <v>6</v>
      </c>
      <c r="C4447" t="s">
        <v>9559</v>
      </c>
      <c r="D4447" t="s">
        <v>9548</v>
      </c>
      <c r="E4447" t="s">
        <v>9549</v>
      </c>
      <c r="F4447" t="str">
        <f>HYPERLINK("https://talan.bank.gov.ua/get-user-certificate/45CEloxYyG8k0IBMqzIf","Завантажити сертифікат")</f>
        <v>Завантажити сертифікат</v>
      </c>
    </row>
    <row r="4448" spans="1:6" x14ac:dyDescent="0.3">
      <c r="A4448" t="s">
        <v>9560</v>
      </c>
      <c r="B4448" t="s">
        <v>6</v>
      </c>
      <c r="C4448" t="s">
        <v>9561</v>
      </c>
      <c r="D4448" t="s">
        <v>9548</v>
      </c>
      <c r="E4448" t="s">
        <v>9549</v>
      </c>
      <c r="F4448" t="str">
        <f>HYPERLINK("https://talan.bank.gov.ua/get-user-certificate/45CElTIhueXR3I2BFYix","Завантажити сертифікат")</f>
        <v>Завантажити сертифікат</v>
      </c>
    </row>
    <row r="4449" spans="1:6" x14ac:dyDescent="0.3">
      <c r="A4449" t="s">
        <v>9562</v>
      </c>
      <c r="B4449" t="s">
        <v>6</v>
      </c>
      <c r="C4449" t="s">
        <v>9563</v>
      </c>
      <c r="D4449" t="s">
        <v>9548</v>
      </c>
      <c r="E4449" t="s">
        <v>9549</v>
      </c>
      <c r="F4449" t="str">
        <f>HYPERLINK("https://talan.bank.gov.ua/get-user-certificate/45CElO61l03eAzaBUJxW","Завантажити сертифікат")</f>
        <v>Завантажити сертифікат</v>
      </c>
    </row>
    <row r="4450" spans="1:6" x14ac:dyDescent="0.3">
      <c r="A4450" t="s">
        <v>9564</v>
      </c>
      <c r="B4450" t="s">
        <v>6</v>
      </c>
      <c r="C4450" t="s">
        <v>9565</v>
      </c>
      <c r="D4450" t="s">
        <v>9548</v>
      </c>
      <c r="E4450" t="s">
        <v>9549</v>
      </c>
      <c r="F4450" t="str">
        <f>HYPERLINK("https://talan.bank.gov.ua/get-user-certificate/45CElcswG8hdo-RK5h3v","Завантажити сертифікат")</f>
        <v>Завантажити сертифікат</v>
      </c>
    </row>
    <row r="4451" spans="1:6" x14ac:dyDescent="0.3">
      <c r="A4451" t="s">
        <v>9566</v>
      </c>
      <c r="B4451" t="s">
        <v>6</v>
      </c>
      <c r="C4451" t="s">
        <v>9567</v>
      </c>
      <c r="D4451" t="s">
        <v>9548</v>
      </c>
      <c r="E4451" t="s">
        <v>9549</v>
      </c>
      <c r="F4451" t="str">
        <f>HYPERLINK("https://talan.bank.gov.ua/get-user-certificate/45CElNu7pWcEwekr3072","Завантажити сертифікат")</f>
        <v>Завантажити сертифікат</v>
      </c>
    </row>
    <row r="4452" spans="1:6" x14ac:dyDescent="0.3">
      <c r="A4452" t="s">
        <v>9568</v>
      </c>
      <c r="B4452" t="s">
        <v>6</v>
      </c>
      <c r="C4452" t="s">
        <v>9569</v>
      </c>
      <c r="D4452" t="s">
        <v>9548</v>
      </c>
      <c r="E4452" t="s">
        <v>9549</v>
      </c>
      <c r="F4452" t="str">
        <f>HYPERLINK("https://talan.bank.gov.ua/get-user-certificate/45CElt2_KjlDjn9ahxlZ","Завантажити сертифікат")</f>
        <v>Завантажити сертифікат</v>
      </c>
    </row>
    <row r="4453" spans="1:6" x14ac:dyDescent="0.3">
      <c r="A4453" t="s">
        <v>9570</v>
      </c>
      <c r="B4453" t="s">
        <v>6</v>
      </c>
      <c r="C4453" t="s">
        <v>9571</v>
      </c>
      <c r="D4453" t="s">
        <v>9548</v>
      </c>
      <c r="E4453" t="s">
        <v>9549</v>
      </c>
      <c r="F4453" t="str">
        <f>HYPERLINK("https://talan.bank.gov.ua/get-user-certificate/45CElTRRlZWFQMWA2rJm","Завантажити сертифікат")</f>
        <v>Завантажити сертифікат</v>
      </c>
    </row>
    <row r="4454" spans="1:6" x14ac:dyDescent="0.3">
      <c r="A4454" t="s">
        <v>9572</v>
      </c>
      <c r="B4454" t="s">
        <v>6</v>
      </c>
      <c r="C4454" t="s">
        <v>9573</v>
      </c>
      <c r="D4454" t="s">
        <v>9548</v>
      </c>
      <c r="E4454" t="s">
        <v>9549</v>
      </c>
      <c r="F4454" t="str">
        <f>HYPERLINK("https://talan.bank.gov.ua/get-user-certificate/45CElltfFGs4dfXfdngn","Завантажити сертифікат")</f>
        <v>Завантажити сертифікат</v>
      </c>
    </row>
    <row r="4455" spans="1:6" x14ac:dyDescent="0.3">
      <c r="A4455" t="s">
        <v>9574</v>
      </c>
      <c r="B4455" t="s">
        <v>6</v>
      </c>
      <c r="C4455" t="s">
        <v>9575</v>
      </c>
      <c r="D4455" t="s">
        <v>9548</v>
      </c>
      <c r="E4455" t="s">
        <v>9549</v>
      </c>
      <c r="F4455" t="str">
        <f>HYPERLINK("https://talan.bank.gov.ua/get-user-certificate/45CElRUe88eRVXHsxZ7o","Завантажити сертифікат")</f>
        <v>Завантажити сертифікат</v>
      </c>
    </row>
    <row r="4456" spans="1:6" x14ac:dyDescent="0.3">
      <c r="A4456" t="s">
        <v>9576</v>
      </c>
      <c r="B4456" t="s">
        <v>6</v>
      </c>
      <c r="C4456" t="s">
        <v>9577</v>
      </c>
      <c r="D4456" t="s">
        <v>9548</v>
      </c>
      <c r="E4456" t="s">
        <v>9549</v>
      </c>
      <c r="F4456" t="str">
        <f>HYPERLINK("https://talan.bank.gov.ua/get-user-certificate/45CElzWXTeXt3emh0sc4","Завантажити сертифікат")</f>
        <v>Завантажити сертифікат</v>
      </c>
    </row>
    <row r="4457" spans="1:6" x14ac:dyDescent="0.3">
      <c r="A4457" t="s">
        <v>9578</v>
      </c>
      <c r="B4457" t="s">
        <v>6</v>
      </c>
      <c r="C4457" t="s">
        <v>9579</v>
      </c>
      <c r="D4457" t="s">
        <v>9548</v>
      </c>
      <c r="E4457" t="s">
        <v>9549</v>
      </c>
      <c r="F4457" t="str">
        <f>HYPERLINK("https://talan.bank.gov.ua/get-user-certificate/45CElExT9KQyuj0M5YDs","Завантажити сертифікат")</f>
        <v>Завантажити сертифікат</v>
      </c>
    </row>
    <row r="4458" spans="1:6" x14ac:dyDescent="0.3">
      <c r="A4458" t="s">
        <v>9580</v>
      </c>
      <c r="B4458" t="s">
        <v>6</v>
      </c>
      <c r="C4458" t="s">
        <v>9581</v>
      </c>
      <c r="D4458" t="s">
        <v>9548</v>
      </c>
      <c r="E4458" t="s">
        <v>9549</v>
      </c>
      <c r="F4458" t="str">
        <f>HYPERLINK("https://talan.bank.gov.ua/get-user-certificate/45CElvaFSezUMdssimHv","Завантажити сертифікат")</f>
        <v>Завантажити сертифікат</v>
      </c>
    </row>
    <row r="4459" spans="1:6" x14ac:dyDescent="0.3">
      <c r="A4459" t="s">
        <v>9582</v>
      </c>
      <c r="B4459" t="s">
        <v>6</v>
      </c>
      <c r="C4459" t="s">
        <v>9583</v>
      </c>
      <c r="D4459" t="s">
        <v>9548</v>
      </c>
      <c r="E4459" t="s">
        <v>9549</v>
      </c>
      <c r="F4459" t="str">
        <f>HYPERLINK("https://talan.bank.gov.ua/get-user-certificate/45CElClXaoAzAKFsvwrL","Завантажити сертифікат")</f>
        <v>Завантажити сертифікат</v>
      </c>
    </row>
    <row r="4460" spans="1:6" x14ac:dyDescent="0.3">
      <c r="A4460" t="s">
        <v>9584</v>
      </c>
      <c r="B4460" t="s">
        <v>6</v>
      </c>
      <c r="C4460" t="s">
        <v>9585</v>
      </c>
      <c r="D4460" t="s">
        <v>9548</v>
      </c>
      <c r="E4460" t="s">
        <v>9549</v>
      </c>
      <c r="F4460" t="str">
        <f>HYPERLINK("https://talan.bank.gov.ua/get-user-certificate/45CElpoEMV-ZfgIjTmaf","Завантажити сертифікат")</f>
        <v>Завантажити сертифікат</v>
      </c>
    </row>
    <row r="4461" spans="1:6" x14ac:dyDescent="0.3">
      <c r="A4461" t="s">
        <v>9586</v>
      </c>
      <c r="B4461" t="s">
        <v>6</v>
      </c>
      <c r="C4461" t="s">
        <v>9587</v>
      </c>
      <c r="D4461" t="s">
        <v>9548</v>
      </c>
      <c r="E4461" t="s">
        <v>9549</v>
      </c>
      <c r="F4461" t="str">
        <f>HYPERLINK("https://talan.bank.gov.ua/get-user-certificate/45CEl9l87u9V0cTdfo7e","Завантажити сертифікат")</f>
        <v>Завантажити сертифікат</v>
      </c>
    </row>
    <row r="4462" spans="1:6" x14ac:dyDescent="0.3">
      <c r="A4462" t="s">
        <v>9588</v>
      </c>
      <c r="B4462" t="s">
        <v>6</v>
      </c>
      <c r="C4462" t="s">
        <v>9589</v>
      </c>
      <c r="D4462" t="s">
        <v>9548</v>
      </c>
      <c r="E4462" t="s">
        <v>9549</v>
      </c>
      <c r="F4462" t="str">
        <f>HYPERLINK("https://talan.bank.gov.ua/get-user-certificate/45CEl6dDYL1xsr90shG0","Завантажити сертифікат")</f>
        <v>Завантажити сертифікат</v>
      </c>
    </row>
    <row r="4463" spans="1:6" x14ac:dyDescent="0.3">
      <c r="A4463" t="s">
        <v>9590</v>
      </c>
      <c r="B4463" t="s">
        <v>6</v>
      </c>
      <c r="C4463" t="s">
        <v>9591</v>
      </c>
      <c r="D4463" t="s">
        <v>9548</v>
      </c>
      <c r="E4463" t="s">
        <v>9549</v>
      </c>
      <c r="F4463" t="str">
        <f>HYPERLINK("https://talan.bank.gov.ua/get-user-certificate/45CEl3C-lV5Q4h9sl1_Y","Завантажити сертифікат")</f>
        <v>Завантажити сертифікат</v>
      </c>
    </row>
    <row r="4464" spans="1:6" x14ac:dyDescent="0.3">
      <c r="A4464" t="s">
        <v>9592</v>
      </c>
      <c r="B4464" t="s">
        <v>6</v>
      </c>
      <c r="C4464" t="s">
        <v>9593</v>
      </c>
      <c r="D4464" t="s">
        <v>9548</v>
      </c>
      <c r="E4464" t="s">
        <v>9549</v>
      </c>
      <c r="F4464" t="str">
        <f>HYPERLINK("https://talan.bank.gov.ua/get-user-certificate/45CElGFVlsYzRH1g721g","Завантажити сертифікат")</f>
        <v>Завантажити сертифікат</v>
      </c>
    </row>
    <row r="4465" spans="1:6" x14ac:dyDescent="0.3">
      <c r="A4465" t="s">
        <v>9594</v>
      </c>
      <c r="B4465" t="s">
        <v>6</v>
      </c>
      <c r="C4465" t="s">
        <v>9595</v>
      </c>
      <c r="D4465" t="s">
        <v>9548</v>
      </c>
      <c r="E4465" t="s">
        <v>9549</v>
      </c>
      <c r="F4465" t="str">
        <f>HYPERLINK("https://talan.bank.gov.ua/get-user-certificate/45CElD3cP1N-eXzviRIC","Завантажити сертифікат")</f>
        <v>Завантажити сертифікат</v>
      </c>
    </row>
    <row r="4466" spans="1:6" x14ac:dyDescent="0.3">
      <c r="A4466" t="s">
        <v>9596</v>
      </c>
      <c r="B4466" t="s">
        <v>6</v>
      </c>
      <c r="C4466" t="s">
        <v>9597</v>
      </c>
      <c r="D4466" t="s">
        <v>9548</v>
      </c>
      <c r="E4466" t="s">
        <v>9549</v>
      </c>
      <c r="F4466" t="str">
        <f>HYPERLINK("https://talan.bank.gov.ua/get-user-certificate/45CEldqhQ3eqoND1JEfJ","Завантажити сертифікат")</f>
        <v>Завантажити сертифікат</v>
      </c>
    </row>
    <row r="4467" spans="1:6" x14ac:dyDescent="0.3">
      <c r="A4467" t="s">
        <v>9598</v>
      </c>
      <c r="B4467" t="s">
        <v>6</v>
      </c>
      <c r="C4467" t="s">
        <v>9599</v>
      </c>
      <c r="D4467" t="s">
        <v>9548</v>
      </c>
      <c r="E4467" t="s">
        <v>9549</v>
      </c>
      <c r="F4467" t="str">
        <f>HYPERLINK("https://talan.bank.gov.ua/get-user-certificate/45CEldYVgR72cqhc03RN","Завантажити сертифікат")</f>
        <v>Завантажити сертифікат</v>
      </c>
    </row>
    <row r="4468" spans="1:6" x14ac:dyDescent="0.3">
      <c r="A4468" t="s">
        <v>9600</v>
      </c>
      <c r="B4468" t="s">
        <v>6</v>
      </c>
      <c r="C4468" t="s">
        <v>9601</v>
      </c>
      <c r="D4468" t="s">
        <v>9548</v>
      </c>
      <c r="E4468" t="s">
        <v>9549</v>
      </c>
      <c r="F4468" t="str">
        <f>HYPERLINK("https://talan.bank.gov.ua/get-user-certificate/45CElNhOQUeRUAX6qAqf","Завантажити сертифікат")</f>
        <v>Завантажити сертифікат</v>
      </c>
    </row>
    <row r="4469" spans="1:6" x14ac:dyDescent="0.3">
      <c r="A4469" t="s">
        <v>9602</v>
      </c>
      <c r="B4469" t="s">
        <v>6</v>
      </c>
      <c r="C4469" t="s">
        <v>9603</v>
      </c>
      <c r="D4469" t="s">
        <v>9548</v>
      </c>
      <c r="E4469" t="s">
        <v>9549</v>
      </c>
      <c r="F4469" t="str">
        <f>HYPERLINK("https://talan.bank.gov.ua/get-user-certificate/45CEld66JodPCaS0DsdD","Завантажити сертифікат")</f>
        <v>Завантажити сертифікат</v>
      </c>
    </row>
    <row r="4470" spans="1:6" x14ac:dyDescent="0.3">
      <c r="A4470" t="s">
        <v>9604</v>
      </c>
      <c r="B4470" t="s">
        <v>6</v>
      </c>
      <c r="C4470" t="s">
        <v>9605</v>
      </c>
      <c r="D4470" t="s">
        <v>9548</v>
      </c>
      <c r="E4470" t="s">
        <v>9549</v>
      </c>
      <c r="F4470" t="str">
        <f>HYPERLINK("https://talan.bank.gov.ua/get-user-certificate/45CEl2LatH0Ys9lUDT3A","Завантажити сертифікат")</f>
        <v>Завантажити сертифікат</v>
      </c>
    </row>
    <row r="4471" spans="1:6" x14ac:dyDescent="0.3">
      <c r="A4471" t="s">
        <v>9606</v>
      </c>
      <c r="B4471" t="s">
        <v>6</v>
      </c>
      <c r="C4471" t="s">
        <v>9607</v>
      </c>
      <c r="D4471" t="s">
        <v>9548</v>
      </c>
      <c r="E4471" t="s">
        <v>9549</v>
      </c>
      <c r="F4471" t="str">
        <f>HYPERLINK("https://talan.bank.gov.ua/get-user-certificate/45CElwZvfyT91gbJnF9r","Завантажити сертифікат")</f>
        <v>Завантажити сертифікат</v>
      </c>
    </row>
    <row r="4472" spans="1:6" x14ac:dyDescent="0.3">
      <c r="A4472" t="s">
        <v>9608</v>
      </c>
      <c r="B4472" t="s">
        <v>6</v>
      </c>
      <c r="C4472" t="s">
        <v>9609</v>
      </c>
      <c r="D4472" t="s">
        <v>9548</v>
      </c>
      <c r="E4472" t="s">
        <v>9549</v>
      </c>
      <c r="F4472" t="str">
        <f>HYPERLINK("https://talan.bank.gov.ua/get-user-certificate/45CElS3zi0Ayys8Fgqpi","Завантажити сертифікат")</f>
        <v>Завантажити сертифікат</v>
      </c>
    </row>
    <row r="4473" spans="1:6" x14ac:dyDescent="0.3">
      <c r="A4473" t="s">
        <v>9610</v>
      </c>
      <c r="B4473" t="s">
        <v>6</v>
      </c>
      <c r="C4473" t="s">
        <v>9611</v>
      </c>
      <c r="D4473" t="s">
        <v>9548</v>
      </c>
      <c r="E4473" t="s">
        <v>9549</v>
      </c>
      <c r="F4473" t="str">
        <f>HYPERLINK("https://talan.bank.gov.ua/get-user-certificate/45CElJcX91eb5ixzPzld","Завантажити сертифікат")</f>
        <v>Завантажити сертифікат</v>
      </c>
    </row>
    <row r="4474" spans="1:6" x14ac:dyDescent="0.3">
      <c r="A4474" t="s">
        <v>9612</v>
      </c>
      <c r="B4474" t="s">
        <v>6</v>
      </c>
      <c r="C4474" t="s">
        <v>9613</v>
      </c>
      <c r="D4474" t="s">
        <v>9548</v>
      </c>
      <c r="E4474" t="s">
        <v>9549</v>
      </c>
      <c r="F4474" t="str">
        <f>HYPERLINK("https://talan.bank.gov.ua/get-user-certificate/45CElGLPnShxC_6u6y3L","Завантажити сертифікат")</f>
        <v>Завантажити сертифікат</v>
      </c>
    </row>
    <row r="4475" spans="1:6" x14ac:dyDescent="0.3">
      <c r="A4475" t="s">
        <v>9614</v>
      </c>
      <c r="B4475" t="s">
        <v>6</v>
      </c>
      <c r="C4475" t="s">
        <v>9615</v>
      </c>
      <c r="D4475" t="s">
        <v>9548</v>
      </c>
      <c r="E4475" t="s">
        <v>9549</v>
      </c>
      <c r="F4475" t="str">
        <f>HYPERLINK("https://talan.bank.gov.ua/get-user-certificate/45CEl-LmayRzMUlOs6_X","Завантажити сертифікат")</f>
        <v>Завантажити сертифікат</v>
      </c>
    </row>
    <row r="4476" spans="1:6" x14ac:dyDescent="0.3">
      <c r="A4476" t="s">
        <v>9616</v>
      </c>
      <c r="B4476" t="s">
        <v>6</v>
      </c>
      <c r="C4476" t="s">
        <v>9617</v>
      </c>
      <c r="D4476" t="s">
        <v>9548</v>
      </c>
      <c r="E4476" t="s">
        <v>9549</v>
      </c>
      <c r="F4476" t="str">
        <f>HYPERLINK("https://talan.bank.gov.ua/get-user-certificate/45CEl6wF09q8OW4Ylh5Q","Завантажити сертифікат")</f>
        <v>Завантажити сертифікат</v>
      </c>
    </row>
    <row r="4477" spans="1:6" x14ac:dyDescent="0.3">
      <c r="A4477" t="s">
        <v>9618</v>
      </c>
      <c r="B4477" t="s">
        <v>6</v>
      </c>
      <c r="C4477" t="s">
        <v>9619</v>
      </c>
      <c r="D4477" t="s">
        <v>9548</v>
      </c>
      <c r="E4477" t="s">
        <v>9549</v>
      </c>
      <c r="F4477" t="str">
        <f>HYPERLINK("https://talan.bank.gov.ua/get-user-certificate/45CElWYGzHzKdGV7rnxW","Завантажити сертифікат")</f>
        <v>Завантажити сертифікат</v>
      </c>
    </row>
    <row r="4478" spans="1:6" x14ac:dyDescent="0.3">
      <c r="A4478" t="s">
        <v>9620</v>
      </c>
      <c r="B4478" t="s">
        <v>6</v>
      </c>
      <c r="C4478" t="s">
        <v>9621</v>
      </c>
      <c r="D4478" t="s">
        <v>9548</v>
      </c>
      <c r="E4478" t="s">
        <v>9549</v>
      </c>
      <c r="F4478" t="str">
        <f>HYPERLINK("https://talan.bank.gov.ua/get-user-certificate/45CElb0EGjsoFy-MPrEC","Завантажити сертифікат")</f>
        <v>Завантажити сертифікат</v>
      </c>
    </row>
    <row r="4479" spans="1:6" x14ac:dyDescent="0.3">
      <c r="A4479" t="s">
        <v>9622</v>
      </c>
      <c r="B4479" t="s">
        <v>6</v>
      </c>
      <c r="C4479" t="s">
        <v>9623</v>
      </c>
      <c r="D4479" t="s">
        <v>9548</v>
      </c>
      <c r="E4479" t="s">
        <v>9549</v>
      </c>
      <c r="F4479" t="str">
        <f>HYPERLINK("https://talan.bank.gov.ua/get-user-certificate/45CElMAh49w9o1OgCUGm","Завантажити сертифікат")</f>
        <v>Завантажити сертифікат</v>
      </c>
    </row>
    <row r="4480" spans="1:6" x14ac:dyDescent="0.3">
      <c r="A4480" t="s">
        <v>9624</v>
      </c>
      <c r="B4480" t="s">
        <v>6</v>
      </c>
      <c r="C4480" t="s">
        <v>9625</v>
      </c>
      <c r="D4480" t="s">
        <v>9548</v>
      </c>
      <c r="E4480" t="s">
        <v>9549</v>
      </c>
      <c r="F4480" t="str">
        <f>HYPERLINK("https://talan.bank.gov.ua/get-user-certificate/45CElDkQqLv-mYOcVTfu","Завантажити сертифікат")</f>
        <v>Завантажити сертифікат</v>
      </c>
    </row>
    <row r="4481" spans="1:6" x14ac:dyDescent="0.3">
      <c r="A4481" t="s">
        <v>9626</v>
      </c>
      <c r="B4481" t="s">
        <v>6</v>
      </c>
      <c r="C4481" t="s">
        <v>9627</v>
      </c>
      <c r="D4481" t="s">
        <v>9548</v>
      </c>
      <c r="E4481" t="s">
        <v>9549</v>
      </c>
      <c r="F4481" t="str">
        <f>HYPERLINK("https://talan.bank.gov.ua/get-user-certificate/45CElSDourc-iXqkH_0N","Завантажити сертифікат")</f>
        <v>Завантажити сертифікат</v>
      </c>
    </row>
    <row r="4482" spans="1:6" x14ac:dyDescent="0.3">
      <c r="A4482" t="s">
        <v>9628</v>
      </c>
      <c r="B4482" t="s">
        <v>6</v>
      </c>
      <c r="C4482" t="s">
        <v>9629</v>
      </c>
      <c r="D4482" t="s">
        <v>9548</v>
      </c>
      <c r="E4482" t="s">
        <v>9549</v>
      </c>
      <c r="F4482" t="str">
        <f>HYPERLINK("https://talan.bank.gov.ua/get-user-certificate/45CEl_huemyQQONiduFk","Завантажити сертифікат")</f>
        <v>Завантажити сертифікат</v>
      </c>
    </row>
    <row r="4483" spans="1:6" x14ac:dyDescent="0.3">
      <c r="A4483" t="s">
        <v>9630</v>
      </c>
      <c r="B4483" t="s">
        <v>6</v>
      </c>
      <c r="C4483" t="s">
        <v>9631</v>
      </c>
      <c r="D4483" t="s">
        <v>9548</v>
      </c>
      <c r="E4483" t="s">
        <v>9549</v>
      </c>
      <c r="F4483" t="str">
        <f>HYPERLINK("https://talan.bank.gov.ua/get-user-certificate/45CElAqsNvHjTzsyn_oo","Завантажити сертифікат")</f>
        <v>Завантажити сертифікат</v>
      </c>
    </row>
    <row r="4484" spans="1:6" x14ac:dyDescent="0.3">
      <c r="A4484" t="s">
        <v>9632</v>
      </c>
      <c r="B4484" t="s">
        <v>6</v>
      </c>
      <c r="C4484" t="s">
        <v>9633</v>
      </c>
      <c r="D4484" t="s">
        <v>9548</v>
      </c>
      <c r="E4484" t="s">
        <v>9549</v>
      </c>
      <c r="F4484" t="str">
        <f>HYPERLINK("https://talan.bank.gov.ua/get-user-certificate/45CElaHKnvwJ6qtt_qdK","Завантажити сертифікат")</f>
        <v>Завантажити сертифікат</v>
      </c>
    </row>
    <row r="4485" spans="1:6" x14ac:dyDescent="0.3">
      <c r="A4485" t="s">
        <v>9634</v>
      </c>
      <c r="B4485" t="s">
        <v>6</v>
      </c>
      <c r="C4485" t="s">
        <v>9635</v>
      </c>
      <c r="D4485" t="s">
        <v>9548</v>
      </c>
      <c r="E4485" t="s">
        <v>9549</v>
      </c>
      <c r="F4485" t="str">
        <f>HYPERLINK("https://talan.bank.gov.ua/get-user-certificate/45CEl4UeXFulzUea2pu7","Завантажити сертифікат")</f>
        <v>Завантажити сертифікат</v>
      </c>
    </row>
    <row r="4486" spans="1:6" x14ac:dyDescent="0.3">
      <c r="A4486" t="s">
        <v>9636</v>
      </c>
      <c r="B4486" t="s">
        <v>6</v>
      </c>
      <c r="C4486" t="s">
        <v>9637</v>
      </c>
      <c r="D4486" t="s">
        <v>9548</v>
      </c>
      <c r="E4486" t="s">
        <v>9549</v>
      </c>
      <c r="F4486" t="str">
        <f>HYPERLINK("https://talan.bank.gov.ua/get-user-certificate/45CElXfu2H1RW_v6zAsG","Завантажити сертифікат")</f>
        <v>Завантажити сертифікат</v>
      </c>
    </row>
    <row r="4487" spans="1:6" x14ac:dyDescent="0.3">
      <c r="A4487" t="s">
        <v>9638</v>
      </c>
      <c r="B4487" t="s">
        <v>6</v>
      </c>
      <c r="C4487" t="s">
        <v>9639</v>
      </c>
      <c r="D4487" t="s">
        <v>9548</v>
      </c>
      <c r="E4487" t="s">
        <v>9549</v>
      </c>
      <c r="F4487" t="str">
        <f>HYPERLINK("https://talan.bank.gov.ua/get-user-certificate/45CElqvrrncdB2iq26H8","Завантажити сертифікат")</f>
        <v>Завантажити сертифікат</v>
      </c>
    </row>
    <row r="4488" spans="1:6" x14ac:dyDescent="0.3">
      <c r="A4488" t="s">
        <v>9640</v>
      </c>
      <c r="B4488" t="s">
        <v>6</v>
      </c>
      <c r="C4488" t="s">
        <v>9641</v>
      </c>
      <c r="D4488" t="s">
        <v>9548</v>
      </c>
      <c r="E4488" t="s">
        <v>9549</v>
      </c>
      <c r="F4488" t="str">
        <f>HYPERLINK("https://talan.bank.gov.ua/get-user-certificate/45CEl_EUYCCGoZhxMZ7N","Завантажити сертифікат")</f>
        <v>Завантажити сертифікат</v>
      </c>
    </row>
    <row r="4489" spans="1:6" x14ac:dyDescent="0.3">
      <c r="A4489" t="s">
        <v>9642</v>
      </c>
      <c r="B4489" t="s">
        <v>6</v>
      </c>
      <c r="C4489" t="s">
        <v>9643</v>
      </c>
      <c r="D4489" t="s">
        <v>9548</v>
      </c>
      <c r="E4489" t="s">
        <v>9549</v>
      </c>
      <c r="F4489" t="str">
        <f>HYPERLINK("https://talan.bank.gov.ua/get-user-certificate/45CElU1L4AnYv-aJuvDC","Завантажити сертифікат")</f>
        <v>Завантажити сертифікат</v>
      </c>
    </row>
    <row r="4490" spans="1:6" x14ac:dyDescent="0.3">
      <c r="A4490" t="s">
        <v>9644</v>
      </c>
      <c r="B4490" t="s">
        <v>6</v>
      </c>
      <c r="C4490" t="s">
        <v>9645</v>
      </c>
      <c r="D4490" t="s">
        <v>9548</v>
      </c>
      <c r="E4490" t="s">
        <v>9549</v>
      </c>
      <c r="F4490" t="str">
        <f>HYPERLINK("https://talan.bank.gov.ua/get-user-certificate/45CElKVmm1t3oCVCp-vi","Завантажити сертифікат")</f>
        <v>Завантажити сертифікат</v>
      </c>
    </row>
    <row r="4491" spans="1:6" x14ac:dyDescent="0.3">
      <c r="A4491" t="s">
        <v>9646</v>
      </c>
      <c r="B4491" t="s">
        <v>6</v>
      </c>
      <c r="C4491" t="s">
        <v>9647</v>
      </c>
      <c r="D4491" t="s">
        <v>9548</v>
      </c>
      <c r="E4491" t="s">
        <v>9549</v>
      </c>
      <c r="F4491" t="str">
        <f>HYPERLINK("https://talan.bank.gov.ua/get-user-certificate/45CEleLqvdb5uQL9EgV3","Завантажити сертифікат")</f>
        <v>Завантажити сертифікат</v>
      </c>
    </row>
    <row r="4492" spans="1:6" x14ac:dyDescent="0.3">
      <c r="A4492" t="s">
        <v>9648</v>
      </c>
      <c r="B4492" t="s">
        <v>6</v>
      </c>
      <c r="C4492" t="s">
        <v>9649</v>
      </c>
      <c r="D4492" t="s">
        <v>9548</v>
      </c>
      <c r="E4492" t="s">
        <v>9549</v>
      </c>
      <c r="F4492" t="str">
        <f>HYPERLINK("https://talan.bank.gov.ua/get-user-certificate/45CElT2dGzfwhoK9Dn5K","Завантажити сертифікат")</f>
        <v>Завантажити сертифікат</v>
      </c>
    </row>
    <row r="4493" spans="1:6" x14ac:dyDescent="0.3">
      <c r="A4493" t="s">
        <v>9650</v>
      </c>
      <c r="B4493" t="s">
        <v>6</v>
      </c>
      <c r="C4493" t="s">
        <v>9651</v>
      </c>
      <c r="D4493" t="s">
        <v>9548</v>
      </c>
      <c r="E4493" t="s">
        <v>9549</v>
      </c>
      <c r="F4493" t="str">
        <f>HYPERLINK("https://talan.bank.gov.ua/get-user-certificate/45CElVnXlXEBW0mGCoPI","Завантажити сертифікат")</f>
        <v>Завантажити сертифікат</v>
      </c>
    </row>
    <row r="4494" spans="1:6" x14ac:dyDescent="0.3">
      <c r="A4494" t="s">
        <v>9652</v>
      </c>
      <c r="B4494" t="s">
        <v>6</v>
      </c>
      <c r="C4494" t="s">
        <v>9653</v>
      </c>
      <c r="D4494" t="s">
        <v>9548</v>
      </c>
      <c r="E4494" t="s">
        <v>9549</v>
      </c>
      <c r="F4494" t="str">
        <f>HYPERLINK("https://talan.bank.gov.ua/get-user-certificate/45CElFzSc_IcHnPv1ZPW","Завантажити сертифікат")</f>
        <v>Завантажити сертифікат</v>
      </c>
    </row>
    <row r="4495" spans="1:6" x14ac:dyDescent="0.3">
      <c r="A4495" t="s">
        <v>9654</v>
      </c>
      <c r="B4495" t="s">
        <v>6</v>
      </c>
      <c r="C4495" t="s">
        <v>9655</v>
      </c>
      <c r="D4495" t="s">
        <v>9548</v>
      </c>
      <c r="E4495" t="s">
        <v>9549</v>
      </c>
      <c r="F4495" t="str">
        <f>HYPERLINK("https://talan.bank.gov.ua/get-user-certificate/45CElgHpVtC-cVNWtWsG","Завантажити сертифікат")</f>
        <v>Завантажити сертифікат</v>
      </c>
    </row>
    <row r="4496" spans="1:6" x14ac:dyDescent="0.3">
      <c r="A4496" t="s">
        <v>9656</v>
      </c>
      <c r="B4496" t="s">
        <v>6</v>
      </c>
      <c r="C4496" t="s">
        <v>9657</v>
      </c>
      <c r="D4496" t="s">
        <v>9548</v>
      </c>
      <c r="E4496" t="s">
        <v>9549</v>
      </c>
      <c r="F4496" t="str">
        <f>HYPERLINK("https://talan.bank.gov.ua/get-user-certificate/45CElyj4KKLD_NN16VFj","Завантажити сертифікат")</f>
        <v>Завантажити сертифікат</v>
      </c>
    </row>
    <row r="4497" spans="1:6" x14ac:dyDescent="0.3">
      <c r="A4497" t="s">
        <v>9658</v>
      </c>
      <c r="B4497" t="s">
        <v>6</v>
      </c>
      <c r="C4497" t="s">
        <v>9659</v>
      </c>
      <c r="D4497" t="s">
        <v>9548</v>
      </c>
      <c r="E4497" t="s">
        <v>9549</v>
      </c>
      <c r="F4497" t="str">
        <f>HYPERLINK("https://talan.bank.gov.ua/get-user-certificate/45CElpOp6QmQp_9ebc94","Завантажити сертифікат")</f>
        <v>Завантажити сертифікат</v>
      </c>
    </row>
    <row r="4498" spans="1:6" x14ac:dyDescent="0.3">
      <c r="A4498" t="s">
        <v>9660</v>
      </c>
      <c r="B4498" t="s">
        <v>6</v>
      </c>
      <c r="C4498" t="s">
        <v>9661</v>
      </c>
      <c r="D4498" t="s">
        <v>9548</v>
      </c>
      <c r="E4498" t="s">
        <v>9549</v>
      </c>
      <c r="F4498" t="str">
        <f>HYPERLINK("https://talan.bank.gov.ua/get-user-certificate/45CElMslOoc3CwnrJQhG","Завантажити сертифікат")</f>
        <v>Завантажити сертифікат</v>
      </c>
    </row>
    <row r="4499" spans="1:6" x14ac:dyDescent="0.3">
      <c r="A4499" t="s">
        <v>9662</v>
      </c>
      <c r="B4499" t="s">
        <v>6</v>
      </c>
      <c r="C4499" t="s">
        <v>9663</v>
      </c>
      <c r="D4499" t="s">
        <v>9548</v>
      </c>
      <c r="E4499" t="s">
        <v>9549</v>
      </c>
      <c r="F4499" t="str">
        <f>HYPERLINK("https://talan.bank.gov.ua/get-user-certificate/45CEl3DYf35hOryilrhX","Завантажити сертифікат")</f>
        <v>Завантажити сертифікат</v>
      </c>
    </row>
    <row r="4500" spans="1:6" x14ac:dyDescent="0.3">
      <c r="A4500" t="s">
        <v>9664</v>
      </c>
      <c r="B4500" t="s">
        <v>6</v>
      </c>
      <c r="C4500" t="s">
        <v>9665</v>
      </c>
      <c r="D4500" t="s">
        <v>9548</v>
      </c>
      <c r="E4500" t="s">
        <v>9549</v>
      </c>
      <c r="F4500" t="str">
        <f>HYPERLINK("https://talan.bank.gov.ua/get-user-certificate/45CElBJhZ-Ou6_EK_bVy","Завантажити сертифікат")</f>
        <v>Завантажити сертифікат</v>
      </c>
    </row>
    <row r="4501" spans="1:6" x14ac:dyDescent="0.3">
      <c r="A4501" t="s">
        <v>9666</v>
      </c>
      <c r="B4501" t="s">
        <v>6</v>
      </c>
      <c r="C4501" t="s">
        <v>9667</v>
      </c>
      <c r="D4501" t="s">
        <v>9548</v>
      </c>
      <c r="E4501" t="s">
        <v>9549</v>
      </c>
      <c r="F4501" t="str">
        <f>HYPERLINK("https://talan.bank.gov.ua/get-user-certificate/45CElBZdgpBWM3cCDk-f","Завантажити сертифікат")</f>
        <v>Завантажити сертифікат</v>
      </c>
    </row>
    <row r="4502" spans="1:6" x14ac:dyDescent="0.3">
      <c r="A4502" t="s">
        <v>9668</v>
      </c>
      <c r="B4502" t="s">
        <v>6</v>
      </c>
      <c r="C4502" t="s">
        <v>9669</v>
      </c>
      <c r="D4502" t="s">
        <v>9548</v>
      </c>
      <c r="E4502" t="s">
        <v>9549</v>
      </c>
      <c r="F4502" t="str">
        <f>HYPERLINK("https://talan.bank.gov.ua/get-user-certificate/45CEl3WZlpvsqISUh4GQ","Завантажити сертифікат")</f>
        <v>Завантажити сертифікат</v>
      </c>
    </row>
    <row r="4503" spans="1:6" x14ac:dyDescent="0.3">
      <c r="A4503" t="s">
        <v>9670</v>
      </c>
      <c r="B4503" t="s">
        <v>6</v>
      </c>
      <c r="C4503" t="s">
        <v>9671</v>
      </c>
      <c r="D4503" t="s">
        <v>9548</v>
      </c>
      <c r="E4503" t="s">
        <v>9549</v>
      </c>
      <c r="F4503" t="str">
        <f>HYPERLINK("https://talan.bank.gov.ua/get-user-certificate/45CElKb__aj9RwP0lmP6","Завантажити сертифікат")</f>
        <v>Завантажити сертифікат</v>
      </c>
    </row>
    <row r="4504" spans="1:6" x14ac:dyDescent="0.3">
      <c r="A4504" t="s">
        <v>9672</v>
      </c>
      <c r="B4504" t="s">
        <v>6</v>
      </c>
      <c r="C4504" t="s">
        <v>9673</v>
      </c>
      <c r="D4504" t="s">
        <v>9548</v>
      </c>
      <c r="E4504" t="s">
        <v>9549</v>
      </c>
      <c r="F4504" t="str">
        <f>HYPERLINK("https://talan.bank.gov.ua/get-user-certificate/45CElaI1Vbdwe0ZzBHBa","Завантажити сертифікат")</f>
        <v>Завантажити сертифікат</v>
      </c>
    </row>
    <row r="4505" spans="1:6" x14ac:dyDescent="0.3">
      <c r="A4505" t="s">
        <v>9674</v>
      </c>
      <c r="B4505" t="s">
        <v>6</v>
      </c>
      <c r="C4505" t="s">
        <v>9675</v>
      </c>
      <c r="D4505" t="s">
        <v>9548</v>
      </c>
      <c r="E4505" t="s">
        <v>9549</v>
      </c>
      <c r="F4505" t="str">
        <f>HYPERLINK("https://talan.bank.gov.ua/get-user-certificate/45CElsnyRpPnLyjiqknI","Завантажити сертифікат")</f>
        <v>Завантажити сертифікат</v>
      </c>
    </row>
    <row r="4506" spans="1:6" x14ac:dyDescent="0.3">
      <c r="A4506" t="s">
        <v>9676</v>
      </c>
      <c r="B4506" t="s">
        <v>6</v>
      </c>
      <c r="C4506" t="s">
        <v>9677</v>
      </c>
      <c r="D4506" t="s">
        <v>9548</v>
      </c>
      <c r="E4506" t="s">
        <v>9549</v>
      </c>
      <c r="F4506" t="str">
        <f>HYPERLINK("https://talan.bank.gov.ua/get-user-certificate/45CElcNxfymBoHAzNr3i","Завантажити сертифікат")</f>
        <v>Завантажити сертифікат</v>
      </c>
    </row>
    <row r="4507" spans="1:6" x14ac:dyDescent="0.3">
      <c r="A4507" t="s">
        <v>9678</v>
      </c>
      <c r="B4507" t="s">
        <v>6</v>
      </c>
      <c r="C4507" t="s">
        <v>9679</v>
      </c>
      <c r="D4507" t="s">
        <v>9548</v>
      </c>
      <c r="E4507" t="s">
        <v>9549</v>
      </c>
      <c r="F4507" t="str">
        <f>HYPERLINK("https://talan.bank.gov.ua/get-user-certificate/45CEluEgS9Fqa_7-jjFT","Завантажити сертифікат")</f>
        <v>Завантажити сертифікат</v>
      </c>
    </row>
    <row r="4508" spans="1:6" x14ac:dyDescent="0.3">
      <c r="A4508" t="s">
        <v>9680</v>
      </c>
      <c r="B4508" t="s">
        <v>6</v>
      </c>
      <c r="C4508" t="s">
        <v>9681</v>
      </c>
      <c r="D4508" t="s">
        <v>9548</v>
      </c>
      <c r="E4508" t="s">
        <v>9549</v>
      </c>
      <c r="F4508" t="str">
        <f>HYPERLINK("https://talan.bank.gov.ua/get-user-certificate/45CEl8zFhzRuTj41apjH","Завантажити сертифікат")</f>
        <v>Завантажити сертифікат</v>
      </c>
    </row>
    <row r="4509" spans="1:6" x14ac:dyDescent="0.3">
      <c r="A4509" t="s">
        <v>9682</v>
      </c>
      <c r="B4509" t="s">
        <v>6</v>
      </c>
      <c r="C4509" t="s">
        <v>9683</v>
      </c>
      <c r="D4509" t="s">
        <v>9548</v>
      </c>
      <c r="E4509" t="s">
        <v>9549</v>
      </c>
      <c r="F4509" t="str">
        <f>HYPERLINK("https://talan.bank.gov.ua/get-user-certificate/45CElCZfGI_wPFcwl7Y1","Завантажити сертифікат")</f>
        <v>Завантажити сертифікат</v>
      </c>
    </row>
    <row r="4510" spans="1:6" x14ac:dyDescent="0.3">
      <c r="A4510" t="s">
        <v>9684</v>
      </c>
      <c r="B4510" t="s">
        <v>6</v>
      </c>
      <c r="C4510" t="s">
        <v>9685</v>
      </c>
      <c r="D4510" t="s">
        <v>9548</v>
      </c>
      <c r="E4510" t="s">
        <v>9549</v>
      </c>
      <c r="F4510" t="str">
        <f>HYPERLINK("https://talan.bank.gov.ua/get-user-certificate/45CElOFeCIYdCDO8gH_N","Завантажити сертифікат")</f>
        <v>Завантажити сертифікат</v>
      </c>
    </row>
    <row r="4511" spans="1:6" x14ac:dyDescent="0.3">
      <c r="A4511" t="s">
        <v>9686</v>
      </c>
      <c r="B4511" t="s">
        <v>6</v>
      </c>
      <c r="C4511" t="s">
        <v>9687</v>
      </c>
      <c r="D4511" t="s">
        <v>9688</v>
      </c>
      <c r="E4511" t="s">
        <v>9689</v>
      </c>
      <c r="F4511" t="str">
        <f>HYPERLINK("https://talan.bank.gov.ua/get-user-certificate/45CElSnc0JmzWhjUMKt8","Завантажити сертифікат")</f>
        <v>Завантажити сертифікат</v>
      </c>
    </row>
    <row r="4512" spans="1:6" x14ac:dyDescent="0.3">
      <c r="A4512" t="s">
        <v>9690</v>
      </c>
      <c r="B4512" t="s">
        <v>6</v>
      </c>
      <c r="C4512" t="s">
        <v>9691</v>
      </c>
      <c r="D4512" t="s">
        <v>9688</v>
      </c>
      <c r="E4512" t="s">
        <v>9689</v>
      </c>
      <c r="F4512" t="str">
        <f>HYPERLINK("https://talan.bank.gov.ua/get-user-certificate/45CElu3D5uT1tJbDlQua","Завантажити сертифікат")</f>
        <v>Завантажити сертифікат</v>
      </c>
    </row>
    <row r="4513" spans="1:6" x14ac:dyDescent="0.3">
      <c r="A4513" t="s">
        <v>9692</v>
      </c>
      <c r="B4513" t="s">
        <v>6</v>
      </c>
      <c r="C4513" t="s">
        <v>9693</v>
      </c>
      <c r="D4513" t="s">
        <v>9688</v>
      </c>
      <c r="E4513" t="s">
        <v>9689</v>
      </c>
      <c r="F4513" t="str">
        <f>HYPERLINK("https://talan.bank.gov.ua/get-user-certificate/45CElpmUipR-m4AVdoJm","Завантажити сертифікат")</f>
        <v>Завантажити сертифікат</v>
      </c>
    </row>
    <row r="4514" spans="1:6" x14ac:dyDescent="0.3">
      <c r="A4514" t="s">
        <v>9694</v>
      </c>
      <c r="B4514" t="s">
        <v>6</v>
      </c>
      <c r="C4514" t="s">
        <v>9695</v>
      </c>
      <c r="D4514" t="s">
        <v>9688</v>
      </c>
      <c r="E4514" t="s">
        <v>9689</v>
      </c>
      <c r="F4514" t="str">
        <f>HYPERLINK("https://talan.bank.gov.ua/get-user-certificate/45CEl_oT9ax9WJIrnmOu","Завантажити сертифікат")</f>
        <v>Завантажити сертифікат</v>
      </c>
    </row>
    <row r="4515" spans="1:6" x14ac:dyDescent="0.3">
      <c r="A4515" t="s">
        <v>9696</v>
      </c>
      <c r="B4515" t="s">
        <v>6</v>
      </c>
      <c r="C4515" t="s">
        <v>9697</v>
      </c>
      <c r="D4515" t="s">
        <v>9688</v>
      </c>
      <c r="E4515" t="s">
        <v>9689</v>
      </c>
      <c r="F4515" t="str">
        <f>HYPERLINK("https://talan.bank.gov.ua/get-user-certificate/45CElIj0cwxHVnozyqSZ","Завантажити сертифікат")</f>
        <v>Завантажити сертифікат</v>
      </c>
    </row>
    <row r="4516" spans="1:6" x14ac:dyDescent="0.3">
      <c r="A4516" t="s">
        <v>9698</v>
      </c>
      <c r="B4516" t="s">
        <v>6</v>
      </c>
      <c r="C4516" t="s">
        <v>9699</v>
      </c>
      <c r="D4516" t="s">
        <v>9688</v>
      </c>
      <c r="E4516" t="s">
        <v>9689</v>
      </c>
      <c r="F4516" t="str">
        <f>HYPERLINK("https://talan.bank.gov.ua/get-user-certificate/45CElYVo-bS84R4y3f0L","Завантажити сертифікат")</f>
        <v>Завантажити сертифікат</v>
      </c>
    </row>
    <row r="4517" spans="1:6" x14ac:dyDescent="0.3">
      <c r="A4517" t="s">
        <v>9700</v>
      </c>
      <c r="B4517" t="s">
        <v>6</v>
      </c>
      <c r="C4517" t="s">
        <v>9701</v>
      </c>
      <c r="D4517" t="s">
        <v>9688</v>
      </c>
      <c r="E4517" t="s">
        <v>9689</v>
      </c>
      <c r="F4517" t="str">
        <f>HYPERLINK("https://talan.bank.gov.ua/get-user-certificate/45CElae0miLN8DlzbkQs","Завантажити сертифікат")</f>
        <v>Завантажити сертифікат</v>
      </c>
    </row>
    <row r="4518" spans="1:6" x14ac:dyDescent="0.3">
      <c r="A4518" t="s">
        <v>9702</v>
      </c>
      <c r="B4518" t="s">
        <v>6</v>
      </c>
      <c r="C4518" t="s">
        <v>9703</v>
      </c>
      <c r="D4518" t="s">
        <v>9688</v>
      </c>
      <c r="E4518" t="s">
        <v>9689</v>
      </c>
      <c r="F4518" t="str">
        <f>HYPERLINK("https://talan.bank.gov.ua/get-user-certificate/45CElUeLEYVUk4_x8Vnj","Завантажити сертифікат")</f>
        <v>Завантажити сертифікат</v>
      </c>
    </row>
    <row r="4519" spans="1:6" x14ac:dyDescent="0.3">
      <c r="A4519" t="s">
        <v>9704</v>
      </c>
      <c r="B4519" t="s">
        <v>6</v>
      </c>
      <c r="C4519" t="s">
        <v>9705</v>
      </c>
      <c r="D4519" t="s">
        <v>9688</v>
      </c>
      <c r="E4519" t="s">
        <v>9689</v>
      </c>
      <c r="F4519" t="str">
        <f>HYPERLINK("https://talan.bank.gov.ua/get-user-certificate/45CElV3MugFYfn81dfJn","Завантажити сертифікат")</f>
        <v>Завантажити сертифікат</v>
      </c>
    </row>
    <row r="4520" spans="1:6" x14ac:dyDescent="0.3">
      <c r="A4520" t="s">
        <v>9706</v>
      </c>
      <c r="B4520" t="s">
        <v>6</v>
      </c>
      <c r="C4520" t="s">
        <v>9707</v>
      </c>
      <c r="D4520" t="s">
        <v>9688</v>
      </c>
      <c r="E4520" t="s">
        <v>9689</v>
      </c>
      <c r="F4520" t="str">
        <f>HYPERLINK("https://talan.bank.gov.ua/get-user-certificate/45CElWNaD1xIp7ifkv_C","Завантажити сертифікат")</f>
        <v>Завантажити сертифікат</v>
      </c>
    </row>
    <row r="4521" spans="1:6" x14ac:dyDescent="0.3">
      <c r="A4521" t="s">
        <v>9708</v>
      </c>
      <c r="B4521" t="s">
        <v>6</v>
      </c>
      <c r="C4521" t="s">
        <v>9709</v>
      </c>
      <c r="D4521" t="s">
        <v>9688</v>
      </c>
      <c r="E4521" t="s">
        <v>9689</v>
      </c>
      <c r="F4521" t="str">
        <f>HYPERLINK("https://talan.bank.gov.ua/get-user-certificate/45CEl_WYQLjocygJp5Nf","Завантажити сертифікат")</f>
        <v>Завантажити сертифікат</v>
      </c>
    </row>
    <row r="4522" spans="1:6" x14ac:dyDescent="0.3">
      <c r="A4522" t="s">
        <v>9710</v>
      </c>
      <c r="B4522" t="s">
        <v>6</v>
      </c>
      <c r="C4522" t="s">
        <v>9711</v>
      </c>
      <c r="D4522" t="s">
        <v>9688</v>
      </c>
      <c r="E4522" t="s">
        <v>9689</v>
      </c>
      <c r="F4522" t="str">
        <f>HYPERLINK("https://talan.bank.gov.ua/get-user-certificate/45CElVwq6d4CYceW1boG","Завантажити сертифікат")</f>
        <v>Завантажити сертифікат</v>
      </c>
    </row>
    <row r="4523" spans="1:6" x14ac:dyDescent="0.3">
      <c r="A4523" t="s">
        <v>9712</v>
      </c>
      <c r="B4523" t="s">
        <v>6</v>
      </c>
      <c r="C4523" t="s">
        <v>9713</v>
      </c>
      <c r="D4523" t="s">
        <v>9688</v>
      </c>
      <c r="E4523" t="s">
        <v>9689</v>
      </c>
      <c r="F4523" t="str">
        <f>HYPERLINK("https://talan.bank.gov.ua/get-user-certificate/45CEl0kmLPXFTGLMpwbG","Завантажити сертифікат")</f>
        <v>Завантажити сертифікат</v>
      </c>
    </row>
    <row r="4524" spans="1:6" x14ac:dyDescent="0.3">
      <c r="A4524" t="s">
        <v>9714</v>
      </c>
      <c r="B4524" t="s">
        <v>6</v>
      </c>
      <c r="C4524" t="s">
        <v>9715</v>
      </c>
      <c r="D4524" t="s">
        <v>9688</v>
      </c>
      <c r="E4524" t="s">
        <v>9689</v>
      </c>
      <c r="F4524" t="str">
        <f>HYPERLINK("https://talan.bank.gov.ua/get-user-certificate/45CEl87wNA8KCGLxJGWQ","Завантажити сертифікат")</f>
        <v>Завантажити сертифікат</v>
      </c>
    </row>
    <row r="4525" spans="1:6" x14ac:dyDescent="0.3">
      <c r="A4525" t="s">
        <v>9716</v>
      </c>
      <c r="B4525" t="s">
        <v>6</v>
      </c>
      <c r="C4525" t="s">
        <v>9717</v>
      </c>
      <c r="D4525" t="s">
        <v>9688</v>
      </c>
      <c r="E4525" t="s">
        <v>9689</v>
      </c>
      <c r="F4525" t="str">
        <f>HYPERLINK("https://talan.bank.gov.ua/get-user-certificate/45CElJaK8C8GkV0IisJI","Завантажити сертифікат")</f>
        <v>Завантажити сертифікат</v>
      </c>
    </row>
    <row r="4526" spans="1:6" x14ac:dyDescent="0.3">
      <c r="A4526" t="s">
        <v>9718</v>
      </c>
      <c r="B4526" t="s">
        <v>6</v>
      </c>
      <c r="C4526" t="s">
        <v>9719</v>
      </c>
      <c r="D4526" t="s">
        <v>9688</v>
      </c>
      <c r="E4526" t="s">
        <v>9689</v>
      </c>
      <c r="F4526" t="str">
        <f>HYPERLINK("https://talan.bank.gov.ua/get-user-certificate/45CElTXYb9JEu-i-QRj1","Завантажити сертифікат")</f>
        <v>Завантажити сертифікат</v>
      </c>
    </row>
    <row r="4527" spans="1:6" x14ac:dyDescent="0.3">
      <c r="A4527" t="s">
        <v>9720</v>
      </c>
      <c r="B4527" t="s">
        <v>6</v>
      </c>
      <c r="C4527" t="s">
        <v>9721</v>
      </c>
      <c r="D4527" t="s">
        <v>9688</v>
      </c>
      <c r="E4527" t="s">
        <v>9689</v>
      </c>
      <c r="F4527" t="str">
        <f>HYPERLINK("https://talan.bank.gov.ua/get-user-certificate/45CElnO5x5zMDegNU1Tm","Завантажити сертифікат")</f>
        <v>Завантажити сертифікат</v>
      </c>
    </row>
    <row r="4528" spans="1:6" x14ac:dyDescent="0.3">
      <c r="A4528" t="s">
        <v>9722</v>
      </c>
      <c r="B4528" t="s">
        <v>6</v>
      </c>
      <c r="C4528" t="s">
        <v>9723</v>
      </c>
      <c r="D4528" t="s">
        <v>9688</v>
      </c>
      <c r="E4528" t="s">
        <v>9689</v>
      </c>
      <c r="F4528" t="str">
        <f>HYPERLINK("https://talan.bank.gov.ua/get-user-certificate/45CElUsebwXKENsCL-zu","Завантажити сертифікат")</f>
        <v>Завантажити сертифікат</v>
      </c>
    </row>
    <row r="4529" spans="1:6" x14ac:dyDescent="0.3">
      <c r="A4529" t="s">
        <v>9724</v>
      </c>
      <c r="B4529" t="s">
        <v>6</v>
      </c>
      <c r="C4529" t="s">
        <v>9725</v>
      </c>
      <c r="D4529" t="s">
        <v>9688</v>
      </c>
      <c r="E4529" t="s">
        <v>9689</v>
      </c>
      <c r="F4529" t="str">
        <f>HYPERLINK("https://talan.bank.gov.ua/get-user-certificate/45CElEvTBNY-jagPaNec","Завантажити сертифікат")</f>
        <v>Завантажити сертифікат</v>
      </c>
    </row>
    <row r="4530" spans="1:6" x14ac:dyDescent="0.3">
      <c r="A4530" t="s">
        <v>9726</v>
      </c>
      <c r="B4530" t="s">
        <v>6</v>
      </c>
      <c r="C4530" t="s">
        <v>9727</v>
      </c>
      <c r="D4530" t="s">
        <v>9688</v>
      </c>
      <c r="E4530" t="s">
        <v>9689</v>
      </c>
      <c r="F4530" t="str">
        <f>HYPERLINK("https://talan.bank.gov.ua/get-user-certificate/45CElqZiiiUEQKn_zZQg","Завантажити сертифікат")</f>
        <v>Завантажити сертифікат</v>
      </c>
    </row>
    <row r="4531" spans="1:6" x14ac:dyDescent="0.3">
      <c r="A4531" t="s">
        <v>9728</v>
      </c>
      <c r="B4531" t="s">
        <v>6</v>
      </c>
      <c r="C4531" t="s">
        <v>9729</v>
      </c>
      <c r="D4531" t="s">
        <v>9688</v>
      </c>
      <c r="E4531" t="s">
        <v>9689</v>
      </c>
      <c r="F4531" t="str">
        <f>HYPERLINK("https://talan.bank.gov.ua/get-user-certificate/45CElqPzmSlZ4KgUrB6e","Завантажити сертифікат")</f>
        <v>Завантажити сертифікат</v>
      </c>
    </row>
    <row r="4532" spans="1:6" x14ac:dyDescent="0.3">
      <c r="A4532" t="s">
        <v>9730</v>
      </c>
      <c r="B4532" t="s">
        <v>6</v>
      </c>
      <c r="C4532" t="s">
        <v>9731</v>
      </c>
      <c r="D4532" t="s">
        <v>9688</v>
      </c>
      <c r="E4532" t="s">
        <v>9689</v>
      </c>
      <c r="F4532" t="str">
        <f>HYPERLINK("https://talan.bank.gov.ua/get-user-certificate/45CElR1xJnAL1PAX-shN","Завантажити сертифікат")</f>
        <v>Завантажити сертифікат</v>
      </c>
    </row>
    <row r="4533" spans="1:6" x14ac:dyDescent="0.3">
      <c r="A4533" t="s">
        <v>9732</v>
      </c>
      <c r="B4533" t="s">
        <v>6</v>
      </c>
      <c r="C4533" t="s">
        <v>9733</v>
      </c>
      <c r="D4533" t="s">
        <v>9688</v>
      </c>
      <c r="E4533" t="s">
        <v>9689</v>
      </c>
      <c r="F4533" t="str">
        <f>HYPERLINK("https://talan.bank.gov.ua/get-user-certificate/45CElbhs5N1zJftBlFA3","Завантажити сертифікат")</f>
        <v>Завантажити сертифікат</v>
      </c>
    </row>
    <row r="4534" spans="1:6" x14ac:dyDescent="0.3">
      <c r="A4534" t="s">
        <v>9734</v>
      </c>
      <c r="B4534" t="s">
        <v>6</v>
      </c>
      <c r="C4534" t="s">
        <v>9735</v>
      </c>
      <c r="D4534" t="s">
        <v>9688</v>
      </c>
      <c r="E4534" t="s">
        <v>9689</v>
      </c>
      <c r="F4534" t="str">
        <f>HYPERLINK("https://talan.bank.gov.ua/get-user-certificate/45CElvJjoDr-xcBrtK6f","Завантажити сертифікат")</f>
        <v>Завантажити сертифікат</v>
      </c>
    </row>
    <row r="4535" spans="1:6" x14ac:dyDescent="0.3">
      <c r="A4535" t="s">
        <v>9736</v>
      </c>
      <c r="B4535" t="s">
        <v>6</v>
      </c>
      <c r="C4535" t="s">
        <v>9737</v>
      </c>
      <c r="D4535" t="s">
        <v>9688</v>
      </c>
      <c r="E4535" t="s">
        <v>9689</v>
      </c>
      <c r="F4535" t="str">
        <f>HYPERLINK("https://talan.bank.gov.ua/get-user-certificate/45CElFxx3IaMhulXnVIi","Завантажити сертифікат")</f>
        <v>Завантажити сертифікат</v>
      </c>
    </row>
    <row r="4536" spans="1:6" x14ac:dyDescent="0.3">
      <c r="A4536" t="s">
        <v>9738</v>
      </c>
      <c r="B4536" t="s">
        <v>6</v>
      </c>
      <c r="C4536" t="s">
        <v>9739</v>
      </c>
      <c r="D4536" t="s">
        <v>9688</v>
      </c>
      <c r="E4536" t="s">
        <v>9689</v>
      </c>
      <c r="F4536" t="str">
        <f>HYPERLINK("https://talan.bank.gov.ua/get-user-certificate/45CElczQi1YehVAEH3gF","Завантажити сертифікат")</f>
        <v>Завантажити сертифікат</v>
      </c>
    </row>
    <row r="4537" spans="1:6" x14ac:dyDescent="0.3">
      <c r="A4537" t="s">
        <v>9740</v>
      </c>
      <c r="B4537" t="s">
        <v>6</v>
      </c>
      <c r="C4537" t="s">
        <v>9741</v>
      </c>
      <c r="D4537" t="s">
        <v>9688</v>
      </c>
      <c r="E4537" t="s">
        <v>9689</v>
      </c>
      <c r="F4537" t="str">
        <f>HYPERLINK("https://talan.bank.gov.ua/get-user-certificate/45CElEjcmaAL0iUfwnFC","Завантажити сертифікат")</f>
        <v>Завантажити сертифікат</v>
      </c>
    </row>
    <row r="4538" spans="1:6" x14ac:dyDescent="0.3">
      <c r="A4538" t="s">
        <v>9742</v>
      </c>
      <c r="B4538" t="s">
        <v>6</v>
      </c>
      <c r="C4538" t="s">
        <v>9743</v>
      </c>
      <c r="D4538" t="s">
        <v>9688</v>
      </c>
      <c r="E4538" t="s">
        <v>9689</v>
      </c>
      <c r="F4538" t="str">
        <f>HYPERLINK("https://talan.bank.gov.ua/get-user-certificate/45CElZMiYiMgZyh8HUXl","Завантажити сертифікат")</f>
        <v>Завантажити сертифікат</v>
      </c>
    </row>
    <row r="4539" spans="1:6" x14ac:dyDescent="0.3">
      <c r="A4539" t="s">
        <v>9744</v>
      </c>
      <c r="B4539" t="s">
        <v>6</v>
      </c>
      <c r="C4539" t="s">
        <v>9745</v>
      </c>
      <c r="D4539" t="s">
        <v>9746</v>
      </c>
      <c r="E4539" t="s">
        <v>9747</v>
      </c>
      <c r="F4539" t="str">
        <f>HYPERLINK("https://talan.bank.gov.ua/get-user-certificate/45CElMLsRstX5Exijzkh","Завантажити сертифікат")</f>
        <v>Завантажити сертифікат</v>
      </c>
    </row>
    <row r="4540" spans="1:6" x14ac:dyDescent="0.3">
      <c r="A4540" t="s">
        <v>9748</v>
      </c>
      <c r="B4540" t="s">
        <v>6</v>
      </c>
      <c r="C4540" t="s">
        <v>9749</v>
      </c>
      <c r="D4540" t="s">
        <v>9746</v>
      </c>
      <c r="E4540" t="s">
        <v>9747</v>
      </c>
      <c r="F4540" t="str">
        <f>HYPERLINK("https://talan.bank.gov.ua/get-user-certificate/45CElzTRsiLHwltd0l_H","Завантажити сертифікат")</f>
        <v>Завантажити сертифікат</v>
      </c>
    </row>
    <row r="4541" spans="1:6" x14ac:dyDescent="0.3">
      <c r="A4541" t="s">
        <v>9750</v>
      </c>
      <c r="B4541" t="s">
        <v>6</v>
      </c>
      <c r="C4541" t="s">
        <v>9751</v>
      </c>
      <c r="D4541" t="s">
        <v>9746</v>
      </c>
      <c r="E4541" t="s">
        <v>9747</v>
      </c>
      <c r="F4541" t="str">
        <f>HYPERLINK("https://talan.bank.gov.ua/get-user-certificate/45CElcgsqOObQ09GWIHw","Завантажити сертифікат")</f>
        <v>Завантажити сертифікат</v>
      </c>
    </row>
    <row r="4542" spans="1:6" x14ac:dyDescent="0.3">
      <c r="A4542" t="s">
        <v>9752</v>
      </c>
      <c r="B4542" t="s">
        <v>6</v>
      </c>
      <c r="C4542" t="s">
        <v>9753</v>
      </c>
      <c r="D4542" t="s">
        <v>9746</v>
      </c>
      <c r="E4542" t="s">
        <v>9747</v>
      </c>
      <c r="F4542" t="str">
        <f>HYPERLINK("https://talan.bank.gov.ua/get-user-certificate/45CElPmTso-ocdmPaypy","Завантажити сертифікат")</f>
        <v>Завантажити сертифікат</v>
      </c>
    </row>
    <row r="4543" spans="1:6" x14ac:dyDescent="0.3">
      <c r="A4543" t="s">
        <v>9754</v>
      </c>
      <c r="B4543" t="s">
        <v>6</v>
      </c>
      <c r="C4543" t="s">
        <v>9755</v>
      </c>
      <c r="D4543" t="s">
        <v>9746</v>
      </c>
      <c r="E4543" t="s">
        <v>9747</v>
      </c>
      <c r="F4543" t="str">
        <f>HYPERLINK("https://talan.bank.gov.ua/get-user-certificate/45CElcKYSZpB3mn-32jI","Завантажити сертифікат")</f>
        <v>Завантажити сертифікат</v>
      </c>
    </row>
    <row r="4544" spans="1:6" x14ac:dyDescent="0.3">
      <c r="A4544" t="s">
        <v>9756</v>
      </c>
      <c r="B4544" t="s">
        <v>6</v>
      </c>
      <c r="C4544" t="s">
        <v>9757</v>
      </c>
      <c r="D4544" t="s">
        <v>9746</v>
      </c>
      <c r="E4544" t="s">
        <v>9747</v>
      </c>
      <c r="F4544" t="str">
        <f>HYPERLINK("https://talan.bank.gov.ua/get-user-certificate/45CElXC9n8y7zxHSyseu","Завантажити сертифікат")</f>
        <v>Завантажити сертифікат</v>
      </c>
    </row>
    <row r="4545" spans="1:6" x14ac:dyDescent="0.3">
      <c r="A4545" t="s">
        <v>9758</v>
      </c>
      <c r="B4545" t="s">
        <v>6</v>
      </c>
      <c r="C4545" t="s">
        <v>9759</v>
      </c>
      <c r="D4545" t="s">
        <v>9746</v>
      </c>
      <c r="E4545" t="s">
        <v>9747</v>
      </c>
      <c r="F4545" t="str">
        <f>HYPERLINK("https://talan.bank.gov.ua/get-user-certificate/45CElEioIjH3qAUKRzEy","Завантажити сертифікат")</f>
        <v>Завантажити сертифікат</v>
      </c>
    </row>
    <row r="4546" spans="1:6" x14ac:dyDescent="0.3">
      <c r="A4546" t="s">
        <v>9760</v>
      </c>
      <c r="B4546" t="s">
        <v>6</v>
      </c>
      <c r="C4546" t="s">
        <v>9761</v>
      </c>
      <c r="D4546" t="s">
        <v>9746</v>
      </c>
      <c r="E4546" t="s">
        <v>9747</v>
      </c>
      <c r="F4546" t="str">
        <f>HYPERLINK("https://talan.bank.gov.ua/get-user-certificate/45CElmj-eWadnqRqennq","Завантажити сертифікат")</f>
        <v>Завантажити сертифікат</v>
      </c>
    </row>
    <row r="4547" spans="1:6" x14ac:dyDescent="0.3">
      <c r="A4547" t="s">
        <v>9762</v>
      </c>
      <c r="B4547" t="s">
        <v>6</v>
      </c>
      <c r="C4547" t="s">
        <v>9763</v>
      </c>
      <c r="D4547" t="s">
        <v>9746</v>
      </c>
      <c r="E4547" t="s">
        <v>9747</v>
      </c>
      <c r="F4547" t="str">
        <f>HYPERLINK("https://talan.bank.gov.ua/get-user-certificate/45CElhIRHuZVuiWJWfaC","Завантажити сертифікат")</f>
        <v>Завантажити сертифікат</v>
      </c>
    </row>
    <row r="4548" spans="1:6" x14ac:dyDescent="0.3">
      <c r="A4548" t="s">
        <v>9764</v>
      </c>
      <c r="B4548" t="s">
        <v>6</v>
      </c>
      <c r="C4548" t="s">
        <v>9765</v>
      </c>
      <c r="D4548" t="s">
        <v>9746</v>
      </c>
      <c r="E4548" t="s">
        <v>9747</v>
      </c>
      <c r="F4548" t="str">
        <f>HYPERLINK("https://talan.bank.gov.ua/get-user-certificate/45CElMrM6kR9iJveJLjV","Завантажити сертифікат")</f>
        <v>Завантажити сертифікат</v>
      </c>
    </row>
    <row r="4549" spans="1:6" x14ac:dyDescent="0.3">
      <c r="A4549" t="s">
        <v>9766</v>
      </c>
      <c r="B4549" t="s">
        <v>6</v>
      </c>
      <c r="C4549" t="s">
        <v>9767</v>
      </c>
      <c r="D4549" t="s">
        <v>9746</v>
      </c>
      <c r="E4549" t="s">
        <v>9747</v>
      </c>
      <c r="F4549" t="str">
        <f>HYPERLINK("https://talan.bank.gov.ua/get-user-certificate/45CElYOuaHsHo4zOC0ai","Завантажити сертифікат")</f>
        <v>Завантажити сертифікат</v>
      </c>
    </row>
    <row r="4550" spans="1:6" x14ac:dyDescent="0.3">
      <c r="A4550" t="s">
        <v>9768</v>
      </c>
      <c r="B4550" t="s">
        <v>6</v>
      </c>
      <c r="C4550" t="s">
        <v>9769</v>
      </c>
      <c r="D4550" t="s">
        <v>9746</v>
      </c>
      <c r="E4550" t="s">
        <v>9747</v>
      </c>
      <c r="F4550" t="str">
        <f>HYPERLINK("https://talan.bank.gov.ua/get-user-certificate/45CElXH1QdEQmyMZKoAc","Завантажити сертифікат")</f>
        <v>Завантажити сертифікат</v>
      </c>
    </row>
    <row r="4551" spans="1:6" x14ac:dyDescent="0.3">
      <c r="A4551" t="s">
        <v>9770</v>
      </c>
      <c r="B4551" t="s">
        <v>6</v>
      </c>
      <c r="C4551" t="s">
        <v>9771</v>
      </c>
      <c r="D4551" t="s">
        <v>9746</v>
      </c>
      <c r="E4551" t="s">
        <v>9747</v>
      </c>
      <c r="F4551" t="str">
        <f>HYPERLINK("https://talan.bank.gov.ua/get-user-certificate/45CElAsuVjS6eaOsfR9-","Завантажити сертифікат")</f>
        <v>Завантажити сертифікат</v>
      </c>
    </row>
    <row r="4552" spans="1:6" x14ac:dyDescent="0.3">
      <c r="A4552" t="s">
        <v>9772</v>
      </c>
      <c r="B4552" t="s">
        <v>6</v>
      </c>
      <c r="C4552" t="s">
        <v>9773</v>
      </c>
      <c r="D4552" t="s">
        <v>9774</v>
      </c>
      <c r="E4552" t="s">
        <v>9775</v>
      </c>
      <c r="F4552" t="str">
        <f>HYPERLINK("https://talan.bank.gov.ua/get-user-certificate/45CEl0j7KSSqaZjHESY3","Завантажити сертифікат")</f>
        <v>Завантажити сертифікат</v>
      </c>
    </row>
    <row r="4553" spans="1:6" x14ac:dyDescent="0.3">
      <c r="A4553" t="s">
        <v>9776</v>
      </c>
      <c r="B4553" t="s">
        <v>6</v>
      </c>
      <c r="C4553" t="s">
        <v>9777</v>
      </c>
      <c r="D4553" t="s">
        <v>9774</v>
      </c>
      <c r="E4553" t="s">
        <v>9775</v>
      </c>
      <c r="F4553" t="str">
        <f>HYPERLINK("https://talan.bank.gov.ua/get-user-certificate/45CElcxw4d0W_om_Ncdi","Завантажити сертифікат")</f>
        <v>Завантажити сертифікат</v>
      </c>
    </row>
    <row r="4554" spans="1:6" x14ac:dyDescent="0.3">
      <c r="A4554" t="s">
        <v>9778</v>
      </c>
      <c r="B4554" t="s">
        <v>6</v>
      </c>
      <c r="C4554" t="s">
        <v>9779</v>
      </c>
      <c r="D4554" t="s">
        <v>9774</v>
      </c>
      <c r="E4554" t="s">
        <v>9775</v>
      </c>
      <c r="F4554" t="str">
        <f>HYPERLINK("https://talan.bank.gov.ua/get-user-certificate/45CElM_7kqFV7a779JrO","Завантажити сертифікат")</f>
        <v>Завантажити сертифікат</v>
      </c>
    </row>
    <row r="4555" spans="1:6" x14ac:dyDescent="0.3">
      <c r="A4555" t="s">
        <v>9780</v>
      </c>
      <c r="B4555" t="s">
        <v>6</v>
      </c>
      <c r="C4555" t="s">
        <v>9781</v>
      </c>
      <c r="D4555" t="s">
        <v>9774</v>
      </c>
      <c r="E4555" t="s">
        <v>9775</v>
      </c>
      <c r="F4555" t="str">
        <f>HYPERLINK("https://talan.bank.gov.ua/get-user-certificate/45CElyPb3ScfAPRWmY5d","Завантажити сертифікат")</f>
        <v>Завантажити сертифікат</v>
      </c>
    </row>
    <row r="4556" spans="1:6" x14ac:dyDescent="0.3">
      <c r="A4556" t="s">
        <v>9782</v>
      </c>
      <c r="B4556" t="s">
        <v>6</v>
      </c>
      <c r="C4556" t="s">
        <v>9783</v>
      </c>
      <c r="D4556" t="s">
        <v>9774</v>
      </c>
      <c r="E4556" t="s">
        <v>9775</v>
      </c>
      <c r="F4556" t="str">
        <f>HYPERLINK("https://talan.bank.gov.ua/get-user-certificate/45CElomo6YVXV-1RtxEa","Завантажити сертифікат")</f>
        <v>Завантажити сертифікат</v>
      </c>
    </row>
    <row r="4557" spans="1:6" x14ac:dyDescent="0.3">
      <c r="A4557" t="s">
        <v>9784</v>
      </c>
      <c r="B4557" t="s">
        <v>6</v>
      </c>
      <c r="C4557" t="s">
        <v>9785</v>
      </c>
      <c r="D4557" t="s">
        <v>9774</v>
      </c>
      <c r="E4557" t="s">
        <v>9775</v>
      </c>
      <c r="F4557" t="str">
        <f>HYPERLINK("https://talan.bank.gov.ua/get-user-certificate/45CEle9IzaV3cpyVJi9B","Завантажити сертифікат")</f>
        <v>Завантажити сертифікат</v>
      </c>
    </row>
    <row r="4558" spans="1:6" x14ac:dyDescent="0.3">
      <c r="A4558" t="s">
        <v>9786</v>
      </c>
      <c r="B4558" t="s">
        <v>6</v>
      </c>
      <c r="C4558" t="s">
        <v>9787</v>
      </c>
      <c r="D4558" t="s">
        <v>9774</v>
      </c>
      <c r="E4558" t="s">
        <v>9775</v>
      </c>
      <c r="F4558" t="str">
        <f>HYPERLINK("https://talan.bank.gov.ua/get-user-certificate/45CElvV3o608Fr87gWfB","Завантажити сертифікат")</f>
        <v>Завантажити сертифікат</v>
      </c>
    </row>
    <row r="4559" spans="1:6" x14ac:dyDescent="0.3">
      <c r="A4559" t="s">
        <v>9788</v>
      </c>
      <c r="B4559" t="s">
        <v>6</v>
      </c>
      <c r="C4559" t="s">
        <v>9789</v>
      </c>
      <c r="D4559" t="s">
        <v>9774</v>
      </c>
      <c r="E4559" t="s">
        <v>9775</v>
      </c>
      <c r="F4559" t="str">
        <f>HYPERLINK("https://talan.bank.gov.ua/get-user-certificate/45CElJJc-6143FGPiZel","Завантажити сертифікат")</f>
        <v>Завантажити сертифікат</v>
      </c>
    </row>
    <row r="4560" spans="1:6" x14ac:dyDescent="0.3">
      <c r="A4560" t="s">
        <v>9790</v>
      </c>
      <c r="B4560" t="s">
        <v>6</v>
      </c>
      <c r="C4560" t="s">
        <v>9791</v>
      </c>
      <c r="D4560" t="s">
        <v>9774</v>
      </c>
      <c r="E4560" t="s">
        <v>9775</v>
      </c>
      <c r="F4560" t="str">
        <f>HYPERLINK("https://talan.bank.gov.ua/get-user-certificate/45CEl0G45DKgmru3JKCm","Завантажити сертифікат")</f>
        <v>Завантажити сертифікат</v>
      </c>
    </row>
    <row r="4561" spans="1:6" x14ac:dyDescent="0.3">
      <c r="A4561" t="s">
        <v>9792</v>
      </c>
      <c r="B4561" t="s">
        <v>6</v>
      </c>
      <c r="C4561" t="s">
        <v>9793</v>
      </c>
      <c r="D4561" t="s">
        <v>9774</v>
      </c>
      <c r="E4561" t="s">
        <v>9775</v>
      </c>
      <c r="F4561" t="str">
        <f>HYPERLINK("https://talan.bank.gov.ua/get-user-certificate/45CElz0NTyW6A5suoP-2","Завантажити сертифікат")</f>
        <v>Завантажити сертифікат</v>
      </c>
    </row>
    <row r="4562" spans="1:6" x14ac:dyDescent="0.3">
      <c r="A4562" t="s">
        <v>9794</v>
      </c>
      <c r="B4562" t="s">
        <v>6</v>
      </c>
      <c r="C4562" t="s">
        <v>9795</v>
      </c>
      <c r="D4562" t="s">
        <v>9774</v>
      </c>
      <c r="E4562" t="s">
        <v>9775</v>
      </c>
      <c r="F4562" t="str">
        <f>HYPERLINK("https://talan.bank.gov.ua/get-user-certificate/45CElvcOgdjhtIsDvK95","Завантажити сертифікат")</f>
        <v>Завантажити сертифікат</v>
      </c>
    </row>
    <row r="4563" spans="1:6" x14ac:dyDescent="0.3">
      <c r="A4563" t="s">
        <v>9796</v>
      </c>
      <c r="B4563" t="s">
        <v>6</v>
      </c>
      <c r="C4563" t="s">
        <v>9797</v>
      </c>
      <c r="D4563" t="s">
        <v>9774</v>
      </c>
      <c r="E4563" t="s">
        <v>9775</v>
      </c>
      <c r="F4563" t="str">
        <f>HYPERLINK("https://talan.bank.gov.ua/get-user-certificate/45CEl3k2PyDL2KDwNhme","Завантажити сертифікат")</f>
        <v>Завантажити сертифікат</v>
      </c>
    </row>
    <row r="4564" spans="1:6" x14ac:dyDescent="0.3">
      <c r="A4564" t="s">
        <v>9798</v>
      </c>
      <c r="B4564" t="s">
        <v>6</v>
      </c>
      <c r="C4564" t="s">
        <v>9799</v>
      </c>
      <c r="D4564" t="s">
        <v>9774</v>
      </c>
      <c r="E4564" t="s">
        <v>9775</v>
      </c>
      <c r="F4564" t="str">
        <f>HYPERLINK("https://talan.bank.gov.ua/get-user-certificate/45CEltfCW04oLolSJJZl","Завантажити сертифікат")</f>
        <v>Завантажити сертифікат</v>
      </c>
    </row>
    <row r="4565" spans="1:6" x14ac:dyDescent="0.3">
      <c r="A4565" t="s">
        <v>9800</v>
      </c>
      <c r="B4565" t="s">
        <v>6</v>
      </c>
      <c r="C4565" t="s">
        <v>9801</v>
      </c>
      <c r="D4565" t="s">
        <v>9774</v>
      </c>
      <c r="E4565" t="s">
        <v>9775</v>
      </c>
      <c r="F4565" t="str">
        <f>HYPERLINK("https://talan.bank.gov.ua/get-user-certificate/45CElrFcfUigzctTtid6","Завантажити сертифікат")</f>
        <v>Завантажити сертифікат</v>
      </c>
    </row>
    <row r="4566" spans="1:6" x14ac:dyDescent="0.3">
      <c r="A4566" t="s">
        <v>9802</v>
      </c>
      <c r="B4566" t="s">
        <v>6</v>
      </c>
      <c r="C4566" t="s">
        <v>9803</v>
      </c>
      <c r="D4566" t="s">
        <v>9774</v>
      </c>
      <c r="E4566" t="s">
        <v>9775</v>
      </c>
      <c r="F4566" t="str">
        <f>HYPERLINK("https://talan.bank.gov.ua/get-user-certificate/45CElMz-wOMLJsBAFgSW","Завантажити сертифікат")</f>
        <v>Завантажити сертифікат</v>
      </c>
    </row>
    <row r="4567" spans="1:6" x14ac:dyDescent="0.3">
      <c r="A4567" t="s">
        <v>9804</v>
      </c>
      <c r="B4567" t="s">
        <v>6</v>
      </c>
      <c r="C4567" t="s">
        <v>9805</v>
      </c>
      <c r="D4567" t="s">
        <v>9774</v>
      </c>
      <c r="E4567" t="s">
        <v>9775</v>
      </c>
      <c r="F4567" t="str">
        <f>HYPERLINK("https://talan.bank.gov.ua/get-user-certificate/45CEllfSuYHd5l2JCasS","Завантажити сертифікат")</f>
        <v>Завантажити сертифікат</v>
      </c>
    </row>
    <row r="4568" spans="1:6" x14ac:dyDescent="0.3">
      <c r="A4568" t="s">
        <v>9806</v>
      </c>
      <c r="B4568" t="s">
        <v>6</v>
      </c>
      <c r="C4568" t="s">
        <v>9807</v>
      </c>
      <c r="D4568" t="s">
        <v>9774</v>
      </c>
      <c r="E4568" t="s">
        <v>9775</v>
      </c>
      <c r="F4568" t="str">
        <f>HYPERLINK("https://talan.bank.gov.ua/get-user-certificate/45CElQY1cx4bsoKt7UxA","Завантажити сертифікат")</f>
        <v>Завантажити сертифікат</v>
      </c>
    </row>
    <row r="4569" spans="1:6" x14ac:dyDescent="0.3">
      <c r="A4569" t="s">
        <v>9808</v>
      </c>
      <c r="B4569" t="s">
        <v>6</v>
      </c>
      <c r="C4569" t="s">
        <v>9809</v>
      </c>
      <c r="D4569" t="s">
        <v>9774</v>
      </c>
      <c r="E4569" t="s">
        <v>9775</v>
      </c>
      <c r="F4569" t="str">
        <f>HYPERLINK("https://talan.bank.gov.ua/get-user-certificate/45CElNEHWuqNS_V3_dv5","Завантажити сертифікат")</f>
        <v>Завантажити сертифікат</v>
      </c>
    </row>
    <row r="4570" spans="1:6" x14ac:dyDescent="0.3">
      <c r="A4570" t="s">
        <v>9810</v>
      </c>
      <c r="B4570" t="s">
        <v>6</v>
      </c>
      <c r="C4570" t="s">
        <v>9811</v>
      </c>
      <c r="D4570" t="s">
        <v>9812</v>
      </c>
      <c r="E4570" t="s">
        <v>9813</v>
      </c>
      <c r="F4570" t="str">
        <f>HYPERLINK("https://talan.bank.gov.ua/get-user-certificate/45CElcsby_6QEqWVhUPj","Завантажити сертифікат")</f>
        <v>Завантажити сертифікат</v>
      </c>
    </row>
    <row r="4571" spans="1:6" x14ac:dyDescent="0.3">
      <c r="A4571" t="s">
        <v>9814</v>
      </c>
      <c r="B4571" t="s">
        <v>6</v>
      </c>
      <c r="C4571" t="s">
        <v>9815</v>
      </c>
      <c r="D4571" t="s">
        <v>9812</v>
      </c>
      <c r="E4571" t="s">
        <v>9813</v>
      </c>
      <c r="F4571" t="str">
        <f>HYPERLINK("https://talan.bank.gov.ua/get-user-certificate/45CElU1yGLToGiBc9S09","Завантажити сертифікат")</f>
        <v>Завантажити сертифікат</v>
      </c>
    </row>
    <row r="4572" spans="1:6" x14ac:dyDescent="0.3">
      <c r="A4572" t="s">
        <v>9816</v>
      </c>
      <c r="B4572" t="s">
        <v>6</v>
      </c>
      <c r="C4572" t="s">
        <v>9817</v>
      </c>
      <c r="D4572" t="s">
        <v>9812</v>
      </c>
      <c r="E4572" t="s">
        <v>9813</v>
      </c>
      <c r="F4572" t="str">
        <f>HYPERLINK("https://talan.bank.gov.ua/get-user-certificate/45CElAPIBnCmlr3tVZDc","Завантажити сертифікат")</f>
        <v>Завантажити сертифікат</v>
      </c>
    </row>
    <row r="4573" spans="1:6" x14ac:dyDescent="0.3">
      <c r="A4573" t="s">
        <v>9818</v>
      </c>
      <c r="B4573" t="s">
        <v>6</v>
      </c>
      <c r="C4573" t="s">
        <v>9819</v>
      </c>
      <c r="D4573" t="s">
        <v>9812</v>
      </c>
      <c r="E4573" t="s">
        <v>9813</v>
      </c>
      <c r="F4573" t="str">
        <f>HYPERLINK("https://talan.bank.gov.ua/get-user-certificate/45CElaIgVB_3a25LekQV","Завантажити сертифікат")</f>
        <v>Завантажити сертифікат</v>
      </c>
    </row>
    <row r="4574" spans="1:6" x14ac:dyDescent="0.3">
      <c r="A4574" t="s">
        <v>9820</v>
      </c>
      <c r="B4574" t="s">
        <v>6</v>
      </c>
      <c r="C4574" t="s">
        <v>9821</v>
      </c>
      <c r="D4574" t="s">
        <v>9812</v>
      </c>
      <c r="E4574" t="s">
        <v>9813</v>
      </c>
      <c r="F4574" t="str">
        <f>HYPERLINK("https://talan.bank.gov.ua/get-user-certificate/45CElmZy6doJoD2DaA36","Завантажити сертифікат")</f>
        <v>Завантажити сертифікат</v>
      </c>
    </row>
    <row r="4575" spans="1:6" x14ac:dyDescent="0.3">
      <c r="A4575" t="s">
        <v>9822</v>
      </c>
      <c r="B4575" t="s">
        <v>6</v>
      </c>
      <c r="C4575" t="s">
        <v>9823</v>
      </c>
      <c r="D4575" t="s">
        <v>9812</v>
      </c>
      <c r="E4575" t="s">
        <v>9813</v>
      </c>
      <c r="F4575" t="str">
        <f>HYPERLINK("https://talan.bank.gov.ua/get-user-certificate/45CEljlYBmlkppNdstL1","Завантажити сертифікат")</f>
        <v>Завантажити сертифікат</v>
      </c>
    </row>
    <row r="4576" spans="1:6" x14ac:dyDescent="0.3">
      <c r="A4576" t="s">
        <v>9824</v>
      </c>
      <c r="B4576" t="s">
        <v>6</v>
      </c>
      <c r="C4576" t="s">
        <v>9825</v>
      </c>
      <c r="D4576" t="s">
        <v>9812</v>
      </c>
      <c r="E4576" t="s">
        <v>9813</v>
      </c>
      <c r="F4576" t="str">
        <f>HYPERLINK("https://talan.bank.gov.ua/get-user-certificate/45CElI2x5Lglr1rI0r3_","Завантажити сертифікат")</f>
        <v>Завантажити сертифікат</v>
      </c>
    </row>
    <row r="4577" spans="1:6" x14ac:dyDescent="0.3">
      <c r="A4577" t="s">
        <v>9826</v>
      </c>
      <c r="B4577" t="s">
        <v>6</v>
      </c>
      <c r="C4577" t="s">
        <v>9827</v>
      </c>
      <c r="D4577" t="s">
        <v>9812</v>
      </c>
      <c r="E4577" t="s">
        <v>9813</v>
      </c>
      <c r="F4577" t="str">
        <f>HYPERLINK("https://talan.bank.gov.ua/get-user-certificate/45CElQFnWAro2YTSOY_I","Завантажити сертифікат")</f>
        <v>Завантажити сертифікат</v>
      </c>
    </row>
    <row r="4578" spans="1:6" x14ac:dyDescent="0.3">
      <c r="A4578" t="s">
        <v>9828</v>
      </c>
      <c r="B4578" t="s">
        <v>6</v>
      </c>
      <c r="C4578" t="s">
        <v>9829</v>
      </c>
      <c r="D4578" t="s">
        <v>9812</v>
      </c>
      <c r="E4578" t="s">
        <v>9813</v>
      </c>
      <c r="F4578" t="str">
        <f>HYPERLINK("https://talan.bank.gov.ua/get-user-certificate/45CElckCLY2HxbGsFpma","Завантажити сертифікат")</f>
        <v>Завантажити сертифікат</v>
      </c>
    </row>
    <row r="4579" spans="1:6" x14ac:dyDescent="0.3">
      <c r="A4579" t="s">
        <v>9830</v>
      </c>
      <c r="B4579" t="s">
        <v>6</v>
      </c>
      <c r="C4579" t="s">
        <v>9831</v>
      </c>
      <c r="D4579" t="s">
        <v>9812</v>
      </c>
      <c r="E4579" t="s">
        <v>9813</v>
      </c>
      <c r="F4579" t="str">
        <f>HYPERLINK("https://talan.bank.gov.ua/get-user-certificate/45CElP7-lzgmWe98L07J","Завантажити сертифікат")</f>
        <v>Завантажити сертифікат</v>
      </c>
    </row>
    <row r="4580" spans="1:6" x14ac:dyDescent="0.3">
      <c r="A4580" t="s">
        <v>9832</v>
      </c>
      <c r="B4580" t="s">
        <v>6</v>
      </c>
      <c r="C4580" t="s">
        <v>9833</v>
      </c>
      <c r="D4580" t="s">
        <v>9812</v>
      </c>
      <c r="E4580" t="s">
        <v>9813</v>
      </c>
      <c r="F4580" t="str">
        <f>HYPERLINK("https://talan.bank.gov.ua/get-user-certificate/45CElnZcxPRMq_jnvff-","Завантажити сертифікат")</f>
        <v>Завантажити сертифікат</v>
      </c>
    </row>
    <row r="4581" spans="1:6" x14ac:dyDescent="0.3">
      <c r="A4581" t="s">
        <v>9834</v>
      </c>
      <c r="B4581" t="s">
        <v>6</v>
      </c>
      <c r="C4581" t="s">
        <v>9835</v>
      </c>
      <c r="D4581" t="s">
        <v>9812</v>
      </c>
      <c r="E4581" t="s">
        <v>9813</v>
      </c>
      <c r="F4581" t="str">
        <f>HYPERLINK("https://talan.bank.gov.ua/get-user-certificate/45CEl9aF6zWrXb2QwT6N","Завантажити сертифікат")</f>
        <v>Завантажити сертифікат</v>
      </c>
    </row>
    <row r="4582" spans="1:6" x14ac:dyDescent="0.3">
      <c r="A4582" t="s">
        <v>9836</v>
      </c>
      <c r="B4582" t="s">
        <v>6</v>
      </c>
      <c r="C4582" t="s">
        <v>9837</v>
      </c>
      <c r="D4582" t="s">
        <v>9812</v>
      </c>
      <c r="E4582" t="s">
        <v>9813</v>
      </c>
      <c r="F4582" t="str">
        <f>HYPERLINK("https://talan.bank.gov.ua/get-user-certificate/45CElIQcBDDcXKV5fQPI","Завантажити сертифікат")</f>
        <v>Завантажити сертифікат</v>
      </c>
    </row>
    <row r="4583" spans="1:6" x14ac:dyDescent="0.3">
      <c r="A4583" t="s">
        <v>9838</v>
      </c>
      <c r="B4583" t="s">
        <v>6</v>
      </c>
      <c r="C4583" t="s">
        <v>9839</v>
      </c>
      <c r="D4583" t="s">
        <v>9812</v>
      </c>
      <c r="E4583" t="s">
        <v>9813</v>
      </c>
      <c r="F4583" t="str">
        <f>HYPERLINK("https://talan.bank.gov.ua/get-user-certificate/45CElTdVehbqK4f_Z3Wc","Завантажити сертифікат")</f>
        <v>Завантажити сертифікат</v>
      </c>
    </row>
    <row r="4584" spans="1:6" x14ac:dyDescent="0.3">
      <c r="A4584" t="s">
        <v>9840</v>
      </c>
      <c r="B4584" t="s">
        <v>6</v>
      </c>
      <c r="C4584" t="s">
        <v>9841</v>
      </c>
      <c r="D4584" t="s">
        <v>9812</v>
      </c>
      <c r="E4584" t="s">
        <v>9813</v>
      </c>
      <c r="F4584" t="str">
        <f>HYPERLINK("https://talan.bank.gov.ua/get-user-certificate/45CElsNwKk0d2-Kdv99K","Завантажити сертифікат")</f>
        <v>Завантажити сертифікат</v>
      </c>
    </row>
    <row r="4585" spans="1:6" x14ac:dyDescent="0.3">
      <c r="A4585" t="s">
        <v>9842</v>
      </c>
      <c r="B4585" t="s">
        <v>6</v>
      </c>
      <c r="C4585" t="s">
        <v>9843</v>
      </c>
      <c r="D4585" t="s">
        <v>9812</v>
      </c>
      <c r="E4585" t="s">
        <v>9813</v>
      </c>
      <c r="F4585" t="str">
        <f>HYPERLINK("https://talan.bank.gov.ua/get-user-certificate/45CEloU7M85qMts4368y","Завантажити сертифікат")</f>
        <v>Завантажити сертифікат</v>
      </c>
    </row>
    <row r="4586" spans="1:6" x14ac:dyDescent="0.3">
      <c r="A4586" t="s">
        <v>9844</v>
      </c>
      <c r="B4586" t="s">
        <v>6</v>
      </c>
      <c r="C4586" t="s">
        <v>9845</v>
      </c>
      <c r="D4586" t="s">
        <v>9812</v>
      </c>
      <c r="E4586" t="s">
        <v>9813</v>
      </c>
      <c r="F4586" t="str">
        <f>HYPERLINK("https://talan.bank.gov.ua/get-user-certificate/45CElVOMJz8BLWiLEyAJ","Завантажити сертифікат")</f>
        <v>Завантажити сертифікат</v>
      </c>
    </row>
    <row r="4587" spans="1:6" x14ac:dyDescent="0.3">
      <c r="A4587" t="s">
        <v>9846</v>
      </c>
      <c r="B4587" t="s">
        <v>6</v>
      </c>
      <c r="C4587" t="s">
        <v>9847</v>
      </c>
      <c r="D4587" t="s">
        <v>9812</v>
      </c>
      <c r="E4587" t="s">
        <v>9813</v>
      </c>
      <c r="F4587" t="str">
        <f>HYPERLINK("https://talan.bank.gov.ua/get-user-certificate/45CElX34Jx9fpoRGtiif","Завантажити сертифікат")</f>
        <v>Завантажити сертифікат</v>
      </c>
    </row>
    <row r="4588" spans="1:6" x14ac:dyDescent="0.3">
      <c r="A4588" t="s">
        <v>9848</v>
      </c>
      <c r="B4588" t="s">
        <v>6</v>
      </c>
      <c r="C4588" t="s">
        <v>9849</v>
      </c>
      <c r="D4588" t="s">
        <v>9812</v>
      </c>
      <c r="E4588" t="s">
        <v>9813</v>
      </c>
      <c r="F4588" t="str">
        <f>HYPERLINK("https://talan.bank.gov.ua/get-user-certificate/45CElDlaZIjVw8k7kR5S","Завантажити сертифікат")</f>
        <v>Завантажити сертифікат</v>
      </c>
    </row>
    <row r="4589" spans="1:6" x14ac:dyDescent="0.3">
      <c r="A4589" t="s">
        <v>9850</v>
      </c>
      <c r="B4589" t="s">
        <v>6</v>
      </c>
      <c r="C4589" t="s">
        <v>9851</v>
      </c>
      <c r="D4589" t="s">
        <v>9812</v>
      </c>
      <c r="E4589" t="s">
        <v>9813</v>
      </c>
      <c r="F4589" t="str">
        <f>HYPERLINK("https://talan.bank.gov.ua/get-user-certificate/45CElPZi9BYA9_KjG9Kh","Завантажити сертифікат")</f>
        <v>Завантажити сертифікат</v>
      </c>
    </row>
    <row r="4590" spans="1:6" x14ac:dyDescent="0.3">
      <c r="A4590" t="s">
        <v>9852</v>
      </c>
      <c r="B4590" t="s">
        <v>6</v>
      </c>
      <c r="C4590" t="s">
        <v>9853</v>
      </c>
      <c r="D4590" t="s">
        <v>9812</v>
      </c>
      <c r="E4590" t="s">
        <v>9813</v>
      </c>
      <c r="F4590" t="str">
        <f>HYPERLINK("https://talan.bank.gov.ua/get-user-certificate/45CEl7HbHmKOfcgbEPWC","Завантажити сертифікат")</f>
        <v>Завантажити сертифікат</v>
      </c>
    </row>
    <row r="4591" spans="1:6" x14ac:dyDescent="0.3">
      <c r="A4591" t="s">
        <v>9854</v>
      </c>
      <c r="B4591" t="s">
        <v>6</v>
      </c>
      <c r="C4591" t="s">
        <v>9855</v>
      </c>
      <c r="D4591" t="s">
        <v>9812</v>
      </c>
      <c r="E4591" t="s">
        <v>9813</v>
      </c>
      <c r="F4591" t="str">
        <f>HYPERLINK("https://talan.bank.gov.ua/get-user-certificate/45CElAN_MvYHDb3o2z2F","Завантажити сертифікат")</f>
        <v>Завантажити сертифікат</v>
      </c>
    </row>
    <row r="4592" spans="1:6" x14ac:dyDescent="0.3">
      <c r="A4592" t="s">
        <v>9856</v>
      </c>
      <c r="B4592" t="s">
        <v>6</v>
      </c>
      <c r="C4592" t="s">
        <v>9857</v>
      </c>
      <c r="D4592" t="s">
        <v>9812</v>
      </c>
      <c r="E4592" t="s">
        <v>9813</v>
      </c>
      <c r="F4592" t="str">
        <f>HYPERLINK("https://talan.bank.gov.ua/get-user-certificate/45CElDncGg2vj0r8QW_J","Завантажити сертифікат")</f>
        <v>Завантажити сертифікат</v>
      </c>
    </row>
    <row r="4593" spans="1:6" x14ac:dyDescent="0.3">
      <c r="A4593" t="s">
        <v>9858</v>
      </c>
      <c r="B4593" t="s">
        <v>6</v>
      </c>
      <c r="C4593" t="s">
        <v>9859</v>
      </c>
      <c r="D4593" t="s">
        <v>9812</v>
      </c>
      <c r="E4593" t="s">
        <v>9813</v>
      </c>
      <c r="F4593" t="str">
        <f>HYPERLINK("https://talan.bank.gov.ua/get-user-certificate/45CEl6jbagREHy5dNtxp","Завантажити сертифікат")</f>
        <v>Завантажити сертифікат</v>
      </c>
    </row>
    <row r="4594" spans="1:6" x14ac:dyDescent="0.3">
      <c r="A4594" t="s">
        <v>9860</v>
      </c>
      <c r="B4594" t="s">
        <v>6</v>
      </c>
      <c r="C4594" t="s">
        <v>9861</v>
      </c>
      <c r="D4594" t="s">
        <v>9812</v>
      </c>
      <c r="E4594" t="s">
        <v>9813</v>
      </c>
      <c r="F4594" t="str">
        <f>HYPERLINK("https://talan.bank.gov.ua/get-user-certificate/45CElZKE9LlN1bR-oKE3","Завантажити сертифікат")</f>
        <v>Завантажити сертифікат</v>
      </c>
    </row>
    <row r="4595" spans="1:6" x14ac:dyDescent="0.3">
      <c r="A4595" t="s">
        <v>9862</v>
      </c>
      <c r="B4595" t="s">
        <v>6</v>
      </c>
      <c r="C4595" t="s">
        <v>9863</v>
      </c>
      <c r="D4595" t="s">
        <v>9812</v>
      </c>
      <c r="E4595" t="s">
        <v>9813</v>
      </c>
      <c r="F4595" t="str">
        <f>HYPERLINK("https://talan.bank.gov.ua/get-user-certificate/45CElIOEPMSyhA3ixIJs","Завантажити сертифікат")</f>
        <v>Завантажити сертифікат</v>
      </c>
    </row>
    <row r="4596" spans="1:6" x14ac:dyDescent="0.3">
      <c r="A4596" t="s">
        <v>9864</v>
      </c>
      <c r="B4596" t="s">
        <v>6</v>
      </c>
      <c r="C4596" t="s">
        <v>9865</v>
      </c>
      <c r="D4596" t="s">
        <v>9866</v>
      </c>
      <c r="E4596" t="s">
        <v>9867</v>
      </c>
      <c r="F4596" t="str">
        <f>HYPERLINK("https://talan.bank.gov.ua/get-user-certificate/45CEl58Gw_RGsXk6CVD2","Завантажити сертифікат")</f>
        <v>Завантажити сертифікат</v>
      </c>
    </row>
    <row r="4597" spans="1:6" x14ac:dyDescent="0.3">
      <c r="A4597" t="s">
        <v>9868</v>
      </c>
      <c r="B4597" t="s">
        <v>6</v>
      </c>
      <c r="C4597" t="s">
        <v>9869</v>
      </c>
      <c r="D4597" t="s">
        <v>9866</v>
      </c>
      <c r="E4597" t="s">
        <v>9867</v>
      </c>
      <c r="F4597" t="str">
        <f>HYPERLINK("https://talan.bank.gov.ua/get-user-certificate/45CElbwdXg55FA6YCevs","Завантажити сертифікат")</f>
        <v>Завантажити сертифікат</v>
      </c>
    </row>
    <row r="4598" spans="1:6" x14ac:dyDescent="0.3">
      <c r="A4598" t="s">
        <v>9870</v>
      </c>
      <c r="B4598" t="s">
        <v>6</v>
      </c>
      <c r="C4598" t="s">
        <v>9871</v>
      </c>
      <c r="D4598" t="s">
        <v>9866</v>
      </c>
      <c r="E4598" t="s">
        <v>9867</v>
      </c>
      <c r="F4598" t="str">
        <f>HYPERLINK("https://talan.bank.gov.ua/get-user-certificate/45CElOM7QUbhr5iDYHA2","Завантажити сертифікат")</f>
        <v>Завантажити сертифікат</v>
      </c>
    </row>
    <row r="4599" spans="1:6" x14ac:dyDescent="0.3">
      <c r="A4599" t="s">
        <v>9872</v>
      </c>
      <c r="B4599" t="s">
        <v>6</v>
      </c>
      <c r="C4599" t="s">
        <v>9873</v>
      </c>
      <c r="D4599" t="s">
        <v>9866</v>
      </c>
      <c r="E4599" t="s">
        <v>9867</v>
      </c>
      <c r="F4599" t="str">
        <f>HYPERLINK("https://talan.bank.gov.ua/get-user-certificate/45CEl88-QhGSzE1RtFvw","Завантажити сертифікат")</f>
        <v>Завантажити сертифікат</v>
      </c>
    </row>
    <row r="4600" spans="1:6" x14ac:dyDescent="0.3">
      <c r="A4600" t="s">
        <v>9874</v>
      </c>
      <c r="B4600" t="s">
        <v>6</v>
      </c>
      <c r="C4600" t="s">
        <v>9875</v>
      </c>
      <c r="D4600" t="s">
        <v>9866</v>
      </c>
      <c r="E4600" t="s">
        <v>9867</v>
      </c>
      <c r="F4600" t="str">
        <f>HYPERLINK("https://talan.bank.gov.ua/get-user-certificate/45CElzLtJBZLz9BgcvHi","Завантажити сертифікат")</f>
        <v>Завантажити сертифікат</v>
      </c>
    </row>
    <row r="4601" spans="1:6" x14ac:dyDescent="0.3">
      <c r="A4601" t="s">
        <v>9876</v>
      </c>
      <c r="B4601" t="s">
        <v>6</v>
      </c>
      <c r="C4601" t="s">
        <v>9877</v>
      </c>
      <c r="D4601" t="s">
        <v>9866</v>
      </c>
      <c r="E4601" t="s">
        <v>9867</v>
      </c>
      <c r="F4601" t="str">
        <f>HYPERLINK("https://talan.bank.gov.ua/get-user-certificate/45CEl0b5PHhemEkynMwz","Завантажити сертифікат")</f>
        <v>Завантажити сертифікат</v>
      </c>
    </row>
    <row r="4602" spans="1:6" x14ac:dyDescent="0.3">
      <c r="A4602" t="s">
        <v>9878</v>
      </c>
      <c r="B4602" t="s">
        <v>6</v>
      </c>
      <c r="C4602" t="s">
        <v>9879</v>
      </c>
      <c r="D4602" t="s">
        <v>9866</v>
      </c>
      <c r="E4602" t="s">
        <v>9867</v>
      </c>
      <c r="F4602" t="str">
        <f>HYPERLINK("https://talan.bank.gov.ua/get-user-certificate/45CElOb8v4tkwRFKAY9n","Завантажити сертифікат")</f>
        <v>Завантажити сертифікат</v>
      </c>
    </row>
    <row r="4603" spans="1:6" x14ac:dyDescent="0.3">
      <c r="A4603" t="s">
        <v>9880</v>
      </c>
      <c r="B4603" t="s">
        <v>6</v>
      </c>
      <c r="C4603" t="s">
        <v>9881</v>
      </c>
      <c r="D4603" t="s">
        <v>9866</v>
      </c>
      <c r="E4603" t="s">
        <v>9867</v>
      </c>
      <c r="F4603" t="str">
        <f>HYPERLINK("https://talan.bank.gov.ua/get-user-certificate/45CElif2zL08HERMkRvN","Завантажити сертифікат")</f>
        <v>Завантажити сертифікат</v>
      </c>
    </row>
    <row r="4604" spans="1:6" x14ac:dyDescent="0.3">
      <c r="A4604" t="s">
        <v>9882</v>
      </c>
      <c r="B4604" t="s">
        <v>6</v>
      </c>
      <c r="C4604" t="s">
        <v>9883</v>
      </c>
      <c r="D4604" t="s">
        <v>9866</v>
      </c>
      <c r="E4604" t="s">
        <v>9867</v>
      </c>
      <c r="F4604" t="str">
        <f>HYPERLINK("https://talan.bank.gov.ua/get-user-certificate/45CEl00JySRWnsACi5h1","Завантажити сертифікат")</f>
        <v>Завантажити сертифікат</v>
      </c>
    </row>
    <row r="4605" spans="1:6" x14ac:dyDescent="0.3">
      <c r="A4605" t="s">
        <v>9884</v>
      </c>
      <c r="B4605" t="s">
        <v>6</v>
      </c>
      <c r="C4605" t="s">
        <v>9885</v>
      </c>
      <c r="D4605" t="s">
        <v>9866</v>
      </c>
      <c r="E4605" t="s">
        <v>9867</v>
      </c>
      <c r="F4605" t="str">
        <f>HYPERLINK("https://talan.bank.gov.ua/get-user-certificate/45CElnuslqQ5UtHFhY3q","Завантажити сертифікат")</f>
        <v>Завантажити сертифікат</v>
      </c>
    </row>
    <row r="4606" spans="1:6" x14ac:dyDescent="0.3">
      <c r="A4606" t="s">
        <v>9886</v>
      </c>
      <c r="B4606" t="s">
        <v>6</v>
      </c>
      <c r="C4606" t="s">
        <v>9887</v>
      </c>
      <c r="D4606" t="s">
        <v>9866</v>
      </c>
      <c r="E4606" t="s">
        <v>9867</v>
      </c>
      <c r="F4606" t="str">
        <f>HYPERLINK("https://talan.bank.gov.ua/get-user-certificate/45CElLmihDzZoU2-1wBj","Завантажити сертифікат")</f>
        <v>Завантажити сертифікат</v>
      </c>
    </row>
    <row r="4607" spans="1:6" x14ac:dyDescent="0.3">
      <c r="A4607" t="s">
        <v>9888</v>
      </c>
      <c r="B4607" t="s">
        <v>6</v>
      </c>
      <c r="C4607" t="s">
        <v>9889</v>
      </c>
      <c r="D4607" t="s">
        <v>9866</v>
      </c>
      <c r="E4607" t="s">
        <v>9867</v>
      </c>
      <c r="F4607" t="str">
        <f>HYPERLINK("https://talan.bank.gov.ua/get-user-certificate/45CElH6Bh8spNZ8CwkFz","Завантажити сертифікат")</f>
        <v>Завантажити сертифікат</v>
      </c>
    </row>
    <row r="4608" spans="1:6" x14ac:dyDescent="0.3">
      <c r="A4608" t="s">
        <v>9890</v>
      </c>
      <c r="B4608" t="s">
        <v>6</v>
      </c>
      <c r="C4608" t="s">
        <v>9891</v>
      </c>
      <c r="D4608" t="s">
        <v>9866</v>
      </c>
      <c r="E4608" t="s">
        <v>9867</v>
      </c>
      <c r="F4608" t="str">
        <f>HYPERLINK("https://talan.bank.gov.ua/get-user-certificate/45CElrUlPla9r0D2GRPL","Завантажити сертифікат")</f>
        <v>Завантажити сертифікат</v>
      </c>
    </row>
    <row r="4609" spans="1:6" x14ac:dyDescent="0.3">
      <c r="A4609" t="s">
        <v>9892</v>
      </c>
      <c r="B4609" t="s">
        <v>6</v>
      </c>
      <c r="C4609" t="s">
        <v>9893</v>
      </c>
      <c r="D4609" t="s">
        <v>9866</v>
      </c>
      <c r="E4609" t="s">
        <v>9867</v>
      </c>
      <c r="F4609" t="str">
        <f>HYPERLINK("https://talan.bank.gov.ua/get-user-certificate/45CElUc6ODqnU8d2f5Ls","Завантажити сертифікат")</f>
        <v>Завантажити сертифікат</v>
      </c>
    </row>
    <row r="4610" spans="1:6" x14ac:dyDescent="0.3">
      <c r="A4610" t="s">
        <v>9894</v>
      </c>
      <c r="B4610" t="s">
        <v>6</v>
      </c>
      <c r="C4610" t="s">
        <v>9895</v>
      </c>
      <c r="D4610" t="s">
        <v>9866</v>
      </c>
      <c r="E4610" t="s">
        <v>9867</v>
      </c>
      <c r="F4610" t="str">
        <f>HYPERLINK("https://talan.bank.gov.ua/get-user-certificate/45CElM-8PvLF5hZGVASZ","Завантажити сертифікат")</f>
        <v>Завантажити сертифікат</v>
      </c>
    </row>
    <row r="4611" spans="1:6" x14ac:dyDescent="0.3">
      <c r="A4611" t="s">
        <v>9896</v>
      </c>
      <c r="B4611" t="s">
        <v>6</v>
      </c>
      <c r="C4611" t="s">
        <v>9897</v>
      </c>
      <c r="D4611" t="s">
        <v>9866</v>
      </c>
      <c r="E4611" t="s">
        <v>9867</v>
      </c>
      <c r="F4611" t="str">
        <f>HYPERLINK("https://talan.bank.gov.ua/get-user-certificate/45CElPZA731vwczCayfV","Завантажити сертифікат")</f>
        <v>Завантажити сертифікат</v>
      </c>
    </row>
    <row r="4612" spans="1:6" x14ac:dyDescent="0.3">
      <c r="A4612" t="s">
        <v>9898</v>
      </c>
      <c r="B4612" t="s">
        <v>6</v>
      </c>
      <c r="C4612" t="s">
        <v>9899</v>
      </c>
      <c r="D4612" t="s">
        <v>9866</v>
      </c>
      <c r="E4612" t="s">
        <v>9867</v>
      </c>
      <c r="F4612" t="str">
        <f>HYPERLINK("https://talan.bank.gov.ua/get-user-certificate/45CEl3tUcKz7ce80A1wx","Завантажити сертифікат")</f>
        <v>Завантажити сертифікат</v>
      </c>
    </row>
    <row r="4613" spans="1:6" x14ac:dyDescent="0.3">
      <c r="A4613" t="s">
        <v>9900</v>
      </c>
      <c r="B4613" t="s">
        <v>6</v>
      </c>
      <c r="C4613" t="s">
        <v>9901</v>
      </c>
      <c r="D4613" t="s">
        <v>9866</v>
      </c>
      <c r="E4613" t="s">
        <v>9867</v>
      </c>
      <c r="F4613" t="str">
        <f>HYPERLINK("https://talan.bank.gov.ua/get-user-certificate/45CElf5W5-9-LpxCra1j","Завантажити сертифікат")</f>
        <v>Завантажити сертифікат</v>
      </c>
    </row>
    <row r="4614" spans="1:6" x14ac:dyDescent="0.3">
      <c r="A4614" t="s">
        <v>9902</v>
      </c>
      <c r="B4614" t="s">
        <v>6</v>
      </c>
      <c r="C4614" t="s">
        <v>9903</v>
      </c>
      <c r="D4614" t="s">
        <v>9866</v>
      </c>
      <c r="E4614" t="s">
        <v>9867</v>
      </c>
      <c r="F4614" t="str">
        <f>HYPERLINK("https://talan.bank.gov.ua/get-user-certificate/45CElk9B60W9m_gaqq_c","Завантажити сертифікат")</f>
        <v>Завантажити сертифікат</v>
      </c>
    </row>
    <row r="4615" spans="1:6" x14ac:dyDescent="0.3">
      <c r="A4615" t="s">
        <v>9904</v>
      </c>
      <c r="B4615" t="s">
        <v>6</v>
      </c>
      <c r="C4615" t="s">
        <v>9905</v>
      </c>
      <c r="D4615" t="s">
        <v>9866</v>
      </c>
      <c r="E4615" t="s">
        <v>9867</v>
      </c>
      <c r="F4615" t="str">
        <f>HYPERLINK("https://talan.bank.gov.ua/get-user-certificate/45CEl86zneAWfxsFPUbV","Завантажити сертифікат")</f>
        <v>Завантажити сертифікат</v>
      </c>
    </row>
    <row r="4616" spans="1:6" x14ac:dyDescent="0.3">
      <c r="A4616" t="s">
        <v>9906</v>
      </c>
      <c r="B4616" t="s">
        <v>6</v>
      </c>
      <c r="C4616" t="s">
        <v>9907</v>
      </c>
      <c r="D4616" t="s">
        <v>9866</v>
      </c>
      <c r="E4616" t="s">
        <v>9867</v>
      </c>
      <c r="F4616" t="str">
        <f>HYPERLINK("https://talan.bank.gov.ua/get-user-certificate/45CElDbqc1DHYuAGGo8B","Завантажити сертифікат")</f>
        <v>Завантажити сертифікат</v>
      </c>
    </row>
    <row r="4617" spans="1:6" x14ac:dyDescent="0.3">
      <c r="A4617" t="s">
        <v>9908</v>
      </c>
      <c r="B4617" t="s">
        <v>6</v>
      </c>
      <c r="C4617" t="s">
        <v>9909</v>
      </c>
      <c r="D4617" t="s">
        <v>9866</v>
      </c>
      <c r="E4617" t="s">
        <v>9867</v>
      </c>
      <c r="F4617" t="str">
        <f>HYPERLINK("https://talan.bank.gov.ua/get-user-certificate/45CElyCMBLMgDBSUCc5G","Завантажити сертифікат")</f>
        <v>Завантажити сертифікат</v>
      </c>
    </row>
    <row r="4618" spans="1:6" x14ac:dyDescent="0.3">
      <c r="A4618" t="s">
        <v>9910</v>
      </c>
      <c r="B4618" t="s">
        <v>6</v>
      </c>
      <c r="C4618" t="s">
        <v>9911</v>
      </c>
      <c r="D4618" t="s">
        <v>9866</v>
      </c>
      <c r="E4618" t="s">
        <v>9867</v>
      </c>
      <c r="F4618" t="str">
        <f>HYPERLINK("https://talan.bank.gov.ua/get-user-certificate/45CEl7CHEW5CJ622Exn6","Завантажити сертифікат")</f>
        <v>Завантажити сертифікат</v>
      </c>
    </row>
    <row r="4619" spans="1:6" x14ac:dyDescent="0.3">
      <c r="A4619" t="s">
        <v>9912</v>
      </c>
      <c r="B4619" t="s">
        <v>6</v>
      </c>
      <c r="C4619" t="s">
        <v>9913</v>
      </c>
      <c r="D4619" t="s">
        <v>9866</v>
      </c>
      <c r="E4619" t="s">
        <v>9867</v>
      </c>
      <c r="F4619" t="str">
        <f>HYPERLINK("https://talan.bank.gov.ua/get-user-certificate/45CElMN41AJLOsM_lG8z","Завантажити сертифікат")</f>
        <v>Завантажити сертифікат</v>
      </c>
    </row>
    <row r="4620" spans="1:6" x14ac:dyDescent="0.3">
      <c r="A4620" t="s">
        <v>9914</v>
      </c>
      <c r="B4620" t="s">
        <v>6</v>
      </c>
      <c r="C4620" t="s">
        <v>9915</v>
      </c>
      <c r="D4620" t="s">
        <v>9916</v>
      </c>
      <c r="E4620" t="s">
        <v>9917</v>
      </c>
      <c r="F4620" t="str">
        <f>HYPERLINK("https://talan.bank.gov.ua/get-user-certificate/45CEljQUvy8pYaaJytGE","Завантажити сертифікат")</f>
        <v>Завантажити сертифікат</v>
      </c>
    </row>
    <row r="4621" spans="1:6" x14ac:dyDescent="0.3">
      <c r="A4621" t="s">
        <v>9918</v>
      </c>
      <c r="B4621" t="s">
        <v>6</v>
      </c>
      <c r="C4621" t="s">
        <v>9919</v>
      </c>
      <c r="D4621" t="s">
        <v>9916</v>
      </c>
      <c r="E4621" t="s">
        <v>9917</v>
      </c>
      <c r="F4621" t="str">
        <f>HYPERLINK("https://talan.bank.gov.ua/get-user-certificate/45CEl986mNt3ZvwrR5tZ","Завантажити сертифікат")</f>
        <v>Завантажити сертифікат</v>
      </c>
    </row>
    <row r="4622" spans="1:6" x14ac:dyDescent="0.3">
      <c r="A4622" t="s">
        <v>9920</v>
      </c>
      <c r="B4622" t="s">
        <v>6</v>
      </c>
      <c r="C4622" t="s">
        <v>9921</v>
      </c>
      <c r="D4622" t="s">
        <v>9916</v>
      </c>
      <c r="E4622" t="s">
        <v>9917</v>
      </c>
      <c r="F4622" t="str">
        <f>HYPERLINK("https://talan.bank.gov.ua/get-user-certificate/45CElig0V-0tLE5B--_H","Завантажити сертифікат")</f>
        <v>Завантажити сертифікат</v>
      </c>
    </row>
    <row r="4623" spans="1:6" x14ac:dyDescent="0.3">
      <c r="A4623" t="s">
        <v>9922</v>
      </c>
      <c r="B4623" t="s">
        <v>6</v>
      </c>
      <c r="C4623" t="s">
        <v>9923</v>
      </c>
      <c r="D4623" t="s">
        <v>9916</v>
      </c>
      <c r="E4623" t="s">
        <v>9917</v>
      </c>
      <c r="F4623" t="str">
        <f>HYPERLINK("https://talan.bank.gov.ua/get-user-certificate/45CElJaVdPdFYpRvJVbx","Завантажити сертифікат")</f>
        <v>Завантажити сертифікат</v>
      </c>
    </row>
    <row r="4624" spans="1:6" x14ac:dyDescent="0.3">
      <c r="A4624" t="s">
        <v>9924</v>
      </c>
      <c r="B4624" t="s">
        <v>6</v>
      </c>
      <c r="C4624" t="s">
        <v>9925</v>
      </c>
      <c r="D4624" t="s">
        <v>9916</v>
      </c>
      <c r="E4624" t="s">
        <v>9917</v>
      </c>
      <c r="F4624" t="str">
        <f>HYPERLINK("https://talan.bank.gov.ua/get-user-certificate/45CElH0kaHB98GoqbamC","Завантажити сертифікат")</f>
        <v>Завантажити сертифікат</v>
      </c>
    </row>
    <row r="4625" spans="1:6" x14ac:dyDescent="0.3">
      <c r="A4625" t="s">
        <v>9926</v>
      </c>
      <c r="B4625" t="s">
        <v>6</v>
      </c>
      <c r="C4625" t="s">
        <v>9927</v>
      </c>
      <c r="D4625" t="s">
        <v>9916</v>
      </c>
      <c r="E4625" t="s">
        <v>9917</v>
      </c>
      <c r="F4625" t="str">
        <f>HYPERLINK("https://talan.bank.gov.ua/get-user-certificate/45CElBqRlrEce-2SUfxw","Завантажити сертифікат")</f>
        <v>Завантажити сертифікат</v>
      </c>
    </row>
    <row r="4626" spans="1:6" x14ac:dyDescent="0.3">
      <c r="A4626" t="s">
        <v>9928</v>
      </c>
      <c r="B4626" t="s">
        <v>6</v>
      </c>
      <c r="C4626" t="s">
        <v>9929</v>
      </c>
      <c r="D4626" t="s">
        <v>9916</v>
      </c>
      <c r="E4626" t="s">
        <v>9917</v>
      </c>
      <c r="F4626" t="str">
        <f>HYPERLINK("https://talan.bank.gov.ua/get-user-certificate/45CElibbLEhqHB8gbv35","Завантажити сертифікат")</f>
        <v>Завантажити сертифікат</v>
      </c>
    </row>
    <row r="4627" spans="1:6" x14ac:dyDescent="0.3">
      <c r="A4627" t="s">
        <v>9930</v>
      </c>
      <c r="B4627" t="s">
        <v>6</v>
      </c>
      <c r="C4627" t="s">
        <v>9931</v>
      </c>
      <c r="D4627" t="s">
        <v>9916</v>
      </c>
      <c r="E4627" t="s">
        <v>9917</v>
      </c>
      <c r="F4627" t="str">
        <f>HYPERLINK("https://talan.bank.gov.ua/get-user-certificate/45CElktyokdbd48VwlGl","Завантажити сертифікат")</f>
        <v>Завантажити сертифікат</v>
      </c>
    </row>
    <row r="4628" spans="1:6" x14ac:dyDescent="0.3">
      <c r="A4628" t="s">
        <v>9932</v>
      </c>
      <c r="B4628" t="s">
        <v>6</v>
      </c>
      <c r="C4628" t="s">
        <v>9933</v>
      </c>
      <c r="D4628" t="s">
        <v>9916</v>
      </c>
      <c r="E4628" t="s">
        <v>9917</v>
      </c>
      <c r="F4628" t="str">
        <f>HYPERLINK("https://talan.bank.gov.ua/get-user-certificate/45CElkOaVDKRGZloEWI_","Завантажити сертифікат")</f>
        <v>Завантажити сертифікат</v>
      </c>
    </row>
    <row r="4629" spans="1:6" x14ac:dyDescent="0.3">
      <c r="A4629" t="s">
        <v>9934</v>
      </c>
      <c r="B4629" t="s">
        <v>6</v>
      </c>
      <c r="C4629" t="s">
        <v>9935</v>
      </c>
      <c r="D4629" t="s">
        <v>9916</v>
      </c>
      <c r="E4629" t="s">
        <v>9917</v>
      </c>
      <c r="F4629" t="str">
        <f>HYPERLINK("https://talan.bank.gov.ua/get-user-certificate/45CEll54ZOP7IVqEk0Z3","Завантажити сертифікат")</f>
        <v>Завантажити сертифікат</v>
      </c>
    </row>
    <row r="4630" spans="1:6" x14ac:dyDescent="0.3">
      <c r="A4630" t="s">
        <v>9936</v>
      </c>
      <c r="B4630" t="s">
        <v>6</v>
      </c>
      <c r="C4630" t="s">
        <v>9937</v>
      </c>
      <c r="D4630" t="s">
        <v>9916</v>
      </c>
      <c r="E4630" t="s">
        <v>9917</v>
      </c>
      <c r="F4630" t="str">
        <f>HYPERLINK("https://talan.bank.gov.ua/get-user-certificate/45CElTWQxsNr1idF6xCE","Завантажити сертифікат")</f>
        <v>Завантажити сертифікат</v>
      </c>
    </row>
    <row r="4631" spans="1:6" x14ac:dyDescent="0.3">
      <c r="A4631" t="s">
        <v>9938</v>
      </c>
      <c r="B4631" t="s">
        <v>6</v>
      </c>
      <c r="C4631" t="s">
        <v>9939</v>
      </c>
      <c r="D4631" t="s">
        <v>9916</v>
      </c>
      <c r="E4631" t="s">
        <v>9917</v>
      </c>
      <c r="F4631" t="str">
        <f>HYPERLINK("https://talan.bank.gov.ua/get-user-certificate/45CElE6mkFsdOXxMzCe_","Завантажити сертифікат")</f>
        <v>Завантажити сертифікат</v>
      </c>
    </row>
    <row r="4632" spans="1:6" x14ac:dyDescent="0.3">
      <c r="A4632" t="s">
        <v>9940</v>
      </c>
      <c r="B4632" t="s">
        <v>6</v>
      </c>
      <c r="C4632" t="s">
        <v>9941</v>
      </c>
      <c r="D4632" t="s">
        <v>9916</v>
      </c>
      <c r="E4632" t="s">
        <v>9917</v>
      </c>
      <c r="F4632" t="str">
        <f>HYPERLINK("https://talan.bank.gov.ua/get-user-certificate/45CElOTxHRwFn_eJz1NL","Завантажити сертифікат")</f>
        <v>Завантажити сертифікат</v>
      </c>
    </row>
    <row r="4633" spans="1:6" x14ac:dyDescent="0.3">
      <c r="A4633" t="s">
        <v>9942</v>
      </c>
      <c r="B4633" t="s">
        <v>6</v>
      </c>
      <c r="C4633" t="s">
        <v>9943</v>
      </c>
      <c r="D4633" t="s">
        <v>9944</v>
      </c>
      <c r="E4633" t="s">
        <v>9945</v>
      </c>
      <c r="F4633" t="str">
        <f>HYPERLINK("https://talan.bank.gov.ua/get-user-certificate/45CElQBL6TOih0inVQsZ","Завантажити сертифікат")</f>
        <v>Завантажити сертифікат</v>
      </c>
    </row>
    <row r="4634" spans="1:6" x14ac:dyDescent="0.3">
      <c r="A4634" t="s">
        <v>9946</v>
      </c>
      <c r="B4634" t="s">
        <v>6</v>
      </c>
      <c r="C4634" t="s">
        <v>9947</v>
      </c>
      <c r="D4634" t="s">
        <v>9944</v>
      </c>
      <c r="E4634" t="s">
        <v>9945</v>
      </c>
      <c r="F4634" t="str">
        <f>HYPERLINK("https://talan.bank.gov.ua/get-user-certificate/45CElvO56uxKmo8AchUQ","Завантажити сертифікат")</f>
        <v>Завантажити сертифікат</v>
      </c>
    </row>
    <row r="4635" spans="1:6" x14ac:dyDescent="0.3">
      <c r="A4635" t="s">
        <v>9948</v>
      </c>
      <c r="B4635" t="s">
        <v>6</v>
      </c>
      <c r="C4635" t="s">
        <v>9949</v>
      </c>
      <c r="D4635" t="s">
        <v>9944</v>
      </c>
      <c r="E4635" t="s">
        <v>9945</v>
      </c>
      <c r="F4635" t="str">
        <f>HYPERLINK("https://talan.bank.gov.ua/get-user-certificate/45CElTSi8tLL67P3zmnI","Завантажити сертифікат")</f>
        <v>Завантажити сертифікат</v>
      </c>
    </row>
    <row r="4636" spans="1:6" x14ac:dyDescent="0.3">
      <c r="A4636" t="s">
        <v>9950</v>
      </c>
      <c r="B4636" t="s">
        <v>6</v>
      </c>
      <c r="C4636" t="s">
        <v>9951</v>
      </c>
      <c r="D4636" t="s">
        <v>9944</v>
      </c>
      <c r="E4636" t="s">
        <v>9945</v>
      </c>
      <c r="F4636" t="str">
        <f>HYPERLINK("https://talan.bank.gov.ua/get-user-certificate/45CEluOGycFLEn2lDJq-","Завантажити сертифікат")</f>
        <v>Завантажити сертифікат</v>
      </c>
    </row>
    <row r="4637" spans="1:6" x14ac:dyDescent="0.3">
      <c r="A4637" t="s">
        <v>9952</v>
      </c>
      <c r="B4637" t="s">
        <v>6</v>
      </c>
      <c r="C4637" t="s">
        <v>9953</v>
      </c>
      <c r="D4637" t="s">
        <v>9954</v>
      </c>
      <c r="E4637" t="s">
        <v>9955</v>
      </c>
      <c r="F4637" t="str">
        <f>HYPERLINK("https://talan.bank.gov.ua/get-user-certificate/45CElyxXhDnD80yOi04p","Завантажити сертифікат")</f>
        <v>Завантажити сертифікат</v>
      </c>
    </row>
    <row r="4638" spans="1:6" x14ac:dyDescent="0.3">
      <c r="A4638" t="s">
        <v>9956</v>
      </c>
      <c r="B4638" t="s">
        <v>6</v>
      </c>
      <c r="C4638" t="s">
        <v>9957</v>
      </c>
      <c r="D4638" t="s">
        <v>9954</v>
      </c>
      <c r="E4638" t="s">
        <v>9955</v>
      </c>
      <c r="F4638" t="str">
        <f>HYPERLINK("https://talan.bank.gov.ua/get-user-certificate/45CElTzrNs-JPcmfSnzw","Завантажити сертифікат")</f>
        <v>Завантажити сертифікат</v>
      </c>
    </row>
    <row r="4639" spans="1:6" x14ac:dyDescent="0.3">
      <c r="A4639" t="s">
        <v>9958</v>
      </c>
      <c r="B4639" t="s">
        <v>6</v>
      </c>
      <c r="C4639" t="s">
        <v>9959</v>
      </c>
      <c r="D4639" t="s">
        <v>9954</v>
      </c>
      <c r="E4639" t="s">
        <v>9955</v>
      </c>
      <c r="F4639" t="str">
        <f>HYPERLINK("https://talan.bank.gov.ua/get-user-certificate/45CEl0Yg7UfG0XAaPiXr","Завантажити сертифікат")</f>
        <v>Завантажити сертифікат</v>
      </c>
    </row>
    <row r="4640" spans="1:6" x14ac:dyDescent="0.3">
      <c r="A4640" t="s">
        <v>9960</v>
      </c>
      <c r="B4640" t="s">
        <v>6</v>
      </c>
      <c r="C4640" t="s">
        <v>9961</v>
      </c>
      <c r="D4640" t="s">
        <v>9954</v>
      </c>
      <c r="E4640" t="s">
        <v>9955</v>
      </c>
      <c r="F4640" t="str">
        <f>HYPERLINK("https://talan.bank.gov.ua/get-user-certificate/45CEl48mkdkVCeM-Rcw1","Завантажити сертифікат")</f>
        <v>Завантажити сертифікат</v>
      </c>
    </row>
    <row r="4641" spans="1:6" x14ac:dyDescent="0.3">
      <c r="A4641" t="s">
        <v>9962</v>
      </c>
      <c r="B4641" t="s">
        <v>6</v>
      </c>
      <c r="C4641" t="s">
        <v>9963</v>
      </c>
      <c r="D4641" t="s">
        <v>9954</v>
      </c>
      <c r="E4641" t="s">
        <v>9955</v>
      </c>
      <c r="F4641" t="str">
        <f>HYPERLINK("https://talan.bank.gov.ua/get-user-certificate/45CElIEjeUrYPKWbA3w6","Завантажити сертифікат")</f>
        <v>Завантажити сертифікат</v>
      </c>
    </row>
    <row r="4642" spans="1:6" x14ac:dyDescent="0.3">
      <c r="A4642" t="s">
        <v>9964</v>
      </c>
      <c r="B4642" t="s">
        <v>6</v>
      </c>
      <c r="C4642" t="s">
        <v>9965</v>
      </c>
      <c r="D4642" t="s">
        <v>9954</v>
      </c>
      <c r="E4642" t="s">
        <v>9955</v>
      </c>
      <c r="F4642" t="str">
        <f>HYPERLINK("https://talan.bank.gov.ua/get-user-certificate/45CEl9ICBGieCxcrk9Vo","Завантажити сертифікат")</f>
        <v>Завантажити сертифікат</v>
      </c>
    </row>
    <row r="4643" spans="1:6" x14ac:dyDescent="0.3">
      <c r="A4643" t="s">
        <v>9966</v>
      </c>
      <c r="B4643" t="s">
        <v>6</v>
      </c>
      <c r="C4643" t="s">
        <v>9967</v>
      </c>
      <c r="D4643" t="s">
        <v>9954</v>
      </c>
      <c r="E4643" t="s">
        <v>9955</v>
      </c>
      <c r="F4643" t="str">
        <f>HYPERLINK("https://talan.bank.gov.ua/get-user-certificate/45CElFCK4jBwQct8F24t","Завантажити сертифікат")</f>
        <v>Завантажити сертифікат</v>
      </c>
    </row>
    <row r="4644" spans="1:6" x14ac:dyDescent="0.3">
      <c r="A4644" t="s">
        <v>9968</v>
      </c>
      <c r="B4644" t="s">
        <v>6</v>
      </c>
      <c r="C4644" t="s">
        <v>9969</v>
      </c>
      <c r="D4644" t="s">
        <v>9954</v>
      </c>
      <c r="E4644" t="s">
        <v>9955</v>
      </c>
      <c r="F4644" t="str">
        <f>HYPERLINK("https://talan.bank.gov.ua/get-user-certificate/45CElf736NfxrtHvlHoU","Завантажити сертифікат")</f>
        <v>Завантажити сертифікат</v>
      </c>
    </row>
    <row r="4645" spans="1:6" x14ac:dyDescent="0.3">
      <c r="A4645" t="s">
        <v>9970</v>
      </c>
      <c r="B4645" t="s">
        <v>6</v>
      </c>
      <c r="C4645" t="s">
        <v>9971</v>
      </c>
      <c r="D4645" t="s">
        <v>9954</v>
      </c>
      <c r="E4645" t="s">
        <v>9955</v>
      </c>
      <c r="F4645" t="str">
        <f>HYPERLINK("https://talan.bank.gov.ua/get-user-certificate/45CEltl-u-5RyzPL1P9Q","Завантажити сертифікат")</f>
        <v>Завантажити сертифікат</v>
      </c>
    </row>
    <row r="4646" spans="1:6" x14ac:dyDescent="0.3">
      <c r="A4646" t="s">
        <v>9972</v>
      </c>
      <c r="B4646" t="s">
        <v>6</v>
      </c>
      <c r="C4646" t="s">
        <v>9973</v>
      </c>
      <c r="D4646" t="s">
        <v>9954</v>
      </c>
      <c r="E4646" t="s">
        <v>9955</v>
      </c>
      <c r="F4646" t="str">
        <f>HYPERLINK("https://talan.bank.gov.ua/get-user-certificate/45CElv2GP9mYIH6dpij5","Завантажити сертифікат")</f>
        <v>Завантажити сертифікат</v>
      </c>
    </row>
    <row r="4647" spans="1:6" x14ac:dyDescent="0.3">
      <c r="A4647" t="s">
        <v>9974</v>
      </c>
      <c r="B4647" t="s">
        <v>6</v>
      </c>
      <c r="C4647" t="s">
        <v>9975</v>
      </c>
      <c r="D4647" t="s">
        <v>9976</v>
      </c>
      <c r="E4647" t="s">
        <v>9977</v>
      </c>
      <c r="F4647" t="str">
        <f>HYPERLINK("https://talan.bank.gov.ua/get-user-certificate/45CElD5yOEOJEiG2fEmq","Завантажити сертифікат")</f>
        <v>Завантажити сертифікат</v>
      </c>
    </row>
    <row r="4648" spans="1:6" x14ac:dyDescent="0.3">
      <c r="A4648" t="s">
        <v>9978</v>
      </c>
      <c r="B4648" t="s">
        <v>6</v>
      </c>
      <c r="C4648" t="s">
        <v>9979</v>
      </c>
      <c r="D4648" t="s">
        <v>9976</v>
      </c>
      <c r="E4648" t="s">
        <v>9977</v>
      </c>
      <c r="F4648" t="str">
        <f>HYPERLINK("https://talan.bank.gov.ua/get-user-certificate/45CElwGp8I92dSCw5HYS","Завантажити сертифікат")</f>
        <v>Завантажити сертифікат</v>
      </c>
    </row>
    <row r="4649" spans="1:6" x14ac:dyDescent="0.3">
      <c r="A4649" t="s">
        <v>9980</v>
      </c>
      <c r="B4649" t="s">
        <v>6</v>
      </c>
      <c r="C4649" t="s">
        <v>9981</v>
      </c>
      <c r="D4649" t="s">
        <v>9976</v>
      </c>
      <c r="E4649" t="s">
        <v>9977</v>
      </c>
      <c r="F4649" t="str">
        <f>HYPERLINK("https://talan.bank.gov.ua/get-user-certificate/45CElajtJicajj7yRRxW","Завантажити сертифікат")</f>
        <v>Завантажити сертифікат</v>
      </c>
    </row>
    <row r="4650" spans="1:6" x14ac:dyDescent="0.3">
      <c r="A4650" t="s">
        <v>9982</v>
      </c>
      <c r="B4650" t="s">
        <v>6</v>
      </c>
      <c r="C4650" t="s">
        <v>9983</v>
      </c>
      <c r="D4650" t="s">
        <v>9976</v>
      </c>
      <c r="E4650" t="s">
        <v>9977</v>
      </c>
      <c r="F4650" t="str">
        <f>HYPERLINK("https://talan.bank.gov.ua/get-user-certificate/45CEl7KrQnrPhE6t5blN","Завантажити сертифікат")</f>
        <v>Завантажити сертифікат</v>
      </c>
    </row>
    <row r="4651" spans="1:6" x14ac:dyDescent="0.3">
      <c r="A4651" t="s">
        <v>9984</v>
      </c>
      <c r="B4651" t="s">
        <v>6</v>
      </c>
      <c r="C4651" t="s">
        <v>9985</v>
      </c>
      <c r="D4651" t="s">
        <v>9976</v>
      </c>
      <c r="E4651" t="s">
        <v>9977</v>
      </c>
      <c r="F4651" t="str">
        <f>HYPERLINK("https://talan.bank.gov.ua/get-user-certificate/45CEll7DQOXWsmSE8eeC","Завантажити сертифікат")</f>
        <v>Завантажити сертифікат</v>
      </c>
    </row>
    <row r="4652" spans="1:6" x14ac:dyDescent="0.3">
      <c r="A4652" t="s">
        <v>9986</v>
      </c>
      <c r="B4652" t="s">
        <v>6</v>
      </c>
      <c r="C4652" t="s">
        <v>9987</v>
      </c>
      <c r="D4652" t="s">
        <v>9976</v>
      </c>
      <c r="E4652" t="s">
        <v>9977</v>
      </c>
      <c r="F4652" t="str">
        <f>HYPERLINK("https://talan.bank.gov.ua/get-user-certificate/45CEl-wYe3OM_SugOuQE","Завантажити сертифікат")</f>
        <v>Завантажити сертифікат</v>
      </c>
    </row>
    <row r="4653" spans="1:6" x14ac:dyDescent="0.3">
      <c r="A4653" t="s">
        <v>9988</v>
      </c>
      <c r="B4653" t="s">
        <v>6</v>
      </c>
      <c r="C4653" t="s">
        <v>9989</v>
      </c>
      <c r="D4653" t="s">
        <v>9976</v>
      </c>
      <c r="E4653" t="s">
        <v>9977</v>
      </c>
      <c r="F4653" t="str">
        <f>HYPERLINK("https://talan.bank.gov.ua/get-user-certificate/45CElLNZeCuiRyX1FS19","Завантажити сертифікат")</f>
        <v>Завантажити сертифікат</v>
      </c>
    </row>
    <row r="4654" spans="1:6" x14ac:dyDescent="0.3">
      <c r="A4654" t="s">
        <v>9990</v>
      </c>
      <c r="B4654" t="s">
        <v>6</v>
      </c>
      <c r="C4654" t="s">
        <v>9991</v>
      </c>
      <c r="D4654" t="s">
        <v>9976</v>
      </c>
      <c r="E4654" t="s">
        <v>9977</v>
      </c>
      <c r="F4654" t="str">
        <f>HYPERLINK("https://talan.bank.gov.ua/get-user-certificate/45CEl9lsiv7ktbBqfNTl","Завантажити сертифікат")</f>
        <v>Завантажити сертифікат</v>
      </c>
    </row>
    <row r="4655" spans="1:6" x14ac:dyDescent="0.3">
      <c r="A4655" t="s">
        <v>9992</v>
      </c>
      <c r="B4655" t="s">
        <v>6</v>
      </c>
      <c r="C4655" t="s">
        <v>9993</v>
      </c>
      <c r="D4655" t="s">
        <v>9976</v>
      </c>
      <c r="E4655" t="s">
        <v>9977</v>
      </c>
      <c r="F4655" t="str">
        <f>HYPERLINK("https://talan.bank.gov.ua/get-user-certificate/45CElsNu0INQ39TdPn7B","Завантажити сертифікат")</f>
        <v>Завантажити сертифікат</v>
      </c>
    </row>
    <row r="4656" spans="1:6" x14ac:dyDescent="0.3">
      <c r="A4656" t="s">
        <v>9994</v>
      </c>
      <c r="B4656" t="s">
        <v>6</v>
      </c>
      <c r="C4656" t="s">
        <v>9995</v>
      </c>
      <c r="D4656" t="s">
        <v>9976</v>
      </c>
      <c r="E4656" t="s">
        <v>9977</v>
      </c>
      <c r="F4656" t="str">
        <f>HYPERLINK("https://talan.bank.gov.ua/get-user-certificate/45CElwUSWqFOYUNYSZSH","Завантажити сертифікат")</f>
        <v>Завантажити сертифікат</v>
      </c>
    </row>
    <row r="4657" spans="1:6" x14ac:dyDescent="0.3">
      <c r="A4657" t="s">
        <v>9996</v>
      </c>
      <c r="B4657" t="s">
        <v>6</v>
      </c>
      <c r="C4657" t="s">
        <v>9997</v>
      </c>
      <c r="D4657" t="s">
        <v>9976</v>
      </c>
      <c r="E4657" t="s">
        <v>9977</v>
      </c>
      <c r="F4657" t="str">
        <f>HYPERLINK("https://talan.bank.gov.ua/get-user-certificate/45CElUtqBsMVHXmSctOs","Завантажити сертифікат")</f>
        <v>Завантажити сертифікат</v>
      </c>
    </row>
    <row r="4658" spans="1:6" x14ac:dyDescent="0.3">
      <c r="A4658" t="s">
        <v>9998</v>
      </c>
      <c r="B4658" t="s">
        <v>6</v>
      </c>
      <c r="C4658" t="s">
        <v>9999</v>
      </c>
      <c r="D4658" t="s">
        <v>9976</v>
      </c>
      <c r="E4658" t="s">
        <v>9977</v>
      </c>
      <c r="F4658" t="str">
        <f>HYPERLINK("https://talan.bank.gov.ua/get-user-certificate/45CElDf-LhC8Wqh8nuNL","Завантажити сертифікат")</f>
        <v>Завантажити сертифікат</v>
      </c>
    </row>
    <row r="4659" spans="1:6" x14ac:dyDescent="0.3">
      <c r="A4659" t="s">
        <v>10000</v>
      </c>
      <c r="B4659" t="s">
        <v>6</v>
      </c>
      <c r="C4659" t="s">
        <v>10001</v>
      </c>
      <c r="D4659" t="s">
        <v>9976</v>
      </c>
      <c r="E4659" t="s">
        <v>9977</v>
      </c>
      <c r="F4659" t="str">
        <f>HYPERLINK("https://talan.bank.gov.ua/get-user-certificate/45CElxnrmp81cxQ5WUOk","Завантажити сертифікат")</f>
        <v>Завантажити сертифікат</v>
      </c>
    </row>
    <row r="4660" spans="1:6" x14ac:dyDescent="0.3">
      <c r="A4660" t="s">
        <v>10002</v>
      </c>
      <c r="B4660" t="s">
        <v>6</v>
      </c>
      <c r="C4660" t="s">
        <v>10003</v>
      </c>
      <c r="D4660" t="s">
        <v>9976</v>
      </c>
      <c r="E4660" t="s">
        <v>9977</v>
      </c>
      <c r="F4660" t="str">
        <f>HYPERLINK("https://talan.bank.gov.ua/get-user-certificate/45CEl702G7o45v4EHnm1","Завантажити сертифікат")</f>
        <v>Завантажити сертифікат</v>
      </c>
    </row>
    <row r="4661" spans="1:6" x14ac:dyDescent="0.3">
      <c r="A4661" t="s">
        <v>10004</v>
      </c>
      <c r="B4661" t="s">
        <v>6</v>
      </c>
      <c r="C4661" t="s">
        <v>10005</v>
      </c>
      <c r="D4661" t="s">
        <v>9976</v>
      </c>
      <c r="E4661" t="s">
        <v>9977</v>
      </c>
      <c r="F4661" t="str">
        <f>HYPERLINK("https://talan.bank.gov.ua/get-user-certificate/45CElxiI13ssjrtNNdrG","Завантажити сертифікат")</f>
        <v>Завантажити сертифікат</v>
      </c>
    </row>
    <row r="4662" spans="1:6" x14ac:dyDescent="0.3">
      <c r="A4662" t="s">
        <v>10006</v>
      </c>
      <c r="B4662" t="s">
        <v>6</v>
      </c>
      <c r="C4662" t="s">
        <v>10007</v>
      </c>
      <c r="D4662" t="s">
        <v>10008</v>
      </c>
      <c r="E4662" t="s">
        <v>10009</v>
      </c>
      <c r="F4662" t="str">
        <f>HYPERLINK("https://talan.bank.gov.ua/get-user-certificate/45CElSG8JIypMjJIwKyh","Завантажити сертифікат")</f>
        <v>Завантажити сертифікат</v>
      </c>
    </row>
    <row r="4663" spans="1:6" x14ac:dyDescent="0.3">
      <c r="A4663" t="s">
        <v>10010</v>
      </c>
      <c r="B4663" t="s">
        <v>6</v>
      </c>
      <c r="C4663" t="s">
        <v>10011</v>
      </c>
      <c r="D4663" t="s">
        <v>10008</v>
      </c>
      <c r="E4663" t="s">
        <v>10009</v>
      </c>
      <c r="F4663" t="str">
        <f>HYPERLINK("https://talan.bank.gov.ua/get-user-certificate/45CEl-P1-DPCKtDgc6a7","Завантажити сертифікат")</f>
        <v>Завантажити сертифікат</v>
      </c>
    </row>
    <row r="4664" spans="1:6" x14ac:dyDescent="0.3">
      <c r="A4664" t="s">
        <v>10012</v>
      </c>
      <c r="B4664" t="s">
        <v>6</v>
      </c>
      <c r="C4664" t="s">
        <v>10013</v>
      </c>
      <c r="D4664" t="s">
        <v>10008</v>
      </c>
      <c r="E4664" t="s">
        <v>10009</v>
      </c>
      <c r="F4664" t="str">
        <f>HYPERLINK("https://talan.bank.gov.ua/get-user-certificate/45CElCznlWoSIcpsXJr3","Завантажити сертифікат")</f>
        <v>Завантажити сертифікат</v>
      </c>
    </row>
    <row r="4665" spans="1:6" x14ac:dyDescent="0.3">
      <c r="A4665" t="s">
        <v>10014</v>
      </c>
      <c r="B4665" t="s">
        <v>6</v>
      </c>
      <c r="C4665" t="s">
        <v>10015</v>
      </c>
      <c r="D4665" t="s">
        <v>10008</v>
      </c>
      <c r="E4665" t="s">
        <v>10009</v>
      </c>
      <c r="F4665" t="str">
        <f>HYPERLINK("https://talan.bank.gov.ua/get-user-certificate/45CElI2hcvXrU29BS1dE","Завантажити сертифікат")</f>
        <v>Завантажити сертифікат</v>
      </c>
    </row>
    <row r="4666" spans="1:6" x14ac:dyDescent="0.3">
      <c r="A4666" t="s">
        <v>10016</v>
      </c>
      <c r="B4666" t="s">
        <v>6</v>
      </c>
      <c r="C4666" t="s">
        <v>10017</v>
      </c>
      <c r="D4666" t="s">
        <v>10008</v>
      </c>
      <c r="E4666" t="s">
        <v>10009</v>
      </c>
      <c r="F4666" t="str">
        <f>HYPERLINK("https://talan.bank.gov.ua/get-user-certificate/45CElywD4SD-EJCXaz2B","Завантажити сертифікат")</f>
        <v>Завантажити сертифікат</v>
      </c>
    </row>
    <row r="4667" spans="1:6" x14ac:dyDescent="0.3">
      <c r="A4667" t="s">
        <v>10018</v>
      </c>
      <c r="B4667" t="s">
        <v>6</v>
      </c>
      <c r="C4667" t="s">
        <v>10019</v>
      </c>
      <c r="D4667" t="s">
        <v>10008</v>
      </c>
      <c r="E4667" t="s">
        <v>10009</v>
      </c>
      <c r="F4667" t="str">
        <f>HYPERLINK("https://talan.bank.gov.ua/get-user-certificate/45CElPnWBpUjpGG0LjmU","Завантажити сертифікат")</f>
        <v>Завантажити сертифікат</v>
      </c>
    </row>
    <row r="4668" spans="1:6" x14ac:dyDescent="0.3">
      <c r="A4668" t="s">
        <v>10020</v>
      </c>
      <c r="B4668" t="s">
        <v>6</v>
      </c>
      <c r="C4668" t="s">
        <v>10021</v>
      </c>
      <c r="D4668" t="s">
        <v>10008</v>
      </c>
      <c r="E4668" t="s">
        <v>10009</v>
      </c>
      <c r="F4668" t="str">
        <f>HYPERLINK("https://talan.bank.gov.ua/get-user-certificate/45CEltW2HYO0gNZ8tiKV","Завантажити сертифікат")</f>
        <v>Завантажити сертифікат</v>
      </c>
    </row>
    <row r="4669" spans="1:6" x14ac:dyDescent="0.3">
      <c r="A4669" t="s">
        <v>10022</v>
      </c>
      <c r="B4669" t="s">
        <v>6</v>
      </c>
      <c r="C4669" t="s">
        <v>10023</v>
      </c>
      <c r="D4669" t="s">
        <v>10008</v>
      </c>
      <c r="E4669" t="s">
        <v>10009</v>
      </c>
      <c r="F4669" t="str">
        <f>HYPERLINK("https://talan.bank.gov.ua/get-user-certificate/45CElMA-3cvwEg3MxytU","Завантажити сертифікат")</f>
        <v>Завантажити сертифікат</v>
      </c>
    </row>
    <row r="4670" spans="1:6" x14ac:dyDescent="0.3">
      <c r="A4670" t="s">
        <v>10024</v>
      </c>
      <c r="B4670" t="s">
        <v>6</v>
      </c>
      <c r="C4670" t="s">
        <v>10025</v>
      </c>
      <c r="D4670" t="s">
        <v>10008</v>
      </c>
      <c r="E4670" t="s">
        <v>10009</v>
      </c>
      <c r="F4670" t="str">
        <f>HYPERLINK("https://talan.bank.gov.ua/get-user-certificate/45CElhytR2jk3J2VEs79","Завантажити сертифікат")</f>
        <v>Завантажити сертифікат</v>
      </c>
    </row>
    <row r="4671" spans="1:6" x14ac:dyDescent="0.3">
      <c r="A4671" t="s">
        <v>10026</v>
      </c>
      <c r="B4671" t="s">
        <v>6</v>
      </c>
      <c r="C4671" t="s">
        <v>10027</v>
      </c>
      <c r="D4671" t="s">
        <v>10008</v>
      </c>
      <c r="E4671" t="s">
        <v>10009</v>
      </c>
      <c r="F4671" t="str">
        <f>HYPERLINK("https://talan.bank.gov.ua/get-user-certificate/45CElLYMek2pzb_PZEJv","Завантажити сертифікат")</f>
        <v>Завантажити сертифікат</v>
      </c>
    </row>
    <row r="4672" spans="1:6" x14ac:dyDescent="0.3">
      <c r="A4672" t="s">
        <v>10028</v>
      </c>
      <c r="B4672" t="s">
        <v>6</v>
      </c>
      <c r="C4672" t="s">
        <v>10029</v>
      </c>
      <c r="D4672" t="s">
        <v>10008</v>
      </c>
      <c r="E4672" t="s">
        <v>10009</v>
      </c>
      <c r="F4672" t="str">
        <f>HYPERLINK("https://talan.bank.gov.ua/get-user-certificate/45CElUJgjzwz2KISIzgT","Завантажити сертифікат")</f>
        <v>Завантажити сертифікат</v>
      </c>
    </row>
    <row r="4673" spans="1:6" x14ac:dyDescent="0.3">
      <c r="A4673" t="s">
        <v>10030</v>
      </c>
      <c r="B4673" t="s">
        <v>6</v>
      </c>
      <c r="C4673" t="s">
        <v>10031</v>
      </c>
      <c r="D4673" t="s">
        <v>10008</v>
      </c>
      <c r="E4673" t="s">
        <v>10009</v>
      </c>
      <c r="F4673" t="str">
        <f>HYPERLINK("https://talan.bank.gov.ua/get-user-certificate/45CEl5AnLuJdDybCJ1oo","Завантажити сертифікат")</f>
        <v>Завантажити сертифікат</v>
      </c>
    </row>
    <row r="4674" spans="1:6" x14ac:dyDescent="0.3">
      <c r="A4674" t="s">
        <v>10032</v>
      </c>
      <c r="B4674" t="s">
        <v>6</v>
      </c>
      <c r="C4674" t="s">
        <v>10033</v>
      </c>
      <c r="D4674" t="s">
        <v>10008</v>
      </c>
      <c r="E4674" t="s">
        <v>10009</v>
      </c>
      <c r="F4674" t="str">
        <f>HYPERLINK("https://talan.bank.gov.ua/get-user-certificate/45CElKr2abWXa-U75KsZ","Завантажити сертифікат")</f>
        <v>Завантажити сертифікат</v>
      </c>
    </row>
    <row r="4675" spans="1:6" x14ac:dyDescent="0.3">
      <c r="A4675" t="s">
        <v>10034</v>
      </c>
      <c r="B4675" t="s">
        <v>6</v>
      </c>
      <c r="C4675" t="s">
        <v>10035</v>
      </c>
      <c r="D4675" t="s">
        <v>10008</v>
      </c>
      <c r="E4675" t="s">
        <v>10009</v>
      </c>
      <c r="F4675" t="str">
        <f>HYPERLINK("https://talan.bank.gov.ua/get-user-certificate/45CElTZLzGpuHbtv11CX","Завантажити сертифікат")</f>
        <v>Завантажити сертифікат</v>
      </c>
    </row>
    <row r="4676" spans="1:6" x14ac:dyDescent="0.3">
      <c r="A4676" t="s">
        <v>10036</v>
      </c>
      <c r="B4676" t="s">
        <v>6</v>
      </c>
      <c r="C4676" t="s">
        <v>10037</v>
      </c>
      <c r="D4676" t="s">
        <v>10008</v>
      </c>
      <c r="E4676" t="s">
        <v>10009</v>
      </c>
      <c r="F4676" t="str">
        <f>HYPERLINK("https://talan.bank.gov.ua/get-user-certificate/45CEl1SJy90FqRtA0bWf","Завантажити сертифікат")</f>
        <v>Завантажити сертифікат</v>
      </c>
    </row>
    <row r="4677" spans="1:6" x14ac:dyDescent="0.3">
      <c r="A4677" t="s">
        <v>10038</v>
      </c>
      <c r="B4677" t="s">
        <v>6</v>
      </c>
      <c r="C4677" t="s">
        <v>10039</v>
      </c>
      <c r="D4677" t="s">
        <v>10008</v>
      </c>
      <c r="E4677" t="s">
        <v>10009</v>
      </c>
      <c r="F4677" t="str">
        <f>HYPERLINK("https://talan.bank.gov.ua/get-user-certificate/45CElYWfiqQ0_Ht5ZoLh","Завантажити сертифікат")</f>
        <v>Завантажити сертифікат</v>
      </c>
    </row>
    <row r="4678" spans="1:6" x14ac:dyDescent="0.3">
      <c r="A4678" t="s">
        <v>10040</v>
      </c>
      <c r="B4678" t="s">
        <v>6</v>
      </c>
      <c r="C4678" t="s">
        <v>10041</v>
      </c>
      <c r="D4678" t="s">
        <v>10008</v>
      </c>
      <c r="E4678" t="s">
        <v>10009</v>
      </c>
      <c r="F4678" t="str">
        <f>HYPERLINK("https://talan.bank.gov.ua/get-user-certificate/45CElBAikUEP8mwNhblA","Завантажити сертифікат")</f>
        <v>Завантажити сертифікат</v>
      </c>
    </row>
    <row r="4679" spans="1:6" x14ac:dyDescent="0.3">
      <c r="A4679" t="s">
        <v>10042</v>
      </c>
      <c r="B4679" t="s">
        <v>6</v>
      </c>
      <c r="C4679" t="s">
        <v>10043</v>
      </c>
      <c r="D4679" t="s">
        <v>10008</v>
      </c>
      <c r="E4679" t="s">
        <v>10009</v>
      </c>
      <c r="F4679" t="str">
        <f>HYPERLINK("https://talan.bank.gov.ua/get-user-certificate/45CElqCsxHdZRloZ6tXR","Завантажити сертифікат")</f>
        <v>Завантажити сертифікат</v>
      </c>
    </row>
    <row r="4680" spans="1:6" x14ac:dyDescent="0.3">
      <c r="A4680" t="s">
        <v>10044</v>
      </c>
      <c r="B4680" t="s">
        <v>6</v>
      </c>
      <c r="C4680" t="s">
        <v>10045</v>
      </c>
      <c r="D4680" t="s">
        <v>10008</v>
      </c>
      <c r="E4680" t="s">
        <v>10009</v>
      </c>
      <c r="F4680" t="str">
        <f>HYPERLINK("https://talan.bank.gov.ua/get-user-certificate/45CEl3TUYeHR_l1IVbqD","Завантажити сертифікат")</f>
        <v>Завантажити сертифікат</v>
      </c>
    </row>
    <row r="4681" spans="1:6" x14ac:dyDescent="0.3">
      <c r="A4681" t="s">
        <v>10046</v>
      </c>
      <c r="B4681" t="s">
        <v>6</v>
      </c>
      <c r="C4681" t="s">
        <v>10047</v>
      </c>
      <c r="D4681" t="s">
        <v>10008</v>
      </c>
      <c r="E4681" t="s">
        <v>10009</v>
      </c>
      <c r="F4681" t="str">
        <f>HYPERLINK("https://talan.bank.gov.ua/get-user-certificate/45CElwyBBtP9--6_HspQ","Завантажити сертифікат")</f>
        <v>Завантажити сертифікат</v>
      </c>
    </row>
    <row r="4682" spans="1:6" x14ac:dyDescent="0.3">
      <c r="A4682" t="s">
        <v>10048</v>
      </c>
      <c r="B4682" t="s">
        <v>6</v>
      </c>
      <c r="C4682" t="s">
        <v>10049</v>
      </c>
      <c r="D4682" t="s">
        <v>10008</v>
      </c>
      <c r="E4682" t="s">
        <v>10009</v>
      </c>
      <c r="F4682" t="str">
        <f>HYPERLINK("https://talan.bank.gov.ua/get-user-certificate/45CElkwhmwcM1jHs-UKk","Завантажити сертифікат")</f>
        <v>Завантажити сертифікат</v>
      </c>
    </row>
    <row r="4683" spans="1:6" x14ac:dyDescent="0.3">
      <c r="A4683" t="s">
        <v>10050</v>
      </c>
      <c r="B4683" t="s">
        <v>6</v>
      </c>
      <c r="C4683" t="s">
        <v>10051</v>
      </c>
      <c r="D4683" t="s">
        <v>10008</v>
      </c>
      <c r="E4683" t="s">
        <v>10009</v>
      </c>
      <c r="F4683" t="str">
        <f>HYPERLINK("https://talan.bank.gov.ua/get-user-certificate/45CElVmRHU0cHI8LTrSj","Завантажити сертифікат")</f>
        <v>Завантажити сертифікат</v>
      </c>
    </row>
    <row r="4684" spans="1:6" x14ac:dyDescent="0.3">
      <c r="A4684" t="s">
        <v>10052</v>
      </c>
      <c r="B4684" t="s">
        <v>6</v>
      </c>
      <c r="C4684" t="s">
        <v>10053</v>
      </c>
      <c r="D4684" t="s">
        <v>10008</v>
      </c>
      <c r="E4684" t="s">
        <v>10009</v>
      </c>
      <c r="F4684" t="str">
        <f>HYPERLINK("https://talan.bank.gov.ua/get-user-certificate/45CEl1aHMtWda67yELfa","Завантажити сертифікат")</f>
        <v>Завантажити сертифікат</v>
      </c>
    </row>
    <row r="4685" spans="1:6" x14ac:dyDescent="0.3">
      <c r="A4685" t="s">
        <v>10054</v>
      </c>
      <c r="B4685" t="s">
        <v>6</v>
      </c>
      <c r="C4685" t="s">
        <v>10055</v>
      </c>
      <c r="D4685" t="s">
        <v>10008</v>
      </c>
      <c r="E4685" t="s">
        <v>10009</v>
      </c>
      <c r="F4685" t="str">
        <f>HYPERLINK("https://talan.bank.gov.ua/get-user-certificate/45CElGrqVwiiEC9Yf-jx","Завантажити сертифікат")</f>
        <v>Завантажити сертифікат</v>
      </c>
    </row>
    <row r="4686" spans="1:6" x14ac:dyDescent="0.3">
      <c r="A4686" t="s">
        <v>10056</v>
      </c>
      <c r="B4686" t="s">
        <v>6</v>
      </c>
      <c r="C4686" t="s">
        <v>10057</v>
      </c>
      <c r="D4686" t="s">
        <v>10008</v>
      </c>
      <c r="E4686" t="s">
        <v>10009</v>
      </c>
      <c r="F4686" t="str">
        <f>HYPERLINK("https://talan.bank.gov.ua/get-user-certificate/45CEl8E4apQDjYxZLO1q","Завантажити сертифікат")</f>
        <v>Завантажити сертифікат</v>
      </c>
    </row>
    <row r="4687" spans="1:6" x14ac:dyDescent="0.3">
      <c r="A4687" t="s">
        <v>10058</v>
      </c>
      <c r="B4687" t="s">
        <v>6</v>
      </c>
      <c r="C4687" t="s">
        <v>10059</v>
      </c>
      <c r="D4687" t="s">
        <v>10008</v>
      </c>
      <c r="E4687" t="s">
        <v>10009</v>
      </c>
      <c r="F4687" t="str">
        <f>HYPERLINK("https://talan.bank.gov.ua/get-user-certificate/45CElqZ7kOqQcnulherD","Завантажити сертифікат")</f>
        <v>Завантажити сертифікат</v>
      </c>
    </row>
    <row r="4688" spans="1:6" x14ac:dyDescent="0.3">
      <c r="A4688" t="s">
        <v>10060</v>
      </c>
      <c r="B4688" t="s">
        <v>6</v>
      </c>
      <c r="C4688" t="s">
        <v>10061</v>
      </c>
      <c r="D4688" t="s">
        <v>10008</v>
      </c>
      <c r="E4688" t="s">
        <v>10009</v>
      </c>
      <c r="F4688" t="str">
        <f>HYPERLINK("https://talan.bank.gov.ua/get-user-certificate/45CElovuJCHWy3NLR772","Завантажити сертифікат")</f>
        <v>Завантажити сертифікат</v>
      </c>
    </row>
    <row r="4689" spans="1:6" x14ac:dyDescent="0.3">
      <c r="A4689" t="s">
        <v>10062</v>
      </c>
      <c r="B4689" t="s">
        <v>6</v>
      </c>
      <c r="C4689" t="s">
        <v>10063</v>
      </c>
      <c r="D4689" t="s">
        <v>10008</v>
      </c>
      <c r="E4689" t="s">
        <v>10009</v>
      </c>
      <c r="F4689" t="str">
        <f>HYPERLINK("https://talan.bank.gov.ua/get-user-certificate/45CElG8nKcko1Vfq96Hi","Завантажити сертифікат")</f>
        <v>Завантажити сертифікат</v>
      </c>
    </row>
    <row r="4690" spans="1:6" x14ac:dyDescent="0.3">
      <c r="A4690" t="s">
        <v>10064</v>
      </c>
      <c r="B4690" t="s">
        <v>6</v>
      </c>
      <c r="C4690" t="s">
        <v>10065</v>
      </c>
      <c r="D4690" t="s">
        <v>10008</v>
      </c>
      <c r="E4690" t="s">
        <v>10009</v>
      </c>
      <c r="F4690" t="str">
        <f>HYPERLINK("https://talan.bank.gov.ua/get-user-certificate/45CEl1uim3t7N0Hi89pm","Завантажити сертифікат")</f>
        <v>Завантажити сертифікат</v>
      </c>
    </row>
    <row r="4691" spans="1:6" x14ac:dyDescent="0.3">
      <c r="A4691" t="s">
        <v>10066</v>
      </c>
      <c r="B4691" t="s">
        <v>6</v>
      </c>
      <c r="C4691" t="s">
        <v>10067</v>
      </c>
      <c r="D4691" t="s">
        <v>10008</v>
      </c>
      <c r="E4691" t="s">
        <v>10009</v>
      </c>
      <c r="F4691" t="str">
        <f>HYPERLINK("https://talan.bank.gov.ua/get-user-certificate/45CElBNbNpP4XDPntW4_","Завантажити сертифікат")</f>
        <v>Завантажити сертифікат</v>
      </c>
    </row>
    <row r="4692" spans="1:6" x14ac:dyDescent="0.3">
      <c r="A4692" t="s">
        <v>10068</v>
      </c>
      <c r="B4692" t="s">
        <v>6</v>
      </c>
      <c r="C4692" t="s">
        <v>10069</v>
      </c>
      <c r="D4692" t="s">
        <v>10008</v>
      </c>
      <c r="E4692" t="s">
        <v>10009</v>
      </c>
      <c r="F4692" t="str">
        <f>HYPERLINK("https://talan.bank.gov.ua/get-user-certificate/45CElMfQQqgKN0oSen14","Завантажити сертифікат")</f>
        <v>Завантажити сертифікат</v>
      </c>
    </row>
    <row r="4693" spans="1:6" x14ac:dyDescent="0.3">
      <c r="A4693" t="s">
        <v>10070</v>
      </c>
      <c r="B4693" t="s">
        <v>6</v>
      </c>
      <c r="C4693" t="s">
        <v>10071</v>
      </c>
      <c r="D4693" t="s">
        <v>10008</v>
      </c>
      <c r="E4693" t="s">
        <v>10009</v>
      </c>
      <c r="F4693" t="str">
        <f>HYPERLINK("https://talan.bank.gov.ua/get-user-certificate/45CElYqfQSM-0fq56Tyw","Завантажити сертифікат")</f>
        <v>Завантажити сертифікат</v>
      </c>
    </row>
    <row r="4694" spans="1:6" x14ac:dyDescent="0.3">
      <c r="A4694" t="s">
        <v>10072</v>
      </c>
      <c r="B4694" t="s">
        <v>6</v>
      </c>
      <c r="C4694" t="s">
        <v>10073</v>
      </c>
      <c r="D4694" t="s">
        <v>10008</v>
      </c>
      <c r="E4694" t="s">
        <v>10009</v>
      </c>
      <c r="F4694" t="str">
        <f>HYPERLINK("https://talan.bank.gov.ua/get-user-certificate/45CElc1W3I4T0HFykl5t","Завантажити сертифікат")</f>
        <v>Завантажити сертифікат</v>
      </c>
    </row>
    <row r="4695" spans="1:6" x14ac:dyDescent="0.3">
      <c r="A4695" t="s">
        <v>10074</v>
      </c>
      <c r="B4695" t="s">
        <v>6</v>
      </c>
      <c r="C4695" t="s">
        <v>10075</v>
      </c>
      <c r="D4695" t="s">
        <v>10076</v>
      </c>
      <c r="E4695" t="s">
        <v>10077</v>
      </c>
      <c r="F4695" t="str">
        <f>HYPERLINK("https://talan.bank.gov.ua/get-user-certificate/45CEl_52TpSwAnKie5Ev","Завантажити сертифікат")</f>
        <v>Завантажити сертифікат</v>
      </c>
    </row>
    <row r="4696" spans="1:6" x14ac:dyDescent="0.3">
      <c r="A4696" t="s">
        <v>10078</v>
      </c>
      <c r="B4696" t="s">
        <v>6</v>
      </c>
      <c r="C4696" t="s">
        <v>10079</v>
      </c>
      <c r="D4696" t="s">
        <v>10076</v>
      </c>
      <c r="E4696" t="s">
        <v>10077</v>
      </c>
      <c r="F4696" t="str">
        <f>HYPERLINK("https://talan.bank.gov.ua/get-user-certificate/45CEltrB9eqI7ixdfuDH","Завантажити сертифікат")</f>
        <v>Завантажити сертифікат</v>
      </c>
    </row>
    <row r="4697" spans="1:6" x14ac:dyDescent="0.3">
      <c r="A4697" t="s">
        <v>10080</v>
      </c>
      <c r="B4697" t="s">
        <v>6</v>
      </c>
      <c r="C4697" t="s">
        <v>10081</v>
      </c>
      <c r="D4697" t="s">
        <v>10076</v>
      </c>
      <c r="E4697" t="s">
        <v>10077</v>
      </c>
      <c r="F4697" t="str">
        <f>HYPERLINK("https://talan.bank.gov.ua/get-user-certificate/45CElrV_tS1wO_E764ma","Завантажити сертифікат")</f>
        <v>Завантажити сертифікат</v>
      </c>
    </row>
    <row r="4698" spans="1:6" x14ac:dyDescent="0.3">
      <c r="A4698" t="s">
        <v>10082</v>
      </c>
      <c r="B4698" t="s">
        <v>6</v>
      </c>
      <c r="C4698" t="s">
        <v>10083</v>
      </c>
      <c r="D4698" t="s">
        <v>10076</v>
      </c>
      <c r="E4698" t="s">
        <v>10077</v>
      </c>
      <c r="F4698" t="str">
        <f>HYPERLINK("https://talan.bank.gov.ua/get-user-certificate/45CElJih-bqSKNsLUwZU","Завантажити сертифікат")</f>
        <v>Завантажити сертифікат</v>
      </c>
    </row>
    <row r="4699" spans="1:6" x14ac:dyDescent="0.3">
      <c r="A4699" t="s">
        <v>10084</v>
      </c>
      <c r="B4699" t="s">
        <v>6</v>
      </c>
      <c r="C4699" t="s">
        <v>10085</v>
      </c>
      <c r="D4699" t="s">
        <v>10076</v>
      </c>
      <c r="E4699" t="s">
        <v>10077</v>
      </c>
      <c r="F4699" t="str">
        <f>HYPERLINK("https://talan.bank.gov.ua/get-user-certificate/45CEl2lC_ZdBaqjT8l4D","Завантажити сертифікат")</f>
        <v>Завантажити сертифікат</v>
      </c>
    </row>
    <row r="4700" spans="1:6" x14ac:dyDescent="0.3">
      <c r="A4700" t="s">
        <v>10086</v>
      </c>
      <c r="B4700" t="s">
        <v>6</v>
      </c>
      <c r="C4700" t="s">
        <v>10087</v>
      </c>
      <c r="D4700" t="s">
        <v>10076</v>
      </c>
      <c r="E4700" t="s">
        <v>10077</v>
      </c>
      <c r="F4700" t="str">
        <f>HYPERLINK("https://talan.bank.gov.ua/get-user-certificate/45CElIB9qU97TKHtxvMG","Завантажити сертифікат")</f>
        <v>Завантажити сертифікат</v>
      </c>
    </row>
    <row r="4701" spans="1:6" x14ac:dyDescent="0.3">
      <c r="A4701" t="s">
        <v>10088</v>
      </c>
      <c r="B4701" t="s">
        <v>6</v>
      </c>
      <c r="C4701" t="s">
        <v>10089</v>
      </c>
      <c r="D4701" t="s">
        <v>10076</v>
      </c>
      <c r="E4701" t="s">
        <v>10077</v>
      </c>
      <c r="F4701" t="str">
        <f>HYPERLINK("https://talan.bank.gov.ua/get-user-certificate/45CElveCbG3VemCyANop","Завантажити сертифікат")</f>
        <v>Завантажити сертифікат</v>
      </c>
    </row>
    <row r="4702" spans="1:6" x14ac:dyDescent="0.3">
      <c r="A4702" t="s">
        <v>10090</v>
      </c>
      <c r="B4702" t="s">
        <v>6</v>
      </c>
      <c r="C4702" t="s">
        <v>10091</v>
      </c>
      <c r="D4702" t="s">
        <v>10076</v>
      </c>
      <c r="E4702" t="s">
        <v>10077</v>
      </c>
      <c r="F4702" t="str">
        <f>HYPERLINK("https://talan.bank.gov.ua/get-user-certificate/45CElRMJSgcuigCciYXz","Завантажити сертифікат")</f>
        <v>Завантажити сертифікат</v>
      </c>
    </row>
    <row r="4703" spans="1:6" x14ac:dyDescent="0.3">
      <c r="A4703" t="s">
        <v>10092</v>
      </c>
      <c r="B4703" t="s">
        <v>6</v>
      </c>
      <c r="C4703" t="s">
        <v>10093</v>
      </c>
      <c r="D4703" t="s">
        <v>10076</v>
      </c>
      <c r="E4703" t="s">
        <v>10077</v>
      </c>
      <c r="F4703" t="str">
        <f>HYPERLINK("https://talan.bank.gov.ua/get-user-certificate/45CEljD7EQf7hrGl9NK8","Завантажити сертифікат")</f>
        <v>Завантажити сертифікат</v>
      </c>
    </row>
    <row r="4704" spans="1:6" x14ac:dyDescent="0.3">
      <c r="A4704" t="s">
        <v>10094</v>
      </c>
      <c r="B4704" t="s">
        <v>6</v>
      </c>
      <c r="C4704" t="s">
        <v>10095</v>
      </c>
      <c r="D4704" t="s">
        <v>10076</v>
      </c>
      <c r="E4704" t="s">
        <v>10077</v>
      </c>
      <c r="F4704" t="str">
        <f>HYPERLINK("https://talan.bank.gov.ua/get-user-certificate/45CEl1w7HTn7HiLL5DMq","Завантажити сертифікат")</f>
        <v>Завантажити сертифікат</v>
      </c>
    </row>
    <row r="4705" spans="1:6" x14ac:dyDescent="0.3">
      <c r="A4705" t="s">
        <v>10096</v>
      </c>
      <c r="B4705" t="s">
        <v>6</v>
      </c>
      <c r="C4705" t="s">
        <v>10097</v>
      </c>
      <c r="D4705" t="s">
        <v>10076</v>
      </c>
      <c r="E4705" t="s">
        <v>10077</v>
      </c>
      <c r="F4705" t="str">
        <f>HYPERLINK("https://talan.bank.gov.ua/get-user-certificate/45CEl1FunOaoEorip5aN","Завантажити сертифікат")</f>
        <v>Завантажити сертифікат</v>
      </c>
    </row>
    <row r="4706" spans="1:6" x14ac:dyDescent="0.3">
      <c r="A4706" t="s">
        <v>10098</v>
      </c>
      <c r="B4706" t="s">
        <v>6</v>
      </c>
      <c r="C4706" t="s">
        <v>10099</v>
      </c>
      <c r="D4706" t="s">
        <v>10076</v>
      </c>
      <c r="E4706" t="s">
        <v>10077</v>
      </c>
      <c r="F4706" t="str">
        <f>HYPERLINK("https://talan.bank.gov.ua/get-user-certificate/45CElDU7njSU8JsHANcp","Завантажити сертифікат")</f>
        <v>Завантажити сертифікат</v>
      </c>
    </row>
    <row r="4707" spans="1:6" x14ac:dyDescent="0.3">
      <c r="A4707" t="s">
        <v>10100</v>
      </c>
      <c r="B4707" t="s">
        <v>6</v>
      </c>
      <c r="C4707" t="s">
        <v>10101</v>
      </c>
      <c r="D4707" t="s">
        <v>10076</v>
      </c>
      <c r="E4707" t="s">
        <v>10077</v>
      </c>
      <c r="F4707" t="str">
        <f>HYPERLINK("https://talan.bank.gov.ua/get-user-certificate/45CEladObEBT3TvjH2J8","Завантажити сертифікат")</f>
        <v>Завантажити сертифікат</v>
      </c>
    </row>
    <row r="4708" spans="1:6" x14ac:dyDescent="0.3">
      <c r="A4708" t="s">
        <v>10102</v>
      </c>
      <c r="B4708" t="s">
        <v>6</v>
      </c>
      <c r="C4708" t="s">
        <v>10103</v>
      </c>
      <c r="D4708" t="s">
        <v>10076</v>
      </c>
      <c r="E4708" t="s">
        <v>10077</v>
      </c>
      <c r="F4708" t="str">
        <f>HYPERLINK("https://talan.bank.gov.ua/get-user-certificate/45CElWup_vXRf59l4dIr","Завантажити сертифікат")</f>
        <v>Завантажити сертифікат</v>
      </c>
    </row>
    <row r="4709" spans="1:6" x14ac:dyDescent="0.3">
      <c r="A4709" t="s">
        <v>10104</v>
      </c>
      <c r="B4709" t="s">
        <v>6</v>
      </c>
      <c r="C4709" t="s">
        <v>10105</v>
      </c>
      <c r="D4709" t="s">
        <v>10076</v>
      </c>
      <c r="E4709" t="s">
        <v>10077</v>
      </c>
      <c r="F4709" t="str">
        <f>HYPERLINK("https://talan.bank.gov.ua/get-user-certificate/45CElXQpGJ_OPz-M6U4Q","Завантажити сертифікат")</f>
        <v>Завантажити сертифікат</v>
      </c>
    </row>
    <row r="4710" spans="1:6" x14ac:dyDescent="0.3">
      <c r="A4710" t="s">
        <v>10106</v>
      </c>
      <c r="B4710" t="s">
        <v>6</v>
      </c>
      <c r="C4710" t="s">
        <v>10107</v>
      </c>
      <c r="D4710" t="s">
        <v>10076</v>
      </c>
      <c r="E4710" t="s">
        <v>10077</v>
      </c>
      <c r="F4710" t="str">
        <f>HYPERLINK("https://talan.bank.gov.ua/get-user-certificate/45CElE1nl4RmAcGmr9NI","Завантажити сертифікат")</f>
        <v>Завантажити сертифікат</v>
      </c>
    </row>
    <row r="4711" spans="1:6" x14ac:dyDescent="0.3">
      <c r="A4711" t="s">
        <v>10108</v>
      </c>
      <c r="B4711" t="s">
        <v>6</v>
      </c>
      <c r="C4711" t="s">
        <v>10109</v>
      </c>
      <c r="D4711" t="s">
        <v>10076</v>
      </c>
      <c r="E4711" t="s">
        <v>10077</v>
      </c>
      <c r="F4711" t="str">
        <f>HYPERLINK("https://talan.bank.gov.ua/get-user-certificate/45CElb2XCyoTOHgwbKQI","Завантажити сертифікат")</f>
        <v>Завантажити сертифікат</v>
      </c>
    </row>
    <row r="4712" spans="1:6" x14ac:dyDescent="0.3">
      <c r="A4712" t="s">
        <v>10110</v>
      </c>
      <c r="B4712" t="s">
        <v>6</v>
      </c>
      <c r="C4712" t="s">
        <v>10111</v>
      </c>
      <c r="D4712" t="s">
        <v>10076</v>
      </c>
      <c r="E4712" t="s">
        <v>10077</v>
      </c>
      <c r="F4712" t="str">
        <f>HYPERLINK("https://talan.bank.gov.ua/get-user-certificate/45CElrQFd3OUIPi1oj1M","Завантажити сертифікат")</f>
        <v>Завантажити сертифікат</v>
      </c>
    </row>
    <row r="4713" spans="1:6" x14ac:dyDescent="0.3">
      <c r="A4713" t="s">
        <v>10112</v>
      </c>
      <c r="B4713" t="s">
        <v>6</v>
      </c>
      <c r="C4713" t="s">
        <v>10113</v>
      </c>
      <c r="D4713" t="s">
        <v>10076</v>
      </c>
      <c r="E4713" t="s">
        <v>10077</v>
      </c>
      <c r="F4713" t="str">
        <f>HYPERLINK("https://talan.bank.gov.ua/get-user-certificate/45CElJEVNMNFioW_2Tm4","Завантажити сертифікат")</f>
        <v>Завантажити сертифікат</v>
      </c>
    </row>
    <row r="4714" spans="1:6" x14ac:dyDescent="0.3">
      <c r="A4714" t="s">
        <v>10114</v>
      </c>
      <c r="B4714" t="s">
        <v>6</v>
      </c>
      <c r="C4714" t="s">
        <v>10115</v>
      </c>
      <c r="D4714" t="s">
        <v>10076</v>
      </c>
      <c r="E4714" t="s">
        <v>10077</v>
      </c>
      <c r="F4714" t="str">
        <f>HYPERLINK("https://talan.bank.gov.ua/get-user-certificate/45CEl-QKyLqvbjYKFn3r","Завантажити сертифікат")</f>
        <v>Завантажити сертифікат</v>
      </c>
    </row>
    <row r="4715" spans="1:6" x14ac:dyDescent="0.3">
      <c r="A4715" t="s">
        <v>10116</v>
      </c>
      <c r="B4715" t="s">
        <v>6</v>
      </c>
      <c r="C4715" t="s">
        <v>10117</v>
      </c>
      <c r="D4715" t="s">
        <v>10076</v>
      </c>
      <c r="E4715" t="s">
        <v>10077</v>
      </c>
      <c r="F4715" t="str">
        <f>HYPERLINK("https://talan.bank.gov.ua/get-user-certificate/45CEl1DU6MUAvlhAX_XK","Завантажити сертифікат")</f>
        <v>Завантажити сертифікат</v>
      </c>
    </row>
    <row r="4716" spans="1:6" x14ac:dyDescent="0.3">
      <c r="A4716" t="s">
        <v>10118</v>
      </c>
      <c r="B4716" t="s">
        <v>6</v>
      </c>
      <c r="C4716" t="s">
        <v>10119</v>
      </c>
      <c r="D4716" t="s">
        <v>10076</v>
      </c>
      <c r="E4716" t="s">
        <v>10077</v>
      </c>
      <c r="F4716" t="str">
        <f>HYPERLINK("https://talan.bank.gov.ua/get-user-certificate/45CElP0eggoaH7UJRQ7w","Завантажити сертифікат")</f>
        <v>Завантажити сертифікат</v>
      </c>
    </row>
    <row r="4717" spans="1:6" x14ac:dyDescent="0.3">
      <c r="A4717" t="s">
        <v>10120</v>
      </c>
      <c r="B4717" t="s">
        <v>6</v>
      </c>
      <c r="C4717" t="s">
        <v>10121</v>
      </c>
      <c r="D4717" t="s">
        <v>10076</v>
      </c>
      <c r="E4717" t="s">
        <v>10077</v>
      </c>
      <c r="F4717" t="str">
        <f>HYPERLINK("https://talan.bank.gov.ua/get-user-certificate/45CEll1apiBHFZltogZK","Завантажити сертифікат")</f>
        <v>Завантажити сертифікат</v>
      </c>
    </row>
    <row r="4718" spans="1:6" x14ac:dyDescent="0.3">
      <c r="A4718" t="s">
        <v>10122</v>
      </c>
      <c r="B4718" t="s">
        <v>6</v>
      </c>
      <c r="C4718" t="s">
        <v>10123</v>
      </c>
      <c r="D4718" t="s">
        <v>10076</v>
      </c>
      <c r="E4718" t="s">
        <v>10077</v>
      </c>
      <c r="F4718" t="str">
        <f>HYPERLINK("https://talan.bank.gov.ua/get-user-certificate/45CElySjWW-4XdSL4O84","Завантажити сертифікат")</f>
        <v>Завантажити сертифікат</v>
      </c>
    </row>
    <row r="4719" spans="1:6" x14ac:dyDescent="0.3">
      <c r="A4719" t="s">
        <v>10124</v>
      </c>
      <c r="B4719" t="s">
        <v>6</v>
      </c>
      <c r="C4719" t="s">
        <v>10125</v>
      </c>
      <c r="D4719" t="s">
        <v>10076</v>
      </c>
      <c r="E4719" t="s">
        <v>10077</v>
      </c>
      <c r="F4719" t="str">
        <f>HYPERLINK("https://talan.bank.gov.ua/get-user-certificate/45CEld23vfw2ecJHEkAy","Завантажити сертифікат")</f>
        <v>Завантажити сертифікат</v>
      </c>
    </row>
    <row r="4720" spans="1:6" x14ac:dyDescent="0.3">
      <c r="A4720" t="s">
        <v>10126</v>
      </c>
      <c r="B4720" t="s">
        <v>6</v>
      </c>
      <c r="C4720" t="s">
        <v>10127</v>
      </c>
      <c r="D4720" t="s">
        <v>10076</v>
      </c>
      <c r="E4720" t="s">
        <v>10077</v>
      </c>
      <c r="F4720" t="str">
        <f>HYPERLINK("https://talan.bank.gov.ua/get-user-certificate/45CEl55yqpULzOZpjEJz","Завантажити сертифікат")</f>
        <v>Завантажити сертифікат</v>
      </c>
    </row>
    <row r="4721" spans="1:6" x14ac:dyDescent="0.3">
      <c r="A4721" t="s">
        <v>10128</v>
      </c>
      <c r="B4721" t="s">
        <v>6</v>
      </c>
      <c r="C4721" t="s">
        <v>10129</v>
      </c>
      <c r="D4721" t="s">
        <v>10076</v>
      </c>
      <c r="E4721" t="s">
        <v>10077</v>
      </c>
      <c r="F4721" t="str">
        <f>HYPERLINK("https://talan.bank.gov.ua/get-user-certificate/45CElP74m-yRLBEV246F","Завантажити сертифікат")</f>
        <v>Завантажити сертифікат</v>
      </c>
    </row>
    <row r="4722" spans="1:6" x14ac:dyDescent="0.3">
      <c r="A4722" t="s">
        <v>10130</v>
      </c>
      <c r="B4722" t="s">
        <v>6</v>
      </c>
      <c r="C4722" t="s">
        <v>10131</v>
      </c>
      <c r="D4722" t="s">
        <v>10076</v>
      </c>
      <c r="E4722" t="s">
        <v>10077</v>
      </c>
      <c r="F4722" t="str">
        <f>HYPERLINK("https://talan.bank.gov.ua/get-user-certificate/45CEl1kUBiSQXmBIunN2","Завантажити сертифікат")</f>
        <v>Завантажити сертифікат</v>
      </c>
    </row>
    <row r="4723" spans="1:6" x14ac:dyDescent="0.3">
      <c r="A4723" t="s">
        <v>10132</v>
      </c>
      <c r="B4723" t="s">
        <v>6</v>
      </c>
      <c r="C4723" t="s">
        <v>10133</v>
      </c>
      <c r="D4723" t="s">
        <v>10076</v>
      </c>
      <c r="E4723" t="s">
        <v>10077</v>
      </c>
      <c r="F4723" t="str">
        <f>HYPERLINK("https://talan.bank.gov.ua/get-user-certificate/45CEl31Ua1aTz__IgUog","Завантажити сертифікат")</f>
        <v>Завантажити сертифікат</v>
      </c>
    </row>
    <row r="4724" spans="1:6" x14ac:dyDescent="0.3">
      <c r="A4724" t="s">
        <v>10134</v>
      </c>
      <c r="B4724" t="s">
        <v>6</v>
      </c>
      <c r="C4724" t="s">
        <v>10135</v>
      </c>
      <c r="D4724" t="s">
        <v>10076</v>
      </c>
      <c r="E4724" t="s">
        <v>10077</v>
      </c>
      <c r="F4724" t="str">
        <f>HYPERLINK("https://talan.bank.gov.ua/get-user-certificate/45CEld2L7KeblS2Cf_VO","Завантажити сертифікат")</f>
        <v>Завантажити сертифікат</v>
      </c>
    </row>
    <row r="4725" spans="1:6" x14ac:dyDescent="0.3">
      <c r="A4725" t="s">
        <v>10136</v>
      </c>
      <c r="B4725" t="s">
        <v>6</v>
      </c>
      <c r="C4725" t="s">
        <v>10137</v>
      </c>
      <c r="D4725" t="s">
        <v>10076</v>
      </c>
      <c r="E4725" t="s">
        <v>10077</v>
      </c>
      <c r="F4725" t="str">
        <f>HYPERLINK("https://talan.bank.gov.ua/get-user-certificate/45CElGDWvuvNO7CwjHC0","Завантажити сертифікат")</f>
        <v>Завантажити сертифікат</v>
      </c>
    </row>
    <row r="4726" spans="1:6" x14ac:dyDescent="0.3">
      <c r="A4726" t="s">
        <v>10138</v>
      </c>
      <c r="B4726" t="s">
        <v>6</v>
      </c>
      <c r="C4726" t="s">
        <v>10139</v>
      </c>
      <c r="D4726" t="s">
        <v>10076</v>
      </c>
      <c r="E4726" t="s">
        <v>10077</v>
      </c>
      <c r="F4726" t="str">
        <f>HYPERLINK("https://talan.bank.gov.ua/get-user-certificate/45CElqcg-32Q5tfV_3gY","Завантажити сертифікат")</f>
        <v>Завантажити сертифікат</v>
      </c>
    </row>
    <row r="4727" spans="1:6" x14ac:dyDescent="0.3">
      <c r="A4727" t="s">
        <v>10140</v>
      </c>
      <c r="B4727" t="s">
        <v>6</v>
      </c>
      <c r="C4727" t="s">
        <v>10141</v>
      </c>
      <c r="D4727" t="s">
        <v>10076</v>
      </c>
      <c r="E4727" t="s">
        <v>10077</v>
      </c>
      <c r="F4727" t="str">
        <f>HYPERLINK("https://talan.bank.gov.ua/get-user-certificate/45CElH7cYH-PWt95Xqq9","Завантажити сертифікат")</f>
        <v>Завантажити сертифікат</v>
      </c>
    </row>
    <row r="4728" spans="1:6" x14ac:dyDescent="0.3">
      <c r="A4728" t="s">
        <v>10142</v>
      </c>
      <c r="B4728" t="s">
        <v>6</v>
      </c>
      <c r="C4728" t="s">
        <v>10143</v>
      </c>
      <c r="D4728" t="s">
        <v>10076</v>
      </c>
      <c r="E4728" t="s">
        <v>10077</v>
      </c>
      <c r="F4728" t="str">
        <f>HYPERLINK("https://talan.bank.gov.ua/get-user-certificate/45CEl0vxzgEUzM5zgVG5","Завантажити сертифікат")</f>
        <v>Завантажити сертифікат</v>
      </c>
    </row>
    <row r="4729" spans="1:6" x14ac:dyDescent="0.3">
      <c r="A4729" t="s">
        <v>10144</v>
      </c>
      <c r="B4729" t="s">
        <v>6</v>
      </c>
      <c r="C4729" t="s">
        <v>10145</v>
      </c>
      <c r="D4729" t="s">
        <v>10146</v>
      </c>
      <c r="E4729" t="s">
        <v>10147</v>
      </c>
      <c r="F4729" t="str">
        <f>HYPERLINK("https://talan.bank.gov.ua/get-user-certificate/45CElMBT7KLu0SGaiAKP","Завантажити сертифікат")</f>
        <v>Завантажити сертифікат</v>
      </c>
    </row>
    <row r="4730" spans="1:6" x14ac:dyDescent="0.3">
      <c r="A4730" t="s">
        <v>10148</v>
      </c>
      <c r="B4730" t="s">
        <v>6</v>
      </c>
      <c r="C4730" t="s">
        <v>10149</v>
      </c>
      <c r="D4730" t="s">
        <v>10146</v>
      </c>
      <c r="E4730" t="s">
        <v>10147</v>
      </c>
      <c r="F4730" t="str">
        <f>HYPERLINK("https://talan.bank.gov.ua/get-user-certificate/45CElTba25dfUPQKzYir","Завантажити сертифікат")</f>
        <v>Завантажити сертифікат</v>
      </c>
    </row>
    <row r="4731" spans="1:6" x14ac:dyDescent="0.3">
      <c r="A4731" t="s">
        <v>10150</v>
      </c>
      <c r="B4731" t="s">
        <v>6</v>
      </c>
      <c r="C4731" t="s">
        <v>10151</v>
      </c>
      <c r="D4731" t="s">
        <v>10146</v>
      </c>
      <c r="E4731" t="s">
        <v>10147</v>
      </c>
      <c r="F4731" t="str">
        <f>HYPERLINK("https://talan.bank.gov.ua/get-user-certificate/45CElXoU3a_NwnPBuTdg","Завантажити сертифікат")</f>
        <v>Завантажити сертифікат</v>
      </c>
    </row>
    <row r="4732" spans="1:6" x14ac:dyDescent="0.3">
      <c r="A4732" t="s">
        <v>10152</v>
      </c>
      <c r="B4732" t="s">
        <v>6</v>
      </c>
      <c r="C4732" t="s">
        <v>10153</v>
      </c>
      <c r="D4732" t="s">
        <v>10146</v>
      </c>
      <c r="E4732" t="s">
        <v>10147</v>
      </c>
      <c r="F4732" t="str">
        <f>HYPERLINK("https://talan.bank.gov.ua/get-user-certificate/45CEl1zh91sS9gsiPGE7","Завантажити сертифікат")</f>
        <v>Завантажити сертифікат</v>
      </c>
    </row>
    <row r="4733" spans="1:6" x14ac:dyDescent="0.3">
      <c r="A4733" t="s">
        <v>10154</v>
      </c>
      <c r="B4733" t="s">
        <v>6</v>
      </c>
      <c r="C4733" t="s">
        <v>10155</v>
      </c>
      <c r="D4733" t="s">
        <v>10146</v>
      </c>
      <c r="E4733" t="s">
        <v>10147</v>
      </c>
      <c r="F4733" t="str">
        <f>HYPERLINK("https://talan.bank.gov.ua/get-user-certificate/45CElWiu7Z1EgNthAojV","Завантажити сертифікат")</f>
        <v>Завантажити сертифікат</v>
      </c>
    </row>
    <row r="4734" spans="1:6" x14ac:dyDescent="0.3">
      <c r="A4734" t="s">
        <v>10156</v>
      </c>
      <c r="B4734" t="s">
        <v>6</v>
      </c>
      <c r="C4734" t="s">
        <v>10157</v>
      </c>
      <c r="D4734" t="s">
        <v>10146</v>
      </c>
      <c r="E4734" t="s">
        <v>10147</v>
      </c>
      <c r="F4734" t="str">
        <f>HYPERLINK("https://talan.bank.gov.ua/get-user-certificate/45CEll37E6N6SN1YPnHi","Завантажити сертифікат")</f>
        <v>Завантажити сертифікат</v>
      </c>
    </row>
    <row r="4735" spans="1:6" x14ac:dyDescent="0.3">
      <c r="A4735" t="s">
        <v>10158</v>
      </c>
      <c r="B4735" t="s">
        <v>6</v>
      </c>
      <c r="C4735" t="s">
        <v>10159</v>
      </c>
      <c r="D4735" t="s">
        <v>10146</v>
      </c>
      <c r="E4735" t="s">
        <v>10147</v>
      </c>
      <c r="F4735" t="str">
        <f>HYPERLINK("https://talan.bank.gov.ua/get-user-certificate/45CEleWLUmNV7orfXIMW","Завантажити сертифікат")</f>
        <v>Завантажити сертифікат</v>
      </c>
    </row>
    <row r="4736" spans="1:6" x14ac:dyDescent="0.3">
      <c r="A4736" t="s">
        <v>10160</v>
      </c>
      <c r="B4736" t="s">
        <v>6</v>
      </c>
      <c r="C4736" t="s">
        <v>10161</v>
      </c>
      <c r="D4736" t="s">
        <v>10146</v>
      </c>
      <c r="E4736" t="s">
        <v>10147</v>
      </c>
      <c r="F4736" t="str">
        <f>HYPERLINK("https://talan.bank.gov.ua/get-user-certificate/45CElwuxOjsLRtwi3MGs","Завантажити сертифікат")</f>
        <v>Завантажити сертифікат</v>
      </c>
    </row>
    <row r="4737" spans="1:6" x14ac:dyDescent="0.3">
      <c r="A4737" t="s">
        <v>10162</v>
      </c>
      <c r="B4737" t="s">
        <v>6</v>
      </c>
      <c r="C4737" t="s">
        <v>10163</v>
      </c>
      <c r="D4737" t="s">
        <v>10146</v>
      </c>
      <c r="E4737" t="s">
        <v>10147</v>
      </c>
      <c r="F4737" t="str">
        <f>HYPERLINK("https://talan.bank.gov.ua/get-user-certificate/45CEl3i33b_c32aA_taS","Завантажити сертифікат")</f>
        <v>Завантажити сертифікат</v>
      </c>
    </row>
    <row r="4738" spans="1:6" x14ac:dyDescent="0.3">
      <c r="A4738" t="s">
        <v>10164</v>
      </c>
      <c r="B4738" t="s">
        <v>6</v>
      </c>
      <c r="C4738" t="s">
        <v>10165</v>
      </c>
      <c r="D4738" t="s">
        <v>10146</v>
      </c>
      <c r="E4738" t="s">
        <v>10147</v>
      </c>
      <c r="F4738" t="str">
        <f>HYPERLINK("https://talan.bank.gov.ua/get-user-certificate/45CEltkA67IZOs8lwYeC","Завантажити сертифікат")</f>
        <v>Завантажити сертифікат</v>
      </c>
    </row>
    <row r="4739" spans="1:6" x14ac:dyDescent="0.3">
      <c r="A4739" t="s">
        <v>10166</v>
      </c>
      <c r="B4739" t="s">
        <v>6</v>
      </c>
      <c r="C4739" t="s">
        <v>10167</v>
      </c>
      <c r="D4739" t="s">
        <v>10168</v>
      </c>
      <c r="E4739" t="s">
        <v>10169</v>
      </c>
      <c r="F4739" t="str">
        <f>HYPERLINK("https://talan.bank.gov.ua/get-user-certificate/45CElXEYlmlMbAvuzxbX","Завантажити сертифікат")</f>
        <v>Завантажити сертифікат</v>
      </c>
    </row>
    <row r="4740" spans="1:6" x14ac:dyDescent="0.3">
      <c r="A4740" t="s">
        <v>10170</v>
      </c>
      <c r="B4740" t="s">
        <v>6</v>
      </c>
      <c r="C4740" t="s">
        <v>10171</v>
      </c>
      <c r="D4740" t="s">
        <v>10168</v>
      </c>
      <c r="E4740" t="s">
        <v>10169</v>
      </c>
      <c r="F4740" t="str">
        <f>HYPERLINK("https://talan.bank.gov.ua/get-user-certificate/45CElyObMks3th8Ush_T","Завантажити сертифікат")</f>
        <v>Завантажити сертифікат</v>
      </c>
    </row>
    <row r="4741" spans="1:6" x14ac:dyDescent="0.3">
      <c r="A4741" t="s">
        <v>10172</v>
      </c>
      <c r="B4741" t="s">
        <v>6</v>
      </c>
      <c r="C4741" t="s">
        <v>10173</v>
      </c>
      <c r="D4741" t="s">
        <v>10168</v>
      </c>
      <c r="E4741" t="s">
        <v>10169</v>
      </c>
      <c r="F4741" t="str">
        <f>HYPERLINK("https://talan.bank.gov.ua/get-user-certificate/45CEl63pY9unazWa296-","Завантажити сертифікат")</f>
        <v>Завантажити сертифікат</v>
      </c>
    </row>
    <row r="4742" spans="1:6" x14ac:dyDescent="0.3">
      <c r="A4742" t="s">
        <v>10174</v>
      </c>
      <c r="B4742" t="s">
        <v>6</v>
      </c>
      <c r="C4742" t="s">
        <v>10175</v>
      </c>
      <c r="D4742" t="s">
        <v>10168</v>
      </c>
      <c r="E4742" t="s">
        <v>10169</v>
      </c>
      <c r="F4742" t="str">
        <f>HYPERLINK("https://talan.bank.gov.ua/get-user-certificate/45CElmuckHMwpS_q_zkq","Завантажити сертифікат")</f>
        <v>Завантажити сертифікат</v>
      </c>
    </row>
    <row r="4743" spans="1:6" x14ac:dyDescent="0.3">
      <c r="A4743" t="s">
        <v>10176</v>
      </c>
      <c r="B4743" t="s">
        <v>6</v>
      </c>
      <c r="C4743" t="s">
        <v>10177</v>
      </c>
      <c r="D4743" t="s">
        <v>10168</v>
      </c>
      <c r="E4743" t="s">
        <v>10169</v>
      </c>
      <c r="F4743" t="str">
        <f>HYPERLINK("https://talan.bank.gov.ua/get-user-certificate/45CElxxZCjkmfFoiXh_t","Завантажити сертифікат")</f>
        <v>Завантажити сертифікат</v>
      </c>
    </row>
    <row r="4744" spans="1:6" x14ac:dyDescent="0.3">
      <c r="A4744" t="s">
        <v>10178</v>
      </c>
      <c r="B4744" t="s">
        <v>6</v>
      </c>
      <c r="C4744" t="s">
        <v>10179</v>
      </c>
      <c r="D4744" t="s">
        <v>10168</v>
      </c>
      <c r="E4744" t="s">
        <v>10169</v>
      </c>
      <c r="F4744" t="str">
        <f>HYPERLINK("https://talan.bank.gov.ua/get-user-certificate/45CElxhl0pY4LxVSI-zm","Завантажити сертифікат")</f>
        <v>Завантажити сертифікат</v>
      </c>
    </row>
    <row r="4745" spans="1:6" x14ac:dyDescent="0.3">
      <c r="A4745" t="s">
        <v>10180</v>
      </c>
      <c r="B4745" t="s">
        <v>6</v>
      </c>
      <c r="C4745" t="s">
        <v>10181</v>
      </c>
      <c r="D4745" t="s">
        <v>10168</v>
      </c>
      <c r="E4745" t="s">
        <v>10169</v>
      </c>
      <c r="F4745" t="str">
        <f>HYPERLINK("https://talan.bank.gov.ua/get-user-certificate/45CElkUu7kGL579F7fb8","Завантажити сертифікат")</f>
        <v>Завантажити сертифікат</v>
      </c>
    </row>
    <row r="4746" spans="1:6" x14ac:dyDescent="0.3">
      <c r="A4746" t="s">
        <v>10182</v>
      </c>
      <c r="B4746" t="s">
        <v>6</v>
      </c>
      <c r="C4746" t="s">
        <v>10183</v>
      </c>
      <c r="D4746" t="s">
        <v>10168</v>
      </c>
      <c r="E4746" t="s">
        <v>10169</v>
      </c>
      <c r="F4746" t="str">
        <f>HYPERLINK("https://talan.bank.gov.ua/get-user-certificate/45CEl4ui7BdH5LED3AGq","Завантажити сертифікат")</f>
        <v>Завантажити сертифікат</v>
      </c>
    </row>
    <row r="4747" spans="1:6" x14ac:dyDescent="0.3">
      <c r="A4747" t="s">
        <v>10184</v>
      </c>
      <c r="B4747" t="s">
        <v>6</v>
      </c>
      <c r="C4747" t="s">
        <v>10185</v>
      </c>
      <c r="D4747" t="s">
        <v>10168</v>
      </c>
      <c r="E4747" t="s">
        <v>10169</v>
      </c>
      <c r="F4747" t="str">
        <f>HYPERLINK("https://talan.bank.gov.ua/get-user-certificate/45CElZHo-8u7Px9JLjWW","Завантажити сертифікат")</f>
        <v>Завантажити сертифікат</v>
      </c>
    </row>
    <row r="4748" spans="1:6" x14ac:dyDescent="0.3">
      <c r="A4748" t="s">
        <v>10186</v>
      </c>
      <c r="B4748" t="s">
        <v>6</v>
      </c>
      <c r="C4748" t="s">
        <v>10187</v>
      </c>
      <c r="D4748" t="s">
        <v>10168</v>
      </c>
      <c r="E4748" t="s">
        <v>10169</v>
      </c>
      <c r="F4748" t="str">
        <f>HYPERLINK("https://talan.bank.gov.ua/get-user-certificate/45CElxfn4b0MXcWKA6uu","Завантажити сертифікат")</f>
        <v>Завантажити сертифікат</v>
      </c>
    </row>
    <row r="4749" spans="1:6" x14ac:dyDescent="0.3">
      <c r="A4749" t="s">
        <v>10188</v>
      </c>
      <c r="B4749" t="s">
        <v>6</v>
      </c>
      <c r="C4749" t="s">
        <v>10189</v>
      </c>
      <c r="D4749" t="s">
        <v>10168</v>
      </c>
      <c r="E4749" t="s">
        <v>10169</v>
      </c>
      <c r="F4749" t="str">
        <f>HYPERLINK("https://talan.bank.gov.ua/get-user-certificate/45CElAS6h8swahIi1-Am","Завантажити сертифікат")</f>
        <v>Завантажити сертифікат</v>
      </c>
    </row>
    <row r="4750" spans="1:6" x14ac:dyDescent="0.3">
      <c r="A4750" t="s">
        <v>10190</v>
      </c>
      <c r="B4750" t="s">
        <v>6</v>
      </c>
      <c r="C4750" t="s">
        <v>10191</v>
      </c>
      <c r="D4750" t="s">
        <v>10168</v>
      </c>
      <c r="E4750" t="s">
        <v>10169</v>
      </c>
      <c r="F4750" t="str">
        <f>HYPERLINK("https://talan.bank.gov.ua/get-user-certificate/45CEleN70gwJjs3v6RNY","Завантажити сертифікат")</f>
        <v>Завантажити сертифікат</v>
      </c>
    </row>
    <row r="4751" spans="1:6" x14ac:dyDescent="0.3">
      <c r="A4751" t="s">
        <v>10192</v>
      </c>
      <c r="B4751" t="s">
        <v>6</v>
      </c>
      <c r="C4751" t="s">
        <v>10193</v>
      </c>
      <c r="D4751" t="s">
        <v>10168</v>
      </c>
      <c r="E4751" t="s">
        <v>10169</v>
      </c>
      <c r="F4751" t="str">
        <f>HYPERLINK("https://talan.bank.gov.ua/get-user-certificate/45CElRUwpz8WDzqgU3NB","Завантажити сертифікат")</f>
        <v>Завантажити сертифікат</v>
      </c>
    </row>
    <row r="4752" spans="1:6" x14ac:dyDescent="0.3">
      <c r="A4752" t="s">
        <v>10194</v>
      </c>
      <c r="B4752" t="s">
        <v>6</v>
      </c>
      <c r="C4752" t="s">
        <v>10195</v>
      </c>
      <c r="D4752" t="s">
        <v>10168</v>
      </c>
      <c r="E4752" t="s">
        <v>10169</v>
      </c>
      <c r="F4752" t="str">
        <f>HYPERLINK("https://talan.bank.gov.ua/get-user-certificate/45CEl3dGDOqliLpbzMST","Завантажити сертифікат")</f>
        <v>Завантажити сертифікат</v>
      </c>
    </row>
    <row r="4753" spans="1:6" x14ac:dyDescent="0.3">
      <c r="A4753" t="s">
        <v>10196</v>
      </c>
      <c r="B4753" t="s">
        <v>6</v>
      </c>
      <c r="C4753" t="s">
        <v>10197</v>
      </c>
      <c r="D4753" t="s">
        <v>10168</v>
      </c>
      <c r="E4753" t="s">
        <v>10169</v>
      </c>
      <c r="F4753" t="str">
        <f>HYPERLINK("https://talan.bank.gov.ua/get-user-certificate/45CElMMgJOdsMFE8fJBG","Завантажити сертифікат")</f>
        <v>Завантажити сертифікат</v>
      </c>
    </row>
    <row r="4754" spans="1:6" x14ac:dyDescent="0.3">
      <c r="A4754" t="s">
        <v>10198</v>
      </c>
      <c r="B4754" t="s">
        <v>6</v>
      </c>
      <c r="C4754" t="s">
        <v>10199</v>
      </c>
      <c r="D4754" t="s">
        <v>10168</v>
      </c>
      <c r="E4754" t="s">
        <v>10169</v>
      </c>
      <c r="F4754" t="str">
        <f>HYPERLINK("https://talan.bank.gov.ua/get-user-certificate/45CEl2nS9qJQH2JIlQXu","Завантажити сертифікат")</f>
        <v>Завантажити сертифікат</v>
      </c>
    </row>
    <row r="4755" spans="1:6" x14ac:dyDescent="0.3">
      <c r="A4755" t="s">
        <v>10200</v>
      </c>
      <c r="B4755" t="s">
        <v>6</v>
      </c>
      <c r="C4755" t="s">
        <v>10201</v>
      </c>
      <c r="D4755" t="s">
        <v>10168</v>
      </c>
      <c r="E4755" t="s">
        <v>10169</v>
      </c>
      <c r="F4755" t="str">
        <f>HYPERLINK("https://talan.bank.gov.ua/get-user-certificate/45CElE9MW1r7K1X5siU2","Завантажити сертифікат")</f>
        <v>Завантажити сертифікат</v>
      </c>
    </row>
    <row r="4756" spans="1:6" x14ac:dyDescent="0.3">
      <c r="A4756" t="s">
        <v>10202</v>
      </c>
      <c r="B4756" t="s">
        <v>6</v>
      </c>
      <c r="C4756" t="s">
        <v>10203</v>
      </c>
      <c r="D4756" t="s">
        <v>10168</v>
      </c>
      <c r="E4756" t="s">
        <v>10169</v>
      </c>
      <c r="F4756" t="str">
        <f>HYPERLINK("https://talan.bank.gov.ua/get-user-certificate/45CElHCvgyLpUJvl1AFB","Завантажити сертифікат")</f>
        <v>Завантажити сертифікат</v>
      </c>
    </row>
    <row r="4757" spans="1:6" x14ac:dyDescent="0.3">
      <c r="A4757" t="s">
        <v>10204</v>
      </c>
      <c r="B4757" t="s">
        <v>6</v>
      </c>
      <c r="C4757" t="s">
        <v>10205</v>
      </c>
      <c r="D4757" t="s">
        <v>10168</v>
      </c>
      <c r="E4757" t="s">
        <v>10169</v>
      </c>
      <c r="F4757" t="str">
        <f>HYPERLINK("https://talan.bank.gov.ua/get-user-certificate/45CEluwuvPe6ai6plDpq","Завантажити сертифікат")</f>
        <v>Завантажити сертифікат</v>
      </c>
    </row>
    <row r="4758" spans="1:6" x14ac:dyDescent="0.3">
      <c r="A4758" t="s">
        <v>10206</v>
      </c>
      <c r="B4758" t="s">
        <v>6</v>
      </c>
      <c r="C4758" t="s">
        <v>10207</v>
      </c>
      <c r="D4758" t="s">
        <v>10168</v>
      </c>
      <c r="E4758" t="s">
        <v>10169</v>
      </c>
      <c r="F4758" t="str">
        <f>HYPERLINK("https://talan.bank.gov.ua/get-user-certificate/45CElyK9JlP7h7ReKRW_","Завантажити сертифікат")</f>
        <v>Завантажити сертифікат</v>
      </c>
    </row>
    <row r="4759" spans="1:6" x14ac:dyDescent="0.3">
      <c r="A4759" t="s">
        <v>10208</v>
      </c>
      <c r="B4759" t="s">
        <v>6</v>
      </c>
      <c r="C4759" t="s">
        <v>10209</v>
      </c>
      <c r="D4759" t="s">
        <v>10210</v>
      </c>
      <c r="E4759" t="s">
        <v>10211</v>
      </c>
      <c r="F4759" t="str">
        <f>HYPERLINK("https://talan.bank.gov.ua/get-user-certificate/45CEln0dONKSg_C-jeJB","Завантажити сертифікат")</f>
        <v>Завантажити сертифікат</v>
      </c>
    </row>
    <row r="4760" spans="1:6" x14ac:dyDescent="0.3">
      <c r="A4760" t="s">
        <v>10212</v>
      </c>
      <c r="B4760" t="s">
        <v>6</v>
      </c>
      <c r="C4760" t="s">
        <v>10213</v>
      </c>
      <c r="D4760" t="s">
        <v>10210</v>
      </c>
      <c r="E4760" t="s">
        <v>10211</v>
      </c>
      <c r="F4760" t="str">
        <f>HYPERLINK("https://talan.bank.gov.ua/get-user-certificate/45CElhLMyTCfB76v18bd","Завантажити сертифікат")</f>
        <v>Завантажити сертифікат</v>
      </c>
    </row>
    <row r="4761" spans="1:6" x14ac:dyDescent="0.3">
      <c r="A4761" t="s">
        <v>10214</v>
      </c>
      <c r="B4761" t="s">
        <v>6</v>
      </c>
      <c r="C4761" t="s">
        <v>10215</v>
      </c>
      <c r="D4761" t="s">
        <v>10210</v>
      </c>
      <c r="E4761" t="s">
        <v>10211</v>
      </c>
      <c r="F4761" t="str">
        <f>HYPERLINK("https://talan.bank.gov.ua/get-user-certificate/45CElvUWwReAZF6rQHQI","Завантажити сертифікат")</f>
        <v>Завантажити сертифікат</v>
      </c>
    </row>
    <row r="4762" spans="1:6" x14ac:dyDescent="0.3">
      <c r="A4762" t="s">
        <v>10216</v>
      </c>
      <c r="B4762" t="s">
        <v>6</v>
      </c>
      <c r="C4762" t="s">
        <v>10217</v>
      </c>
      <c r="D4762" t="s">
        <v>10218</v>
      </c>
      <c r="E4762" t="s">
        <v>10219</v>
      </c>
      <c r="F4762" t="str">
        <f>HYPERLINK("https://talan.bank.gov.ua/get-user-certificate/45CEljgpa8tQdIY2Telp","Завантажити сертифікат")</f>
        <v>Завантажити сертифікат</v>
      </c>
    </row>
    <row r="4763" spans="1:6" x14ac:dyDescent="0.3">
      <c r="A4763" t="s">
        <v>10220</v>
      </c>
      <c r="B4763" t="s">
        <v>6</v>
      </c>
      <c r="C4763" t="s">
        <v>10221</v>
      </c>
      <c r="D4763" t="s">
        <v>10218</v>
      </c>
      <c r="E4763" t="s">
        <v>10219</v>
      </c>
      <c r="F4763" t="str">
        <f>HYPERLINK("https://talan.bank.gov.ua/get-user-certificate/45CElQSNVzh0IRajw9Ng","Завантажити сертифікат")</f>
        <v>Завантажити сертифікат</v>
      </c>
    </row>
    <row r="4764" spans="1:6" x14ac:dyDescent="0.3">
      <c r="A4764" t="s">
        <v>10222</v>
      </c>
      <c r="B4764" t="s">
        <v>6</v>
      </c>
      <c r="C4764" t="s">
        <v>10223</v>
      </c>
      <c r="D4764" t="s">
        <v>10218</v>
      </c>
      <c r="E4764" t="s">
        <v>10219</v>
      </c>
      <c r="F4764" t="str">
        <f>HYPERLINK("https://talan.bank.gov.ua/get-user-certificate/45CElUl4ymFsyJ6p8VmA","Завантажити сертифікат")</f>
        <v>Завантажити сертифікат</v>
      </c>
    </row>
    <row r="4765" spans="1:6" x14ac:dyDescent="0.3">
      <c r="A4765" t="s">
        <v>10224</v>
      </c>
      <c r="B4765" t="s">
        <v>6</v>
      </c>
      <c r="C4765" t="s">
        <v>10225</v>
      </c>
      <c r="D4765" t="s">
        <v>10218</v>
      </c>
      <c r="E4765" t="s">
        <v>10219</v>
      </c>
      <c r="F4765" t="str">
        <f>HYPERLINK("https://talan.bank.gov.ua/get-user-certificate/45CElYEiYtM08VOnTefP","Завантажити сертифікат")</f>
        <v>Завантажити сертифікат</v>
      </c>
    </row>
    <row r="4766" spans="1:6" x14ac:dyDescent="0.3">
      <c r="A4766" t="s">
        <v>10226</v>
      </c>
      <c r="B4766" t="s">
        <v>6</v>
      </c>
      <c r="C4766" t="s">
        <v>10227</v>
      </c>
      <c r="D4766" t="s">
        <v>10228</v>
      </c>
      <c r="E4766" t="s">
        <v>10229</v>
      </c>
      <c r="F4766" t="str">
        <f>HYPERLINK("https://talan.bank.gov.ua/get-user-certificate/45CEl9qz8BauhZpRZM3i","Завантажити сертифікат")</f>
        <v>Завантажити сертифікат</v>
      </c>
    </row>
    <row r="4767" spans="1:6" x14ac:dyDescent="0.3">
      <c r="A4767" t="s">
        <v>10230</v>
      </c>
      <c r="B4767" t="s">
        <v>6</v>
      </c>
      <c r="C4767" t="s">
        <v>10231</v>
      </c>
      <c r="D4767" t="s">
        <v>10228</v>
      </c>
      <c r="E4767" t="s">
        <v>10229</v>
      </c>
      <c r="F4767" t="str">
        <f>HYPERLINK("https://talan.bank.gov.ua/get-user-certificate/45CElSDe5UuwKjrpfv8z","Завантажити сертифікат")</f>
        <v>Завантажити сертифікат</v>
      </c>
    </row>
    <row r="4768" spans="1:6" x14ac:dyDescent="0.3">
      <c r="A4768" t="s">
        <v>10232</v>
      </c>
      <c r="B4768" t="s">
        <v>6</v>
      </c>
      <c r="C4768" t="s">
        <v>10233</v>
      </c>
      <c r="D4768" t="s">
        <v>10228</v>
      </c>
      <c r="E4768" t="s">
        <v>10229</v>
      </c>
      <c r="F4768" t="str">
        <f>HYPERLINK("https://talan.bank.gov.ua/get-user-certificate/45CElk3ewHF105QKPfAU","Завантажити сертифікат")</f>
        <v>Завантажити сертифікат</v>
      </c>
    </row>
    <row r="4769" spans="1:6" x14ac:dyDescent="0.3">
      <c r="A4769" t="s">
        <v>10234</v>
      </c>
      <c r="B4769" t="s">
        <v>6</v>
      </c>
      <c r="C4769" t="s">
        <v>10235</v>
      </c>
      <c r="D4769" t="s">
        <v>10228</v>
      </c>
      <c r="E4769" t="s">
        <v>10229</v>
      </c>
      <c r="F4769" t="str">
        <f>HYPERLINK("https://talan.bank.gov.ua/get-user-certificate/45CEl7zGX2xNtpYBN3yK","Завантажити сертифікат")</f>
        <v>Завантажити сертифікат</v>
      </c>
    </row>
    <row r="4770" spans="1:6" x14ac:dyDescent="0.3">
      <c r="A4770" t="s">
        <v>10236</v>
      </c>
      <c r="B4770" t="s">
        <v>6</v>
      </c>
      <c r="C4770" t="s">
        <v>10237</v>
      </c>
      <c r="D4770" t="s">
        <v>10228</v>
      </c>
      <c r="E4770" t="s">
        <v>10229</v>
      </c>
      <c r="F4770" t="str">
        <f>HYPERLINK("https://talan.bank.gov.ua/get-user-certificate/45CEliVqxAr77KF-z1aR","Завантажити сертифікат")</f>
        <v>Завантажити сертифікат</v>
      </c>
    </row>
    <row r="4771" spans="1:6" x14ac:dyDescent="0.3">
      <c r="A4771" t="s">
        <v>10238</v>
      </c>
      <c r="B4771" t="s">
        <v>6</v>
      </c>
      <c r="C4771" t="s">
        <v>10239</v>
      </c>
      <c r="D4771" t="s">
        <v>10228</v>
      </c>
      <c r="E4771" t="s">
        <v>10229</v>
      </c>
      <c r="F4771" t="str">
        <f>HYPERLINK("https://talan.bank.gov.ua/get-user-certificate/45CElBLt-4-lxyzqd1d-","Завантажити сертифікат")</f>
        <v>Завантажити сертифікат</v>
      </c>
    </row>
    <row r="4772" spans="1:6" x14ac:dyDescent="0.3">
      <c r="A4772" t="s">
        <v>10240</v>
      </c>
      <c r="B4772" t="s">
        <v>6</v>
      </c>
      <c r="C4772" t="s">
        <v>10241</v>
      </c>
      <c r="D4772" t="s">
        <v>10242</v>
      </c>
      <c r="E4772" t="s">
        <v>10243</v>
      </c>
      <c r="F4772" t="str">
        <f>HYPERLINK("https://talan.bank.gov.ua/get-user-certificate/45CElinhijWpwuzIHHCZ","Завантажити сертифікат")</f>
        <v>Завантажити сертифікат</v>
      </c>
    </row>
    <row r="4773" spans="1:6" x14ac:dyDescent="0.3">
      <c r="A4773" t="s">
        <v>10244</v>
      </c>
      <c r="B4773" t="s">
        <v>6</v>
      </c>
      <c r="C4773" t="s">
        <v>10245</v>
      </c>
      <c r="D4773" t="s">
        <v>10242</v>
      </c>
      <c r="E4773" t="s">
        <v>10243</v>
      </c>
      <c r="F4773" t="str">
        <f>HYPERLINK("https://talan.bank.gov.ua/get-user-certificate/45CEllgOpAQcK_0-qSWq","Завантажити сертифікат")</f>
        <v>Завантажити сертифікат</v>
      </c>
    </row>
    <row r="4774" spans="1:6" x14ac:dyDescent="0.3">
      <c r="A4774" t="s">
        <v>10246</v>
      </c>
      <c r="B4774" t="s">
        <v>6</v>
      </c>
      <c r="C4774" t="s">
        <v>10247</v>
      </c>
      <c r="D4774" t="s">
        <v>10242</v>
      </c>
      <c r="E4774" t="s">
        <v>10243</v>
      </c>
      <c r="F4774" t="str">
        <f>HYPERLINK("https://talan.bank.gov.ua/get-user-certificate/45CElI2GWBA-M_JaxikF","Завантажити сертифікат")</f>
        <v>Завантажити сертифікат</v>
      </c>
    </row>
    <row r="4775" spans="1:6" x14ac:dyDescent="0.3">
      <c r="A4775" t="s">
        <v>10248</v>
      </c>
      <c r="B4775" t="s">
        <v>6</v>
      </c>
      <c r="C4775" t="s">
        <v>10249</v>
      </c>
      <c r="D4775" t="s">
        <v>10242</v>
      </c>
      <c r="E4775" t="s">
        <v>10243</v>
      </c>
      <c r="F4775" t="str">
        <f>HYPERLINK("https://talan.bank.gov.ua/get-user-certificate/45CElH9soyUInOw6dZms","Завантажити сертифікат")</f>
        <v>Завантажити сертифікат</v>
      </c>
    </row>
    <row r="4776" spans="1:6" x14ac:dyDescent="0.3">
      <c r="A4776" t="s">
        <v>10250</v>
      </c>
      <c r="B4776" t="s">
        <v>6</v>
      </c>
      <c r="C4776" t="s">
        <v>10251</v>
      </c>
      <c r="D4776" t="s">
        <v>10242</v>
      </c>
      <c r="E4776" t="s">
        <v>10243</v>
      </c>
      <c r="F4776" t="str">
        <f>HYPERLINK("https://talan.bank.gov.ua/get-user-certificate/45CElBA9Mryp_e0Gsvdm","Завантажити сертифікат")</f>
        <v>Завантажити сертифікат</v>
      </c>
    </row>
    <row r="4777" spans="1:6" x14ac:dyDescent="0.3">
      <c r="A4777" t="s">
        <v>10252</v>
      </c>
      <c r="B4777" t="s">
        <v>6</v>
      </c>
      <c r="C4777" t="s">
        <v>10253</v>
      </c>
      <c r="D4777" t="s">
        <v>10242</v>
      </c>
      <c r="E4777" t="s">
        <v>10243</v>
      </c>
      <c r="F4777" t="str">
        <f>HYPERLINK("https://talan.bank.gov.ua/get-user-certificate/45CEljOs_ys--MPcNVml","Завантажити сертифікат")</f>
        <v>Завантажити сертифікат</v>
      </c>
    </row>
    <row r="4778" spans="1:6" x14ac:dyDescent="0.3">
      <c r="A4778" t="s">
        <v>10254</v>
      </c>
      <c r="B4778" t="s">
        <v>6</v>
      </c>
      <c r="C4778" t="s">
        <v>10255</v>
      </c>
      <c r="D4778" t="s">
        <v>10242</v>
      </c>
      <c r="E4778" t="s">
        <v>10243</v>
      </c>
      <c r="F4778" t="str">
        <f>HYPERLINK("https://talan.bank.gov.ua/get-user-certificate/45CElo0X15cH2zExCY0r","Завантажити сертифікат")</f>
        <v>Завантажити сертифікат</v>
      </c>
    </row>
    <row r="4779" spans="1:6" x14ac:dyDescent="0.3">
      <c r="A4779" t="s">
        <v>10256</v>
      </c>
      <c r="B4779" t="s">
        <v>6</v>
      </c>
      <c r="C4779" t="s">
        <v>10257</v>
      </c>
      <c r="D4779" t="s">
        <v>10242</v>
      </c>
      <c r="E4779" t="s">
        <v>10243</v>
      </c>
      <c r="F4779" t="str">
        <f>HYPERLINK("https://talan.bank.gov.ua/get-user-certificate/45CEl_14fls3Zwtsh-XQ","Завантажити сертифікат")</f>
        <v>Завантажити сертифікат</v>
      </c>
    </row>
    <row r="4780" spans="1:6" x14ac:dyDescent="0.3">
      <c r="A4780" t="s">
        <v>10258</v>
      </c>
      <c r="B4780" t="s">
        <v>6</v>
      </c>
      <c r="C4780" t="s">
        <v>10259</v>
      </c>
      <c r="D4780" t="s">
        <v>10242</v>
      </c>
      <c r="E4780" t="s">
        <v>10243</v>
      </c>
      <c r="F4780" t="str">
        <f>HYPERLINK("https://talan.bank.gov.ua/get-user-certificate/45CEl6w3gzCdPRT4-Xl4","Завантажити сертифікат")</f>
        <v>Завантажити сертифікат</v>
      </c>
    </row>
    <row r="4781" spans="1:6" x14ac:dyDescent="0.3">
      <c r="A4781" t="s">
        <v>10260</v>
      </c>
      <c r="B4781" t="s">
        <v>6</v>
      </c>
      <c r="C4781" t="s">
        <v>10261</v>
      </c>
      <c r="D4781" t="s">
        <v>10242</v>
      </c>
      <c r="E4781" t="s">
        <v>10243</v>
      </c>
      <c r="F4781" t="str">
        <f>HYPERLINK("https://talan.bank.gov.ua/get-user-certificate/45CEl3urQZJlVnMBnmOH","Завантажити сертифікат")</f>
        <v>Завантажити сертифікат</v>
      </c>
    </row>
    <row r="4782" spans="1:6" x14ac:dyDescent="0.3">
      <c r="A4782" t="s">
        <v>10262</v>
      </c>
      <c r="B4782" t="s">
        <v>6</v>
      </c>
      <c r="C4782" t="s">
        <v>10263</v>
      </c>
      <c r="D4782" t="s">
        <v>10242</v>
      </c>
      <c r="E4782" t="s">
        <v>10243</v>
      </c>
      <c r="F4782" t="str">
        <f>HYPERLINK("https://talan.bank.gov.ua/get-user-certificate/45CElSp94ObxzMYEwOI7","Завантажити сертифікат")</f>
        <v>Завантажити сертифікат</v>
      </c>
    </row>
    <row r="4783" spans="1:6" x14ac:dyDescent="0.3">
      <c r="A4783" t="s">
        <v>10264</v>
      </c>
      <c r="B4783" t="s">
        <v>6</v>
      </c>
      <c r="C4783" t="s">
        <v>10265</v>
      </c>
      <c r="D4783" t="s">
        <v>10242</v>
      </c>
      <c r="E4783" t="s">
        <v>10243</v>
      </c>
      <c r="F4783" t="str">
        <f>HYPERLINK("https://talan.bank.gov.ua/get-user-certificate/45CEl1LdYqyNxEky--zQ","Завантажити сертифікат")</f>
        <v>Завантажити сертифікат</v>
      </c>
    </row>
    <row r="4784" spans="1:6" x14ac:dyDescent="0.3">
      <c r="A4784" t="s">
        <v>10266</v>
      </c>
      <c r="B4784" t="s">
        <v>6</v>
      </c>
      <c r="C4784" t="s">
        <v>10267</v>
      </c>
      <c r="D4784" t="s">
        <v>10242</v>
      </c>
      <c r="E4784" t="s">
        <v>10243</v>
      </c>
      <c r="F4784" t="str">
        <f>HYPERLINK("https://talan.bank.gov.ua/get-user-certificate/45CElQJuNhmlA7kimVWL","Завантажити сертифікат")</f>
        <v>Завантажити сертифікат</v>
      </c>
    </row>
    <row r="4785" spans="1:6" x14ac:dyDescent="0.3">
      <c r="A4785" t="s">
        <v>10268</v>
      </c>
      <c r="B4785" t="s">
        <v>6</v>
      </c>
      <c r="C4785" t="s">
        <v>10269</v>
      </c>
      <c r="D4785" t="s">
        <v>10242</v>
      </c>
      <c r="E4785" t="s">
        <v>10243</v>
      </c>
      <c r="F4785" t="str">
        <f>HYPERLINK("https://talan.bank.gov.ua/get-user-certificate/45CEluGKn2TgbfXHKZBN","Завантажити сертифікат")</f>
        <v>Завантажити сертифікат</v>
      </c>
    </row>
    <row r="4786" spans="1:6" x14ac:dyDescent="0.3">
      <c r="A4786" t="s">
        <v>10270</v>
      </c>
      <c r="B4786" t="s">
        <v>6</v>
      </c>
      <c r="C4786" t="s">
        <v>10271</v>
      </c>
      <c r="D4786" t="s">
        <v>10242</v>
      </c>
      <c r="E4786" t="s">
        <v>10243</v>
      </c>
      <c r="F4786" t="str">
        <f>HYPERLINK("https://talan.bank.gov.ua/get-user-certificate/45CElgJcikj7UgA1HGdw","Завантажити сертифікат")</f>
        <v>Завантажити сертифікат</v>
      </c>
    </row>
    <row r="4787" spans="1:6" x14ac:dyDescent="0.3">
      <c r="A4787" t="s">
        <v>10272</v>
      </c>
      <c r="B4787" t="s">
        <v>6</v>
      </c>
      <c r="C4787" t="s">
        <v>10273</v>
      </c>
      <c r="D4787" t="s">
        <v>10242</v>
      </c>
      <c r="E4787" t="s">
        <v>10243</v>
      </c>
      <c r="F4787" t="str">
        <f>HYPERLINK("https://talan.bank.gov.ua/get-user-certificate/45CElZ2jmViYPkqRGhrb","Завантажити сертифікат")</f>
        <v>Завантажити сертифікат</v>
      </c>
    </row>
    <row r="4788" spans="1:6" x14ac:dyDescent="0.3">
      <c r="A4788" t="s">
        <v>10274</v>
      </c>
      <c r="B4788" t="s">
        <v>6</v>
      </c>
      <c r="C4788" t="s">
        <v>10275</v>
      </c>
      <c r="D4788" t="s">
        <v>10242</v>
      </c>
      <c r="E4788" t="s">
        <v>10243</v>
      </c>
      <c r="F4788" t="str">
        <f>HYPERLINK("https://talan.bank.gov.ua/get-user-certificate/45CElm3YNs6FXiq_eBwz","Завантажити сертифікат")</f>
        <v>Завантажити сертифікат</v>
      </c>
    </row>
    <row r="4789" spans="1:6" x14ac:dyDescent="0.3">
      <c r="A4789" t="s">
        <v>10276</v>
      </c>
      <c r="B4789" t="s">
        <v>6</v>
      </c>
      <c r="C4789" t="s">
        <v>10277</v>
      </c>
      <c r="D4789" t="s">
        <v>10242</v>
      </c>
      <c r="E4789" t="s">
        <v>10243</v>
      </c>
      <c r="F4789" t="str">
        <f>HYPERLINK("https://talan.bank.gov.ua/get-user-certificate/45CElMRpzIJUi59Fok1z","Завантажити сертифікат")</f>
        <v>Завантажити сертифікат</v>
      </c>
    </row>
    <row r="4790" spans="1:6" x14ac:dyDescent="0.3">
      <c r="A4790" t="s">
        <v>10278</v>
      </c>
      <c r="B4790" t="s">
        <v>6</v>
      </c>
      <c r="C4790" t="s">
        <v>10279</v>
      </c>
      <c r="D4790" t="s">
        <v>10242</v>
      </c>
      <c r="E4790" t="s">
        <v>10243</v>
      </c>
      <c r="F4790" t="str">
        <f>HYPERLINK("https://talan.bank.gov.ua/get-user-certificate/45CElyebqUCjxApNEEXQ","Завантажити сертифікат")</f>
        <v>Завантажити сертифікат</v>
      </c>
    </row>
    <row r="4791" spans="1:6" x14ac:dyDescent="0.3">
      <c r="A4791" t="s">
        <v>10280</v>
      </c>
      <c r="B4791" t="s">
        <v>6</v>
      </c>
      <c r="C4791" t="s">
        <v>10281</v>
      </c>
      <c r="D4791" t="s">
        <v>10242</v>
      </c>
      <c r="E4791" t="s">
        <v>10243</v>
      </c>
      <c r="F4791" t="str">
        <f>HYPERLINK("https://talan.bank.gov.ua/get-user-certificate/45CEl7PrR6pGA5nnXldh","Завантажити сертифікат")</f>
        <v>Завантажити сертифікат</v>
      </c>
    </row>
    <row r="4792" spans="1:6" x14ac:dyDescent="0.3">
      <c r="A4792" t="s">
        <v>10282</v>
      </c>
      <c r="B4792" t="s">
        <v>6</v>
      </c>
      <c r="C4792" t="s">
        <v>10283</v>
      </c>
      <c r="D4792" t="s">
        <v>10242</v>
      </c>
      <c r="E4792" t="s">
        <v>10243</v>
      </c>
      <c r="F4792" t="str">
        <f>HYPERLINK("https://talan.bank.gov.ua/get-user-certificate/45CEl-kyLPLBjs4LL4fG","Завантажити сертифікат")</f>
        <v>Завантажити сертифікат</v>
      </c>
    </row>
    <row r="4793" spans="1:6" x14ac:dyDescent="0.3">
      <c r="A4793" t="s">
        <v>10284</v>
      </c>
      <c r="B4793" t="s">
        <v>6</v>
      </c>
      <c r="C4793" t="s">
        <v>10285</v>
      </c>
      <c r="D4793" t="s">
        <v>10242</v>
      </c>
      <c r="E4793" t="s">
        <v>10243</v>
      </c>
      <c r="F4793" t="str">
        <f>HYPERLINK("https://talan.bank.gov.ua/get-user-certificate/45CElpk1Pt19kjX6Z6lz","Завантажити сертифікат")</f>
        <v>Завантажити сертифікат</v>
      </c>
    </row>
    <row r="4794" spans="1:6" x14ac:dyDescent="0.3">
      <c r="A4794" t="s">
        <v>10286</v>
      </c>
      <c r="B4794" t="s">
        <v>6</v>
      </c>
      <c r="C4794" t="s">
        <v>10287</v>
      </c>
      <c r="D4794" t="s">
        <v>10242</v>
      </c>
      <c r="E4794" t="s">
        <v>10243</v>
      </c>
      <c r="F4794" t="str">
        <f>HYPERLINK("https://talan.bank.gov.ua/get-user-certificate/45CElCGry41euT9C8zD-","Завантажити сертифікат")</f>
        <v>Завантажити сертифікат</v>
      </c>
    </row>
    <row r="4795" spans="1:6" x14ac:dyDescent="0.3">
      <c r="A4795" t="s">
        <v>10288</v>
      </c>
      <c r="B4795" t="s">
        <v>6</v>
      </c>
      <c r="C4795" t="s">
        <v>10289</v>
      </c>
      <c r="D4795" t="s">
        <v>10242</v>
      </c>
      <c r="E4795" t="s">
        <v>10243</v>
      </c>
      <c r="F4795" t="str">
        <f>HYPERLINK("https://talan.bank.gov.ua/get-user-certificate/45CEl7-7aYZMQ1spkOGX","Завантажити сертифікат")</f>
        <v>Завантажити сертифікат</v>
      </c>
    </row>
    <row r="4796" spans="1:6" x14ac:dyDescent="0.3">
      <c r="A4796" t="s">
        <v>10290</v>
      </c>
      <c r="B4796" t="s">
        <v>6</v>
      </c>
      <c r="C4796" t="s">
        <v>10291</v>
      </c>
      <c r="D4796" t="s">
        <v>10242</v>
      </c>
      <c r="E4796" t="s">
        <v>10243</v>
      </c>
      <c r="F4796" t="str">
        <f>HYPERLINK("https://talan.bank.gov.ua/get-user-certificate/45CElNzji3rxz0Y3C1Xv","Завантажити сертифікат")</f>
        <v>Завантажити сертифікат</v>
      </c>
    </row>
    <row r="4797" spans="1:6" x14ac:dyDescent="0.3">
      <c r="A4797" t="s">
        <v>10292</v>
      </c>
      <c r="B4797" t="s">
        <v>6</v>
      </c>
      <c r="C4797" t="s">
        <v>10293</v>
      </c>
      <c r="D4797" t="s">
        <v>10242</v>
      </c>
      <c r="E4797" t="s">
        <v>10243</v>
      </c>
      <c r="F4797" t="str">
        <f>HYPERLINK("https://talan.bank.gov.ua/get-user-certificate/45CElSq475wLHU9HH5e6","Завантажити сертифікат")</f>
        <v>Завантажити сертифікат</v>
      </c>
    </row>
    <row r="4798" spans="1:6" x14ac:dyDescent="0.3">
      <c r="A4798" t="s">
        <v>10294</v>
      </c>
      <c r="B4798" t="s">
        <v>6</v>
      </c>
      <c r="C4798" t="s">
        <v>10295</v>
      </c>
      <c r="D4798" t="s">
        <v>10242</v>
      </c>
      <c r="E4798" t="s">
        <v>10243</v>
      </c>
      <c r="F4798" t="str">
        <f>HYPERLINK("https://talan.bank.gov.ua/get-user-certificate/45CElt-8EXM3fa5hW6P3","Завантажити сертифікат")</f>
        <v>Завантажити сертифікат</v>
      </c>
    </row>
    <row r="4799" spans="1:6" x14ac:dyDescent="0.3">
      <c r="A4799" t="s">
        <v>10296</v>
      </c>
      <c r="B4799" t="s">
        <v>6</v>
      </c>
      <c r="C4799" t="s">
        <v>10297</v>
      </c>
      <c r="D4799" t="s">
        <v>10242</v>
      </c>
      <c r="E4799" t="s">
        <v>10243</v>
      </c>
      <c r="F4799" t="str">
        <f>HYPERLINK("https://talan.bank.gov.ua/get-user-certificate/45CElHb_FfWL4XasZHY9","Завантажити сертифікат")</f>
        <v>Завантажити сертифікат</v>
      </c>
    </row>
    <row r="4800" spans="1:6" x14ac:dyDescent="0.3">
      <c r="A4800" t="s">
        <v>10298</v>
      </c>
      <c r="B4800" t="s">
        <v>6</v>
      </c>
      <c r="C4800" t="s">
        <v>10299</v>
      </c>
      <c r="D4800" t="s">
        <v>10242</v>
      </c>
      <c r="E4800" t="s">
        <v>10243</v>
      </c>
      <c r="F4800" t="str">
        <f>HYPERLINK("https://talan.bank.gov.ua/get-user-certificate/45CEllxWwkf9lKX7ngim","Завантажити сертифікат")</f>
        <v>Завантажити сертифікат</v>
      </c>
    </row>
    <row r="4801" spans="1:6" x14ac:dyDescent="0.3">
      <c r="A4801" t="s">
        <v>10300</v>
      </c>
      <c r="B4801" t="s">
        <v>6</v>
      </c>
      <c r="C4801" t="s">
        <v>10301</v>
      </c>
      <c r="D4801" t="s">
        <v>10242</v>
      </c>
      <c r="E4801" t="s">
        <v>10243</v>
      </c>
      <c r="F4801" t="str">
        <f>HYPERLINK("https://talan.bank.gov.ua/get-user-certificate/45CElq3XEsUgTZQlDf8W","Завантажити сертифікат")</f>
        <v>Завантажити сертифікат</v>
      </c>
    </row>
    <row r="4802" spans="1:6" x14ac:dyDescent="0.3">
      <c r="A4802" t="s">
        <v>10302</v>
      </c>
      <c r="B4802" t="s">
        <v>6</v>
      </c>
      <c r="C4802" t="s">
        <v>10303</v>
      </c>
      <c r="D4802" t="s">
        <v>10242</v>
      </c>
      <c r="E4802" t="s">
        <v>10243</v>
      </c>
      <c r="F4802" t="str">
        <f>HYPERLINK("https://talan.bank.gov.ua/get-user-certificate/45CElmHiT4_JPJn7VA8T","Завантажити сертифікат")</f>
        <v>Завантажити сертифікат</v>
      </c>
    </row>
    <row r="4803" spans="1:6" x14ac:dyDescent="0.3">
      <c r="A4803" t="s">
        <v>10304</v>
      </c>
      <c r="B4803" t="s">
        <v>6</v>
      </c>
      <c r="C4803" t="s">
        <v>10305</v>
      </c>
      <c r="D4803" t="s">
        <v>10242</v>
      </c>
      <c r="E4803" t="s">
        <v>10243</v>
      </c>
      <c r="F4803" t="str">
        <f>HYPERLINK("https://talan.bank.gov.ua/get-user-certificate/45CElRlrErsPK2vtQd9i","Завантажити сертифікат")</f>
        <v>Завантажити сертифікат</v>
      </c>
    </row>
    <row r="4804" spans="1:6" x14ac:dyDescent="0.3">
      <c r="A4804" t="s">
        <v>10306</v>
      </c>
      <c r="B4804" t="s">
        <v>6</v>
      </c>
      <c r="C4804" t="s">
        <v>10307</v>
      </c>
      <c r="D4804" t="s">
        <v>10242</v>
      </c>
      <c r="E4804" t="s">
        <v>10243</v>
      </c>
      <c r="F4804" t="str">
        <f>HYPERLINK("https://talan.bank.gov.ua/get-user-certificate/45CElsEOh9xyFwHiINI1","Завантажити сертифікат")</f>
        <v>Завантажити сертифікат</v>
      </c>
    </row>
    <row r="4805" spans="1:6" x14ac:dyDescent="0.3">
      <c r="A4805" t="s">
        <v>10308</v>
      </c>
      <c r="B4805" t="s">
        <v>6</v>
      </c>
      <c r="C4805" t="s">
        <v>10309</v>
      </c>
      <c r="D4805" t="s">
        <v>10242</v>
      </c>
      <c r="E4805" t="s">
        <v>10243</v>
      </c>
      <c r="F4805" t="str">
        <f>HYPERLINK("https://talan.bank.gov.ua/get-user-certificate/45CElOi99wUKvGf2D8LS","Завантажити сертифікат")</f>
        <v>Завантажити сертифікат</v>
      </c>
    </row>
    <row r="4806" spans="1:6" x14ac:dyDescent="0.3">
      <c r="A4806" t="s">
        <v>10310</v>
      </c>
      <c r="B4806" t="s">
        <v>6</v>
      </c>
      <c r="C4806" t="s">
        <v>10311</v>
      </c>
      <c r="D4806" t="s">
        <v>10242</v>
      </c>
      <c r="E4806" t="s">
        <v>10243</v>
      </c>
      <c r="F4806" t="str">
        <f>HYPERLINK("https://talan.bank.gov.ua/get-user-certificate/45CElt6ccGrPHN8t_YXY","Завантажити сертифікат")</f>
        <v>Завантажити сертифікат</v>
      </c>
    </row>
    <row r="4807" spans="1:6" x14ac:dyDescent="0.3">
      <c r="A4807" t="s">
        <v>10312</v>
      </c>
      <c r="B4807" t="s">
        <v>6</v>
      </c>
      <c r="C4807" t="s">
        <v>10313</v>
      </c>
      <c r="D4807" t="s">
        <v>10242</v>
      </c>
      <c r="E4807" t="s">
        <v>10243</v>
      </c>
      <c r="F4807" t="str">
        <f>HYPERLINK("https://talan.bank.gov.ua/get-user-certificate/45CElSiY2EJ0GUMzT_xt","Завантажити сертифікат")</f>
        <v>Завантажити сертифікат</v>
      </c>
    </row>
    <row r="4808" spans="1:6" x14ac:dyDescent="0.3">
      <c r="A4808" t="s">
        <v>10314</v>
      </c>
      <c r="B4808" t="s">
        <v>6</v>
      </c>
      <c r="C4808" t="s">
        <v>10315</v>
      </c>
      <c r="D4808" t="s">
        <v>10242</v>
      </c>
      <c r="E4808" t="s">
        <v>10243</v>
      </c>
      <c r="F4808" t="str">
        <f>HYPERLINK("https://talan.bank.gov.ua/get-user-certificate/45CEloTOhasFyDL-L60W","Завантажити сертифікат")</f>
        <v>Завантажити сертифікат</v>
      </c>
    </row>
    <row r="4809" spans="1:6" x14ac:dyDescent="0.3">
      <c r="A4809" t="s">
        <v>10316</v>
      </c>
      <c r="B4809" t="s">
        <v>6</v>
      </c>
      <c r="C4809" t="s">
        <v>10317</v>
      </c>
      <c r="D4809" t="s">
        <v>10242</v>
      </c>
      <c r="E4809" t="s">
        <v>10243</v>
      </c>
      <c r="F4809" t="str">
        <f>HYPERLINK("https://talan.bank.gov.ua/get-user-certificate/45CElUtpcmY_KGC7A--3","Завантажити сертифікат")</f>
        <v>Завантажити сертифікат</v>
      </c>
    </row>
    <row r="4810" spans="1:6" x14ac:dyDescent="0.3">
      <c r="A4810" t="s">
        <v>10318</v>
      </c>
      <c r="B4810" t="s">
        <v>6</v>
      </c>
      <c r="C4810" t="s">
        <v>10319</v>
      </c>
      <c r="D4810" t="s">
        <v>10242</v>
      </c>
      <c r="E4810" t="s">
        <v>10243</v>
      </c>
      <c r="F4810" t="str">
        <f>HYPERLINK("https://talan.bank.gov.ua/get-user-certificate/45CElvY0wmkI_xpQs1_R","Завантажити сертифікат")</f>
        <v>Завантажити сертифікат</v>
      </c>
    </row>
    <row r="4811" spans="1:6" x14ac:dyDescent="0.3">
      <c r="A4811" t="s">
        <v>10320</v>
      </c>
      <c r="B4811" t="s">
        <v>6</v>
      </c>
      <c r="C4811" t="s">
        <v>10321</v>
      </c>
      <c r="D4811" t="s">
        <v>10242</v>
      </c>
      <c r="E4811" t="s">
        <v>10243</v>
      </c>
      <c r="F4811" t="str">
        <f>HYPERLINK("https://talan.bank.gov.ua/get-user-certificate/45CElTNuQrOGQvd2ib-2","Завантажити сертифікат")</f>
        <v>Завантажити сертифікат</v>
      </c>
    </row>
    <row r="4812" spans="1:6" x14ac:dyDescent="0.3">
      <c r="A4812" t="s">
        <v>10322</v>
      </c>
      <c r="B4812" t="s">
        <v>6</v>
      </c>
      <c r="C4812" t="s">
        <v>10323</v>
      </c>
      <c r="D4812" t="s">
        <v>10242</v>
      </c>
      <c r="E4812" t="s">
        <v>10243</v>
      </c>
      <c r="F4812" t="str">
        <f>HYPERLINK("https://talan.bank.gov.ua/get-user-certificate/45CElz4Knaj8kXlGBGYj","Завантажити сертифікат")</f>
        <v>Завантажити сертифікат</v>
      </c>
    </row>
    <row r="4813" spans="1:6" x14ac:dyDescent="0.3">
      <c r="A4813" t="s">
        <v>10324</v>
      </c>
      <c r="B4813" t="s">
        <v>6</v>
      </c>
      <c r="C4813" t="s">
        <v>10325</v>
      </c>
      <c r="D4813" t="s">
        <v>10242</v>
      </c>
      <c r="E4813" t="s">
        <v>10243</v>
      </c>
      <c r="F4813" t="str">
        <f>HYPERLINK("https://talan.bank.gov.ua/get-user-certificate/45CElDDzjnWtX1EE60mr","Завантажити сертифікат")</f>
        <v>Завантажити сертифікат</v>
      </c>
    </row>
    <row r="4814" spans="1:6" x14ac:dyDescent="0.3">
      <c r="A4814" t="s">
        <v>10326</v>
      </c>
      <c r="B4814" t="s">
        <v>6</v>
      </c>
      <c r="C4814" t="s">
        <v>10327</v>
      </c>
      <c r="D4814" t="s">
        <v>10242</v>
      </c>
      <c r="E4814" t="s">
        <v>10243</v>
      </c>
      <c r="F4814" t="str">
        <f>HYPERLINK("https://talan.bank.gov.ua/get-user-certificate/45CElxI-8uR4iG3OO957","Завантажити сертифікат")</f>
        <v>Завантажити сертифікат</v>
      </c>
    </row>
    <row r="4815" spans="1:6" x14ac:dyDescent="0.3">
      <c r="A4815" t="s">
        <v>10328</v>
      </c>
      <c r="B4815" t="s">
        <v>6</v>
      </c>
      <c r="C4815" t="s">
        <v>10329</v>
      </c>
      <c r="D4815" t="s">
        <v>10242</v>
      </c>
      <c r="E4815" t="s">
        <v>10243</v>
      </c>
      <c r="F4815" t="str">
        <f>HYPERLINK("https://talan.bank.gov.ua/get-user-certificate/45CElX7XNYgQvXB_KgyW","Завантажити сертифікат")</f>
        <v>Завантажити сертифікат</v>
      </c>
    </row>
    <row r="4816" spans="1:6" x14ac:dyDescent="0.3">
      <c r="A4816" t="s">
        <v>10330</v>
      </c>
      <c r="B4816" t="s">
        <v>6</v>
      </c>
      <c r="C4816" t="s">
        <v>10331</v>
      </c>
      <c r="D4816" t="s">
        <v>10242</v>
      </c>
      <c r="E4816" t="s">
        <v>10243</v>
      </c>
      <c r="F4816" t="str">
        <f>HYPERLINK("https://talan.bank.gov.ua/get-user-certificate/45CEl0vgfYnoG_u1eclH","Завантажити сертифікат")</f>
        <v>Завантажити сертифікат</v>
      </c>
    </row>
    <row r="4817" spans="1:6" x14ac:dyDescent="0.3">
      <c r="A4817" t="s">
        <v>10332</v>
      </c>
      <c r="B4817" t="s">
        <v>6</v>
      </c>
      <c r="C4817" t="s">
        <v>10333</v>
      </c>
      <c r="D4817" t="s">
        <v>10242</v>
      </c>
      <c r="E4817" t="s">
        <v>10243</v>
      </c>
      <c r="F4817" t="str">
        <f>HYPERLINK("https://talan.bank.gov.ua/get-user-certificate/45CElKgYfgqhyfh4rJsz","Завантажити сертифікат")</f>
        <v>Завантажити сертифікат</v>
      </c>
    </row>
    <row r="4818" spans="1:6" x14ac:dyDescent="0.3">
      <c r="A4818" t="s">
        <v>10334</v>
      </c>
      <c r="B4818" t="s">
        <v>6</v>
      </c>
      <c r="C4818" t="s">
        <v>10335</v>
      </c>
      <c r="D4818" t="s">
        <v>10242</v>
      </c>
      <c r="E4818" t="s">
        <v>10243</v>
      </c>
      <c r="F4818" t="str">
        <f>HYPERLINK("https://talan.bank.gov.ua/get-user-certificate/45CElvotjn5OVnoIe-Y2","Завантажити сертифікат")</f>
        <v>Завантажити сертифікат</v>
      </c>
    </row>
    <row r="4819" spans="1:6" x14ac:dyDescent="0.3">
      <c r="A4819" t="s">
        <v>10336</v>
      </c>
      <c r="B4819" t="s">
        <v>6</v>
      </c>
      <c r="C4819" t="s">
        <v>10337</v>
      </c>
      <c r="D4819" t="s">
        <v>10242</v>
      </c>
      <c r="E4819" t="s">
        <v>10243</v>
      </c>
      <c r="F4819" t="str">
        <f>HYPERLINK("https://talan.bank.gov.ua/get-user-certificate/45CElfZ44RZsJ9wPOt7-","Завантажити сертифікат")</f>
        <v>Завантажити сертифікат</v>
      </c>
    </row>
    <row r="4820" spans="1:6" x14ac:dyDescent="0.3">
      <c r="A4820" t="s">
        <v>10338</v>
      </c>
      <c r="B4820" t="s">
        <v>6</v>
      </c>
      <c r="C4820" t="s">
        <v>10339</v>
      </c>
      <c r="D4820" t="s">
        <v>10242</v>
      </c>
      <c r="E4820" t="s">
        <v>10243</v>
      </c>
      <c r="F4820" t="str">
        <f>HYPERLINK("https://talan.bank.gov.ua/get-user-certificate/45CElwpccXF0RZxKwODK","Завантажити сертифікат")</f>
        <v>Завантажити сертифікат</v>
      </c>
    </row>
    <row r="4821" spans="1:6" x14ac:dyDescent="0.3">
      <c r="A4821" t="s">
        <v>10340</v>
      </c>
      <c r="B4821" t="s">
        <v>6</v>
      </c>
      <c r="C4821" t="s">
        <v>10341</v>
      </c>
      <c r="D4821" t="s">
        <v>10342</v>
      </c>
      <c r="E4821" t="s">
        <v>10343</v>
      </c>
      <c r="F4821" t="str">
        <f>HYPERLINK("https://talan.bank.gov.ua/get-user-certificate/45CEljzp_pLnfrJcZ4V4","Завантажити сертифікат")</f>
        <v>Завантажити сертифікат</v>
      </c>
    </row>
    <row r="4822" spans="1:6" x14ac:dyDescent="0.3">
      <c r="A4822" t="s">
        <v>10344</v>
      </c>
      <c r="B4822" t="s">
        <v>6</v>
      </c>
      <c r="C4822" t="s">
        <v>10345</v>
      </c>
      <c r="D4822" t="s">
        <v>10342</v>
      </c>
      <c r="E4822" t="s">
        <v>10343</v>
      </c>
      <c r="F4822" t="str">
        <f>HYPERLINK("https://talan.bank.gov.ua/get-user-certificate/45CEl_z5AaqBCgqXzQ4X","Завантажити сертифікат")</f>
        <v>Завантажити сертифікат</v>
      </c>
    </row>
    <row r="4823" spans="1:6" x14ac:dyDescent="0.3">
      <c r="A4823" t="s">
        <v>10346</v>
      </c>
      <c r="B4823" t="s">
        <v>6</v>
      </c>
      <c r="C4823" t="s">
        <v>10347</v>
      </c>
      <c r="D4823" t="s">
        <v>10342</v>
      </c>
      <c r="E4823" t="s">
        <v>10343</v>
      </c>
      <c r="F4823" t="str">
        <f>HYPERLINK("https://talan.bank.gov.ua/get-user-certificate/45CElXL0ul0fSBjRVpMX","Завантажити сертифікат")</f>
        <v>Завантажити сертифікат</v>
      </c>
    </row>
    <row r="4824" spans="1:6" x14ac:dyDescent="0.3">
      <c r="A4824" t="s">
        <v>10348</v>
      </c>
      <c r="B4824" t="s">
        <v>6</v>
      </c>
      <c r="C4824" t="s">
        <v>10349</v>
      </c>
      <c r="D4824" t="s">
        <v>10342</v>
      </c>
      <c r="E4824" t="s">
        <v>10343</v>
      </c>
      <c r="F4824" t="str">
        <f>HYPERLINK("https://talan.bank.gov.ua/get-user-certificate/45CEl2QTtj0q7M1SMfyM","Завантажити сертифікат")</f>
        <v>Завантажити сертифікат</v>
      </c>
    </row>
    <row r="4825" spans="1:6" x14ac:dyDescent="0.3">
      <c r="A4825" t="s">
        <v>10350</v>
      </c>
      <c r="B4825" t="s">
        <v>6</v>
      </c>
      <c r="C4825" t="s">
        <v>10351</v>
      </c>
      <c r="D4825" t="s">
        <v>10342</v>
      </c>
      <c r="E4825" t="s">
        <v>10343</v>
      </c>
      <c r="F4825" t="str">
        <f>HYPERLINK("https://talan.bank.gov.ua/get-user-certificate/45CEl3a8r-Tja13pTkHs","Завантажити сертифікат")</f>
        <v>Завантажити сертифікат</v>
      </c>
    </row>
    <row r="4826" spans="1:6" x14ac:dyDescent="0.3">
      <c r="A4826" t="s">
        <v>10352</v>
      </c>
      <c r="B4826" t="s">
        <v>6</v>
      </c>
      <c r="C4826" t="s">
        <v>10353</v>
      </c>
      <c r="D4826" t="s">
        <v>10342</v>
      </c>
      <c r="E4826" t="s">
        <v>10343</v>
      </c>
      <c r="F4826" t="str">
        <f>HYPERLINK("https://talan.bank.gov.ua/get-user-certificate/45CElQlppdeISr7dSnde","Завантажити сертифікат")</f>
        <v>Завантажити сертифікат</v>
      </c>
    </row>
    <row r="4827" spans="1:6" x14ac:dyDescent="0.3">
      <c r="A4827" t="s">
        <v>10354</v>
      </c>
      <c r="B4827" t="s">
        <v>6</v>
      </c>
      <c r="C4827" t="s">
        <v>10355</v>
      </c>
      <c r="D4827" t="s">
        <v>10356</v>
      </c>
      <c r="E4827" t="s">
        <v>10357</v>
      </c>
      <c r="F4827" t="str">
        <f>HYPERLINK("https://talan.bank.gov.ua/get-user-certificate/45CEl0-kRlrcsi1KyMeh","Завантажити сертифікат")</f>
        <v>Завантажити сертифікат</v>
      </c>
    </row>
    <row r="4828" spans="1:6" x14ac:dyDescent="0.3">
      <c r="A4828" t="s">
        <v>10358</v>
      </c>
      <c r="B4828" t="s">
        <v>6</v>
      </c>
      <c r="C4828" t="s">
        <v>10359</v>
      </c>
      <c r="D4828" t="s">
        <v>10356</v>
      </c>
      <c r="E4828" t="s">
        <v>10357</v>
      </c>
      <c r="F4828" t="str">
        <f>HYPERLINK("https://talan.bank.gov.ua/get-user-certificate/45CElmMJC7hsPuGw6VCQ","Завантажити сертифікат")</f>
        <v>Завантажити сертифікат</v>
      </c>
    </row>
    <row r="4829" spans="1:6" x14ac:dyDescent="0.3">
      <c r="A4829" t="s">
        <v>10360</v>
      </c>
      <c r="B4829" t="s">
        <v>6</v>
      </c>
      <c r="C4829" t="s">
        <v>10361</v>
      </c>
      <c r="D4829" t="s">
        <v>10356</v>
      </c>
      <c r="E4829" t="s">
        <v>10357</v>
      </c>
      <c r="F4829" t="str">
        <f>HYPERLINK("https://talan.bank.gov.ua/get-user-certificate/45CElHAKugKHBMoJPxZS","Завантажити сертифікат")</f>
        <v>Завантажити сертифікат</v>
      </c>
    </row>
    <row r="4830" spans="1:6" x14ac:dyDescent="0.3">
      <c r="A4830" t="s">
        <v>10362</v>
      </c>
      <c r="B4830" t="s">
        <v>6</v>
      </c>
      <c r="C4830" t="s">
        <v>10363</v>
      </c>
      <c r="D4830" t="s">
        <v>10356</v>
      </c>
      <c r="E4830" t="s">
        <v>10357</v>
      </c>
      <c r="F4830" t="str">
        <f>HYPERLINK("https://talan.bank.gov.ua/get-user-certificate/45CElVT9cfFJ32QrXXQn","Завантажити сертифікат")</f>
        <v>Завантажити сертифікат</v>
      </c>
    </row>
    <row r="4831" spans="1:6" x14ac:dyDescent="0.3">
      <c r="A4831" t="s">
        <v>10364</v>
      </c>
      <c r="B4831" t="s">
        <v>6</v>
      </c>
      <c r="C4831" t="s">
        <v>10365</v>
      </c>
      <c r="D4831" t="s">
        <v>10356</v>
      </c>
      <c r="E4831" t="s">
        <v>10357</v>
      </c>
      <c r="F4831" t="str">
        <f>HYPERLINK("https://talan.bank.gov.ua/get-user-certificate/45CElXm9QpNzCgcbMfhc","Завантажити сертифікат")</f>
        <v>Завантажити сертифікат</v>
      </c>
    </row>
    <row r="4832" spans="1:6" x14ac:dyDescent="0.3">
      <c r="A4832" t="s">
        <v>10366</v>
      </c>
      <c r="B4832" t="s">
        <v>6</v>
      </c>
      <c r="C4832" t="s">
        <v>10367</v>
      </c>
      <c r="D4832" t="s">
        <v>10368</v>
      </c>
      <c r="E4832" t="s">
        <v>10369</v>
      </c>
      <c r="F4832" t="str">
        <f>HYPERLINK("https://talan.bank.gov.ua/get-user-certificate/45CElen8fp276C8VQDzk","Завантажити сертифікат")</f>
        <v>Завантажити сертифікат</v>
      </c>
    </row>
    <row r="4833" spans="1:6" x14ac:dyDescent="0.3">
      <c r="A4833" t="s">
        <v>10370</v>
      </c>
      <c r="B4833" t="s">
        <v>6</v>
      </c>
      <c r="C4833" t="s">
        <v>10371</v>
      </c>
      <c r="D4833" t="s">
        <v>10368</v>
      </c>
      <c r="E4833" t="s">
        <v>10369</v>
      </c>
      <c r="F4833" t="str">
        <f>HYPERLINK("https://talan.bank.gov.ua/get-user-certificate/45CEl5y_KyLI1QgKLrRW","Завантажити сертифікат")</f>
        <v>Завантажити сертифікат</v>
      </c>
    </row>
    <row r="4834" spans="1:6" x14ac:dyDescent="0.3">
      <c r="A4834" t="s">
        <v>10372</v>
      </c>
      <c r="B4834" t="s">
        <v>6</v>
      </c>
      <c r="C4834" t="s">
        <v>10373</v>
      </c>
      <c r="D4834" t="s">
        <v>10368</v>
      </c>
      <c r="E4834" t="s">
        <v>10369</v>
      </c>
      <c r="F4834" t="str">
        <f>HYPERLINK("https://talan.bank.gov.ua/get-user-certificate/45CElkuc5MTl3KqaJmQZ","Завантажити сертифікат")</f>
        <v>Завантажити сертифікат</v>
      </c>
    </row>
    <row r="4835" spans="1:6" x14ac:dyDescent="0.3">
      <c r="A4835" t="s">
        <v>10374</v>
      </c>
      <c r="B4835" t="s">
        <v>6</v>
      </c>
      <c r="C4835" t="s">
        <v>10375</v>
      </c>
      <c r="D4835" t="s">
        <v>10368</v>
      </c>
      <c r="E4835" t="s">
        <v>10369</v>
      </c>
      <c r="F4835" t="str">
        <f>HYPERLINK("https://talan.bank.gov.ua/get-user-certificate/45CElLhzgvM-JM2VE9ZS","Завантажити сертифікат")</f>
        <v>Завантажити сертифікат</v>
      </c>
    </row>
    <row r="4836" spans="1:6" x14ac:dyDescent="0.3">
      <c r="A4836" t="s">
        <v>10376</v>
      </c>
      <c r="B4836" t="s">
        <v>6</v>
      </c>
      <c r="C4836" t="s">
        <v>10377</v>
      </c>
      <c r="D4836" t="s">
        <v>10368</v>
      </c>
      <c r="E4836" t="s">
        <v>10369</v>
      </c>
      <c r="F4836" t="str">
        <f>HYPERLINK("https://talan.bank.gov.ua/get-user-certificate/45CEllhgEm3OL4BrDU83","Завантажити сертифікат")</f>
        <v>Завантажити сертифікат</v>
      </c>
    </row>
    <row r="4837" spans="1:6" x14ac:dyDescent="0.3">
      <c r="A4837" t="s">
        <v>10378</v>
      </c>
      <c r="B4837" t="s">
        <v>6</v>
      </c>
      <c r="C4837" t="s">
        <v>10379</v>
      </c>
      <c r="D4837" t="s">
        <v>10368</v>
      </c>
      <c r="E4837" t="s">
        <v>10369</v>
      </c>
      <c r="F4837" t="str">
        <f>HYPERLINK("https://talan.bank.gov.ua/get-user-certificate/45CEl6sSRm1IvrwDYnlS","Завантажити сертифікат")</f>
        <v>Завантажити сертифікат</v>
      </c>
    </row>
    <row r="4838" spans="1:6" x14ac:dyDescent="0.3">
      <c r="A4838" t="s">
        <v>10380</v>
      </c>
      <c r="B4838" t="s">
        <v>6</v>
      </c>
      <c r="C4838" t="s">
        <v>10381</v>
      </c>
      <c r="D4838" t="s">
        <v>10368</v>
      </c>
      <c r="E4838" t="s">
        <v>10369</v>
      </c>
      <c r="F4838" t="str">
        <f>HYPERLINK("https://talan.bank.gov.ua/get-user-certificate/45CElbh2e20zPrFWPCHr","Завантажити сертифікат")</f>
        <v>Завантажити сертифікат</v>
      </c>
    </row>
    <row r="4839" spans="1:6" x14ac:dyDescent="0.3">
      <c r="A4839" t="s">
        <v>10382</v>
      </c>
      <c r="B4839" t="s">
        <v>6</v>
      </c>
      <c r="C4839" t="s">
        <v>10383</v>
      </c>
      <c r="D4839" t="s">
        <v>10368</v>
      </c>
      <c r="E4839" t="s">
        <v>10369</v>
      </c>
      <c r="F4839" t="str">
        <f>HYPERLINK("https://talan.bank.gov.ua/get-user-certificate/45CElX1nt11TWZSLw97M","Завантажити сертифікат")</f>
        <v>Завантажити сертифікат</v>
      </c>
    </row>
    <row r="4840" spans="1:6" x14ac:dyDescent="0.3">
      <c r="A4840" t="s">
        <v>10384</v>
      </c>
      <c r="B4840" t="s">
        <v>6</v>
      </c>
      <c r="C4840" t="s">
        <v>10385</v>
      </c>
      <c r="D4840" t="s">
        <v>10368</v>
      </c>
      <c r="E4840" t="s">
        <v>10369</v>
      </c>
      <c r="F4840" t="str">
        <f>HYPERLINK("https://talan.bank.gov.ua/get-user-certificate/45CElii8Vkiwv-on5kGl","Завантажити сертифікат")</f>
        <v>Завантажити сертифікат</v>
      </c>
    </row>
    <row r="4841" spans="1:6" x14ac:dyDescent="0.3">
      <c r="A4841" t="s">
        <v>10386</v>
      </c>
      <c r="B4841" t="s">
        <v>6</v>
      </c>
      <c r="C4841" t="s">
        <v>10387</v>
      </c>
      <c r="D4841" t="s">
        <v>10368</v>
      </c>
      <c r="E4841" t="s">
        <v>10369</v>
      </c>
      <c r="F4841" t="str">
        <f>HYPERLINK("https://talan.bank.gov.ua/get-user-certificate/45CElfKFEQndY8HHbYnk","Завантажити сертифікат")</f>
        <v>Завантажити сертифікат</v>
      </c>
    </row>
    <row r="4842" spans="1:6" x14ac:dyDescent="0.3">
      <c r="A4842" t="s">
        <v>10388</v>
      </c>
      <c r="B4842" t="s">
        <v>6</v>
      </c>
      <c r="C4842" t="s">
        <v>10389</v>
      </c>
      <c r="D4842" t="s">
        <v>10390</v>
      </c>
      <c r="E4842" t="s">
        <v>10391</v>
      </c>
      <c r="F4842" t="str">
        <f>HYPERLINK("https://talan.bank.gov.ua/get-user-certificate/45CEl9oZz5Zoxkp48nzK","Завантажити сертифікат")</f>
        <v>Завантажити сертифікат</v>
      </c>
    </row>
    <row r="4843" spans="1:6" x14ac:dyDescent="0.3">
      <c r="A4843" t="s">
        <v>10392</v>
      </c>
      <c r="B4843" t="s">
        <v>6</v>
      </c>
      <c r="C4843" t="s">
        <v>10393</v>
      </c>
      <c r="D4843" t="s">
        <v>10390</v>
      </c>
      <c r="E4843" t="s">
        <v>10391</v>
      </c>
      <c r="F4843" t="str">
        <f>HYPERLINK("https://talan.bank.gov.ua/get-user-certificate/45CEl73sHRKjolz56m88","Завантажити сертифікат")</f>
        <v>Завантажити сертифікат</v>
      </c>
    </row>
    <row r="4844" spans="1:6" x14ac:dyDescent="0.3">
      <c r="A4844" t="s">
        <v>10394</v>
      </c>
      <c r="B4844" t="s">
        <v>6</v>
      </c>
      <c r="C4844" t="s">
        <v>10395</v>
      </c>
      <c r="D4844" t="s">
        <v>10390</v>
      </c>
      <c r="E4844" t="s">
        <v>10391</v>
      </c>
      <c r="F4844" t="str">
        <f>HYPERLINK("https://talan.bank.gov.ua/get-user-certificate/45CElGyYwJu8AiZqeKFE","Завантажити сертифікат")</f>
        <v>Завантажити сертифікат</v>
      </c>
    </row>
    <row r="4845" spans="1:6" x14ac:dyDescent="0.3">
      <c r="A4845" t="s">
        <v>10396</v>
      </c>
      <c r="B4845" t="s">
        <v>6</v>
      </c>
      <c r="C4845" t="s">
        <v>10397</v>
      </c>
      <c r="D4845" t="s">
        <v>10390</v>
      </c>
      <c r="E4845" t="s">
        <v>10391</v>
      </c>
      <c r="F4845" t="str">
        <f>HYPERLINK("https://talan.bank.gov.ua/get-user-certificate/45CElml4cBCUUPZ-eh0Q","Завантажити сертифікат")</f>
        <v>Завантажити сертифікат</v>
      </c>
    </row>
    <row r="4846" spans="1:6" x14ac:dyDescent="0.3">
      <c r="A4846" t="s">
        <v>10398</v>
      </c>
      <c r="B4846" t="s">
        <v>6</v>
      </c>
      <c r="C4846" t="s">
        <v>10399</v>
      </c>
      <c r="D4846" t="s">
        <v>10390</v>
      </c>
      <c r="E4846" t="s">
        <v>10391</v>
      </c>
      <c r="F4846" t="str">
        <f>HYPERLINK("https://talan.bank.gov.ua/get-user-certificate/45CEljdUAxEp92ZEDez7","Завантажити сертифікат")</f>
        <v>Завантажити сертифікат</v>
      </c>
    </row>
    <row r="4847" spans="1:6" x14ac:dyDescent="0.3">
      <c r="A4847" t="s">
        <v>10400</v>
      </c>
      <c r="B4847" t="s">
        <v>6</v>
      </c>
      <c r="C4847" t="s">
        <v>10401</v>
      </c>
      <c r="D4847" t="s">
        <v>10402</v>
      </c>
      <c r="E4847" t="s">
        <v>10403</v>
      </c>
      <c r="F4847" t="str">
        <f>HYPERLINK("https://talan.bank.gov.ua/get-user-certificate/45CElafajAM8NXXP1gVm","Завантажити сертифікат")</f>
        <v>Завантажити сертифікат</v>
      </c>
    </row>
    <row r="4848" spans="1:6" x14ac:dyDescent="0.3">
      <c r="A4848" t="s">
        <v>10404</v>
      </c>
      <c r="B4848" t="s">
        <v>6</v>
      </c>
      <c r="C4848" t="s">
        <v>10405</v>
      </c>
      <c r="D4848" t="s">
        <v>10402</v>
      </c>
      <c r="E4848" t="s">
        <v>10403</v>
      </c>
      <c r="F4848" t="str">
        <f>HYPERLINK("https://talan.bank.gov.ua/get-user-certificate/45CElYZcJfxSfadi7tYL","Завантажити сертифікат")</f>
        <v>Завантажити сертифікат</v>
      </c>
    </row>
    <row r="4849" spans="1:6" x14ac:dyDescent="0.3">
      <c r="A4849" t="s">
        <v>10406</v>
      </c>
      <c r="B4849" t="s">
        <v>6</v>
      </c>
      <c r="C4849" t="s">
        <v>10407</v>
      </c>
      <c r="D4849" t="s">
        <v>10402</v>
      </c>
      <c r="E4849" t="s">
        <v>10403</v>
      </c>
      <c r="F4849" t="str">
        <f>HYPERLINK("https://talan.bank.gov.ua/get-user-certificate/45CEleLHCQuZuOL9UgBS","Завантажити сертифікат")</f>
        <v>Завантажити сертифікат</v>
      </c>
    </row>
    <row r="4850" spans="1:6" x14ac:dyDescent="0.3">
      <c r="A4850" t="s">
        <v>10408</v>
      </c>
      <c r="B4850" t="s">
        <v>6</v>
      </c>
      <c r="C4850" t="s">
        <v>10409</v>
      </c>
      <c r="D4850" t="s">
        <v>10402</v>
      </c>
      <c r="E4850" t="s">
        <v>10403</v>
      </c>
      <c r="F4850" t="str">
        <f>HYPERLINK("https://talan.bank.gov.ua/get-user-certificate/45CElzwZfSDvPlxAWFD0","Завантажити сертифікат")</f>
        <v>Завантажити сертифікат</v>
      </c>
    </row>
    <row r="4851" spans="1:6" x14ac:dyDescent="0.3">
      <c r="A4851" t="s">
        <v>10410</v>
      </c>
      <c r="B4851" t="s">
        <v>6</v>
      </c>
      <c r="C4851" t="s">
        <v>10411</v>
      </c>
      <c r="D4851" t="s">
        <v>10402</v>
      </c>
      <c r="E4851" t="s">
        <v>10403</v>
      </c>
      <c r="F4851" t="str">
        <f>HYPERLINK("https://talan.bank.gov.ua/get-user-certificate/45CEl9CsZIaNghUzOOoA","Завантажити сертифікат")</f>
        <v>Завантажити сертифікат</v>
      </c>
    </row>
    <row r="4852" spans="1:6" x14ac:dyDescent="0.3">
      <c r="A4852" t="s">
        <v>10412</v>
      </c>
      <c r="B4852" t="s">
        <v>6</v>
      </c>
      <c r="C4852" t="s">
        <v>10413</v>
      </c>
      <c r="D4852" t="s">
        <v>10402</v>
      </c>
      <c r="E4852" t="s">
        <v>10403</v>
      </c>
      <c r="F4852" t="str">
        <f>HYPERLINK("https://talan.bank.gov.ua/get-user-certificate/45CElJoVTa3t5HGQhe-k","Завантажити сертифікат")</f>
        <v>Завантажити сертифікат</v>
      </c>
    </row>
    <row r="4853" spans="1:6" x14ac:dyDescent="0.3">
      <c r="A4853" t="s">
        <v>10414</v>
      </c>
      <c r="B4853" t="s">
        <v>6</v>
      </c>
      <c r="C4853" t="s">
        <v>10415</v>
      </c>
      <c r="D4853" t="s">
        <v>10402</v>
      </c>
      <c r="E4853" t="s">
        <v>10403</v>
      </c>
      <c r="F4853" t="str">
        <f>HYPERLINK("https://talan.bank.gov.ua/get-user-certificate/45CElhvAlsgX080wg1Gu","Завантажити сертифікат")</f>
        <v>Завантажити сертифікат</v>
      </c>
    </row>
    <row r="4854" spans="1:6" x14ac:dyDescent="0.3">
      <c r="A4854" t="s">
        <v>10416</v>
      </c>
      <c r="B4854" t="s">
        <v>6</v>
      </c>
      <c r="C4854" t="s">
        <v>10417</v>
      </c>
      <c r="D4854" t="s">
        <v>10418</v>
      </c>
      <c r="E4854" t="s">
        <v>10419</v>
      </c>
      <c r="F4854" t="str">
        <f>HYPERLINK("https://talan.bank.gov.ua/get-user-certificate/45CElX8vufA_YeYZeGHB","Завантажити сертифікат")</f>
        <v>Завантажити сертифікат</v>
      </c>
    </row>
    <row r="4855" spans="1:6" x14ac:dyDescent="0.3">
      <c r="A4855" t="s">
        <v>10420</v>
      </c>
      <c r="B4855" t="s">
        <v>6</v>
      </c>
      <c r="C4855" t="s">
        <v>10421</v>
      </c>
      <c r="D4855" t="s">
        <v>10418</v>
      </c>
      <c r="E4855" t="s">
        <v>10419</v>
      </c>
      <c r="F4855" t="str">
        <f>HYPERLINK("https://talan.bank.gov.ua/get-user-certificate/45CEl73Z3KgECfqf712n","Завантажити сертифікат")</f>
        <v>Завантажити сертифікат</v>
      </c>
    </row>
    <row r="4856" spans="1:6" x14ac:dyDescent="0.3">
      <c r="A4856" t="s">
        <v>10422</v>
      </c>
      <c r="B4856" t="s">
        <v>6</v>
      </c>
      <c r="C4856" t="s">
        <v>10423</v>
      </c>
      <c r="D4856" t="s">
        <v>10418</v>
      </c>
      <c r="E4856" t="s">
        <v>10419</v>
      </c>
      <c r="F4856" t="str">
        <f>HYPERLINK("https://talan.bank.gov.ua/get-user-certificate/45CEl92BHy-1bKEMpsK0","Завантажити сертифікат")</f>
        <v>Завантажити сертифікат</v>
      </c>
    </row>
    <row r="4857" spans="1:6" x14ac:dyDescent="0.3">
      <c r="A4857" t="s">
        <v>10424</v>
      </c>
      <c r="B4857" t="s">
        <v>6</v>
      </c>
      <c r="C4857" t="s">
        <v>10425</v>
      </c>
      <c r="D4857" t="s">
        <v>10418</v>
      </c>
      <c r="E4857" t="s">
        <v>10419</v>
      </c>
      <c r="F4857" t="str">
        <f>HYPERLINK("https://talan.bank.gov.ua/get-user-certificate/45CElTE8PGTnQGGnrZpU","Завантажити сертифікат")</f>
        <v>Завантажити сертифікат</v>
      </c>
    </row>
    <row r="4858" spans="1:6" x14ac:dyDescent="0.3">
      <c r="A4858" t="s">
        <v>10426</v>
      </c>
      <c r="B4858" t="s">
        <v>6</v>
      </c>
      <c r="C4858" t="s">
        <v>10427</v>
      </c>
      <c r="D4858" t="s">
        <v>10418</v>
      </c>
      <c r="E4858" t="s">
        <v>10419</v>
      </c>
      <c r="F4858" t="str">
        <f>HYPERLINK("https://talan.bank.gov.ua/get-user-certificate/45CEl-6rsNCGbKPKazLE","Завантажити сертифікат")</f>
        <v>Завантажити сертифікат</v>
      </c>
    </row>
    <row r="4859" spans="1:6" x14ac:dyDescent="0.3">
      <c r="A4859" t="s">
        <v>10428</v>
      </c>
      <c r="B4859" t="s">
        <v>6</v>
      </c>
      <c r="C4859" t="s">
        <v>10429</v>
      </c>
      <c r="D4859" t="s">
        <v>10418</v>
      </c>
      <c r="E4859" t="s">
        <v>10419</v>
      </c>
      <c r="F4859" t="str">
        <f>HYPERLINK("https://talan.bank.gov.ua/get-user-certificate/45CElQBKmiK3iBE2X647","Завантажити сертифікат")</f>
        <v>Завантажити сертифікат</v>
      </c>
    </row>
    <row r="4860" spans="1:6" x14ac:dyDescent="0.3">
      <c r="A4860" t="s">
        <v>10430</v>
      </c>
      <c r="B4860" t="s">
        <v>6</v>
      </c>
      <c r="C4860" t="s">
        <v>10431</v>
      </c>
      <c r="D4860" t="s">
        <v>10418</v>
      </c>
      <c r="E4860" t="s">
        <v>10419</v>
      </c>
      <c r="F4860" t="str">
        <f>HYPERLINK("https://talan.bank.gov.ua/get-user-certificate/45CElorikanf-JfsFFq8","Завантажити сертифікат")</f>
        <v>Завантажити сертифікат</v>
      </c>
    </row>
    <row r="4861" spans="1:6" x14ac:dyDescent="0.3">
      <c r="A4861" t="s">
        <v>10432</v>
      </c>
      <c r="B4861" t="s">
        <v>6</v>
      </c>
      <c r="C4861" t="s">
        <v>10433</v>
      </c>
      <c r="D4861" t="s">
        <v>10418</v>
      </c>
      <c r="E4861" t="s">
        <v>10419</v>
      </c>
      <c r="F4861" t="str">
        <f>HYPERLINK("https://talan.bank.gov.ua/get-user-certificate/45CElNeVz_fAbJyVjSET","Завантажити сертифікат")</f>
        <v>Завантажити сертифікат</v>
      </c>
    </row>
    <row r="4862" spans="1:6" x14ac:dyDescent="0.3">
      <c r="A4862" t="s">
        <v>10434</v>
      </c>
      <c r="B4862" t="s">
        <v>6</v>
      </c>
      <c r="C4862" t="s">
        <v>10435</v>
      </c>
      <c r="D4862" t="s">
        <v>10418</v>
      </c>
      <c r="E4862" t="s">
        <v>10419</v>
      </c>
      <c r="F4862" t="str">
        <f>HYPERLINK("https://talan.bank.gov.ua/get-user-certificate/45CEl5TSsE3T22DONrer","Завантажити сертифікат")</f>
        <v>Завантажити сертифікат</v>
      </c>
    </row>
    <row r="4863" spans="1:6" x14ac:dyDescent="0.3">
      <c r="A4863" t="s">
        <v>10436</v>
      </c>
      <c r="B4863" t="s">
        <v>6</v>
      </c>
      <c r="C4863" t="s">
        <v>10437</v>
      </c>
      <c r="D4863" t="s">
        <v>10418</v>
      </c>
      <c r="E4863" t="s">
        <v>10419</v>
      </c>
      <c r="F4863" t="str">
        <f>HYPERLINK("https://talan.bank.gov.ua/get-user-certificate/45CElUKT6VwRBzoKTmma","Завантажити сертифікат")</f>
        <v>Завантажити сертифікат</v>
      </c>
    </row>
    <row r="4864" spans="1:6" x14ac:dyDescent="0.3">
      <c r="A4864" t="s">
        <v>10438</v>
      </c>
      <c r="B4864" t="s">
        <v>6</v>
      </c>
      <c r="C4864" t="s">
        <v>10439</v>
      </c>
      <c r="D4864" t="s">
        <v>10418</v>
      </c>
      <c r="E4864" t="s">
        <v>10419</v>
      </c>
      <c r="F4864" t="str">
        <f>HYPERLINK("https://talan.bank.gov.ua/get-user-certificate/45CElIyc6nQvBBkhFwp2","Завантажити сертифікат")</f>
        <v>Завантажити сертифікат</v>
      </c>
    </row>
    <row r="4865" spans="1:6" x14ac:dyDescent="0.3">
      <c r="A4865" t="s">
        <v>10440</v>
      </c>
      <c r="B4865" t="s">
        <v>6</v>
      </c>
      <c r="C4865" t="s">
        <v>10441</v>
      </c>
      <c r="D4865" t="s">
        <v>10418</v>
      </c>
      <c r="E4865" t="s">
        <v>10419</v>
      </c>
      <c r="F4865" t="str">
        <f>HYPERLINK("https://talan.bank.gov.ua/get-user-certificate/45CEl0ch53lRlGqUPebt","Завантажити сертифікат")</f>
        <v>Завантажити сертифікат</v>
      </c>
    </row>
    <row r="4866" spans="1:6" x14ac:dyDescent="0.3">
      <c r="A4866" t="s">
        <v>10442</v>
      </c>
      <c r="B4866" t="s">
        <v>6</v>
      </c>
      <c r="C4866" t="s">
        <v>10443</v>
      </c>
      <c r="D4866" t="s">
        <v>10418</v>
      </c>
      <c r="E4866" t="s">
        <v>10419</v>
      </c>
      <c r="F4866" t="str">
        <f>HYPERLINK("https://talan.bank.gov.ua/get-user-certificate/45CElvf9VF387F_jWitQ","Завантажити сертифікат")</f>
        <v>Завантажити сертифікат</v>
      </c>
    </row>
    <row r="4867" spans="1:6" x14ac:dyDescent="0.3">
      <c r="A4867" t="s">
        <v>10444</v>
      </c>
      <c r="B4867" t="s">
        <v>6</v>
      </c>
      <c r="C4867" t="s">
        <v>10445</v>
      </c>
      <c r="D4867" t="s">
        <v>10418</v>
      </c>
      <c r="E4867" t="s">
        <v>10419</v>
      </c>
      <c r="F4867" t="str">
        <f>HYPERLINK("https://talan.bank.gov.ua/get-user-certificate/45CEl7xRf814NpyJdZ6N","Завантажити сертифікат")</f>
        <v>Завантажити сертифікат</v>
      </c>
    </row>
    <row r="4868" spans="1:6" x14ac:dyDescent="0.3">
      <c r="A4868" t="s">
        <v>10446</v>
      </c>
      <c r="B4868" t="s">
        <v>6</v>
      </c>
      <c r="C4868" t="s">
        <v>10447</v>
      </c>
      <c r="D4868" t="s">
        <v>10418</v>
      </c>
      <c r="E4868" t="s">
        <v>10419</v>
      </c>
      <c r="F4868" t="str">
        <f>HYPERLINK("https://talan.bank.gov.ua/get-user-certificate/45CElPwlP_XCr0xU_87c","Завантажити сертифікат")</f>
        <v>Завантажити сертифікат</v>
      </c>
    </row>
    <row r="4869" spans="1:6" x14ac:dyDescent="0.3">
      <c r="A4869" t="s">
        <v>10448</v>
      </c>
      <c r="B4869" t="s">
        <v>6</v>
      </c>
      <c r="C4869" t="s">
        <v>10449</v>
      </c>
      <c r="D4869" t="s">
        <v>10418</v>
      </c>
      <c r="E4869" t="s">
        <v>10419</v>
      </c>
      <c r="F4869" t="str">
        <f>HYPERLINK("https://talan.bank.gov.ua/get-user-certificate/45CElUEmXUg2ylnt1bpo","Завантажити сертифікат")</f>
        <v>Завантажити сертифікат</v>
      </c>
    </row>
    <row r="4870" spans="1:6" x14ac:dyDescent="0.3">
      <c r="A4870" t="s">
        <v>10450</v>
      </c>
      <c r="B4870" t="s">
        <v>6</v>
      </c>
      <c r="C4870" t="s">
        <v>10451</v>
      </c>
      <c r="D4870" t="s">
        <v>10418</v>
      </c>
      <c r="E4870" t="s">
        <v>10419</v>
      </c>
      <c r="F4870" t="str">
        <f>HYPERLINK("https://talan.bank.gov.ua/get-user-certificate/45CElORkgHRlHjMWSOLW","Завантажити сертифікат")</f>
        <v>Завантажити сертифікат</v>
      </c>
    </row>
    <row r="4871" spans="1:6" x14ac:dyDescent="0.3">
      <c r="A4871" t="s">
        <v>10452</v>
      </c>
      <c r="B4871" t="s">
        <v>6</v>
      </c>
      <c r="C4871" t="s">
        <v>10453</v>
      </c>
      <c r="D4871" t="s">
        <v>10418</v>
      </c>
      <c r="E4871" t="s">
        <v>10419</v>
      </c>
      <c r="F4871" t="str">
        <f>HYPERLINK("https://talan.bank.gov.ua/get-user-certificate/45CElAiFhIC2J1QEl-77","Завантажити сертифікат")</f>
        <v>Завантажити сертифікат</v>
      </c>
    </row>
    <row r="4872" spans="1:6" x14ac:dyDescent="0.3">
      <c r="A4872" t="s">
        <v>10454</v>
      </c>
      <c r="B4872" t="s">
        <v>6</v>
      </c>
      <c r="C4872" t="s">
        <v>10455</v>
      </c>
      <c r="D4872" t="s">
        <v>10418</v>
      </c>
      <c r="E4872" t="s">
        <v>10419</v>
      </c>
      <c r="F4872" t="str">
        <f>HYPERLINK("https://talan.bank.gov.ua/get-user-certificate/45CEli6zijQpTXHhMeo4","Завантажити сертифікат")</f>
        <v>Завантажити сертифікат</v>
      </c>
    </row>
    <row r="4873" spans="1:6" x14ac:dyDescent="0.3">
      <c r="A4873" t="s">
        <v>10456</v>
      </c>
      <c r="B4873" t="s">
        <v>6</v>
      </c>
      <c r="C4873" t="s">
        <v>10457</v>
      </c>
      <c r="D4873" t="s">
        <v>10458</v>
      </c>
      <c r="E4873" t="s">
        <v>10459</v>
      </c>
      <c r="F4873" t="str">
        <f>HYPERLINK("https://talan.bank.gov.ua/get-user-certificate/45CElMEmJc521O0w6V0Q","Завантажити сертифікат")</f>
        <v>Завантажити сертифікат</v>
      </c>
    </row>
    <row r="4874" spans="1:6" x14ac:dyDescent="0.3">
      <c r="A4874" t="s">
        <v>10460</v>
      </c>
      <c r="B4874" t="s">
        <v>6</v>
      </c>
      <c r="C4874" t="s">
        <v>10461</v>
      </c>
      <c r="D4874" t="s">
        <v>10458</v>
      </c>
      <c r="E4874" t="s">
        <v>10459</v>
      </c>
      <c r="F4874" t="str">
        <f>HYPERLINK("https://talan.bank.gov.ua/get-user-certificate/45CEl88nRb8oIDKJDRqr","Завантажити сертифікат")</f>
        <v>Завантажити сертифікат</v>
      </c>
    </row>
    <row r="4875" spans="1:6" x14ac:dyDescent="0.3">
      <c r="A4875" t="s">
        <v>10462</v>
      </c>
      <c r="B4875" t="s">
        <v>6</v>
      </c>
      <c r="C4875" t="s">
        <v>10463</v>
      </c>
      <c r="D4875" t="s">
        <v>10458</v>
      </c>
      <c r="E4875" t="s">
        <v>10459</v>
      </c>
      <c r="F4875" t="str">
        <f>HYPERLINK("https://talan.bank.gov.ua/get-user-certificate/45CElojy38E14GSAvPwz","Завантажити сертифікат")</f>
        <v>Завантажити сертифікат</v>
      </c>
    </row>
    <row r="4876" spans="1:6" x14ac:dyDescent="0.3">
      <c r="A4876" t="s">
        <v>10464</v>
      </c>
      <c r="B4876" t="s">
        <v>6</v>
      </c>
      <c r="C4876" t="s">
        <v>10465</v>
      </c>
      <c r="D4876" t="s">
        <v>10458</v>
      </c>
      <c r="E4876" t="s">
        <v>10459</v>
      </c>
      <c r="F4876" t="str">
        <f>HYPERLINK("https://talan.bank.gov.ua/get-user-certificate/45CElDTFeAbdRdHvW_2Z","Завантажити сертифікат")</f>
        <v>Завантажити сертифікат</v>
      </c>
    </row>
    <row r="4877" spans="1:6" x14ac:dyDescent="0.3">
      <c r="A4877" t="s">
        <v>10466</v>
      </c>
      <c r="B4877" t="s">
        <v>6</v>
      </c>
      <c r="C4877" t="s">
        <v>10467</v>
      </c>
      <c r="D4877" t="s">
        <v>10458</v>
      </c>
      <c r="E4877" t="s">
        <v>10459</v>
      </c>
      <c r="F4877" t="str">
        <f>HYPERLINK("https://talan.bank.gov.ua/get-user-certificate/45CElxgex62yJYAPeIEG","Завантажити сертифікат")</f>
        <v>Завантажити сертифікат</v>
      </c>
    </row>
    <row r="4878" spans="1:6" x14ac:dyDescent="0.3">
      <c r="A4878" t="s">
        <v>10468</v>
      </c>
      <c r="B4878" t="s">
        <v>6</v>
      </c>
      <c r="C4878" t="s">
        <v>10469</v>
      </c>
      <c r="D4878" t="s">
        <v>10458</v>
      </c>
      <c r="E4878" t="s">
        <v>10459</v>
      </c>
      <c r="F4878" t="str">
        <f>HYPERLINK("https://talan.bank.gov.ua/get-user-certificate/45CElJuKoESfowEpSJJg","Завантажити сертифікат")</f>
        <v>Завантажити сертифікат</v>
      </c>
    </row>
    <row r="4879" spans="1:6" x14ac:dyDescent="0.3">
      <c r="A4879" t="s">
        <v>10470</v>
      </c>
      <c r="B4879" t="s">
        <v>6</v>
      </c>
      <c r="C4879" t="s">
        <v>10471</v>
      </c>
      <c r="D4879" t="s">
        <v>10458</v>
      </c>
      <c r="E4879" t="s">
        <v>10459</v>
      </c>
      <c r="F4879" t="str">
        <f>HYPERLINK("https://talan.bank.gov.ua/get-user-certificate/45CElG-B5fNHLrSfzkmE","Завантажити сертифікат")</f>
        <v>Завантажити сертифікат</v>
      </c>
    </row>
    <row r="4880" spans="1:6" x14ac:dyDescent="0.3">
      <c r="A4880" t="s">
        <v>10472</v>
      </c>
      <c r="B4880" t="s">
        <v>6</v>
      </c>
      <c r="C4880" t="s">
        <v>10473</v>
      </c>
      <c r="D4880" t="s">
        <v>10458</v>
      </c>
      <c r="E4880" t="s">
        <v>10459</v>
      </c>
      <c r="F4880" t="str">
        <f>HYPERLINK("https://talan.bank.gov.ua/get-user-certificate/45CElE7hbPUeiC8LGiTz","Завантажити сертифікат")</f>
        <v>Завантажити сертифікат</v>
      </c>
    </row>
    <row r="4881" spans="1:6" x14ac:dyDescent="0.3">
      <c r="A4881" t="s">
        <v>10474</v>
      </c>
      <c r="B4881" t="s">
        <v>6</v>
      </c>
      <c r="C4881" t="s">
        <v>10475</v>
      </c>
      <c r="D4881" t="s">
        <v>10458</v>
      </c>
      <c r="E4881" t="s">
        <v>10459</v>
      </c>
      <c r="F4881" t="str">
        <f>HYPERLINK("https://talan.bank.gov.ua/get-user-certificate/45CEl0qX5jWpb_0ErCWy","Завантажити сертифікат")</f>
        <v>Завантажити сертифікат</v>
      </c>
    </row>
    <row r="4882" spans="1:6" x14ac:dyDescent="0.3">
      <c r="A4882" t="s">
        <v>10476</v>
      </c>
      <c r="B4882" t="s">
        <v>6</v>
      </c>
      <c r="C4882" t="s">
        <v>10477</v>
      </c>
      <c r="D4882" t="s">
        <v>10458</v>
      </c>
      <c r="E4882" t="s">
        <v>10459</v>
      </c>
      <c r="F4882" t="str">
        <f>HYPERLINK("https://talan.bank.gov.ua/get-user-certificate/45CElWln07-tn3Ryi5r9","Завантажити сертифікат")</f>
        <v>Завантажити сертифікат</v>
      </c>
    </row>
    <row r="4883" spans="1:6" x14ac:dyDescent="0.3">
      <c r="A4883" t="s">
        <v>10478</v>
      </c>
      <c r="B4883" t="s">
        <v>6</v>
      </c>
      <c r="C4883" t="s">
        <v>10479</v>
      </c>
      <c r="D4883" t="s">
        <v>10480</v>
      </c>
      <c r="E4883" t="s">
        <v>10481</v>
      </c>
      <c r="F4883" t="str">
        <f>HYPERLINK("https://talan.bank.gov.ua/get-user-certificate/45CElcoVXJubwzQU0tCC","Завантажити сертифікат")</f>
        <v>Завантажити сертифікат</v>
      </c>
    </row>
    <row r="4884" spans="1:6" x14ac:dyDescent="0.3">
      <c r="A4884" t="s">
        <v>10482</v>
      </c>
      <c r="B4884" t="s">
        <v>6</v>
      </c>
      <c r="C4884" t="s">
        <v>10483</v>
      </c>
      <c r="D4884" t="s">
        <v>10480</v>
      </c>
      <c r="E4884" t="s">
        <v>10481</v>
      </c>
      <c r="F4884" t="str">
        <f>HYPERLINK("https://talan.bank.gov.ua/get-user-certificate/45CElwCtFUlCAklfrdfX","Завантажити сертифікат")</f>
        <v>Завантажити сертифікат</v>
      </c>
    </row>
    <row r="4885" spans="1:6" x14ac:dyDescent="0.3">
      <c r="A4885" t="s">
        <v>10484</v>
      </c>
      <c r="B4885" t="s">
        <v>6</v>
      </c>
      <c r="C4885" t="s">
        <v>10485</v>
      </c>
      <c r="D4885" t="s">
        <v>10480</v>
      </c>
      <c r="E4885" t="s">
        <v>10481</v>
      </c>
      <c r="F4885" t="str">
        <f>HYPERLINK("https://talan.bank.gov.ua/get-user-certificate/45CElWa7NptU890fmobW","Завантажити сертифікат")</f>
        <v>Завантажити сертифікат</v>
      </c>
    </row>
    <row r="4886" spans="1:6" x14ac:dyDescent="0.3">
      <c r="A4886" t="s">
        <v>10486</v>
      </c>
      <c r="B4886" t="s">
        <v>6</v>
      </c>
      <c r="C4886" t="s">
        <v>10487</v>
      </c>
      <c r="D4886" t="s">
        <v>10480</v>
      </c>
      <c r="E4886" t="s">
        <v>10481</v>
      </c>
      <c r="F4886" t="str">
        <f>HYPERLINK("https://talan.bank.gov.ua/get-user-certificate/45CEljDap_n6R7ouNBFv","Завантажити сертифікат")</f>
        <v>Завантажити сертифікат</v>
      </c>
    </row>
    <row r="4887" spans="1:6" x14ac:dyDescent="0.3">
      <c r="A4887" t="s">
        <v>10488</v>
      </c>
      <c r="B4887" t="s">
        <v>6</v>
      </c>
      <c r="C4887" t="s">
        <v>10489</v>
      </c>
      <c r="D4887" t="s">
        <v>10480</v>
      </c>
      <c r="E4887" t="s">
        <v>10481</v>
      </c>
      <c r="F4887" t="str">
        <f>HYPERLINK("https://talan.bank.gov.ua/get-user-certificate/45CElFqIz8MfdVpq7BdO","Завантажити сертифікат")</f>
        <v>Завантажити сертифікат</v>
      </c>
    </row>
    <row r="4888" spans="1:6" x14ac:dyDescent="0.3">
      <c r="A4888" t="s">
        <v>10490</v>
      </c>
      <c r="B4888" t="s">
        <v>6</v>
      </c>
      <c r="C4888" t="s">
        <v>10491</v>
      </c>
      <c r="D4888" t="s">
        <v>10480</v>
      </c>
      <c r="E4888" t="s">
        <v>10481</v>
      </c>
      <c r="F4888" t="str">
        <f>HYPERLINK("https://talan.bank.gov.ua/get-user-certificate/45CElKJIDZcXTQqxcILl","Завантажити сертифікат")</f>
        <v>Завантажити сертифікат</v>
      </c>
    </row>
    <row r="4889" spans="1:6" x14ac:dyDescent="0.3">
      <c r="A4889" t="s">
        <v>10492</v>
      </c>
      <c r="B4889" t="s">
        <v>6</v>
      </c>
      <c r="C4889" t="s">
        <v>10493</v>
      </c>
      <c r="D4889" t="s">
        <v>10480</v>
      </c>
      <c r="E4889" t="s">
        <v>10481</v>
      </c>
      <c r="F4889" t="str">
        <f>HYPERLINK("https://talan.bank.gov.ua/get-user-certificate/45CElDK-qde9s9oMfCTN","Завантажити сертифікат")</f>
        <v>Завантажити сертифікат</v>
      </c>
    </row>
    <row r="4890" spans="1:6" x14ac:dyDescent="0.3">
      <c r="A4890" t="s">
        <v>10494</v>
      </c>
      <c r="B4890" t="s">
        <v>6</v>
      </c>
      <c r="C4890" t="s">
        <v>10495</v>
      </c>
      <c r="D4890" t="s">
        <v>10480</v>
      </c>
      <c r="E4890" t="s">
        <v>10481</v>
      </c>
      <c r="F4890" t="str">
        <f>HYPERLINK("https://talan.bank.gov.ua/get-user-certificate/45CEludkg_VxUPI2KKnB","Завантажити сертифікат")</f>
        <v>Завантажити сертифікат</v>
      </c>
    </row>
    <row r="4891" spans="1:6" x14ac:dyDescent="0.3">
      <c r="A4891" t="s">
        <v>10496</v>
      </c>
      <c r="B4891" t="s">
        <v>6</v>
      </c>
      <c r="C4891" t="s">
        <v>10497</v>
      </c>
      <c r="D4891" t="s">
        <v>10498</v>
      </c>
      <c r="E4891" t="s">
        <v>10499</v>
      </c>
      <c r="F4891" t="str">
        <f>HYPERLINK("https://talan.bank.gov.ua/get-user-certificate/45CElNF-3yTxulzs_l8p","Завантажити сертифікат")</f>
        <v>Завантажити сертифікат</v>
      </c>
    </row>
    <row r="4892" spans="1:6" x14ac:dyDescent="0.3">
      <c r="A4892" t="s">
        <v>10500</v>
      </c>
      <c r="B4892" t="s">
        <v>6</v>
      </c>
      <c r="C4892" t="s">
        <v>10501</v>
      </c>
      <c r="D4892" t="s">
        <v>10498</v>
      </c>
      <c r="E4892" t="s">
        <v>10499</v>
      </c>
      <c r="F4892" t="str">
        <f>HYPERLINK("https://talan.bank.gov.ua/get-user-certificate/45CElRO8AXx-p12xi6tl","Завантажити сертифікат")</f>
        <v>Завантажити сертифікат</v>
      </c>
    </row>
    <row r="4893" spans="1:6" x14ac:dyDescent="0.3">
      <c r="A4893" t="s">
        <v>10502</v>
      </c>
      <c r="B4893" t="s">
        <v>6</v>
      </c>
      <c r="C4893" t="s">
        <v>10503</v>
      </c>
      <c r="D4893" t="s">
        <v>10504</v>
      </c>
      <c r="E4893" t="s">
        <v>10505</v>
      </c>
      <c r="F4893" t="str">
        <f>HYPERLINK("https://talan.bank.gov.ua/get-user-certificate/45CElFrx57W_rukd_RYg","Завантажити сертифікат")</f>
        <v>Завантажити сертифікат</v>
      </c>
    </row>
    <row r="4894" spans="1:6" x14ac:dyDescent="0.3">
      <c r="A4894" t="s">
        <v>10506</v>
      </c>
      <c r="B4894" t="s">
        <v>6</v>
      </c>
      <c r="C4894" t="s">
        <v>10507</v>
      </c>
      <c r="D4894" t="s">
        <v>10504</v>
      </c>
      <c r="E4894" t="s">
        <v>10505</v>
      </c>
      <c r="F4894" t="str">
        <f>HYPERLINK("https://talan.bank.gov.ua/get-user-certificate/45CElPOWZzSf4YPE4mGN","Завантажити сертифікат")</f>
        <v>Завантажити сертифікат</v>
      </c>
    </row>
    <row r="4895" spans="1:6" x14ac:dyDescent="0.3">
      <c r="A4895" t="s">
        <v>10508</v>
      </c>
      <c r="B4895" t="s">
        <v>6</v>
      </c>
      <c r="C4895" t="s">
        <v>10509</v>
      </c>
      <c r="D4895" t="s">
        <v>10504</v>
      </c>
      <c r="E4895" t="s">
        <v>10505</v>
      </c>
      <c r="F4895" t="str">
        <f>HYPERLINK("https://talan.bank.gov.ua/get-user-certificate/45CElnuQ0dKrzuk9fV8x","Завантажити сертифікат")</f>
        <v>Завантажити сертифікат</v>
      </c>
    </row>
    <row r="4896" spans="1:6" x14ac:dyDescent="0.3">
      <c r="A4896" t="s">
        <v>10510</v>
      </c>
      <c r="B4896" t="s">
        <v>6</v>
      </c>
      <c r="C4896" t="s">
        <v>10511</v>
      </c>
      <c r="D4896" t="s">
        <v>10504</v>
      </c>
      <c r="E4896" t="s">
        <v>10505</v>
      </c>
      <c r="F4896" t="str">
        <f>HYPERLINK("https://talan.bank.gov.ua/get-user-certificate/45CElJ3nSWrf1aQVSDdo","Завантажити сертифікат")</f>
        <v>Завантажити сертифікат</v>
      </c>
    </row>
    <row r="4897" spans="1:6" x14ac:dyDescent="0.3">
      <c r="A4897" t="s">
        <v>10512</v>
      </c>
      <c r="B4897" t="s">
        <v>6</v>
      </c>
      <c r="C4897" t="s">
        <v>10513</v>
      </c>
      <c r="D4897" t="s">
        <v>10504</v>
      </c>
      <c r="E4897" t="s">
        <v>10505</v>
      </c>
      <c r="F4897" t="str">
        <f>HYPERLINK("https://talan.bank.gov.ua/get-user-certificate/45CElmvJG7_L-cPePRL4","Завантажити сертифікат")</f>
        <v>Завантажити сертифікат</v>
      </c>
    </row>
    <row r="4898" spans="1:6" x14ac:dyDescent="0.3">
      <c r="A4898" t="s">
        <v>10514</v>
      </c>
      <c r="B4898" t="s">
        <v>6</v>
      </c>
      <c r="C4898" t="s">
        <v>10515</v>
      </c>
      <c r="D4898" t="s">
        <v>10504</v>
      </c>
      <c r="E4898" t="s">
        <v>10505</v>
      </c>
      <c r="F4898" t="str">
        <f>HYPERLINK("https://talan.bank.gov.ua/get-user-certificate/45CElysP-YN7bNRqgs0A","Завантажити сертифікат")</f>
        <v>Завантажити сертифікат</v>
      </c>
    </row>
    <row r="4899" spans="1:6" x14ac:dyDescent="0.3">
      <c r="A4899" t="s">
        <v>10516</v>
      </c>
      <c r="B4899" t="s">
        <v>6</v>
      </c>
      <c r="C4899" t="s">
        <v>10517</v>
      </c>
      <c r="D4899" t="s">
        <v>10504</v>
      </c>
      <c r="E4899" t="s">
        <v>10505</v>
      </c>
      <c r="F4899" t="str">
        <f>HYPERLINK("https://talan.bank.gov.ua/get-user-certificate/45CElY1g-b6Vh4--cZdb","Завантажити сертифікат")</f>
        <v>Завантажити сертифікат</v>
      </c>
    </row>
    <row r="4900" spans="1:6" x14ac:dyDescent="0.3">
      <c r="A4900" t="s">
        <v>10518</v>
      </c>
      <c r="B4900" t="s">
        <v>6</v>
      </c>
      <c r="C4900" t="s">
        <v>10519</v>
      </c>
      <c r="D4900" t="s">
        <v>10504</v>
      </c>
      <c r="E4900" t="s">
        <v>10505</v>
      </c>
      <c r="F4900" t="str">
        <f>HYPERLINK("https://talan.bank.gov.ua/get-user-certificate/45CElyzhWiakgWVdDWHN","Завантажити сертифікат")</f>
        <v>Завантажити сертифікат</v>
      </c>
    </row>
    <row r="4901" spans="1:6" x14ac:dyDescent="0.3">
      <c r="A4901" t="s">
        <v>10520</v>
      </c>
      <c r="B4901" t="s">
        <v>6</v>
      </c>
      <c r="C4901" t="s">
        <v>10521</v>
      </c>
      <c r="D4901" t="s">
        <v>10504</v>
      </c>
      <c r="E4901" t="s">
        <v>10505</v>
      </c>
      <c r="F4901" t="str">
        <f>HYPERLINK("https://talan.bank.gov.ua/get-user-certificate/45CEl5adAqCC__zQWMb9","Завантажити сертифікат")</f>
        <v>Завантажити сертифікат</v>
      </c>
    </row>
    <row r="4902" spans="1:6" x14ac:dyDescent="0.3">
      <c r="A4902" t="s">
        <v>10522</v>
      </c>
      <c r="B4902" t="s">
        <v>6</v>
      </c>
      <c r="C4902" t="s">
        <v>10523</v>
      </c>
      <c r="D4902" t="s">
        <v>10524</v>
      </c>
      <c r="E4902" t="s">
        <v>10525</v>
      </c>
      <c r="F4902" t="str">
        <f>HYPERLINK("https://talan.bank.gov.ua/get-user-certificate/45CElzBsbJXgVRhVlhI3","Завантажити сертифікат")</f>
        <v>Завантажити сертифікат</v>
      </c>
    </row>
    <row r="4903" spans="1:6" x14ac:dyDescent="0.3">
      <c r="A4903" t="s">
        <v>10526</v>
      </c>
      <c r="B4903" t="s">
        <v>6</v>
      </c>
      <c r="C4903" t="s">
        <v>10527</v>
      </c>
      <c r="D4903" t="s">
        <v>10524</v>
      </c>
      <c r="E4903" t="s">
        <v>10525</v>
      </c>
      <c r="F4903" t="str">
        <f>HYPERLINK("https://talan.bank.gov.ua/get-user-certificate/45CElO3tcoyF6583UMJX","Завантажити сертифікат")</f>
        <v>Завантажити сертифікат</v>
      </c>
    </row>
    <row r="4904" spans="1:6" x14ac:dyDescent="0.3">
      <c r="A4904" t="s">
        <v>10528</v>
      </c>
      <c r="B4904" t="s">
        <v>6</v>
      </c>
      <c r="C4904" t="s">
        <v>10529</v>
      </c>
      <c r="D4904" t="s">
        <v>10524</v>
      </c>
      <c r="E4904" t="s">
        <v>10525</v>
      </c>
      <c r="F4904" t="str">
        <f>HYPERLINK("https://talan.bank.gov.ua/get-user-certificate/45CElwDCgl1AJRlqXI3Z","Завантажити сертифікат")</f>
        <v>Завантажити сертифікат</v>
      </c>
    </row>
    <row r="4905" spans="1:6" x14ac:dyDescent="0.3">
      <c r="A4905" t="s">
        <v>10530</v>
      </c>
      <c r="B4905" t="s">
        <v>6</v>
      </c>
      <c r="C4905" t="s">
        <v>10531</v>
      </c>
      <c r="D4905" t="s">
        <v>10524</v>
      </c>
      <c r="E4905" t="s">
        <v>10525</v>
      </c>
      <c r="F4905" t="str">
        <f>HYPERLINK("https://talan.bank.gov.ua/get-user-certificate/45CElbVcRgyrhIVp2TTV","Завантажити сертифікат")</f>
        <v>Завантажити сертифікат</v>
      </c>
    </row>
    <row r="4906" spans="1:6" x14ac:dyDescent="0.3">
      <c r="A4906" t="s">
        <v>10532</v>
      </c>
      <c r="B4906" t="s">
        <v>6</v>
      </c>
      <c r="C4906" t="s">
        <v>10533</v>
      </c>
      <c r="D4906" t="s">
        <v>10524</v>
      </c>
      <c r="E4906" t="s">
        <v>10525</v>
      </c>
      <c r="F4906" t="str">
        <f>HYPERLINK("https://talan.bank.gov.ua/get-user-certificate/45CElUV6xQ3VyMRjmUmY","Завантажити сертифікат")</f>
        <v>Завантажити сертифікат</v>
      </c>
    </row>
    <row r="4907" spans="1:6" x14ac:dyDescent="0.3">
      <c r="A4907" t="s">
        <v>10534</v>
      </c>
      <c r="B4907" t="s">
        <v>6</v>
      </c>
      <c r="C4907" t="s">
        <v>10535</v>
      </c>
      <c r="D4907" t="s">
        <v>10536</v>
      </c>
      <c r="E4907" t="s">
        <v>10537</v>
      </c>
      <c r="F4907" t="str">
        <f>HYPERLINK("https://talan.bank.gov.ua/get-user-certificate/45CEl3Lm51VGmRxPRQte","Завантажити сертифікат")</f>
        <v>Завантажити сертифікат</v>
      </c>
    </row>
    <row r="4908" spans="1:6" x14ac:dyDescent="0.3">
      <c r="A4908" t="s">
        <v>10538</v>
      </c>
      <c r="B4908" t="s">
        <v>6</v>
      </c>
      <c r="C4908" t="s">
        <v>10539</v>
      </c>
      <c r="D4908" t="s">
        <v>10536</v>
      </c>
      <c r="E4908" t="s">
        <v>10537</v>
      </c>
      <c r="F4908" t="str">
        <f>HYPERLINK("https://talan.bank.gov.ua/get-user-certificate/45CElin892ylZuDRABCn","Завантажити сертифікат")</f>
        <v>Завантажити сертифікат</v>
      </c>
    </row>
    <row r="4909" spans="1:6" x14ac:dyDescent="0.3">
      <c r="A4909" t="s">
        <v>10540</v>
      </c>
      <c r="B4909" t="s">
        <v>6</v>
      </c>
      <c r="C4909" t="s">
        <v>10541</v>
      </c>
      <c r="D4909" t="s">
        <v>10536</v>
      </c>
      <c r="E4909" t="s">
        <v>10537</v>
      </c>
      <c r="F4909" t="str">
        <f>HYPERLINK("https://talan.bank.gov.ua/get-user-certificate/45CElqbO0mbvoeWKYlYI","Завантажити сертифікат")</f>
        <v>Завантажити сертифікат</v>
      </c>
    </row>
    <row r="4910" spans="1:6" x14ac:dyDescent="0.3">
      <c r="A4910" t="s">
        <v>10542</v>
      </c>
      <c r="B4910" t="s">
        <v>6</v>
      </c>
      <c r="C4910" t="s">
        <v>10543</v>
      </c>
      <c r="D4910" t="s">
        <v>10536</v>
      </c>
      <c r="E4910" t="s">
        <v>10537</v>
      </c>
      <c r="F4910" t="str">
        <f>HYPERLINK("https://talan.bank.gov.ua/get-user-certificate/45CElMqXlHtibzUeY_08","Завантажити сертифікат")</f>
        <v>Завантажити сертифікат</v>
      </c>
    </row>
    <row r="4911" spans="1:6" x14ac:dyDescent="0.3">
      <c r="A4911" t="s">
        <v>10544</v>
      </c>
      <c r="B4911" t="s">
        <v>6</v>
      </c>
      <c r="C4911" t="s">
        <v>10545</v>
      </c>
      <c r="D4911" t="s">
        <v>10536</v>
      </c>
      <c r="E4911" t="s">
        <v>10537</v>
      </c>
      <c r="F4911" t="str">
        <f>HYPERLINK("https://talan.bank.gov.ua/get-user-certificate/45CEl8oTqYoFAstjdUGV","Завантажити сертифікат")</f>
        <v>Завантажити сертифікат</v>
      </c>
    </row>
    <row r="4912" spans="1:6" x14ac:dyDescent="0.3">
      <c r="A4912" t="s">
        <v>10546</v>
      </c>
      <c r="B4912" t="s">
        <v>6</v>
      </c>
      <c r="C4912" t="s">
        <v>10547</v>
      </c>
      <c r="D4912" t="s">
        <v>10548</v>
      </c>
      <c r="E4912" t="s">
        <v>10549</v>
      </c>
      <c r="F4912" t="str">
        <f>HYPERLINK("https://talan.bank.gov.ua/get-user-certificate/45CElTM5vS2OvUeZ-vWX","Завантажити сертифікат")</f>
        <v>Завантажити сертифікат</v>
      </c>
    </row>
    <row r="4913" spans="1:6" x14ac:dyDescent="0.3">
      <c r="A4913" t="s">
        <v>10550</v>
      </c>
      <c r="B4913" t="s">
        <v>6</v>
      </c>
      <c r="C4913" t="s">
        <v>10551</v>
      </c>
      <c r="D4913" t="s">
        <v>10548</v>
      </c>
      <c r="E4913" t="s">
        <v>10549</v>
      </c>
      <c r="F4913" t="str">
        <f>HYPERLINK("https://talan.bank.gov.ua/get-user-certificate/45CEluAeUDKYzrekbpBx","Завантажити сертифікат")</f>
        <v>Завантажити сертифікат</v>
      </c>
    </row>
    <row r="4914" spans="1:6" x14ac:dyDescent="0.3">
      <c r="A4914" t="s">
        <v>10552</v>
      </c>
      <c r="B4914" t="s">
        <v>6</v>
      </c>
      <c r="C4914" t="s">
        <v>10553</v>
      </c>
      <c r="D4914" t="s">
        <v>10548</v>
      </c>
      <c r="E4914" t="s">
        <v>10549</v>
      </c>
      <c r="F4914" t="str">
        <f>HYPERLINK("https://talan.bank.gov.ua/get-user-certificate/45CElaQi9sDotQPa6i39","Завантажити сертифікат")</f>
        <v>Завантажити сертифікат</v>
      </c>
    </row>
    <row r="4915" spans="1:6" x14ac:dyDescent="0.3">
      <c r="A4915" t="s">
        <v>10554</v>
      </c>
      <c r="B4915" t="s">
        <v>6</v>
      </c>
      <c r="C4915" t="s">
        <v>10555</v>
      </c>
      <c r="D4915" t="s">
        <v>10548</v>
      </c>
      <c r="E4915" t="s">
        <v>10549</v>
      </c>
      <c r="F4915" t="str">
        <f>HYPERLINK("https://talan.bank.gov.ua/get-user-certificate/45CElDptRAHlNYvyHo6Y","Завантажити сертифікат")</f>
        <v>Завантажити сертифікат</v>
      </c>
    </row>
    <row r="4916" spans="1:6" x14ac:dyDescent="0.3">
      <c r="A4916" t="s">
        <v>10556</v>
      </c>
      <c r="B4916" t="s">
        <v>6</v>
      </c>
      <c r="C4916" t="s">
        <v>10557</v>
      </c>
      <c r="D4916" t="s">
        <v>10548</v>
      </c>
      <c r="E4916" t="s">
        <v>10549</v>
      </c>
      <c r="F4916" t="str">
        <f>HYPERLINK("https://talan.bank.gov.ua/get-user-certificate/45CElApmHRhaiBcUB3W3","Завантажити сертифікат")</f>
        <v>Завантажити сертифікат</v>
      </c>
    </row>
    <row r="4917" spans="1:6" x14ac:dyDescent="0.3">
      <c r="A4917" t="s">
        <v>10558</v>
      </c>
      <c r="B4917" t="s">
        <v>6</v>
      </c>
      <c r="C4917" t="s">
        <v>10559</v>
      </c>
      <c r="D4917" t="s">
        <v>10548</v>
      </c>
      <c r="E4917" t="s">
        <v>10549</v>
      </c>
      <c r="F4917" t="str">
        <f>HYPERLINK("https://talan.bank.gov.ua/get-user-certificate/45CElwRjIrbU_P8hofKI","Завантажити сертифікат")</f>
        <v>Завантажити сертифікат</v>
      </c>
    </row>
    <row r="4918" spans="1:6" x14ac:dyDescent="0.3">
      <c r="A4918" t="s">
        <v>10560</v>
      </c>
      <c r="B4918" t="s">
        <v>6</v>
      </c>
      <c r="C4918" t="s">
        <v>10561</v>
      </c>
      <c r="D4918" t="s">
        <v>10548</v>
      </c>
      <c r="E4918" t="s">
        <v>10549</v>
      </c>
      <c r="F4918" t="str">
        <f>HYPERLINK("https://talan.bank.gov.ua/get-user-certificate/45CElkONmdJN2X9Q4rsx","Завантажити сертифікат")</f>
        <v>Завантажити сертифікат</v>
      </c>
    </row>
    <row r="4919" spans="1:6" x14ac:dyDescent="0.3">
      <c r="A4919" t="s">
        <v>10562</v>
      </c>
      <c r="B4919" t="s">
        <v>6</v>
      </c>
      <c r="C4919" t="s">
        <v>10563</v>
      </c>
      <c r="D4919" t="s">
        <v>10548</v>
      </c>
      <c r="E4919" t="s">
        <v>10549</v>
      </c>
      <c r="F4919" t="str">
        <f>HYPERLINK("https://talan.bank.gov.ua/get-user-certificate/45CElH4XuC4vEpmAs7JB","Завантажити сертифікат")</f>
        <v>Завантажити сертифікат</v>
      </c>
    </row>
    <row r="4920" spans="1:6" x14ac:dyDescent="0.3">
      <c r="A4920" t="s">
        <v>10564</v>
      </c>
      <c r="B4920" t="s">
        <v>6</v>
      </c>
      <c r="C4920" t="s">
        <v>10565</v>
      </c>
      <c r="D4920" t="s">
        <v>10548</v>
      </c>
      <c r="E4920" t="s">
        <v>10549</v>
      </c>
      <c r="F4920" t="str">
        <f>HYPERLINK("https://talan.bank.gov.ua/get-user-certificate/45CElXsS04gKPpPk_Ppn","Завантажити сертифікат")</f>
        <v>Завантажити сертифікат</v>
      </c>
    </row>
    <row r="4921" spans="1:6" x14ac:dyDescent="0.3">
      <c r="A4921" t="s">
        <v>10566</v>
      </c>
      <c r="B4921" t="s">
        <v>6</v>
      </c>
      <c r="C4921" t="s">
        <v>10567</v>
      </c>
      <c r="D4921" t="s">
        <v>10548</v>
      </c>
      <c r="E4921" t="s">
        <v>10549</v>
      </c>
      <c r="F4921" t="str">
        <f>HYPERLINK("https://talan.bank.gov.ua/get-user-certificate/45CEljktj8sumepRZ578","Завантажити сертифікат")</f>
        <v>Завантажити сертифікат</v>
      </c>
    </row>
    <row r="4922" spans="1:6" x14ac:dyDescent="0.3">
      <c r="A4922" t="s">
        <v>10568</v>
      </c>
      <c r="B4922" t="s">
        <v>6</v>
      </c>
      <c r="C4922" t="s">
        <v>10569</v>
      </c>
      <c r="D4922" t="s">
        <v>10548</v>
      </c>
      <c r="E4922" t="s">
        <v>10549</v>
      </c>
      <c r="F4922" t="str">
        <f>HYPERLINK("https://talan.bank.gov.ua/get-user-certificate/45CEl_8BEykEkBbI0nbe","Завантажити сертифікат")</f>
        <v>Завантажити сертифікат</v>
      </c>
    </row>
    <row r="4923" spans="1:6" x14ac:dyDescent="0.3">
      <c r="A4923" t="s">
        <v>10570</v>
      </c>
      <c r="B4923" t="s">
        <v>6</v>
      </c>
      <c r="C4923" t="s">
        <v>10571</v>
      </c>
      <c r="D4923" t="s">
        <v>10548</v>
      </c>
      <c r="E4923" t="s">
        <v>10549</v>
      </c>
      <c r="F4923" t="str">
        <f>HYPERLINK("https://talan.bank.gov.ua/get-user-certificate/45CElOTknx_PwifFUXX6","Завантажити сертифікат")</f>
        <v>Завантажити сертифікат</v>
      </c>
    </row>
    <row r="4924" spans="1:6" x14ac:dyDescent="0.3">
      <c r="A4924" t="s">
        <v>10572</v>
      </c>
      <c r="B4924" t="s">
        <v>6</v>
      </c>
      <c r="C4924" t="s">
        <v>10573</v>
      </c>
      <c r="D4924" t="s">
        <v>10548</v>
      </c>
      <c r="E4924" t="s">
        <v>10549</v>
      </c>
      <c r="F4924" t="str">
        <f>HYPERLINK("https://talan.bank.gov.ua/get-user-certificate/45CEl_GDyu6bUdMFBr8Q","Завантажити сертифікат")</f>
        <v>Завантажити сертифікат</v>
      </c>
    </row>
    <row r="4925" spans="1:6" x14ac:dyDescent="0.3">
      <c r="A4925" t="s">
        <v>10574</v>
      </c>
      <c r="B4925" t="s">
        <v>6</v>
      </c>
      <c r="C4925" t="s">
        <v>10575</v>
      </c>
      <c r="D4925" t="s">
        <v>10548</v>
      </c>
      <c r="E4925" t="s">
        <v>10549</v>
      </c>
      <c r="F4925" t="str">
        <f>HYPERLINK("https://talan.bank.gov.ua/get-user-certificate/45CElLnnrchdsQwucw_J","Завантажити сертифікат")</f>
        <v>Завантажити сертифікат</v>
      </c>
    </row>
    <row r="4926" spans="1:6" x14ac:dyDescent="0.3">
      <c r="A4926" t="s">
        <v>10576</v>
      </c>
      <c r="B4926" t="s">
        <v>6</v>
      </c>
      <c r="C4926" t="s">
        <v>10577</v>
      </c>
      <c r="D4926" t="s">
        <v>10548</v>
      </c>
      <c r="E4926" t="s">
        <v>10549</v>
      </c>
      <c r="F4926" t="str">
        <f>HYPERLINK("https://talan.bank.gov.ua/get-user-certificate/45CElll3TUEP3rNu-fJE","Завантажити сертифікат")</f>
        <v>Завантажити сертифікат</v>
      </c>
    </row>
    <row r="4927" spans="1:6" x14ac:dyDescent="0.3">
      <c r="A4927" t="s">
        <v>10578</v>
      </c>
      <c r="B4927" t="s">
        <v>6</v>
      </c>
      <c r="C4927" t="s">
        <v>10579</v>
      </c>
      <c r="D4927" t="s">
        <v>10580</v>
      </c>
      <c r="E4927" t="s">
        <v>10581</v>
      </c>
      <c r="F4927" t="str">
        <f>HYPERLINK("https://talan.bank.gov.ua/get-user-certificate/45CEl2TdOGfs15VNNEGX","Завантажити сертифікат")</f>
        <v>Завантажити сертифікат</v>
      </c>
    </row>
    <row r="4928" spans="1:6" x14ac:dyDescent="0.3">
      <c r="A4928" t="s">
        <v>10582</v>
      </c>
      <c r="B4928" t="s">
        <v>6</v>
      </c>
      <c r="C4928" t="s">
        <v>10583</v>
      </c>
      <c r="D4928" t="s">
        <v>10580</v>
      </c>
      <c r="E4928" t="s">
        <v>10581</v>
      </c>
      <c r="F4928" t="str">
        <f>HYPERLINK("https://talan.bank.gov.ua/get-user-certificate/45CEl2w2ywQd69B9MUYh","Завантажити сертифікат")</f>
        <v>Завантажити сертифікат</v>
      </c>
    </row>
    <row r="4929" spans="1:6" x14ac:dyDescent="0.3">
      <c r="A4929" t="s">
        <v>10584</v>
      </c>
      <c r="B4929" t="s">
        <v>6</v>
      </c>
      <c r="C4929" t="s">
        <v>10585</v>
      </c>
      <c r="D4929" t="s">
        <v>10580</v>
      </c>
      <c r="E4929" t="s">
        <v>10581</v>
      </c>
      <c r="F4929" t="str">
        <f>HYPERLINK("https://talan.bank.gov.ua/get-user-certificate/45CElDgFUK6adu_gvQ-f","Завантажити сертифікат")</f>
        <v>Завантажити сертифікат</v>
      </c>
    </row>
    <row r="4930" spans="1:6" x14ac:dyDescent="0.3">
      <c r="A4930" t="s">
        <v>10586</v>
      </c>
      <c r="B4930" t="s">
        <v>6</v>
      </c>
      <c r="C4930" t="s">
        <v>10587</v>
      </c>
      <c r="D4930" t="s">
        <v>10588</v>
      </c>
      <c r="E4930" t="s">
        <v>10589</v>
      </c>
      <c r="F4930" t="str">
        <f>HYPERLINK("https://talan.bank.gov.ua/get-user-certificate/45CEl1z68d0ZTfI3s2oY","Завантажити сертифікат")</f>
        <v>Завантажити сертифікат</v>
      </c>
    </row>
    <row r="4931" spans="1:6" x14ac:dyDescent="0.3">
      <c r="A4931" t="s">
        <v>10590</v>
      </c>
      <c r="B4931" t="s">
        <v>6</v>
      </c>
      <c r="C4931" t="s">
        <v>10591</v>
      </c>
      <c r="D4931" t="s">
        <v>10588</v>
      </c>
      <c r="E4931" t="s">
        <v>10589</v>
      </c>
      <c r="F4931" t="str">
        <f>HYPERLINK("https://talan.bank.gov.ua/get-user-certificate/45CElTPKf0knMMAsz6tM","Завантажити сертифікат")</f>
        <v>Завантажити сертифікат</v>
      </c>
    </row>
    <row r="4932" spans="1:6" x14ac:dyDescent="0.3">
      <c r="A4932" t="s">
        <v>10592</v>
      </c>
      <c r="B4932" t="s">
        <v>6</v>
      </c>
      <c r="C4932" t="s">
        <v>10593</v>
      </c>
      <c r="D4932" t="s">
        <v>10588</v>
      </c>
      <c r="E4932" t="s">
        <v>10589</v>
      </c>
      <c r="F4932" t="str">
        <f>HYPERLINK("https://talan.bank.gov.ua/get-user-certificate/45CElzOUYpUSFEyMkq9K","Завантажити сертифікат")</f>
        <v>Завантажити сертифікат</v>
      </c>
    </row>
    <row r="4933" spans="1:6" x14ac:dyDescent="0.3">
      <c r="A4933" t="s">
        <v>10594</v>
      </c>
      <c r="B4933" t="s">
        <v>6</v>
      </c>
      <c r="C4933" t="s">
        <v>10595</v>
      </c>
      <c r="D4933" t="s">
        <v>10588</v>
      </c>
      <c r="E4933" t="s">
        <v>10589</v>
      </c>
      <c r="F4933" t="str">
        <f>HYPERLINK("https://talan.bank.gov.ua/get-user-certificate/45CEl5yoHgFYem1zB5nu","Завантажити сертифікат")</f>
        <v>Завантажити сертифікат</v>
      </c>
    </row>
    <row r="4934" spans="1:6" x14ac:dyDescent="0.3">
      <c r="A4934" t="s">
        <v>10596</v>
      </c>
      <c r="B4934" t="s">
        <v>6</v>
      </c>
      <c r="C4934" t="s">
        <v>10597</v>
      </c>
      <c r="D4934" t="s">
        <v>10588</v>
      </c>
      <c r="E4934" t="s">
        <v>10589</v>
      </c>
      <c r="F4934" t="str">
        <f>HYPERLINK("https://talan.bank.gov.ua/get-user-certificate/45CEl_P7FXEvzl0-URzs","Завантажити сертифікат")</f>
        <v>Завантажити сертифікат</v>
      </c>
    </row>
    <row r="4935" spans="1:6" x14ac:dyDescent="0.3">
      <c r="A4935" t="s">
        <v>10598</v>
      </c>
      <c r="B4935" t="s">
        <v>6</v>
      </c>
      <c r="C4935" t="s">
        <v>10599</v>
      </c>
      <c r="D4935" t="s">
        <v>10588</v>
      </c>
      <c r="E4935" t="s">
        <v>10589</v>
      </c>
      <c r="F4935" t="str">
        <f>HYPERLINK("https://talan.bank.gov.ua/get-user-certificate/45CEl88BwakcD8z8GcK7","Завантажити сертифікат")</f>
        <v>Завантажити сертифікат</v>
      </c>
    </row>
    <row r="4936" spans="1:6" x14ac:dyDescent="0.3">
      <c r="A4936" t="s">
        <v>10600</v>
      </c>
      <c r="B4936" t="s">
        <v>6</v>
      </c>
      <c r="C4936" t="s">
        <v>10601</v>
      </c>
      <c r="D4936" t="s">
        <v>10588</v>
      </c>
      <c r="E4936" t="s">
        <v>10589</v>
      </c>
      <c r="F4936" t="str">
        <f>HYPERLINK("https://talan.bank.gov.ua/get-user-certificate/45CElccM1ON2cAhSWQyt","Завантажити сертифікат")</f>
        <v>Завантажити сертифікат</v>
      </c>
    </row>
    <row r="4937" spans="1:6" x14ac:dyDescent="0.3">
      <c r="A4937" t="s">
        <v>10602</v>
      </c>
      <c r="B4937" t="s">
        <v>6</v>
      </c>
      <c r="C4937" t="s">
        <v>10603</v>
      </c>
      <c r="D4937" t="s">
        <v>10588</v>
      </c>
      <c r="E4937" t="s">
        <v>10589</v>
      </c>
      <c r="F4937" t="str">
        <f>HYPERLINK("https://talan.bank.gov.ua/get-user-certificate/45CElha1-oWT3aUvM7zx","Завантажити сертифікат")</f>
        <v>Завантажити сертифікат</v>
      </c>
    </row>
    <row r="4938" spans="1:6" x14ac:dyDescent="0.3">
      <c r="A4938" t="s">
        <v>10604</v>
      </c>
      <c r="B4938" t="s">
        <v>6</v>
      </c>
      <c r="C4938" t="s">
        <v>10605</v>
      </c>
      <c r="D4938" t="s">
        <v>10588</v>
      </c>
      <c r="E4938" t="s">
        <v>10589</v>
      </c>
      <c r="F4938" t="str">
        <f>HYPERLINK("https://talan.bank.gov.ua/get-user-certificate/45CElUB0NdsvOZPklu0e","Завантажити сертифікат")</f>
        <v>Завантажити сертифікат</v>
      </c>
    </row>
    <row r="4939" spans="1:6" x14ac:dyDescent="0.3">
      <c r="A4939" t="s">
        <v>10606</v>
      </c>
      <c r="B4939" t="s">
        <v>6</v>
      </c>
      <c r="C4939" t="s">
        <v>10607</v>
      </c>
      <c r="D4939" t="s">
        <v>10588</v>
      </c>
      <c r="E4939" t="s">
        <v>10589</v>
      </c>
      <c r="F4939" t="str">
        <f>HYPERLINK("https://talan.bank.gov.ua/get-user-certificate/45CElXoR9DiVu2dYvtPW","Завантажити сертифікат")</f>
        <v>Завантажити сертифікат</v>
      </c>
    </row>
    <row r="4940" spans="1:6" x14ac:dyDescent="0.3">
      <c r="A4940" t="s">
        <v>10608</v>
      </c>
      <c r="B4940" t="s">
        <v>6</v>
      </c>
      <c r="C4940" t="s">
        <v>10609</v>
      </c>
      <c r="D4940" t="s">
        <v>10588</v>
      </c>
      <c r="E4940" t="s">
        <v>10589</v>
      </c>
      <c r="F4940" t="str">
        <f>HYPERLINK("https://talan.bank.gov.ua/get-user-certificate/45CElo2zd3IAI3GfdBzX","Завантажити сертифікат")</f>
        <v>Завантажити сертифікат</v>
      </c>
    </row>
    <row r="4941" spans="1:6" x14ac:dyDescent="0.3">
      <c r="A4941" t="s">
        <v>10610</v>
      </c>
      <c r="B4941" t="s">
        <v>6</v>
      </c>
      <c r="C4941" t="s">
        <v>10611</v>
      </c>
      <c r="D4941" t="s">
        <v>10612</v>
      </c>
      <c r="E4941" t="s">
        <v>10613</v>
      </c>
      <c r="F4941" t="str">
        <f>HYPERLINK("https://talan.bank.gov.ua/get-user-certificate/45CElD-LwwIyOcbj_awi","Завантажити сертифікат")</f>
        <v>Завантажити сертифікат</v>
      </c>
    </row>
    <row r="4942" spans="1:6" x14ac:dyDescent="0.3">
      <c r="A4942" t="s">
        <v>10614</v>
      </c>
      <c r="B4942" t="s">
        <v>6</v>
      </c>
      <c r="C4942" t="s">
        <v>10615</v>
      </c>
      <c r="D4942" t="s">
        <v>10612</v>
      </c>
      <c r="E4942" t="s">
        <v>10613</v>
      </c>
      <c r="F4942" t="str">
        <f>HYPERLINK("https://talan.bank.gov.ua/get-user-certificate/45CEl2r2wDs6xoKxvTcE","Завантажити сертифікат")</f>
        <v>Завантажити сертифікат</v>
      </c>
    </row>
    <row r="4943" spans="1:6" x14ac:dyDescent="0.3">
      <c r="A4943" t="s">
        <v>10616</v>
      </c>
      <c r="B4943" t="s">
        <v>6</v>
      </c>
      <c r="C4943" t="s">
        <v>10617</v>
      </c>
      <c r="D4943" t="s">
        <v>10612</v>
      </c>
      <c r="E4943" t="s">
        <v>10613</v>
      </c>
      <c r="F4943" t="str">
        <f>HYPERLINK("https://talan.bank.gov.ua/get-user-certificate/45CElHBBcJLCSYJcDZ6s","Завантажити сертифікат")</f>
        <v>Завантажити сертифікат</v>
      </c>
    </row>
    <row r="4944" spans="1:6" x14ac:dyDescent="0.3">
      <c r="A4944" t="s">
        <v>10618</v>
      </c>
      <c r="B4944" t="s">
        <v>6</v>
      </c>
      <c r="C4944" t="s">
        <v>10619</v>
      </c>
      <c r="D4944" t="s">
        <v>10612</v>
      </c>
      <c r="E4944" t="s">
        <v>10613</v>
      </c>
      <c r="F4944" t="str">
        <f>HYPERLINK("https://talan.bank.gov.ua/get-user-certificate/45CElajuLY99yRyJIKEx","Завантажити сертифікат")</f>
        <v>Завантажити сертифікат</v>
      </c>
    </row>
    <row r="4945" spans="1:6" x14ac:dyDescent="0.3">
      <c r="A4945" t="s">
        <v>10620</v>
      </c>
      <c r="B4945" t="s">
        <v>6</v>
      </c>
      <c r="C4945" t="s">
        <v>10621</v>
      </c>
      <c r="D4945" t="s">
        <v>10612</v>
      </c>
      <c r="E4945" t="s">
        <v>10613</v>
      </c>
      <c r="F4945" t="str">
        <f>HYPERLINK("https://talan.bank.gov.ua/get-user-certificate/45CElkbXl7F-fDpFT4co","Завантажити сертифікат")</f>
        <v>Завантажити сертифікат</v>
      </c>
    </row>
    <row r="4946" spans="1:6" x14ac:dyDescent="0.3">
      <c r="A4946" t="s">
        <v>10622</v>
      </c>
      <c r="B4946" t="s">
        <v>6</v>
      </c>
      <c r="C4946" t="s">
        <v>10623</v>
      </c>
      <c r="D4946" t="s">
        <v>10612</v>
      </c>
      <c r="E4946" t="s">
        <v>10613</v>
      </c>
      <c r="F4946" t="str">
        <f>HYPERLINK("https://talan.bank.gov.ua/get-user-certificate/45CElrYUO7ol6R0Bc0ic","Завантажити сертифікат")</f>
        <v>Завантажити сертифікат</v>
      </c>
    </row>
    <row r="4947" spans="1:6" x14ac:dyDescent="0.3">
      <c r="A4947" t="s">
        <v>10624</v>
      </c>
      <c r="B4947" t="s">
        <v>6</v>
      </c>
      <c r="C4947" t="s">
        <v>10625</v>
      </c>
      <c r="D4947" t="s">
        <v>10612</v>
      </c>
      <c r="E4947" t="s">
        <v>10613</v>
      </c>
      <c r="F4947" t="str">
        <f>HYPERLINK("https://talan.bank.gov.ua/get-user-certificate/45CElkRSUoDE5YpDNN_9","Завантажити сертифікат")</f>
        <v>Завантажити сертифікат</v>
      </c>
    </row>
    <row r="4948" spans="1:6" x14ac:dyDescent="0.3">
      <c r="A4948" t="s">
        <v>10626</v>
      </c>
      <c r="B4948" t="s">
        <v>6</v>
      </c>
      <c r="C4948" t="s">
        <v>10627</v>
      </c>
      <c r="D4948" t="s">
        <v>10628</v>
      </c>
      <c r="E4948" t="s">
        <v>10629</v>
      </c>
      <c r="F4948" t="str">
        <f>HYPERLINK("https://talan.bank.gov.ua/get-user-certificate/45CElS1ckjtB6GBbMAu4","Завантажити сертифікат")</f>
        <v>Завантажити сертифікат</v>
      </c>
    </row>
    <row r="4949" spans="1:6" x14ac:dyDescent="0.3">
      <c r="A4949" t="s">
        <v>10630</v>
      </c>
      <c r="B4949" t="s">
        <v>6</v>
      </c>
      <c r="C4949" t="s">
        <v>10631</v>
      </c>
      <c r="D4949" t="s">
        <v>10628</v>
      </c>
      <c r="E4949" t="s">
        <v>10629</v>
      </c>
      <c r="F4949" t="str">
        <f>HYPERLINK("https://talan.bank.gov.ua/get-user-certificate/45CEl_psRFc-dhyfuhQO","Завантажити сертифікат")</f>
        <v>Завантажити сертифікат</v>
      </c>
    </row>
    <row r="4950" spans="1:6" x14ac:dyDescent="0.3">
      <c r="A4950" t="s">
        <v>10632</v>
      </c>
      <c r="B4950" t="s">
        <v>6</v>
      </c>
      <c r="C4950" t="s">
        <v>10633</v>
      </c>
      <c r="D4950" t="s">
        <v>10628</v>
      </c>
      <c r="E4950" t="s">
        <v>10629</v>
      </c>
      <c r="F4950" t="str">
        <f>HYPERLINK("https://talan.bank.gov.ua/get-user-certificate/45CElaoj5kTV7VFP_n7x","Завантажити сертифікат")</f>
        <v>Завантажити сертифікат</v>
      </c>
    </row>
    <row r="4951" spans="1:6" x14ac:dyDescent="0.3">
      <c r="A4951" t="s">
        <v>10634</v>
      </c>
      <c r="B4951" t="s">
        <v>6</v>
      </c>
      <c r="C4951" t="s">
        <v>10635</v>
      </c>
      <c r="D4951" t="s">
        <v>10628</v>
      </c>
      <c r="E4951" t="s">
        <v>10629</v>
      </c>
      <c r="F4951" t="str">
        <f>HYPERLINK("https://talan.bank.gov.ua/get-user-certificate/45CElB1-ojydwJdIZADj","Завантажити сертифікат")</f>
        <v>Завантажити сертифікат</v>
      </c>
    </row>
    <row r="4952" spans="1:6" x14ac:dyDescent="0.3">
      <c r="A4952" t="s">
        <v>10636</v>
      </c>
      <c r="B4952" t="s">
        <v>6</v>
      </c>
      <c r="C4952" t="s">
        <v>10637</v>
      </c>
      <c r="D4952" t="s">
        <v>10628</v>
      </c>
      <c r="E4952" t="s">
        <v>10629</v>
      </c>
      <c r="F4952" t="str">
        <f>HYPERLINK("https://talan.bank.gov.ua/get-user-certificate/45CElGBVbjOaygsW9kWi","Завантажити сертифікат")</f>
        <v>Завантажити сертифікат</v>
      </c>
    </row>
    <row r="4953" spans="1:6" x14ac:dyDescent="0.3">
      <c r="A4953" t="s">
        <v>10638</v>
      </c>
      <c r="B4953" t="s">
        <v>6</v>
      </c>
      <c r="C4953" t="s">
        <v>10639</v>
      </c>
      <c r="D4953" t="s">
        <v>10628</v>
      </c>
      <c r="E4953" t="s">
        <v>10629</v>
      </c>
      <c r="F4953" t="str">
        <f>HYPERLINK("https://talan.bank.gov.ua/get-user-certificate/45CEldtiQJRrfpPVDbN5","Завантажити сертифікат")</f>
        <v>Завантажити сертифікат</v>
      </c>
    </row>
    <row r="4954" spans="1:6" x14ac:dyDescent="0.3">
      <c r="A4954" t="s">
        <v>10640</v>
      </c>
      <c r="B4954" t="s">
        <v>6</v>
      </c>
      <c r="C4954" t="s">
        <v>10641</v>
      </c>
      <c r="D4954" t="s">
        <v>10628</v>
      </c>
      <c r="E4954" t="s">
        <v>10629</v>
      </c>
      <c r="F4954" t="str">
        <f>HYPERLINK("https://talan.bank.gov.ua/get-user-certificate/45CElZLaZTkD_5MLyBko","Завантажити сертифікат")</f>
        <v>Завантажити сертифікат</v>
      </c>
    </row>
    <row r="4955" spans="1:6" x14ac:dyDescent="0.3">
      <c r="A4955" t="s">
        <v>10642</v>
      </c>
      <c r="B4955" t="s">
        <v>6</v>
      </c>
      <c r="C4955" t="s">
        <v>10643</v>
      </c>
      <c r="D4955" t="s">
        <v>10628</v>
      </c>
      <c r="E4955" t="s">
        <v>10629</v>
      </c>
      <c r="F4955" t="str">
        <f>HYPERLINK("https://talan.bank.gov.ua/get-user-certificate/45CEl201viMlm12dlGbt","Завантажити сертифікат")</f>
        <v>Завантажити сертифікат</v>
      </c>
    </row>
    <row r="4956" spans="1:6" x14ac:dyDescent="0.3">
      <c r="A4956" t="s">
        <v>10644</v>
      </c>
      <c r="B4956" t="s">
        <v>6</v>
      </c>
      <c r="C4956" t="s">
        <v>10645</v>
      </c>
      <c r="D4956" t="s">
        <v>10628</v>
      </c>
      <c r="E4956" t="s">
        <v>10629</v>
      </c>
      <c r="F4956" t="str">
        <f>HYPERLINK("https://talan.bank.gov.ua/get-user-certificate/45CEl8oAEVBlID-NaISw","Завантажити сертифікат")</f>
        <v>Завантажити сертифікат</v>
      </c>
    </row>
    <row r="4957" spans="1:6" x14ac:dyDescent="0.3">
      <c r="A4957" t="s">
        <v>10646</v>
      </c>
      <c r="B4957" t="s">
        <v>6</v>
      </c>
      <c r="C4957" t="s">
        <v>10647</v>
      </c>
      <c r="D4957" t="s">
        <v>10628</v>
      </c>
      <c r="E4957" t="s">
        <v>10629</v>
      </c>
      <c r="F4957" t="str">
        <f>HYPERLINK("https://talan.bank.gov.ua/get-user-certificate/45CElSze_KV8cgKqVJ5x","Завантажити сертифікат")</f>
        <v>Завантажити сертифікат</v>
      </c>
    </row>
    <row r="4958" spans="1:6" x14ac:dyDescent="0.3">
      <c r="A4958" t="s">
        <v>10648</v>
      </c>
      <c r="B4958" t="s">
        <v>6</v>
      </c>
      <c r="C4958" t="s">
        <v>10649</v>
      </c>
      <c r="D4958" t="s">
        <v>10628</v>
      </c>
      <c r="E4958" t="s">
        <v>10629</v>
      </c>
      <c r="F4958" t="str">
        <f>HYPERLINK("https://talan.bank.gov.ua/get-user-certificate/45CElN1g9B7ocIGkpmVc","Завантажити сертифікат")</f>
        <v>Завантажити сертифікат</v>
      </c>
    </row>
    <row r="4959" spans="1:6" x14ac:dyDescent="0.3">
      <c r="A4959" t="s">
        <v>10650</v>
      </c>
      <c r="B4959" t="s">
        <v>6</v>
      </c>
      <c r="C4959" t="s">
        <v>10651</v>
      </c>
      <c r="D4959" t="s">
        <v>10628</v>
      </c>
      <c r="E4959" t="s">
        <v>10629</v>
      </c>
      <c r="F4959" t="str">
        <f>HYPERLINK("https://talan.bank.gov.ua/get-user-certificate/45CElYB-8EkNscDuE0WV","Завантажити сертифікат")</f>
        <v>Завантажити сертифікат</v>
      </c>
    </row>
    <row r="4960" spans="1:6" x14ac:dyDescent="0.3">
      <c r="A4960" t="s">
        <v>10652</v>
      </c>
      <c r="B4960" t="s">
        <v>6</v>
      </c>
      <c r="C4960" t="s">
        <v>10653</v>
      </c>
      <c r="D4960" t="s">
        <v>10628</v>
      </c>
      <c r="E4960" t="s">
        <v>10629</v>
      </c>
      <c r="F4960" t="str">
        <f>HYPERLINK("https://talan.bank.gov.ua/get-user-certificate/45CElygau3u9GwIAsNrH","Завантажити сертифікат")</f>
        <v>Завантажити сертифікат</v>
      </c>
    </row>
    <row r="4961" spans="1:6" x14ac:dyDescent="0.3">
      <c r="A4961" t="s">
        <v>10654</v>
      </c>
      <c r="B4961" t="s">
        <v>6</v>
      </c>
      <c r="C4961" t="s">
        <v>10655</v>
      </c>
      <c r="D4961" t="s">
        <v>10628</v>
      </c>
      <c r="E4961" t="s">
        <v>10629</v>
      </c>
      <c r="F4961" t="str">
        <f>HYPERLINK("https://talan.bank.gov.ua/get-user-certificate/45CElsW-7J32W8wr3M1r","Завантажити сертифікат")</f>
        <v>Завантажити сертифікат</v>
      </c>
    </row>
    <row r="4962" spans="1:6" x14ac:dyDescent="0.3">
      <c r="A4962" t="s">
        <v>10656</v>
      </c>
      <c r="B4962" t="s">
        <v>6</v>
      </c>
      <c r="C4962" t="s">
        <v>10657</v>
      </c>
      <c r="D4962" t="s">
        <v>10628</v>
      </c>
      <c r="E4962" t="s">
        <v>10629</v>
      </c>
      <c r="F4962" t="str">
        <f>HYPERLINK("https://talan.bank.gov.ua/get-user-certificate/45CElriz8Y_6CW50X8kD","Завантажити сертифікат")</f>
        <v>Завантажити сертифікат</v>
      </c>
    </row>
    <row r="4963" spans="1:6" x14ac:dyDescent="0.3">
      <c r="A4963" t="s">
        <v>10658</v>
      </c>
      <c r="B4963" t="s">
        <v>6</v>
      </c>
      <c r="C4963" t="s">
        <v>10659</v>
      </c>
      <c r="D4963" t="s">
        <v>10628</v>
      </c>
      <c r="E4963" t="s">
        <v>10629</v>
      </c>
      <c r="F4963" t="str">
        <f>HYPERLINK("https://talan.bank.gov.ua/get-user-certificate/45CElvxait7Y1mUGw45G","Завантажити сертифікат")</f>
        <v>Завантажити сертифікат</v>
      </c>
    </row>
    <row r="4964" spans="1:6" x14ac:dyDescent="0.3">
      <c r="A4964" t="s">
        <v>10660</v>
      </c>
      <c r="B4964" t="s">
        <v>6</v>
      </c>
      <c r="C4964" t="s">
        <v>10661</v>
      </c>
      <c r="D4964" t="s">
        <v>10628</v>
      </c>
      <c r="E4964" t="s">
        <v>10629</v>
      </c>
      <c r="F4964" t="str">
        <f>HYPERLINK("https://talan.bank.gov.ua/get-user-certificate/45CElcNomX4nFlCaYLCj","Завантажити сертифікат")</f>
        <v>Завантажити сертифікат</v>
      </c>
    </row>
    <row r="4965" spans="1:6" x14ac:dyDescent="0.3">
      <c r="A4965" t="s">
        <v>10662</v>
      </c>
      <c r="B4965" t="s">
        <v>6</v>
      </c>
      <c r="C4965" t="s">
        <v>10663</v>
      </c>
      <c r="D4965" t="s">
        <v>10628</v>
      </c>
      <c r="E4965" t="s">
        <v>10629</v>
      </c>
      <c r="F4965" t="str">
        <f>HYPERLINK("https://talan.bank.gov.ua/get-user-certificate/45CEl2wKUvWFEgEuqTVK","Завантажити сертифікат")</f>
        <v>Завантажити сертифікат</v>
      </c>
    </row>
    <row r="4966" spans="1:6" x14ac:dyDescent="0.3">
      <c r="A4966" t="s">
        <v>10664</v>
      </c>
      <c r="B4966" t="s">
        <v>6</v>
      </c>
      <c r="C4966" t="s">
        <v>10665</v>
      </c>
      <c r="D4966" t="s">
        <v>10628</v>
      </c>
      <c r="E4966" t="s">
        <v>10629</v>
      </c>
      <c r="F4966" t="str">
        <f>HYPERLINK("https://talan.bank.gov.ua/get-user-certificate/45CEltlahHYYTS4jmge8","Завантажити сертифікат")</f>
        <v>Завантажити сертифікат</v>
      </c>
    </row>
    <row r="4967" spans="1:6" x14ac:dyDescent="0.3">
      <c r="A4967" t="s">
        <v>10666</v>
      </c>
      <c r="B4967" t="s">
        <v>6</v>
      </c>
      <c r="C4967" t="s">
        <v>10667</v>
      </c>
      <c r="D4967" t="s">
        <v>10668</v>
      </c>
      <c r="E4967" t="s">
        <v>10669</v>
      </c>
      <c r="F4967" t="str">
        <f>HYPERLINK("https://talan.bank.gov.ua/get-user-certificate/45CEl7HmHCYsiSmx7k-p","Завантажити сертифікат")</f>
        <v>Завантажити сертифікат</v>
      </c>
    </row>
    <row r="4968" spans="1:6" x14ac:dyDescent="0.3">
      <c r="A4968" t="s">
        <v>10670</v>
      </c>
      <c r="B4968" t="s">
        <v>6</v>
      </c>
      <c r="C4968" t="s">
        <v>10671</v>
      </c>
      <c r="D4968" t="s">
        <v>10668</v>
      </c>
      <c r="E4968" t="s">
        <v>10669</v>
      </c>
      <c r="F4968" t="str">
        <f>HYPERLINK("https://talan.bank.gov.ua/get-user-certificate/45CElPd4d9CQhDwSrlxj","Завантажити сертифікат")</f>
        <v>Завантажити сертифікат</v>
      </c>
    </row>
    <row r="4969" spans="1:6" x14ac:dyDescent="0.3">
      <c r="A4969" t="s">
        <v>10672</v>
      </c>
      <c r="B4969" t="s">
        <v>6</v>
      </c>
      <c r="C4969" t="s">
        <v>10673</v>
      </c>
      <c r="D4969" t="s">
        <v>10668</v>
      </c>
      <c r="E4969" t="s">
        <v>10669</v>
      </c>
      <c r="F4969" t="str">
        <f>HYPERLINK("https://talan.bank.gov.ua/get-user-certificate/45CElV8_OdAI74yPcOoD","Завантажити сертифікат")</f>
        <v>Завантажити сертифікат</v>
      </c>
    </row>
    <row r="4970" spans="1:6" x14ac:dyDescent="0.3">
      <c r="A4970" t="s">
        <v>10674</v>
      </c>
      <c r="B4970" t="s">
        <v>6</v>
      </c>
      <c r="C4970" t="s">
        <v>10675</v>
      </c>
      <c r="D4970" t="s">
        <v>10668</v>
      </c>
      <c r="E4970" t="s">
        <v>10669</v>
      </c>
      <c r="F4970" t="str">
        <f>HYPERLINK("https://talan.bank.gov.ua/get-user-certificate/45CEljLt1n3TT9uaKoBe","Завантажити сертифікат")</f>
        <v>Завантажити сертифікат</v>
      </c>
    </row>
    <row r="4971" spans="1:6" x14ac:dyDescent="0.3">
      <c r="A4971" t="s">
        <v>10676</v>
      </c>
      <c r="B4971" t="s">
        <v>6</v>
      </c>
      <c r="C4971" t="s">
        <v>10677</v>
      </c>
      <c r="D4971" t="s">
        <v>10668</v>
      </c>
      <c r="E4971" t="s">
        <v>10669</v>
      </c>
      <c r="F4971" t="str">
        <f>HYPERLINK("https://talan.bank.gov.ua/get-user-certificate/45CEl1WSiJdT28Gdkwjo","Завантажити сертифікат")</f>
        <v>Завантажити сертифікат</v>
      </c>
    </row>
    <row r="4972" spans="1:6" x14ac:dyDescent="0.3">
      <c r="A4972" t="s">
        <v>10678</v>
      </c>
      <c r="B4972" t="s">
        <v>6</v>
      </c>
      <c r="C4972" t="s">
        <v>10679</v>
      </c>
      <c r="D4972" t="s">
        <v>10668</v>
      </c>
      <c r="E4972" t="s">
        <v>10669</v>
      </c>
      <c r="F4972" t="str">
        <f>HYPERLINK("https://talan.bank.gov.ua/get-user-certificate/45CElJbyNsFivMxEWCRM","Завантажити сертифікат")</f>
        <v>Завантажити сертифікат</v>
      </c>
    </row>
    <row r="4973" spans="1:6" x14ac:dyDescent="0.3">
      <c r="A4973" t="s">
        <v>10680</v>
      </c>
      <c r="B4973" t="s">
        <v>6</v>
      </c>
      <c r="C4973" t="s">
        <v>10681</v>
      </c>
      <c r="D4973" t="s">
        <v>10668</v>
      </c>
      <c r="E4973" t="s">
        <v>10669</v>
      </c>
      <c r="F4973" t="str">
        <f>HYPERLINK("https://talan.bank.gov.ua/get-user-certificate/45CElx6Ed_2IfUaSrRRD","Завантажити сертифікат")</f>
        <v>Завантажити сертифікат</v>
      </c>
    </row>
    <row r="4974" spans="1:6" x14ac:dyDescent="0.3">
      <c r="A4974" t="s">
        <v>10682</v>
      </c>
      <c r="B4974" t="s">
        <v>6</v>
      </c>
      <c r="C4974" t="s">
        <v>10683</v>
      </c>
      <c r="D4974" t="s">
        <v>10668</v>
      </c>
      <c r="E4974" t="s">
        <v>10669</v>
      </c>
      <c r="F4974" t="str">
        <f>HYPERLINK("https://talan.bank.gov.ua/get-user-certificate/45CEl_Ol4ewJkYsX_T-1","Завантажити сертифікат")</f>
        <v>Завантажити сертифікат</v>
      </c>
    </row>
    <row r="4975" spans="1:6" x14ac:dyDescent="0.3">
      <c r="A4975" t="s">
        <v>10684</v>
      </c>
      <c r="B4975" t="s">
        <v>6</v>
      </c>
      <c r="C4975" t="s">
        <v>10685</v>
      </c>
      <c r="D4975" t="s">
        <v>10668</v>
      </c>
      <c r="E4975" t="s">
        <v>10669</v>
      </c>
      <c r="F4975" t="str">
        <f>HYPERLINK("https://talan.bank.gov.ua/get-user-certificate/45CElYP_3hTPt5Jj-6Nf","Завантажити сертифікат")</f>
        <v>Завантажити сертифікат</v>
      </c>
    </row>
    <row r="4976" spans="1:6" x14ac:dyDescent="0.3">
      <c r="A4976" t="s">
        <v>10686</v>
      </c>
      <c r="B4976" t="s">
        <v>6</v>
      </c>
      <c r="C4976" t="s">
        <v>10687</v>
      </c>
      <c r="D4976" t="s">
        <v>10668</v>
      </c>
      <c r="E4976" t="s">
        <v>10669</v>
      </c>
      <c r="F4976" t="str">
        <f>HYPERLINK("https://talan.bank.gov.ua/get-user-certificate/45CEljnyKWQS63WA-In7","Завантажити сертифікат")</f>
        <v>Завантажити сертифікат</v>
      </c>
    </row>
    <row r="4977" spans="1:6" x14ac:dyDescent="0.3">
      <c r="A4977" t="s">
        <v>10688</v>
      </c>
      <c r="B4977" t="s">
        <v>6</v>
      </c>
      <c r="C4977" t="s">
        <v>10689</v>
      </c>
      <c r="D4977" t="s">
        <v>10668</v>
      </c>
      <c r="E4977" t="s">
        <v>10669</v>
      </c>
      <c r="F4977" t="str">
        <f>HYPERLINK("https://talan.bank.gov.ua/get-user-certificate/45CElRCXXkb_mWHBfXfv","Завантажити сертифікат")</f>
        <v>Завантажити сертифікат</v>
      </c>
    </row>
    <row r="4978" spans="1:6" x14ac:dyDescent="0.3">
      <c r="A4978" t="s">
        <v>10690</v>
      </c>
      <c r="B4978" t="s">
        <v>6</v>
      </c>
      <c r="C4978" t="s">
        <v>10691</v>
      </c>
      <c r="D4978" t="s">
        <v>10668</v>
      </c>
      <c r="E4978" t="s">
        <v>10669</v>
      </c>
      <c r="F4978" t="str">
        <f>HYPERLINK("https://talan.bank.gov.ua/get-user-certificate/45CEljSRMr8JZGBSqiYq","Завантажити сертифікат")</f>
        <v>Завантажити сертифікат</v>
      </c>
    </row>
    <row r="4979" spans="1:6" x14ac:dyDescent="0.3">
      <c r="A4979" t="s">
        <v>10692</v>
      </c>
      <c r="B4979" t="s">
        <v>6</v>
      </c>
      <c r="C4979" t="s">
        <v>10693</v>
      </c>
      <c r="D4979" t="s">
        <v>10668</v>
      </c>
      <c r="E4979" t="s">
        <v>10669</v>
      </c>
      <c r="F4979" t="str">
        <f>HYPERLINK("https://talan.bank.gov.ua/get-user-certificate/45CElON-870qaXRVBt9h","Завантажити сертифікат")</f>
        <v>Завантажити сертифікат</v>
      </c>
    </row>
    <row r="4980" spans="1:6" x14ac:dyDescent="0.3">
      <c r="A4980" t="s">
        <v>10694</v>
      </c>
      <c r="B4980" t="s">
        <v>6</v>
      </c>
      <c r="C4980" t="s">
        <v>10695</v>
      </c>
      <c r="D4980" t="s">
        <v>10668</v>
      </c>
      <c r="E4980" t="s">
        <v>10669</v>
      </c>
      <c r="F4980" t="str">
        <f>HYPERLINK("https://talan.bank.gov.ua/get-user-certificate/45CEluzKoJD4_jv6M6bZ","Завантажити сертифікат")</f>
        <v>Завантажити сертифікат</v>
      </c>
    </row>
    <row r="4981" spans="1:6" x14ac:dyDescent="0.3">
      <c r="A4981" t="s">
        <v>10696</v>
      </c>
      <c r="B4981" t="s">
        <v>6</v>
      </c>
      <c r="C4981" t="s">
        <v>10697</v>
      </c>
      <c r="D4981" t="s">
        <v>10668</v>
      </c>
      <c r="E4981" t="s">
        <v>10669</v>
      </c>
      <c r="F4981" t="str">
        <f>HYPERLINK("https://talan.bank.gov.ua/get-user-certificate/45CElCYNKf1kcjD_qlP9","Завантажити сертифікат")</f>
        <v>Завантажити сертифікат</v>
      </c>
    </row>
    <row r="4982" spans="1:6" x14ac:dyDescent="0.3">
      <c r="A4982" t="s">
        <v>10698</v>
      </c>
      <c r="B4982" t="s">
        <v>6</v>
      </c>
      <c r="C4982" t="s">
        <v>10699</v>
      </c>
      <c r="D4982" t="s">
        <v>10668</v>
      </c>
      <c r="E4982" t="s">
        <v>10669</v>
      </c>
      <c r="F4982" t="str">
        <f>HYPERLINK("https://talan.bank.gov.ua/get-user-certificate/45CEldrd1uehiOx_FKfC","Завантажити сертифікат")</f>
        <v>Завантажити сертифікат</v>
      </c>
    </row>
    <row r="4983" spans="1:6" x14ac:dyDescent="0.3">
      <c r="A4983" t="s">
        <v>10700</v>
      </c>
      <c r="B4983" t="s">
        <v>6</v>
      </c>
      <c r="C4983" t="s">
        <v>10701</v>
      </c>
      <c r="D4983" t="s">
        <v>10668</v>
      </c>
      <c r="E4983" t="s">
        <v>10669</v>
      </c>
      <c r="F4983" t="str">
        <f>HYPERLINK("https://talan.bank.gov.ua/get-user-certificate/45CEluxYYcGXoScK37Xy","Завантажити сертифікат")</f>
        <v>Завантажити сертифікат</v>
      </c>
    </row>
    <row r="4984" spans="1:6" x14ac:dyDescent="0.3">
      <c r="A4984" t="s">
        <v>10702</v>
      </c>
      <c r="B4984" t="s">
        <v>6</v>
      </c>
      <c r="C4984" t="s">
        <v>10703</v>
      </c>
      <c r="D4984" t="s">
        <v>10704</v>
      </c>
      <c r="E4984" t="s">
        <v>10705</v>
      </c>
      <c r="F4984" t="str">
        <f>HYPERLINK("https://talan.bank.gov.ua/get-user-certificate/45CElCvTDgqJPoVSQYSF","Завантажити сертифікат")</f>
        <v>Завантажити сертифікат</v>
      </c>
    </row>
    <row r="4985" spans="1:6" x14ac:dyDescent="0.3">
      <c r="A4985" t="s">
        <v>10706</v>
      </c>
      <c r="B4985" t="s">
        <v>6</v>
      </c>
      <c r="C4985" t="s">
        <v>10707</v>
      </c>
      <c r="D4985" t="s">
        <v>10704</v>
      </c>
      <c r="E4985" t="s">
        <v>10705</v>
      </c>
      <c r="F4985" t="str">
        <f>HYPERLINK("https://talan.bank.gov.ua/get-user-certificate/45CEllYOAgsMfJO7kj0S","Завантажити сертифікат")</f>
        <v>Завантажити сертифікат</v>
      </c>
    </row>
    <row r="4986" spans="1:6" x14ac:dyDescent="0.3">
      <c r="A4986" t="s">
        <v>10708</v>
      </c>
      <c r="B4986" t="s">
        <v>6</v>
      </c>
      <c r="C4986" t="s">
        <v>10709</v>
      </c>
      <c r="D4986" t="s">
        <v>10704</v>
      </c>
      <c r="E4986" t="s">
        <v>10705</v>
      </c>
      <c r="F4986" t="str">
        <f>HYPERLINK("https://talan.bank.gov.ua/get-user-certificate/45CEl2Ev0kQw9ZPD45hz","Завантажити сертифікат")</f>
        <v>Завантажити сертифікат</v>
      </c>
    </row>
    <row r="4987" spans="1:6" x14ac:dyDescent="0.3">
      <c r="A4987" t="s">
        <v>10710</v>
      </c>
      <c r="B4987" t="s">
        <v>6</v>
      </c>
      <c r="C4987" t="s">
        <v>10711</v>
      </c>
      <c r="D4987" t="s">
        <v>10704</v>
      </c>
      <c r="E4987" t="s">
        <v>10705</v>
      </c>
      <c r="F4987" t="str">
        <f>HYPERLINK("https://talan.bank.gov.ua/get-user-certificate/45CElk8ybHLzczYFLnFZ","Завантажити сертифікат")</f>
        <v>Завантажити сертифікат</v>
      </c>
    </row>
    <row r="4988" spans="1:6" x14ac:dyDescent="0.3">
      <c r="A4988" t="s">
        <v>10712</v>
      </c>
      <c r="B4988" t="s">
        <v>6</v>
      </c>
      <c r="C4988" t="s">
        <v>10713</v>
      </c>
      <c r="D4988" t="s">
        <v>10704</v>
      </c>
      <c r="E4988" t="s">
        <v>10705</v>
      </c>
      <c r="F4988" t="str">
        <f>HYPERLINK("https://talan.bank.gov.ua/get-user-certificate/45CElgXOOC9a8Rj_v_Xh","Завантажити сертифікат")</f>
        <v>Завантажити сертифікат</v>
      </c>
    </row>
    <row r="4989" spans="1:6" x14ac:dyDescent="0.3">
      <c r="A4989" t="s">
        <v>10714</v>
      </c>
      <c r="B4989" t="s">
        <v>6</v>
      </c>
      <c r="C4989" t="s">
        <v>10715</v>
      </c>
      <c r="D4989" t="s">
        <v>10704</v>
      </c>
      <c r="E4989" t="s">
        <v>10705</v>
      </c>
      <c r="F4989" t="str">
        <f>HYPERLINK("https://talan.bank.gov.ua/get-user-certificate/45CEl1dQ6F9UvzF5ssIR","Завантажити сертифікат")</f>
        <v>Завантажити сертифікат</v>
      </c>
    </row>
    <row r="4990" spans="1:6" x14ac:dyDescent="0.3">
      <c r="A4990" t="s">
        <v>10716</v>
      </c>
      <c r="B4990" t="s">
        <v>6</v>
      </c>
      <c r="C4990" t="s">
        <v>10717</v>
      </c>
      <c r="D4990" t="s">
        <v>10718</v>
      </c>
      <c r="E4990" t="s">
        <v>10719</v>
      </c>
      <c r="F4990" t="str">
        <f>HYPERLINK("https://talan.bank.gov.ua/get-user-certificate/45CElhjLN-yarYu0X7Uu","Завантажити сертифікат")</f>
        <v>Завантажити сертифікат</v>
      </c>
    </row>
    <row r="4991" spans="1:6" x14ac:dyDescent="0.3">
      <c r="A4991" t="s">
        <v>10720</v>
      </c>
      <c r="B4991" t="s">
        <v>6</v>
      </c>
      <c r="C4991" t="s">
        <v>10721</v>
      </c>
      <c r="D4991" t="s">
        <v>10718</v>
      </c>
      <c r="E4991" t="s">
        <v>10719</v>
      </c>
      <c r="F4991" t="str">
        <f>HYPERLINK("https://talan.bank.gov.ua/get-user-certificate/45CElZKxtp4T-lNB1DNe","Завантажити сертифікат")</f>
        <v>Завантажити сертифікат</v>
      </c>
    </row>
    <row r="4992" spans="1:6" x14ac:dyDescent="0.3">
      <c r="A4992" t="s">
        <v>10722</v>
      </c>
      <c r="B4992" t="s">
        <v>6</v>
      </c>
      <c r="C4992" t="s">
        <v>10723</v>
      </c>
      <c r="D4992" t="s">
        <v>10718</v>
      </c>
      <c r="E4992" t="s">
        <v>10719</v>
      </c>
      <c r="F4992" t="str">
        <f>HYPERLINK("https://talan.bank.gov.ua/get-user-certificate/45CEl58rA73Ma_y8pjU6","Завантажити сертифікат")</f>
        <v>Завантажити сертифікат</v>
      </c>
    </row>
    <row r="4993" spans="1:6" x14ac:dyDescent="0.3">
      <c r="A4993" t="s">
        <v>10726</v>
      </c>
      <c r="B4993" t="s">
        <v>6</v>
      </c>
      <c r="C4993" t="s">
        <v>10727</v>
      </c>
      <c r="D4993" t="s">
        <v>10728</v>
      </c>
      <c r="E4993" t="s">
        <v>9977</v>
      </c>
      <c r="F4993" t="str">
        <f>HYPERLINK("https://talan.bank.gov.ua/get-user-certificate/ki8TnYmB2kip9MXU7QGC","Завантажити сертифікат")</f>
        <v>Завантажити сертифікат</v>
      </c>
    </row>
    <row r="4994" spans="1:6" x14ac:dyDescent="0.3">
      <c r="A4994" t="s">
        <v>10729</v>
      </c>
      <c r="B4994" t="s">
        <v>6</v>
      </c>
      <c r="C4994" t="s">
        <v>10730</v>
      </c>
      <c r="D4994" t="s">
        <v>10728</v>
      </c>
      <c r="E4994" t="s">
        <v>9977</v>
      </c>
      <c r="F4994" t="str">
        <f>HYPERLINK("https://talan.bank.gov.ua/get-user-certificate/ki8TnOPikLhR64Vt5xwF","Завантажити сертифікат")</f>
        <v>Завантажити сертифікат</v>
      </c>
    </row>
    <row r="4995" spans="1:6" x14ac:dyDescent="0.3">
      <c r="A4995" t="s">
        <v>10731</v>
      </c>
      <c r="B4995" t="s">
        <v>6</v>
      </c>
      <c r="C4995" t="s">
        <v>10732</v>
      </c>
      <c r="D4995" t="s">
        <v>10728</v>
      </c>
      <c r="E4995" t="s">
        <v>9977</v>
      </c>
      <c r="F4995" t="str">
        <f>HYPERLINK("https://talan.bank.gov.ua/get-user-certificate/ki8TnI8CuydJQpG52msu","Завантажити сертифікат")</f>
        <v>Завантажити сертифікат</v>
      </c>
    </row>
    <row r="4996" spans="1:6" x14ac:dyDescent="0.3">
      <c r="A4996" t="s">
        <v>10733</v>
      </c>
      <c r="B4996" t="s">
        <v>6</v>
      </c>
      <c r="C4996" t="s">
        <v>10734</v>
      </c>
      <c r="D4996" t="s">
        <v>10728</v>
      </c>
      <c r="E4996" t="s">
        <v>9977</v>
      </c>
      <c r="F4996" t="str">
        <f>HYPERLINK("https://talan.bank.gov.ua/get-user-certificate/ki8Tn3mmLELpDD7VVgir","Завантажити сертифікат")</f>
        <v>Завантажити сертифікат</v>
      </c>
    </row>
    <row r="4997" spans="1:6" x14ac:dyDescent="0.3">
      <c r="A4997" t="s">
        <v>10735</v>
      </c>
      <c r="B4997" t="s">
        <v>6</v>
      </c>
      <c r="C4997" t="s">
        <v>10736</v>
      </c>
      <c r="D4997" t="s">
        <v>10728</v>
      </c>
      <c r="E4997" t="s">
        <v>9977</v>
      </c>
      <c r="F4997" t="str">
        <f>HYPERLINK("https://talan.bank.gov.ua/get-user-certificate/ki8TnLfkXojam8UDTUFB","Завантажити сертифікат")</f>
        <v>Завантажити сертифікат</v>
      </c>
    </row>
    <row r="4998" spans="1:6" x14ac:dyDescent="0.3">
      <c r="A4998" t="s">
        <v>10737</v>
      </c>
      <c r="B4998" t="s">
        <v>6</v>
      </c>
      <c r="C4998" t="s">
        <v>10738</v>
      </c>
      <c r="D4998" t="s">
        <v>10728</v>
      </c>
      <c r="E4998" t="s">
        <v>9977</v>
      </c>
      <c r="F4998" t="str">
        <f>HYPERLINK("https://talan.bank.gov.ua/get-user-certificate/ki8TndbRxTXhB52UpRXG","Завантажити сертифікат")</f>
        <v>Завантажити сертифікат</v>
      </c>
    </row>
    <row r="4999" spans="1:6" x14ac:dyDescent="0.3">
      <c r="A4999" t="s">
        <v>10739</v>
      </c>
      <c r="B4999" t="s">
        <v>6</v>
      </c>
      <c r="C4999" t="s">
        <v>10740</v>
      </c>
      <c r="D4999" t="s">
        <v>10728</v>
      </c>
      <c r="E4999" t="s">
        <v>9977</v>
      </c>
      <c r="F4999" t="str">
        <f>HYPERLINK("https://talan.bank.gov.ua/get-user-certificate/ki8TnJz0e2DoMValZt1c","Завантажити сертифікат")</f>
        <v>Завантажити сертифікат</v>
      </c>
    </row>
    <row r="5000" spans="1:6" x14ac:dyDescent="0.3">
      <c r="A5000" t="s">
        <v>10741</v>
      </c>
      <c r="B5000" t="s">
        <v>6</v>
      </c>
      <c r="C5000" t="s">
        <v>10742</v>
      </c>
      <c r="D5000" t="s">
        <v>10728</v>
      </c>
      <c r="E5000" t="s">
        <v>9977</v>
      </c>
      <c r="F5000" t="str">
        <f>HYPERLINK("https://talan.bank.gov.ua/get-user-certificate/ki8Tny5Gv8V5PcLW8QEZ","Завантажити сертифікат")</f>
        <v>Завантажити сертифікат</v>
      </c>
    </row>
    <row r="5001" spans="1:6" x14ac:dyDescent="0.3">
      <c r="A5001" t="s">
        <v>10743</v>
      </c>
      <c r="B5001" t="s">
        <v>6</v>
      </c>
      <c r="C5001" t="s">
        <v>10744</v>
      </c>
      <c r="D5001" t="s">
        <v>10728</v>
      </c>
      <c r="E5001" t="s">
        <v>9977</v>
      </c>
      <c r="F5001" t="str">
        <f>HYPERLINK("https://talan.bank.gov.ua/get-user-certificate/ki8Tnhfj0Pjfzl4nRHVm","Завантажити сертифікат")</f>
        <v>Завантажити сертифікат</v>
      </c>
    </row>
    <row r="5002" spans="1:6" x14ac:dyDescent="0.3">
      <c r="A5002" t="s">
        <v>10745</v>
      </c>
      <c r="B5002" t="s">
        <v>6</v>
      </c>
      <c r="C5002" t="s">
        <v>10746</v>
      </c>
      <c r="D5002" t="s">
        <v>10728</v>
      </c>
      <c r="E5002" t="s">
        <v>9977</v>
      </c>
      <c r="F5002" t="str">
        <f>HYPERLINK("https://talan.bank.gov.ua/get-user-certificate/ki8TnceggGcpx5ZJ_x0S","Завантажити сертифікат")</f>
        <v>Завантажити сертифікат</v>
      </c>
    </row>
    <row r="5003" spans="1:6" x14ac:dyDescent="0.3">
      <c r="A5003" t="s">
        <v>10747</v>
      </c>
      <c r="B5003" t="s">
        <v>6</v>
      </c>
      <c r="C5003" t="s">
        <v>10748</v>
      </c>
      <c r="D5003" t="s">
        <v>10728</v>
      </c>
      <c r="E5003" t="s">
        <v>9977</v>
      </c>
      <c r="F5003" t="str">
        <f>HYPERLINK("https://talan.bank.gov.ua/get-user-certificate/ki8TnmjgKyKmaPukb0Vj","Завантажити сертифікат")</f>
        <v>Завантажити сертифікат</v>
      </c>
    </row>
    <row r="5004" spans="1:6" x14ac:dyDescent="0.3">
      <c r="A5004" t="s">
        <v>10749</v>
      </c>
      <c r="B5004" t="s">
        <v>6</v>
      </c>
      <c r="C5004" t="s">
        <v>10750</v>
      </c>
      <c r="D5004" t="s">
        <v>10728</v>
      </c>
      <c r="E5004" t="s">
        <v>9977</v>
      </c>
      <c r="F5004" t="str">
        <f>HYPERLINK("https://talan.bank.gov.ua/get-user-certificate/ki8TnkD70V3u4X2bvc9M","Завантажити сертифікат")</f>
        <v>Завантажити сертифікат</v>
      </c>
    </row>
    <row r="5005" spans="1:6" x14ac:dyDescent="0.3">
      <c r="A5005" t="s">
        <v>10751</v>
      </c>
      <c r="B5005" t="s">
        <v>6</v>
      </c>
      <c r="C5005" t="s">
        <v>10752</v>
      </c>
      <c r="D5005" t="s">
        <v>10728</v>
      </c>
      <c r="E5005" t="s">
        <v>9977</v>
      </c>
      <c r="F5005" t="str">
        <f>HYPERLINK("https://talan.bank.gov.ua/get-user-certificate/ki8TnrInrIY5cQ8rVL6A","Завантажити сертифікат")</f>
        <v>Завантажити сертифікат</v>
      </c>
    </row>
    <row r="5006" spans="1:6" x14ac:dyDescent="0.3">
      <c r="A5006" t="s">
        <v>10753</v>
      </c>
      <c r="B5006" t="s">
        <v>6</v>
      </c>
      <c r="C5006" t="s">
        <v>10754</v>
      </c>
      <c r="D5006" t="s">
        <v>10728</v>
      </c>
      <c r="E5006" t="s">
        <v>9977</v>
      </c>
      <c r="F5006" t="str">
        <f>HYPERLINK("https://talan.bank.gov.ua/get-user-certificate/ki8Tn1s_HELpAxPGb_Uj","Завантажити сертифікат")</f>
        <v>Завантажити сертифікат</v>
      </c>
    </row>
    <row r="5007" spans="1:6" x14ac:dyDescent="0.3">
      <c r="A5007" t="s">
        <v>10755</v>
      </c>
      <c r="B5007" t="s">
        <v>6</v>
      </c>
      <c r="C5007" t="s">
        <v>10756</v>
      </c>
      <c r="D5007" t="s">
        <v>10728</v>
      </c>
      <c r="E5007" t="s">
        <v>9977</v>
      </c>
      <c r="F5007" t="str">
        <f>HYPERLINK("https://talan.bank.gov.ua/get-user-certificate/ki8TnPcV2NFSJ0iO2naj","Завантажити сертифікат")</f>
        <v>Завантажити сертифікат</v>
      </c>
    </row>
    <row r="5008" spans="1:6" x14ac:dyDescent="0.3">
      <c r="A5008" t="s">
        <v>10757</v>
      </c>
      <c r="B5008" t="s">
        <v>6</v>
      </c>
      <c r="C5008" t="s">
        <v>10758</v>
      </c>
      <c r="D5008" t="s">
        <v>10728</v>
      </c>
      <c r="E5008" t="s">
        <v>9977</v>
      </c>
      <c r="F5008" t="str">
        <f>HYPERLINK("https://talan.bank.gov.ua/get-user-certificate/ki8Tnvi7hSfLHekMr2cO","Завантажити сертифікат")</f>
        <v>Завантажити сертифікат</v>
      </c>
    </row>
    <row r="5009" spans="1:6" x14ac:dyDescent="0.3">
      <c r="A5009" t="s">
        <v>10759</v>
      </c>
      <c r="B5009" t="s">
        <v>6</v>
      </c>
      <c r="C5009" t="s">
        <v>10760</v>
      </c>
      <c r="D5009" t="s">
        <v>10728</v>
      </c>
      <c r="E5009" t="s">
        <v>9977</v>
      </c>
      <c r="F5009" t="str">
        <f>HYPERLINK("https://talan.bank.gov.ua/get-user-certificate/ki8TnlXH8dG8j0vLPj_K","Завантажити сертифікат")</f>
        <v>Завантажити сертифікат</v>
      </c>
    </row>
    <row r="5010" spans="1:6" x14ac:dyDescent="0.3">
      <c r="A5010" t="s">
        <v>10761</v>
      </c>
      <c r="B5010" t="s">
        <v>6</v>
      </c>
      <c r="C5010" t="s">
        <v>10762</v>
      </c>
      <c r="D5010" t="s">
        <v>10728</v>
      </c>
      <c r="E5010" t="s">
        <v>9977</v>
      </c>
      <c r="F5010" t="str">
        <f>HYPERLINK("https://talan.bank.gov.ua/get-user-certificate/ki8TnEx4_WsISgu0coOy","Завантажити сертифікат")</f>
        <v>Завантажити сертифікат</v>
      </c>
    </row>
    <row r="5011" spans="1:6" x14ac:dyDescent="0.3">
      <c r="A5011" t="s">
        <v>10763</v>
      </c>
      <c r="B5011" t="s">
        <v>6</v>
      </c>
      <c r="C5011" t="s">
        <v>10764</v>
      </c>
      <c r="D5011" t="s">
        <v>10728</v>
      </c>
      <c r="E5011" t="s">
        <v>9977</v>
      </c>
      <c r="F5011" t="str">
        <f>HYPERLINK("https://talan.bank.gov.ua/get-user-certificate/ki8Tn5dZ31vDY8COn5F5","Завантажити сертифікат")</f>
        <v>Завантажити сертифікат</v>
      </c>
    </row>
    <row r="5012" spans="1:6" x14ac:dyDescent="0.3">
      <c r="A5012" t="s">
        <v>10765</v>
      </c>
      <c r="B5012" t="s">
        <v>6</v>
      </c>
      <c r="C5012" t="s">
        <v>10766</v>
      </c>
      <c r="D5012" t="s">
        <v>10728</v>
      </c>
      <c r="E5012" t="s">
        <v>9977</v>
      </c>
      <c r="F5012" t="str">
        <f>HYPERLINK("https://talan.bank.gov.ua/get-user-certificate/ki8TnIcfALSEWhEOmtoT","Завантажити сертифікат")</f>
        <v>Завантажити сертифікат</v>
      </c>
    </row>
    <row r="5013" spans="1:6" x14ac:dyDescent="0.3">
      <c r="A5013" t="s">
        <v>10767</v>
      </c>
      <c r="B5013" t="s">
        <v>6</v>
      </c>
      <c r="C5013" t="s">
        <v>10768</v>
      </c>
      <c r="D5013" t="s">
        <v>10769</v>
      </c>
      <c r="E5013" t="s">
        <v>10770</v>
      </c>
      <c r="F5013" t="str">
        <f>HYPERLINK("https://talan.bank.gov.ua/get-user-certificate/ki8Tnf77AkeTgaTi0Yo_","Завантажити сертифікат")</f>
        <v>Завантажити сертифікат</v>
      </c>
    </row>
    <row r="5014" spans="1:6" x14ac:dyDescent="0.3">
      <c r="A5014" t="s">
        <v>10771</v>
      </c>
      <c r="B5014" t="s">
        <v>6</v>
      </c>
      <c r="C5014" t="s">
        <v>10772</v>
      </c>
      <c r="D5014" t="s">
        <v>10769</v>
      </c>
      <c r="E5014" t="s">
        <v>10770</v>
      </c>
      <c r="F5014" t="str">
        <f>HYPERLINK("https://talan.bank.gov.ua/get-user-certificate/ki8Tni2zmXpoWd9LM81A","Завантажити сертифікат")</f>
        <v>Завантажити сертифікат</v>
      </c>
    </row>
    <row r="5015" spans="1:6" x14ac:dyDescent="0.3">
      <c r="A5015" t="s">
        <v>10773</v>
      </c>
      <c r="B5015" t="s">
        <v>6</v>
      </c>
      <c r="C5015" t="s">
        <v>10774</v>
      </c>
      <c r="D5015" t="s">
        <v>10769</v>
      </c>
      <c r="E5015" t="s">
        <v>10770</v>
      </c>
      <c r="F5015" t="str">
        <f>HYPERLINK("https://talan.bank.gov.ua/get-user-certificate/ki8Tnrg1jtzM-jIEyKzv","Завантажити сертифікат")</f>
        <v>Завантажити сертифікат</v>
      </c>
    </row>
    <row r="5016" spans="1:6" x14ac:dyDescent="0.3">
      <c r="A5016" t="s">
        <v>10775</v>
      </c>
      <c r="B5016" t="s">
        <v>6</v>
      </c>
      <c r="C5016" t="s">
        <v>10776</v>
      </c>
      <c r="D5016" t="s">
        <v>10769</v>
      </c>
      <c r="E5016" t="s">
        <v>10770</v>
      </c>
      <c r="F5016" t="str">
        <f>HYPERLINK("https://talan.bank.gov.ua/get-user-certificate/ki8Tn5xnfh-ZTHfcCtxm","Завантажити сертифікат")</f>
        <v>Завантажити сертифікат</v>
      </c>
    </row>
    <row r="5017" spans="1:6" x14ac:dyDescent="0.3">
      <c r="A5017" t="s">
        <v>10777</v>
      </c>
      <c r="B5017" t="s">
        <v>6</v>
      </c>
      <c r="C5017" t="s">
        <v>10778</v>
      </c>
      <c r="D5017" t="s">
        <v>10769</v>
      </c>
      <c r="E5017" t="s">
        <v>10770</v>
      </c>
      <c r="F5017" t="str">
        <f>HYPERLINK("https://talan.bank.gov.ua/get-user-certificate/ki8Tn8C6-KE7brbMj59f","Завантажити сертифікат")</f>
        <v>Завантажити сертифікат</v>
      </c>
    </row>
    <row r="5018" spans="1:6" x14ac:dyDescent="0.3">
      <c r="A5018" t="s">
        <v>10779</v>
      </c>
      <c r="B5018" t="s">
        <v>6</v>
      </c>
      <c r="C5018" t="s">
        <v>10780</v>
      </c>
      <c r="D5018" t="s">
        <v>10769</v>
      </c>
      <c r="E5018" t="s">
        <v>10770</v>
      </c>
      <c r="F5018" t="str">
        <f>HYPERLINK("https://talan.bank.gov.ua/get-user-certificate/ki8TncPuqSmBiOPAH8C0","Завантажити сертифікат")</f>
        <v>Завантажити сертифікат</v>
      </c>
    </row>
    <row r="5019" spans="1:6" x14ac:dyDescent="0.3">
      <c r="A5019" t="s">
        <v>10781</v>
      </c>
      <c r="B5019" t="s">
        <v>6</v>
      </c>
      <c r="C5019" t="s">
        <v>10782</v>
      </c>
      <c r="D5019" t="s">
        <v>10769</v>
      </c>
      <c r="E5019" t="s">
        <v>10770</v>
      </c>
      <c r="F5019" t="str">
        <f>HYPERLINK("https://talan.bank.gov.ua/get-user-certificate/ki8TnOr-4RuBvCQ7iNGM","Завантажити сертифікат")</f>
        <v>Завантажити сертифікат</v>
      </c>
    </row>
    <row r="5020" spans="1:6" x14ac:dyDescent="0.3">
      <c r="A5020" t="s">
        <v>10783</v>
      </c>
      <c r="B5020" t="s">
        <v>6</v>
      </c>
      <c r="C5020" t="s">
        <v>10784</v>
      </c>
      <c r="D5020" t="s">
        <v>10769</v>
      </c>
      <c r="E5020" t="s">
        <v>10770</v>
      </c>
      <c r="F5020" t="str">
        <f>HYPERLINK("https://talan.bank.gov.ua/get-user-certificate/ki8TnYsNdTI2EqnjFk47","Завантажити сертифікат")</f>
        <v>Завантажити сертифікат</v>
      </c>
    </row>
    <row r="5021" spans="1:6" x14ac:dyDescent="0.3">
      <c r="A5021" t="s">
        <v>10785</v>
      </c>
      <c r="B5021" t="s">
        <v>6</v>
      </c>
      <c r="C5021" t="s">
        <v>10786</v>
      </c>
      <c r="D5021" t="s">
        <v>10769</v>
      </c>
      <c r="E5021" t="s">
        <v>10770</v>
      </c>
      <c r="F5021" t="str">
        <f>HYPERLINK("https://talan.bank.gov.ua/get-user-certificate/ki8Tnfsa40-k76y_IPNM","Завантажити сертифікат")</f>
        <v>Завантажити сертифікат</v>
      </c>
    </row>
    <row r="5022" spans="1:6" x14ac:dyDescent="0.3">
      <c r="A5022" t="s">
        <v>10787</v>
      </c>
      <c r="B5022" t="s">
        <v>6</v>
      </c>
      <c r="C5022" t="s">
        <v>10788</v>
      </c>
      <c r="D5022" t="s">
        <v>10769</v>
      </c>
      <c r="E5022" t="s">
        <v>10770</v>
      </c>
      <c r="F5022" t="str">
        <f>HYPERLINK("https://talan.bank.gov.ua/get-user-certificate/ki8TnSDL1zC1MBQWw4S-","Завантажити сертифікат")</f>
        <v>Завантажити сертифікат</v>
      </c>
    </row>
    <row r="5023" spans="1:6" x14ac:dyDescent="0.3">
      <c r="A5023" t="s">
        <v>10789</v>
      </c>
      <c r="B5023" t="s">
        <v>6</v>
      </c>
      <c r="C5023" t="s">
        <v>10790</v>
      </c>
      <c r="D5023" t="s">
        <v>10769</v>
      </c>
      <c r="E5023" t="s">
        <v>10770</v>
      </c>
      <c r="F5023" t="str">
        <f>HYPERLINK("https://talan.bank.gov.ua/get-user-certificate/ki8Tn0DplEQGmS7dJscC","Завантажити сертифікат")</f>
        <v>Завантажити сертифікат</v>
      </c>
    </row>
    <row r="5024" spans="1:6" x14ac:dyDescent="0.3">
      <c r="A5024" t="s">
        <v>10791</v>
      </c>
      <c r="B5024" t="s">
        <v>6</v>
      </c>
      <c r="C5024" t="s">
        <v>10792</v>
      </c>
      <c r="D5024" t="s">
        <v>10769</v>
      </c>
      <c r="E5024" t="s">
        <v>10770</v>
      </c>
      <c r="F5024" t="str">
        <f>HYPERLINK("https://talan.bank.gov.ua/get-user-certificate/ki8TnRswRcGqoaQSaZF5","Завантажити сертифікат")</f>
        <v>Завантажити сертифікат</v>
      </c>
    </row>
    <row r="5025" spans="1:6" x14ac:dyDescent="0.3">
      <c r="A5025" t="s">
        <v>10793</v>
      </c>
      <c r="B5025" t="s">
        <v>6</v>
      </c>
      <c r="C5025" t="s">
        <v>10794</v>
      </c>
      <c r="D5025" t="s">
        <v>10769</v>
      </c>
      <c r="E5025" t="s">
        <v>10770</v>
      </c>
      <c r="F5025" t="str">
        <f>HYPERLINK("https://talan.bank.gov.ua/get-user-certificate/ki8TnVod-9YN6P6nxzGL","Завантажити сертифікат")</f>
        <v>Завантажити сертифікат</v>
      </c>
    </row>
    <row r="5026" spans="1:6" x14ac:dyDescent="0.3">
      <c r="A5026" t="s">
        <v>10795</v>
      </c>
      <c r="B5026" t="s">
        <v>6</v>
      </c>
      <c r="C5026" t="s">
        <v>93</v>
      </c>
      <c r="D5026" t="s">
        <v>10769</v>
      </c>
      <c r="E5026" t="s">
        <v>10770</v>
      </c>
      <c r="F5026" t="str">
        <f>HYPERLINK("https://talan.bank.gov.ua/get-user-certificate/ki8TnDbRKQH9cWSyPGCy","Завантажити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F2" r:id="rId1" tooltip="Завантажити сертифікат" display="Завантажити сертифікат"/>
    <hyperlink ref="F3" r:id="rId2" tooltip="Завантажити сертифікат" display="Завантажити сертифікат"/>
    <hyperlink ref="F4" r:id="rId3" tooltip="Завантажити сертифікат" display="Завантажити сертифікат"/>
    <hyperlink ref="F5" r:id="rId4" tooltip="Завантажити сертифікат" display="Завантажити сертифікат"/>
    <hyperlink ref="F6" r:id="rId5" tooltip="Завантажити сертифікат" display="Завантажити сертифікат"/>
    <hyperlink ref="F7" r:id="rId6" tooltip="Завантажити сертифікат" display="Завантажити сертифікат"/>
    <hyperlink ref="F8" r:id="rId7" tooltip="Завантажити сертифікат" display="Завантажити сертифікат"/>
    <hyperlink ref="F9" r:id="rId8" tooltip="Завантажити сертифікат" display="Завантажити сертифікат"/>
    <hyperlink ref="F10" r:id="rId9" tooltip="Завантажити сертифікат" display="Завантажити сертифікат"/>
    <hyperlink ref="F11" r:id="rId10" tooltip="Завантажити сертифікат" display="Завантажити сертифікат"/>
    <hyperlink ref="F12" r:id="rId11" tooltip="Завантажити сертифікат" display="Завантажити сертифікат"/>
    <hyperlink ref="F13" r:id="rId12" tooltip="Завантажити сертифікат" display="Завантажити сертифікат"/>
    <hyperlink ref="F14" r:id="rId13" tooltip="Завантажити сертифікат" display="Завантажити сертифікат"/>
    <hyperlink ref="F15" r:id="rId14" tooltip="Завантажити сертифікат" display="Завантажити сертифікат"/>
    <hyperlink ref="F16" r:id="rId15" tooltip="Завантажити сертифікат" display="Завантажити сертифікат"/>
    <hyperlink ref="F17" r:id="rId16" tooltip="Завантажити сертифікат" display="Завантажити сертифікат"/>
    <hyperlink ref="F18" r:id="rId17" tooltip="Завантажити сертифікат" display="Завантажити сертифікат"/>
    <hyperlink ref="F19" r:id="rId18" tooltip="Завантажити сертифікат" display="Завантажити сертифікат"/>
    <hyperlink ref="F20" r:id="rId19" tooltip="Завантажити сертифікат" display="Завантажити сертифікат"/>
    <hyperlink ref="F21" r:id="rId20" tooltip="Завантажити сертифікат" display="Завантажити сертифікат"/>
    <hyperlink ref="F22" r:id="rId21" tooltip="Завантажити сертифікат" display="Завантажити сертифікат"/>
    <hyperlink ref="F23" r:id="rId22" tooltip="Завантажити сертифікат" display="Завантажити сертифікат"/>
    <hyperlink ref="F24" r:id="rId23" tooltip="Завантажити сертифікат" display="Завантажити сертифікат"/>
    <hyperlink ref="F25" r:id="rId24" tooltip="Завантажити сертифікат" display="Завантажити сертифікат"/>
    <hyperlink ref="F26" r:id="rId25" tooltip="Завантажити сертифікат" display="Завантажити сертифікат"/>
    <hyperlink ref="F27" r:id="rId26" tooltip="Завантажити сертифікат" display="Завантажити сертифікат"/>
    <hyperlink ref="F28" r:id="rId27" tooltip="Завантажити сертифікат" display="Завантажити сертифікат"/>
    <hyperlink ref="F29" r:id="rId28" tooltip="Завантажити сертифікат" display="Завантажити сертифікат"/>
    <hyperlink ref="F30" r:id="rId29" tooltip="Завантажити сертифікат" display="Завантажити сертифікат"/>
    <hyperlink ref="F31" r:id="rId30" tooltip="Завантажити сертифікат" display="Завантажити сертифікат"/>
    <hyperlink ref="F32" r:id="rId31" tooltip="Завантажити сертифікат" display="Завантажити сертифікат"/>
    <hyperlink ref="F33" r:id="rId32" tooltip="Завантажити сертифікат" display="Завантажити сертифікат"/>
    <hyperlink ref="F34" r:id="rId33" tooltip="Завантажити сертифікат" display="Завантажити сертифікат"/>
    <hyperlink ref="F35" r:id="rId34" tooltip="Завантажити сертифікат" display="Завантажити сертифікат"/>
    <hyperlink ref="F36" r:id="rId35" tooltip="Завантажити сертифікат" display="Завантажити сертифікат"/>
    <hyperlink ref="F37" r:id="rId36" tooltip="Завантажити сертифікат" display="Завантажити сертифікат"/>
    <hyperlink ref="F38" r:id="rId37" tooltip="Завантажити сертифікат" display="Завантажити сертифікат"/>
    <hyperlink ref="F39" r:id="rId38" tooltip="Завантажити сертифікат" display="Завантажити сертифікат"/>
    <hyperlink ref="F40" r:id="rId39" tooltip="Завантажити сертифікат" display="Завантажити сертифікат"/>
    <hyperlink ref="F41" r:id="rId40" tooltip="Завантажити сертифікат" display="Завантажити сертифікат"/>
    <hyperlink ref="F42" r:id="rId41" tooltip="Завантажити сертифікат" display="Завантажити сертифікат"/>
    <hyperlink ref="F43" r:id="rId42" tooltip="Завантажити сертифікат" display="Завантажити сертифікат"/>
    <hyperlink ref="F44" r:id="rId43" tooltip="Завантажити сертифікат" display="Завантажити сертифікат"/>
    <hyperlink ref="F45" r:id="rId44" tooltip="Завантажити сертифікат" display="Завантажити сертифікат"/>
    <hyperlink ref="F46" r:id="rId45" tooltip="Завантажити сертифікат" display="Завантажити сертифікат"/>
    <hyperlink ref="F47" r:id="rId46" tooltip="Завантажити сертифікат" display="Завантажити сертифікат"/>
    <hyperlink ref="F48" r:id="rId47" tooltip="Завантажити сертифікат" display="Завантажити сертифікат"/>
    <hyperlink ref="F49" r:id="rId48" tooltip="Завантажити сертифікат" display="Завантажити сертифікат"/>
    <hyperlink ref="F50" r:id="rId49" tooltip="Завантажити сертифікат" display="Завантажити сертифікат"/>
    <hyperlink ref="F51" r:id="rId50" tooltip="Завантажити сертифікат" display="Завантажити сертифікат"/>
    <hyperlink ref="F52" r:id="rId51" tooltip="Завантажити сертифікат" display="Завантажити сертифікат"/>
    <hyperlink ref="F53" r:id="rId52" tooltip="Завантажити сертифікат" display="Завантажити сертифікат"/>
    <hyperlink ref="F54" r:id="rId53" tooltip="Завантажити сертифікат" display="Завантажити сертифікат"/>
    <hyperlink ref="F55" r:id="rId54" tooltip="Завантажити сертифікат" display="Завантажити сертифікат"/>
    <hyperlink ref="F56" r:id="rId55" tooltip="Завантажити сертифікат" display="Завантажити сертифікат"/>
    <hyperlink ref="F57" r:id="rId56" tooltip="Завантажити сертифікат" display="Завантажити сертифікат"/>
    <hyperlink ref="F58" r:id="rId57" tooltip="Завантажити сертифікат" display="Завантажити сертифікат"/>
    <hyperlink ref="F59" r:id="rId58" tooltip="Завантажити сертифікат" display="Завантажити сертифікат"/>
    <hyperlink ref="F60" r:id="rId59" tooltip="Завантажити сертифікат" display="Завантажити сертифікат"/>
    <hyperlink ref="F61" r:id="rId60" tooltip="Завантажити сертифікат" display="Завантажити сертифікат"/>
    <hyperlink ref="F62" r:id="rId61" tooltip="Завантажити сертифікат" display="Завантажити сертифікат"/>
    <hyperlink ref="F63" r:id="rId62" tooltip="Завантажити сертифікат" display="Завантажити сертифікат"/>
    <hyperlink ref="F64" r:id="rId63" tooltip="Завантажити сертифікат" display="Завантажити сертифікат"/>
    <hyperlink ref="F65" r:id="rId64" tooltip="Завантажити сертифікат" display="Завантажити сертифікат"/>
    <hyperlink ref="F66" r:id="rId65" tooltip="Завантажити сертифікат" display="Завантажити сертифікат"/>
    <hyperlink ref="F67" r:id="rId66" tooltip="Завантажити сертифікат" display="Завантажити сертифікат"/>
    <hyperlink ref="F68" r:id="rId67" tooltip="Завантажити сертифікат" display="Завантажити сертифікат"/>
    <hyperlink ref="F69" r:id="rId68" tooltip="Завантажити сертифікат" display="Завантажити сертифікат"/>
    <hyperlink ref="F70" r:id="rId69" tooltip="Завантажити сертифікат" display="Завантажити сертифікат"/>
    <hyperlink ref="F71" r:id="rId70" tooltip="Завантажити сертифікат" display="Завантажити сертифікат"/>
    <hyperlink ref="F72" r:id="rId71" tooltip="Завантажити сертифікат" display="Завантажити сертифікат"/>
    <hyperlink ref="F73" r:id="rId72" tooltip="Завантажити сертифікат" display="Завантажити сертифікат"/>
    <hyperlink ref="F74" r:id="rId73" tooltip="Завантажити сертифікат" display="Завантажити сертифікат"/>
    <hyperlink ref="F75" r:id="rId74" tooltip="Завантажити сертифікат" display="Завантажити сертифікат"/>
    <hyperlink ref="F76" r:id="rId75" tooltip="Завантажити сертифікат" display="Завантажити сертифікат"/>
    <hyperlink ref="F77" r:id="rId76" tooltip="Завантажити сертифікат" display="Завантажити сертифікат"/>
    <hyperlink ref="F78" r:id="rId77" tooltip="Завантажити сертифікат" display="Завантажити сертифікат"/>
    <hyperlink ref="F79" r:id="rId78" tooltip="Завантажити сертифікат" display="Завантажити сертифікат"/>
    <hyperlink ref="F80" r:id="rId79" tooltip="Завантажити сертифікат" display="Завантажити сертифікат"/>
    <hyperlink ref="F81" r:id="rId80" tooltip="Завантажити сертифікат" display="Завантажити сертифікат"/>
    <hyperlink ref="F82" r:id="rId81" tooltip="Завантажити сертифікат" display="Завантажити сертифікат"/>
    <hyperlink ref="F83" r:id="rId82" tooltip="Завантажити сертифікат" display="Завантажити сертифікат"/>
    <hyperlink ref="F84" r:id="rId83" tooltip="Завантажити сертифікат" display="Завантажити сертифікат"/>
    <hyperlink ref="F85" r:id="rId84" tooltip="Завантажити сертифікат" display="Завантажити сертифікат"/>
    <hyperlink ref="F86" r:id="rId85" tooltip="Завантажити сертифікат" display="Завантажити сертифікат"/>
    <hyperlink ref="F87" r:id="rId86" tooltip="Завантажити сертифікат" display="Завантажити сертифікат"/>
    <hyperlink ref="F88" r:id="rId87" tooltip="Завантажити сертифікат" display="Завантажити сертифікат"/>
    <hyperlink ref="F89" r:id="rId88" tooltip="Завантажити сертифікат" display="Завантажити сертифікат"/>
    <hyperlink ref="F90" r:id="rId89" tooltip="Завантажити сертифікат" display="Завантажити сертифікат"/>
    <hyperlink ref="F91" r:id="rId90" tooltip="Завантажити сертифікат" display="Завантажити сертифікат"/>
    <hyperlink ref="F92" r:id="rId91" tooltip="Завантажити сертифікат" display="Завантажити сертифікат"/>
    <hyperlink ref="F93" r:id="rId92" tooltip="Завантажити сертифікат" display="Завантажити сертифікат"/>
    <hyperlink ref="F94" r:id="rId93" tooltip="Завантажити сертифікат" display="Завантажити сертифікат"/>
    <hyperlink ref="F95" r:id="rId94" tooltip="Завантажити сертифікат" display="Завантажити сертифікат"/>
    <hyperlink ref="F96" r:id="rId95" tooltip="Завантажити сертифікат" display="Завантажити сертифікат"/>
    <hyperlink ref="F97" r:id="rId96" tooltip="Завантажити сертифікат" display="Завантажити сертифікат"/>
    <hyperlink ref="F98" r:id="rId97" tooltip="Завантажити сертифікат" display="Завантажити сертифікат"/>
    <hyperlink ref="F99" r:id="rId98" tooltip="Завантажити сертифікат" display="Завантажити сертифікат"/>
    <hyperlink ref="F100" r:id="rId99" tooltip="Завантажити сертифікат" display="Завантажити сертифікат"/>
    <hyperlink ref="F101" r:id="rId100" tooltip="Завантажити сертифікат" display="Завантажити сертифікат"/>
    <hyperlink ref="F102" r:id="rId101" tooltip="Завантажити сертифікат" display="Завантажити сертифікат"/>
    <hyperlink ref="F103" r:id="rId102" tooltip="Завантажити сертифікат" display="Завантажити сертифікат"/>
    <hyperlink ref="F104" r:id="rId103" tooltip="Завантажити сертифікат" display="Завантажити сертифікат"/>
    <hyperlink ref="F105" r:id="rId104" tooltip="Завантажити сертифікат" display="Завантажити сертифікат"/>
    <hyperlink ref="F106" r:id="rId105" tooltip="Завантажити сертифікат" display="Завантажити сертифікат"/>
    <hyperlink ref="F107" r:id="rId106" tooltip="Завантажити сертифікат" display="Завантажити сертифікат"/>
    <hyperlink ref="F108" r:id="rId107" tooltip="Завантажити сертифікат" display="Завантажити сертифікат"/>
    <hyperlink ref="F109" r:id="rId108" tooltip="Завантажити сертифікат" display="Завантажити сертифікат"/>
    <hyperlink ref="F110" r:id="rId109" tooltip="Завантажити сертифікат" display="Завантажити сертифікат"/>
    <hyperlink ref="F111" r:id="rId110" tooltip="Завантажити сертифікат" display="Завантажити сертифікат"/>
    <hyperlink ref="F112" r:id="rId111" tooltip="Завантажити сертифікат" display="Завантажити сертифікат"/>
    <hyperlink ref="F113" r:id="rId112" tooltip="Завантажити сертифікат" display="Завантажити сертифікат"/>
    <hyperlink ref="F114" r:id="rId113" tooltip="Завантажити сертифікат" display="Завантажити сертифікат"/>
    <hyperlink ref="F115" r:id="rId114" tooltip="Завантажити сертифікат" display="Завантажити сертифікат"/>
    <hyperlink ref="F116" r:id="rId115" tooltip="Завантажити сертифікат" display="Завантажити сертифікат"/>
    <hyperlink ref="F117" r:id="rId116" tooltip="Завантажити сертифікат" display="Завантажити сертифікат"/>
    <hyperlink ref="F118" r:id="rId117" tooltip="Завантажити сертифікат" display="Завантажити сертифікат"/>
    <hyperlink ref="F119" r:id="rId118" tooltip="Завантажити сертифікат" display="Завантажити сертифікат"/>
    <hyperlink ref="F120" r:id="rId119" tooltip="Завантажити сертифікат" display="Завантажити сертифікат"/>
    <hyperlink ref="F121" r:id="rId120" tooltip="Завантажити сертифікат" display="Завантажити сертифікат"/>
    <hyperlink ref="F122" r:id="rId121" tooltip="Завантажити сертифікат" display="Завантажити сертифікат"/>
    <hyperlink ref="F123" r:id="rId122" tooltip="Завантажити сертифікат" display="Завантажити сертифікат"/>
    <hyperlink ref="F124" r:id="rId123" tooltip="Завантажити сертифікат" display="Завантажити сертифікат"/>
    <hyperlink ref="F125" r:id="rId124" tooltip="Завантажити сертифікат" display="Завантажити сертифікат"/>
    <hyperlink ref="F126" r:id="rId125" tooltip="Завантажити сертифікат" display="Завантажити сертифікат"/>
    <hyperlink ref="F127" r:id="rId126" tooltip="Завантажити сертифікат" display="Завантажити сертифікат"/>
    <hyperlink ref="F128" r:id="rId127" tooltip="Завантажити сертифікат" display="Завантажити сертифікат"/>
    <hyperlink ref="F129" r:id="rId128" tooltip="Завантажити сертифікат" display="Завантажити сертифікат"/>
    <hyperlink ref="F130" r:id="rId129" tooltip="Завантажити сертифікат" display="Завантажити сертифікат"/>
    <hyperlink ref="F131" r:id="rId130" tooltip="Завантажити сертифікат" display="Завантажити сертифікат"/>
    <hyperlink ref="F132" r:id="rId131" tooltip="Завантажити сертифікат" display="Завантажити сертифікат"/>
    <hyperlink ref="F133" r:id="rId132" tooltip="Завантажити сертифікат" display="Завантажити сертифікат"/>
    <hyperlink ref="F134" r:id="rId133" tooltip="Завантажити сертифікат" display="Завантажити сертифікат"/>
    <hyperlink ref="F135" r:id="rId134" tooltip="Завантажити сертифікат" display="Завантажити сертифікат"/>
    <hyperlink ref="F136" r:id="rId135" tooltip="Завантажити сертифікат" display="Завантажити сертифікат"/>
    <hyperlink ref="F137" r:id="rId136" tooltip="Завантажити сертифікат" display="Завантажити сертифікат"/>
    <hyperlink ref="F138" r:id="rId137" tooltip="Завантажити сертифікат" display="Завантажити сертифікат"/>
    <hyperlink ref="F139" r:id="rId138" tooltip="Завантажити сертифікат" display="Завантажити сертифікат"/>
    <hyperlink ref="F140" r:id="rId139" tooltip="Завантажити сертифікат" display="Завантажити сертифікат"/>
    <hyperlink ref="F141" r:id="rId140" tooltip="Завантажити сертифікат" display="Завантажити сертифікат"/>
    <hyperlink ref="F142" r:id="rId141" tooltip="Завантажити сертифікат" display="Завантажити сертифікат"/>
    <hyperlink ref="F143" r:id="rId142" tooltip="Завантажити сертифікат" display="Завантажити сертифікат"/>
    <hyperlink ref="F144" r:id="rId143" tooltip="Завантажити сертифікат" display="Завантажити сертифікат"/>
    <hyperlink ref="F145" r:id="rId144" tooltip="Завантажити сертифікат" display="Завантажити сертифікат"/>
    <hyperlink ref="F146" r:id="rId145" tooltip="Завантажити сертифікат" display="Завантажити сертифікат"/>
    <hyperlink ref="F147" r:id="rId146" tooltip="Завантажити сертифікат" display="Завантажити сертифікат"/>
    <hyperlink ref="F148" r:id="rId147" tooltip="Завантажити сертифікат" display="Завантажити сертифікат"/>
    <hyperlink ref="F149" r:id="rId148" tooltip="Завантажити сертифікат" display="Завантажити сертифікат"/>
    <hyperlink ref="F150" r:id="rId149" tooltip="Завантажити сертифікат" display="Завантажити сертифікат"/>
    <hyperlink ref="F151" r:id="rId150" tooltip="Завантажити сертифікат" display="Завантажити сертифікат"/>
    <hyperlink ref="F152" r:id="rId151" tooltip="Завантажити сертифікат" display="Завантажити сертифікат"/>
    <hyperlink ref="F153" r:id="rId152" tooltip="Завантажити сертифікат" display="Завантажити сертифікат"/>
    <hyperlink ref="F154" r:id="rId153" tooltip="Завантажити сертифікат" display="Завантажити сертифікат"/>
    <hyperlink ref="F155" r:id="rId154" tooltip="Завантажити сертифікат" display="Завантажити сертифікат"/>
    <hyperlink ref="F156" r:id="rId155" tooltip="Завантажити сертифікат" display="Завантажити сертифікат"/>
    <hyperlink ref="F157" r:id="rId156" tooltip="Завантажити сертифікат" display="Завантажити сертифікат"/>
    <hyperlink ref="F158" r:id="rId157" tooltip="Завантажити сертифікат" display="Завантажити сертифікат"/>
    <hyperlink ref="F159" r:id="rId158" tooltip="Завантажити сертифікат" display="Завантажити сертифікат"/>
    <hyperlink ref="F160" r:id="rId159" tooltip="Завантажити сертифікат" display="Завантажити сертифікат"/>
    <hyperlink ref="F161" r:id="rId160" tooltip="Завантажити сертифікат" display="Завантажити сертифікат"/>
    <hyperlink ref="F162" r:id="rId161" tooltip="Завантажити сертифікат" display="Завантажити сертифікат"/>
    <hyperlink ref="F163" r:id="rId162" tooltip="Завантажити сертифікат" display="Завантажити сертифікат"/>
    <hyperlink ref="F164" r:id="rId163" tooltip="Завантажити сертифікат" display="Завантажити сертифікат"/>
    <hyperlink ref="F165" r:id="rId164" tooltip="Завантажити сертифікат" display="Завантажити сертифікат"/>
    <hyperlink ref="F166" r:id="rId165" tooltip="Завантажити сертифікат" display="Завантажити сертифікат"/>
    <hyperlink ref="F167" r:id="rId166" tooltip="Завантажити сертифікат" display="Завантажити сертифікат"/>
    <hyperlink ref="F168" r:id="rId167" tooltip="Завантажити сертифікат" display="Завантажити сертифікат"/>
    <hyperlink ref="F169" r:id="rId168" tooltip="Завантажити сертифікат" display="Завантажити сертифікат"/>
    <hyperlink ref="F170" r:id="rId169" tooltip="Завантажити сертифікат" display="Завантажити сертифікат"/>
    <hyperlink ref="F171" r:id="rId170" tooltip="Завантажити сертифікат" display="Завантажити сертифікат"/>
    <hyperlink ref="F172" r:id="rId171" tooltip="Завантажити сертифікат" display="Завантажити сертифікат"/>
    <hyperlink ref="F173" r:id="rId172" tooltip="Завантажити сертифікат" display="Завантажити сертифікат"/>
    <hyperlink ref="F174" r:id="rId173" tooltip="Завантажити сертифікат" display="Завантажити сертифікат"/>
    <hyperlink ref="F175" r:id="rId174" tooltip="Завантажити сертифікат" display="Завантажити сертифікат"/>
    <hyperlink ref="F176" r:id="rId175" tooltip="Завантажити сертифікат" display="Завантажити сертифікат"/>
    <hyperlink ref="F177" r:id="rId176" tooltip="Завантажити сертифікат" display="Завантажити сертифікат"/>
    <hyperlink ref="F178" r:id="rId177" tooltip="Завантажити сертифікат" display="Завантажити сертифікат"/>
    <hyperlink ref="F179" r:id="rId178" tooltip="Завантажити сертифікат" display="Завантажити сертифікат"/>
    <hyperlink ref="F180" r:id="rId179" tooltip="Завантажити сертифікат" display="Завантажити сертифікат"/>
    <hyperlink ref="F181" r:id="rId180" tooltip="Завантажити сертифікат" display="Завантажити сертифікат"/>
    <hyperlink ref="F182" r:id="rId181" tooltip="Завантажити сертифікат" display="Завантажити сертифікат"/>
    <hyperlink ref="F183" r:id="rId182" tooltip="Завантажити сертифікат" display="Завантажити сертифікат"/>
    <hyperlink ref="F184" r:id="rId183" tooltip="Завантажити сертифікат" display="Завантажити сертифікат"/>
    <hyperlink ref="F185" r:id="rId184" tooltip="Завантажити сертифікат" display="Завантажити сертифікат"/>
    <hyperlink ref="F186" r:id="rId185" tooltip="Завантажити сертифікат" display="Завантажити сертифікат"/>
    <hyperlink ref="F187" r:id="rId186" tooltip="Завантажити сертифікат" display="Завантажити сертифікат"/>
    <hyperlink ref="F188" r:id="rId187" tooltip="Завантажити сертифікат" display="Завантажити сертифікат"/>
    <hyperlink ref="F189" r:id="rId188" tooltip="Завантажити сертифікат" display="Завантажити сертифікат"/>
    <hyperlink ref="F190" r:id="rId189" tooltip="Завантажити сертифікат" display="Завантажити сертифікат"/>
    <hyperlink ref="F191" r:id="rId190" tooltip="Завантажити сертифікат" display="Завантажити сертифікат"/>
    <hyperlink ref="F192" r:id="rId191" tooltip="Завантажити сертифікат" display="Завантажити сертифікат"/>
    <hyperlink ref="F193" r:id="rId192" tooltip="Завантажити сертифікат" display="Завантажити сертифікат"/>
    <hyperlink ref="F194" r:id="rId193" tooltip="Завантажити сертифікат" display="Завантажити сертифікат"/>
    <hyperlink ref="F195" r:id="rId194" tooltip="Завантажити сертифікат" display="Завантажити сертифікат"/>
    <hyperlink ref="F196" r:id="rId195" tooltip="Завантажити сертифікат" display="Завантажити сертифікат"/>
    <hyperlink ref="F197" r:id="rId196" tooltip="Завантажити сертифікат" display="Завантажити сертифікат"/>
    <hyperlink ref="F198" r:id="rId197" tooltip="Завантажити сертифікат" display="Завантажити сертифікат"/>
    <hyperlink ref="F199" r:id="rId198" tooltip="Завантажити сертифікат" display="Завантажити сертифікат"/>
    <hyperlink ref="F200" r:id="rId199" tooltip="Завантажити сертифікат" display="Завантажити сертифікат"/>
    <hyperlink ref="F201" r:id="rId200" tooltip="Завантажити сертифікат" display="Завантажити сертифікат"/>
    <hyperlink ref="F202" r:id="rId201" tooltip="Завантажити сертифікат" display="Завантажити сертифікат"/>
    <hyperlink ref="F203" r:id="rId202" tooltip="Завантажити сертифікат" display="Завантажити сертифікат"/>
    <hyperlink ref="F204" r:id="rId203" tooltip="Завантажити сертифікат" display="Завантажити сертифікат"/>
    <hyperlink ref="F205" r:id="rId204" tooltip="Завантажити сертифікат" display="Завантажити сертифікат"/>
    <hyperlink ref="F206" r:id="rId205" tooltip="Завантажити сертифікат" display="Завантажити сертифікат"/>
    <hyperlink ref="F207" r:id="rId206" tooltip="Завантажити сертифікат" display="Завантажити сертифікат"/>
    <hyperlink ref="F208" r:id="rId207" tooltip="Завантажити сертифікат" display="Завантажити сертифікат"/>
    <hyperlink ref="F209" r:id="rId208" tooltip="Завантажити сертифікат" display="Завантажити сертифікат"/>
    <hyperlink ref="F210" r:id="rId209" tooltip="Завантажити сертифікат" display="Завантажити сертифікат"/>
    <hyperlink ref="F211" r:id="rId210" tooltip="Завантажити сертифікат" display="Завантажити сертифікат"/>
    <hyperlink ref="F212" r:id="rId211" tooltip="Завантажити сертифікат" display="Завантажити сертифікат"/>
    <hyperlink ref="F213" r:id="rId212" tooltip="Завантажити сертифікат" display="Завантажити сертифікат"/>
    <hyperlink ref="F214" r:id="rId213" tooltip="Завантажити сертифікат" display="Завантажити сертифікат"/>
    <hyperlink ref="F215" r:id="rId214" tooltip="Завантажити сертифікат" display="Завантажити сертифікат"/>
    <hyperlink ref="F216" r:id="rId215" tooltip="Завантажити сертифікат" display="Завантажити сертифікат"/>
    <hyperlink ref="F217" r:id="rId216" tooltip="Завантажити сертифікат" display="Завантажити сертифікат"/>
    <hyperlink ref="F218" r:id="rId217" tooltip="Завантажити сертифікат" display="Завантажити сертифікат"/>
    <hyperlink ref="F219" r:id="rId218" tooltip="Завантажити сертифікат" display="Завантажити сертифікат"/>
    <hyperlink ref="F220" r:id="rId219" tooltip="Завантажити сертифікат" display="Завантажити сертифікат"/>
    <hyperlink ref="F221" r:id="rId220" tooltip="Завантажити сертифікат" display="Завантажити сертифікат"/>
    <hyperlink ref="F222" r:id="rId221" tooltip="Завантажити сертифікат" display="Завантажити сертифікат"/>
    <hyperlink ref="F223" r:id="rId222" tooltip="Завантажити сертифікат" display="Завантажити сертифікат"/>
    <hyperlink ref="F224" r:id="rId223" tooltip="Завантажити сертифікат" display="Завантажити сертифікат"/>
    <hyperlink ref="F225" r:id="rId224" tooltip="Завантажити сертифікат" display="Завантажити сертифікат"/>
    <hyperlink ref="F226" r:id="rId225" tooltip="Завантажити сертифікат" display="Завантажити сертифікат"/>
    <hyperlink ref="F227" r:id="rId226" tooltip="Завантажити сертифікат" display="Завантажити сертифікат"/>
    <hyperlink ref="F228" r:id="rId227" tooltip="Завантажити сертифікат" display="Завантажити сертифікат"/>
    <hyperlink ref="F229" r:id="rId228" tooltip="Завантажити сертифікат" display="Завантажити сертифікат"/>
    <hyperlink ref="F230" r:id="rId229" tooltip="Завантажити сертифікат" display="Завантажити сертифікат"/>
    <hyperlink ref="F231" r:id="rId230" tooltip="Завантажити сертифікат" display="Завантажити сертифікат"/>
    <hyperlink ref="F232" r:id="rId231" tooltip="Завантажити сертифікат" display="Завантажити сертифікат"/>
    <hyperlink ref="F233" r:id="rId232" tooltip="Завантажити сертифікат" display="Завантажити сертифікат"/>
    <hyperlink ref="F234" r:id="rId233" tooltip="Завантажити сертифікат" display="Завантажити сертифікат"/>
    <hyperlink ref="F235" r:id="rId234" tooltip="Завантажити сертифікат" display="Завантажити сертифікат"/>
    <hyperlink ref="F236" r:id="rId235" tooltip="Завантажити сертифікат" display="Завантажити сертифікат"/>
    <hyperlink ref="F237" r:id="rId236" tooltip="Завантажити сертифікат" display="Завантажити сертифікат"/>
    <hyperlink ref="F238" r:id="rId237" tooltip="Завантажити сертифікат" display="Завантажити сертифікат"/>
    <hyperlink ref="F239" r:id="rId238" tooltip="Завантажити сертифікат" display="Завантажити сертифікат"/>
    <hyperlink ref="F240" r:id="rId239" tooltip="Завантажити сертифікат" display="Завантажити сертифікат"/>
    <hyperlink ref="F241" r:id="rId240" tooltip="Завантажити сертифікат" display="Завантажити сертифікат"/>
    <hyperlink ref="F242" r:id="rId241" tooltip="Завантажити сертифікат" display="Завантажити сертифікат"/>
    <hyperlink ref="F243" r:id="rId242" tooltip="Завантажити сертифікат" display="Завантажити сертифікат"/>
    <hyperlink ref="F244" r:id="rId243" tooltip="Завантажити сертифікат" display="Завантажити сертифікат"/>
    <hyperlink ref="F245" r:id="rId244" tooltip="Завантажити сертифікат" display="Завантажити сертифікат"/>
    <hyperlink ref="F246" r:id="rId245" tooltip="Завантажити сертифікат" display="Завантажити сертифікат"/>
    <hyperlink ref="F247" r:id="rId246" tooltip="Завантажити сертифікат" display="Завантажити сертифікат"/>
    <hyperlink ref="F248" r:id="rId247" tooltip="Завантажити сертифікат" display="Завантажити сертифікат"/>
    <hyperlink ref="F249" r:id="rId248" tooltip="Завантажити сертифікат" display="Завантажити сертифікат"/>
    <hyperlink ref="F250" r:id="rId249" tooltip="Завантажити сертифікат" display="Завантажити сертифікат"/>
    <hyperlink ref="F251" r:id="rId250" tooltip="Завантажити сертифікат" display="Завантажити сертифікат"/>
    <hyperlink ref="F252" r:id="rId251" tooltip="Завантажити сертифікат" display="Завантажити сертифікат"/>
    <hyperlink ref="F253" r:id="rId252" tooltip="Завантажити сертифікат" display="Завантажити сертифікат"/>
    <hyperlink ref="F254" r:id="rId253" tooltip="Завантажити сертифікат" display="Завантажити сертифікат"/>
    <hyperlink ref="F255" r:id="rId254" tooltip="Завантажити сертифікат" display="Завантажити сертифікат"/>
    <hyperlink ref="F256" r:id="rId255" tooltip="Завантажити сертифікат" display="Завантажити сертифікат"/>
    <hyperlink ref="F257" r:id="rId256" tooltip="Завантажити сертифікат" display="Завантажити сертифікат"/>
    <hyperlink ref="F258" r:id="rId257" tooltip="Завантажити сертифікат" display="Завантажити сертифікат"/>
    <hyperlink ref="F259" r:id="rId258" tooltip="Завантажити сертифікат" display="Завантажити сертифікат"/>
    <hyperlink ref="F260" r:id="rId259" tooltip="Завантажити сертифікат" display="Завантажити сертифікат"/>
    <hyperlink ref="F261" r:id="rId260" tooltip="Завантажити сертифікат" display="Завантажити сертифікат"/>
    <hyperlink ref="F262" r:id="rId261" tooltip="Завантажити сертифікат" display="Завантажити сертифікат"/>
    <hyperlink ref="F263" r:id="rId262" tooltip="Завантажити сертифікат" display="Завантажити сертифікат"/>
    <hyperlink ref="F264" r:id="rId263" tooltip="Завантажити сертифікат" display="Завантажити сертифікат"/>
    <hyperlink ref="F265" r:id="rId264" tooltip="Завантажити сертифікат" display="Завантажити сертифікат"/>
    <hyperlink ref="F266" r:id="rId265" tooltip="Завантажити сертифікат" display="Завантажити сертифікат"/>
    <hyperlink ref="F267" r:id="rId266" tooltip="Завантажити сертифікат" display="Завантажити сертифікат"/>
    <hyperlink ref="F268" r:id="rId267" tooltip="Завантажити сертифікат" display="Завантажити сертифікат"/>
    <hyperlink ref="F269" r:id="rId268" tooltip="Завантажити сертифікат" display="Завантажити сертифікат"/>
    <hyperlink ref="F270" r:id="rId269" tooltip="Завантажити сертифікат" display="Завантажити сертифікат"/>
    <hyperlink ref="F271" r:id="rId270" tooltip="Завантажити сертифікат" display="Завантажити сертифікат"/>
    <hyperlink ref="F272" r:id="rId271" tooltip="Завантажити сертифікат" display="Завантажити сертифікат"/>
    <hyperlink ref="F273" r:id="rId272" tooltip="Завантажити сертифікат" display="Завантажити сертифікат"/>
    <hyperlink ref="F274" r:id="rId273" tooltip="Завантажити сертифікат" display="Завантажити сертифікат"/>
    <hyperlink ref="F275" r:id="rId274" tooltip="Завантажити сертифікат" display="Завантажити сертифікат"/>
    <hyperlink ref="F276" r:id="rId275" tooltip="Завантажити сертифікат" display="Завантажити сертифікат"/>
    <hyperlink ref="F277" r:id="rId276" tooltip="Завантажити сертифікат" display="Завантажити сертифікат"/>
    <hyperlink ref="F278" r:id="rId277" tooltip="Завантажити сертифікат" display="Завантажити сертифікат"/>
    <hyperlink ref="F279" r:id="rId278" tooltip="Завантажити сертифікат" display="Завантажити сертифікат"/>
    <hyperlink ref="F280" r:id="rId279" tooltip="Завантажити сертифікат" display="Завантажити сертифікат"/>
    <hyperlink ref="F281" r:id="rId280" tooltip="Завантажити сертифікат" display="Завантажити сертифікат"/>
    <hyperlink ref="F282" r:id="rId281" tooltip="Завантажити сертифікат" display="Завантажити сертифікат"/>
    <hyperlink ref="F283" r:id="rId282" tooltip="Завантажити сертифікат" display="Завантажити сертифікат"/>
    <hyperlink ref="F284" r:id="rId283" tooltip="Завантажити сертифікат" display="Завантажити сертифікат"/>
    <hyperlink ref="F285" r:id="rId284" tooltip="Завантажити сертифікат" display="Завантажити сертифікат"/>
    <hyperlink ref="F286" r:id="rId285" tooltip="Завантажити сертифікат" display="Завантажити сертифікат"/>
    <hyperlink ref="F287" r:id="rId286" tooltip="Завантажити сертифікат" display="Завантажити сертифікат"/>
    <hyperlink ref="F288" r:id="rId287" tooltip="Завантажити сертифікат" display="Завантажити сертифікат"/>
    <hyperlink ref="F289" r:id="rId288" tooltip="Завантажити сертифікат" display="Завантажити сертифікат"/>
    <hyperlink ref="F290" r:id="rId289" tooltip="Завантажити сертифікат" display="Завантажити сертифікат"/>
    <hyperlink ref="F291" r:id="rId290" tooltip="Завантажити сертифікат" display="Завантажити сертифікат"/>
    <hyperlink ref="F292" r:id="rId291" tooltip="Завантажити сертифікат" display="Завантажити сертифікат"/>
    <hyperlink ref="F293" r:id="rId292" tooltip="Завантажити сертифікат" display="Завантажити сертифікат"/>
    <hyperlink ref="F294" r:id="rId293" tooltip="Завантажити сертифікат" display="Завантажити сертифікат"/>
    <hyperlink ref="F295" r:id="rId294" tooltip="Завантажити сертифікат" display="Завантажити сертифікат"/>
    <hyperlink ref="F296" r:id="rId295" tooltip="Завантажити сертифікат" display="Завантажити сертифікат"/>
    <hyperlink ref="F297" r:id="rId296" tooltip="Завантажити сертифікат" display="Завантажити сертифікат"/>
    <hyperlink ref="F298" r:id="rId297" tooltip="Завантажити сертифікат" display="Завантажити сертифікат"/>
    <hyperlink ref="F299" r:id="rId298" tooltip="Завантажити сертифікат" display="Завантажити сертифікат"/>
    <hyperlink ref="F300" r:id="rId299" tooltip="Завантажити сертифікат" display="Завантажити сертифікат"/>
    <hyperlink ref="F301" r:id="rId300" tooltip="Завантажити сертифікат" display="Завантажити сертифікат"/>
    <hyperlink ref="F302" r:id="rId301" tooltip="Завантажити сертифікат" display="Завантажити сертифікат"/>
    <hyperlink ref="F303" r:id="rId302" tooltip="Завантажити сертифікат" display="Завантажити сертифікат"/>
    <hyperlink ref="F304" r:id="rId303" tooltip="Завантажити сертифікат" display="Завантажити сертифікат"/>
    <hyperlink ref="F305" r:id="rId304" tooltip="Завантажити сертифікат" display="Завантажити сертифікат"/>
    <hyperlink ref="F306" r:id="rId305" tooltip="Завантажити сертифікат" display="Завантажити сертифікат"/>
    <hyperlink ref="F307" r:id="rId306" tooltip="Завантажити сертифікат" display="Завантажити сертифікат"/>
    <hyperlink ref="F308" r:id="rId307" tooltip="Завантажити сертифікат" display="Завантажити сертифікат"/>
    <hyperlink ref="F309" r:id="rId308" tooltip="Завантажити сертифікат" display="Завантажити сертифікат"/>
    <hyperlink ref="F310" r:id="rId309" tooltip="Завантажити сертифікат" display="Завантажити сертифікат"/>
    <hyperlink ref="F311" r:id="rId310" tooltip="Завантажити сертифікат" display="Завантажити сертифікат"/>
    <hyperlink ref="F312" r:id="rId311" tooltip="Завантажити сертифікат" display="Завантажити сертифікат"/>
    <hyperlink ref="F313" r:id="rId312" tooltip="Завантажити сертифікат" display="Завантажити сертифікат"/>
    <hyperlink ref="F314" r:id="rId313" tooltip="Завантажити сертифікат" display="Завантажити сертифікат"/>
    <hyperlink ref="F315" r:id="rId314" tooltip="Завантажити сертифікат" display="Завантажити сертифікат"/>
    <hyperlink ref="F316" r:id="rId315" tooltip="Завантажити сертифікат" display="Завантажити сертифікат"/>
    <hyperlink ref="F317" r:id="rId316" tooltip="Завантажити сертифікат" display="Завантажити сертифікат"/>
    <hyperlink ref="F318" r:id="rId317" tooltip="Завантажити сертифікат" display="Завантажити сертифікат"/>
    <hyperlink ref="F319" r:id="rId318" tooltip="Завантажити сертифікат" display="Завантажити сертифікат"/>
    <hyperlink ref="F320" r:id="rId319" tooltip="Завантажити сертифікат" display="Завантажити сертифікат"/>
    <hyperlink ref="F321" r:id="rId320" tooltip="Завантажити сертифікат" display="Завантажити сертифікат"/>
    <hyperlink ref="F322" r:id="rId321" tooltip="Завантажити сертифікат" display="Завантажити сертифікат"/>
    <hyperlink ref="F323" r:id="rId322" tooltip="Завантажити сертифікат" display="Завантажити сертифікат"/>
    <hyperlink ref="F324" r:id="rId323" tooltip="Завантажити сертифікат" display="Завантажити сертифікат"/>
    <hyperlink ref="F325" r:id="rId324" tooltip="Завантажити сертифікат" display="Завантажити сертифікат"/>
    <hyperlink ref="F326" r:id="rId325" tooltip="Завантажити сертифікат" display="Завантажити сертифікат"/>
    <hyperlink ref="F327" r:id="rId326" tooltip="Завантажити сертифікат" display="Завантажити сертифікат"/>
    <hyperlink ref="F328" r:id="rId327" tooltip="Завантажити сертифікат" display="Завантажити сертифікат"/>
    <hyperlink ref="F329" r:id="rId328" tooltip="Завантажити сертифікат" display="Завантажити сертифікат"/>
    <hyperlink ref="F330" r:id="rId329" tooltip="Завантажити сертифікат" display="Завантажити сертифікат"/>
    <hyperlink ref="F331" r:id="rId330" tooltip="Завантажити сертифікат" display="Завантажити сертифікат"/>
    <hyperlink ref="F332" r:id="rId331" tooltip="Завантажити сертифікат" display="Завантажити сертифікат"/>
    <hyperlink ref="F333" r:id="rId332" tooltip="Завантажити сертифікат" display="Завантажити сертифікат"/>
    <hyperlink ref="F334" r:id="rId333" tooltip="Завантажити сертифікат" display="Завантажити сертифікат"/>
    <hyperlink ref="F335" r:id="rId334" tooltip="Завантажити сертифікат" display="Завантажити сертифікат"/>
    <hyperlink ref="F336" r:id="rId335" tooltip="Завантажити сертифікат" display="Завантажити сертифікат"/>
    <hyperlink ref="F337" r:id="rId336" tooltip="Завантажити сертифікат" display="Завантажити сертифікат"/>
    <hyperlink ref="F338" r:id="rId337" tooltip="Завантажити сертифікат" display="Завантажити сертифікат"/>
    <hyperlink ref="F339" r:id="rId338" tooltip="Завантажити сертифікат" display="Завантажити сертифікат"/>
    <hyperlink ref="F340" r:id="rId339" tooltip="Завантажити сертифікат" display="Завантажити сертифікат"/>
    <hyperlink ref="F341" r:id="rId340" tooltip="Завантажити сертифікат" display="Завантажити сертифікат"/>
    <hyperlink ref="F342" r:id="rId341" tooltip="Завантажити сертифікат" display="Завантажити сертифікат"/>
    <hyperlink ref="F343" r:id="rId342" tooltip="Завантажити сертифікат" display="Завантажити сертифікат"/>
    <hyperlink ref="F344" r:id="rId343" tooltip="Завантажити сертифікат" display="Завантажити сертифікат"/>
    <hyperlink ref="F345" r:id="rId344" tooltip="Завантажити сертифікат" display="Завантажити сертифікат"/>
    <hyperlink ref="F346" r:id="rId345" tooltip="Завантажити сертифікат" display="Завантажити сертифікат"/>
    <hyperlink ref="F347" r:id="rId346" tooltip="Завантажити сертифікат" display="Завантажити сертифікат"/>
    <hyperlink ref="F348" r:id="rId347" tooltip="Завантажити сертифікат" display="Завантажити сертифікат"/>
    <hyperlink ref="F349" r:id="rId348" tooltip="Завантажити сертифікат" display="Завантажити сертифікат"/>
    <hyperlink ref="F350" r:id="rId349" tooltip="Завантажити сертифікат" display="Завантажити сертифікат"/>
    <hyperlink ref="F351" r:id="rId350" tooltip="Завантажити сертифікат" display="Завантажити сертифікат"/>
    <hyperlink ref="F352" r:id="rId351" tooltip="Завантажити сертифікат" display="Завантажити сертифікат"/>
    <hyperlink ref="F353" r:id="rId352" tooltip="Завантажити сертифікат" display="Завантажити сертифікат"/>
    <hyperlink ref="F354" r:id="rId353" tooltip="Завантажити сертифікат" display="Завантажити сертифікат"/>
    <hyperlink ref="F355" r:id="rId354" tooltip="Завантажити сертифікат" display="Завантажити сертифікат"/>
    <hyperlink ref="F356" r:id="rId355" tooltip="Завантажити сертифікат" display="Завантажити сертифікат"/>
    <hyperlink ref="F357" r:id="rId356" tooltip="Завантажити сертифікат" display="Завантажити сертифікат"/>
    <hyperlink ref="F358" r:id="rId357" tooltip="Завантажити сертифікат" display="Завантажити сертифікат"/>
    <hyperlink ref="F359" r:id="rId358" tooltip="Завантажити сертифікат" display="Завантажити сертифікат"/>
    <hyperlink ref="F360" r:id="rId359" tooltip="Завантажити сертифікат" display="Завантажити сертифікат"/>
    <hyperlink ref="F361" r:id="rId360" tooltip="Завантажити сертифікат" display="Завантажити сертифікат"/>
    <hyperlink ref="F362" r:id="rId361" tooltip="Завантажити сертифікат" display="Завантажити сертифікат"/>
    <hyperlink ref="F363" r:id="rId362" tooltip="Завантажити сертифікат" display="Завантажити сертифікат"/>
    <hyperlink ref="F364" r:id="rId363" tooltip="Завантажити сертифікат" display="Завантажити сертифікат"/>
    <hyperlink ref="F365" r:id="rId364" tooltip="Завантажити сертифікат" display="Завантажити сертифікат"/>
    <hyperlink ref="F366" r:id="rId365" tooltip="Завантажити сертифікат" display="Завантажити сертифікат"/>
    <hyperlink ref="F367" r:id="rId366" tooltip="Завантажити сертифікат" display="Завантажити сертифікат"/>
    <hyperlink ref="F368" r:id="rId367" tooltip="Завантажити сертифікат" display="Завантажити сертифікат"/>
    <hyperlink ref="F369" r:id="rId368" tooltip="Завантажити сертифікат" display="Завантажити сертифікат"/>
    <hyperlink ref="F370" r:id="rId369" tooltip="Завантажити сертифікат" display="Завантажити сертифікат"/>
    <hyperlink ref="F371" r:id="rId370" tooltip="Завантажити сертифікат" display="Завантажити сертифікат"/>
    <hyperlink ref="F372" r:id="rId371" tooltip="Завантажити сертифікат" display="Завантажити сертифікат"/>
    <hyperlink ref="F373" r:id="rId372" tooltip="Завантажити сертифікат" display="Завантажити сертифікат"/>
    <hyperlink ref="F374" r:id="rId373" tooltip="Завантажити сертифікат" display="Завантажити сертифікат"/>
    <hyperlink ref="F375" r:id="rId374" tooltip="Завантажити сертифікат" display="Завантажити сертифікат"/>
    <hyperlink ref="F376" r:id="rId375" tooltip="Завантажити сертифікат" display="Завантажити сертифікат"/>
    <hyperlink ref="F377" r:id="rId376" tooltip="Завантажити сертифікат" display="Завантажити сертифікат"/>
    <hyperlink ref="F378" r:id="rId377" tooltip="Завантажити сертифікат" display="Завантажити сертифікат"/>
    <hyperlink ref="F379" r:id="rId378" tooltip="Завантажити сертифікат" display="Завантажити сертифікат"/>
    <hyperlink ref="F380" r:id="rId379" tooltip="Завантажити сертифікат" display="Завантажити сертифікат"/>
    <hyperlink ref="F381" r:id="rId380" tooltip="Завантажити сертифікат" display="Завантажити сертифікат"/>
    <hyperlink ref="F382" r:id="rId381" tooltip="Завантажити сертифікат" display="Завантажити сертифікат"/>
    <hyperlink ref="F383" r:id="rId382" tooltip="Завантажити сертифікат" display="Завантажити сертифікат"/>
    <hyperlink ref="F384" r:id="rId383" tooltip="Завантажити сертифікат" display="Завантажити сертифікат"/>
    <hyperlink ref="F385" r:id="rId384" tooltip="Завантажити сертифікат" display="Завантажити сертифікат"/>
    <hyperlink ref="F386" r:id="rId385" tooltip="Завантажити сертифікат" display="Завантажити сертифікат"/>
    <hyperlink ref="F387" r:id="rId386" tooltip="Завантажити сертифікат" display="Завантажити сертифікат"/>
    <hyperlink ref="F388" r:id="rId387" tooltip="Завантажити сертифікат" display="Завантажити сертифікат"/>
    <hyperlink ref="F389" r:id="rId388" tooltip="Завантажити сертифікат" display="Завантажити сертифікат"/>
    <hyperlink ref="F390" r:id="rId389" tooltip="Завантажити сертифікат" display="Завантажити сертифікат"/>
    <hyperlink ref="F391" r:id="rId390" tooltip="Завантажити сертифікат" display="Завантажити сертифікат"/>
    <hyperlink ref="F392" r:id="rId391" tooltip="Завантажити сертифікат" display="Завантажити сертифікат"/>
    <hyperlink ref="F393" r:id="rId392" tooltip="Завантажити сертифікат" display="Завантажити сертифікат"/>
    <hyperlink ref="F394" r:id="rId393" tooltip="Завантажити сертифікат" display="Завантажити сертифікат"/>
    <hyperlink ref="F395" r:id="rId394" tooltip="Завантажити сертифікат" display="Завантажити сертифікат"/>
    <hyperlink ref="F396" r:id="rId395" tooltip="Завантажити сертифікат" display="Завантажити сертифікат"/>
    <hyperlink ref="F397" r:id="rId396" tooltip="Завантажити сертифікат" display="Завантажити сертифікат"/>
    <hyperlink ref="F398" r:id="rId397" tooltip="Завантажити сертифікат" display="Завантажити сертифікат"/>
    <hyperlink ref="F399" r:id="rId398" tooltip="Завантажити сертифікат" display="Завантажити сертифікат"/>
    <hyperlink ref="F400" r:id="rId399" tooltip="Завантажити сертифікат" display="Завантажити сертифікат"/>
    <hyperlink ref="F401" r:id="rId400" tooltip="Завантажити сертифікат" display="Завантажити сертифікат"/>
    <hyperlink ref="F402" r:id="rId401" tooltip="Завантажити сертифікат" display="Завантажити сертифікат"/>
    <hyperlink ref="F403" r:id="rId402" tooltip="Завантажити сертифікат" display="Завантажити сертифікат"/>
    <hyperlink ref="F404" r:id="rId403" tooltip="Завантажити сертифікат" display="Завантажити сертифікат"/>
    <hyperlink ref="F405" r:id="rId404" tooltip="Завантажити сертифікат" display="Завантажити сертифікат"/>
    <hyperlink ref="F406" r:id="rId405" tooltip="Завантажити сертифікат" display="Завантажити сертифікат"/>
    <hyperlink ref="F407" r:id="rId406" tooltip="Завантажити сертифікат" display="Завантажити сертифікат"/>
    <hyperlink ref="F408" r:id="rId407" tooltip="Завантажити сертифікат" display="Завантажити сертифікат"/>
    <hyperlink ref="F409" r:id="rId408" tooltip="Завантажити сертифікат" display="Завантажити сертифікат"/>
    <hyperlink ref="F410" r:id="rId409" tooltip="Завантажити сертифікат" display="Завантажити сертифікат"/>
    <hyperlink ref="F411" r:id="rId410" tooltip="Завантажити сертифікат" display="Завантажити сертифікат"/>
    <hyperlink ref="F412" r:id="rId411" tooltip="Завантажити сертифікат" display="Завантажити сертифікат"/>
    <hyperlink ref="F413" r:id="rId412" tooltip="Завантажити сертифікат" display="Завантажити сертифікат"/>
    <hyperlink ref="F414" r:id="rId413" tooltip="Завантажити сертифікат" display="Завантажити сертифікат"/>
    <hyperlink ref="F415" r:id="rId414" tooltip="Завантажити сертифікат" display="Завантажити сертифікат"/>
    <hyperlink ref="F416" r:id="rId415" tooltip="Завантажити сертифікат" display="Завантажити сертифікат"/>
    <hyperlink ref="F417" r:id="rId416" tooltip="Завантажити сертифікат" display="Завантажити сертифікат"/>
    <hyperlink ref="F418" r:id="rId417" tooltip="Завантажити сертифікат" display="Завантажити сертифікат"/>
    <hyperlink ref="F419" r:id="rId418" tooltip="Завантажити сертифікат" display="Завантажити сертифікат"/>
    <hyperlink ref="F420" r:id="rId419" tooltip="Завантажити сертифікат" display="Завантажити сертифікат"/>
    <hyperlink ref="F421" r:id="rId420" tooltip="Завантажити сертифікат" display="Завантажити сертифікат"/>
    <hyperlink ref="F422" r:id="rId421" tooltip="Завантажити сертифікат" display="Завантажити сертифікат"/>
    <hyperlink ref="F423" r:id="rId422" tooltip="Завантажити сертифікат" display="Завантажити сертифікат"/>
    <hyperlink ref="F424" r:id="rId423" tooltip="Завантажити сертифікат" display="Завантажити сертифікат"/>
    <hyperlink ref="F425" r:id="rId424" tooltip="Завантажити сертифікат" display="Завантажити сертифікат"/>
    <hyperlink ref="F426" r:id="rId425" tooltip="Завантажити сертифікат" display="Завантажити сертифікат"/>
    <hyperlink ref="F427" r:id="rId426" tooltip="Завантажити сертифікат" display="Завантажити сертифікат"/>
    <hyperlink ref="F428" r:id="rId427" tooltip="Завантажити сертифікат" display="Завантажити сертифікат"/>
    <hyperlink ref="F429" r:id="rId428" tooltip="Завантажити сертифікат" display="Завантажити сертифікат"/>
    <hyperlink ref="F430" r:id="rId429" tooltip="Завантажити сертифікат" display="Завантажити сертифікат"/>
    <hyperlink ref="F431" r:id="rId430" tooltip="Завантажити сертифікат" display="Завантажити сертифікат"/>
    <hyperlink ref="F432" r:id="rId431" tooltip="Завантажити сертифікат" display="Завантажити сертифікат"/>
    <hyperlink ref="F433" r:id="rId432" tooltip="Завантажити сертифікат" display="Завантажити сертифікат"/>
    <hyperlink ref="F434" r:id="rId433" tooltip="Завантажити сертифікат" display="Завантажити сертифікат"/>
    <hyperlink ref="F435" r:id="rId434" tooltip="Завантажити сертифікат" display="Завантажити сертифікат"/>
    <hyperlink ref="F436" r:id="rId435" tooltip="Завантажити сертифікат" display="Завантажити сертифікат"/>
    <hyperlink ref="F437" r:id="rId436" tooltip="Завантажити сертифікат" display="Завантажити сертифікат"/>
    <hyperlink ref="F438" r:id="rId437" tooltip="Завантажити сертифікат" display="Завантажити сертифікат"/>
    <hyperlink ref="F439" r:id="rId438" tooltip="Завантажити сертифікат" display="Завантажити сертифікат"/>
    <hyperlink ref="F440" r:id="rId439" tooltip="Завантажити сертифікат" display="Завантажити сертифікат"/>
    <hyperlink ref="F441" r:id="rId440" tooltip="Завантажити сертифікат" display="Завантажити сертифікат"/>
    <hyperlink ref="F442" r:id="rId441" tooltip="Завантажити сертифікат" display="Завантажити сертифікат"/>
    <hyperlink ref="F443" r:id="rId442" tooltip="Завантажити сертифікат" display="Завантажити сертифікат"/>
    <hyperlink ref="F444" r:id="rId443" tooltip="Завантажити сертифікат" display="Завантажити сертифікат"/>
    <hyperlink ref="F445" r:id="rId444" tooltip="Завантажити сертифікат" display="Завантажити сертифікат"/>
    <hyperlink ref="F446" r:id="rId445" tooltip="Завантажити сертифікат" display="Завантажити сертифікат"/>
    <hyperlink ref="F447" r:id="rId446" tooltip="Завантажити сертифікат" display="Завантажити сертифікат"/>
    <hyperlink ref="F448" r:id="rId447" tooltip="Завантажити сертифікат" display="Завантажити сертифікат"/>
    <hyperlink ref="F449" r:id="rId448" tooltip="Завантажити сертифікат" display="Завантажити сертифікат"/>
    <hyperlink ref="F450" r:id="rId449" tooltip="Завантажити сертифікат" display="Завантажити сертифікат"/>
    <hyperlink ref="F451" r:id="rId450" tooltip="Завантажити сертифікат" display="Завантажити сертифікат"/>
    <hyperlink ref="F452" r:id="rId451" tooltip="Завантажити сертифікат" display="Завантажити сертифікат"/>
    <hyperlink ref="F453" r:id="rId452" tooltip="Завантажити сертифікат" display="Завантажити сертифікат"/>
    <hyperlink ref="F454" r:id="rId453" tooltip="Завантажити сертифікат" display="Завантажити сертифікат"/>
    <hyperlink ref="F455" r:id="rId454" tooltip="Завантажити сертифікат" display="Завантажити сертифікат"/>
    <hyperlink ref="F456" r:id="rId455" tooltip="Завантажити сертифікат" display="Завантажити сертифікат"/>
    <hyperlink ref="F457" r:id="rId456" tooltip="Завантажити сертифікат" display="Завантажити сертифікат"/>
    <hyperlink ref="F458" r:id="rId457" tooltip="Завантажити сертифікат" display="Завантажити сертифікат"/>
    <hyperlink ref="F459" r:id="rId458" tooltip="Завантажити сертифікат" display="Завантажити сертифікат"/>
    <hyperlink ref="F460" r:id="rId459" tooltip="Завантажити сертифікат" display="Завантажити сертифікат"/>
    <hyperlink ref="F461" r:id="rId460" tooltip="Завантажити сертифікат" display="Завантажити сертифікат"/>
    <hyperlink ref="F462" r:id="rId461" tooltip="Завантажити сертифікат" display="Завантажити сертифікат"/>
    <hyperlink ref="F463" r:id="rId462" tooltip="Завантажити сертифікат" display="Завантажити сертифікат"/>
    <hyperlink ref="F464" r:id="rId463" tooltip="Завантажити сертифікат" display="Завантажити сертифікат"/>
    <hyperlink ref="F465" r:id="rId464" tooltip="Завантажити сертифікат" display="Завантажити сертифікат"/>
    <hyperlink ref="F466" r:id="rId465" tooltip="Завантажити сертифікат" display="Завантажити сертифікат"/>
    <hyperlink ref="F467" r:id="rId466" tooltip="Завантажити сертифікат" display="Завантажити сертифікат"/>
    <hyperlink ref="F468" r:id="rId467" tooltip="Завантажити сертифікат" display="Завантажити сертифікат"/>
    <hyperlink ref="F469" r:id="rId468" tooltip="Завантажити сертифікат" display="Завантажити сертифікат"/>
    <hyperlink ref="F470" r:id="rId469" tooltip="Завантажити сертифікат" display="Завантажити сертифікат"/>
    <hyperlink ref="F471" r:id="rId470" tooltip="Завантажити сертифікат" display="Завантажити сертифікат"/>
    <hyperlink ref="F472" r:id="rId471" tooltip="Завантажити сертифікат" display="Завантажити сертифікат"/>
    <hyperlink ref="F473" r:id="rId472" tooltip="Завантажити сертифікат" display="Завантажити сертифікат"/>
    <hyperlink ref="F474" r:id="rId473" tooltip="Завантажити сертифікат" display="Завантажити сертифікат"/>
    <hyperlink ref="F475" r:id="rId474" tooltip="Завантажити сертифікат" display="Завантажити сертифікат"/>
    <hyperlink ref="F476" r:id="rId475" tooltip="Завантажити сертифікат" display="Завантажити сертифікат"/>
    <hyperlink ref="F477" r:id="rId476" tooltip="Завантажити сертифікат" display="Завантажити сертифікат"/>
    <hyperlink ref="F478" r:id="rId477" tooltip="Завантажити сертифікат" display="Завантажити сертифікат"/>
    <hyperlink ref="F479" r:id="rId478" tooltip="Завантажити сертифікат" display="Завантажити сертифікат"/>
    <hyperlink ref="F480" r:id="rId479" tooltip="Завантажити сертифікат" display="Завантажити сертифікат"/>
    <hyperlink ref="F481" r:id="rId480" tooltip="Завантажити сертифікат" display="Завантажити сертифікат"/>
    <hyperlink ref="F482" r:id="rId481" tooltip="Завантажити сертифікат" display="Завантажити сертифікат"/>
    <hyperlink ref="F483" r:id="rId482" tooltip="Завантажити сертифікат" display="Завантажити сертифікат"/>
    <hyperlink ref="F484" r:id="rId483" tooltip="Завантажити сертифікат" display="Завантажити сертифікат"/>
    <hyperlink ref="F485" r:id="rId484" tooltip="Завантажити сертифікат" display="Завантажити сертифікат"/>
    <hyperlink ref="F486" r:id="rId485" tooltip="Завантажити сертифікат" display="Завантажити сертифікат"/>
    <hyperlink ref="F487" r:id="rId486" tooltip="Завантажити сертифікат" display="Завантажити сертифікат"/>
    <hyperlink ref="F488" r:id="rId487" tooltip="Завантажити сертифікат" display="Завантажити сертифікат"/>
    <hyperlink ref="F489" r:id="rId488" tooltip="Завантажити сертифікат" display="Завантажити сертифікат"/>
    <hyperlink ref="F490" r:id="rId489" tooltip="Завантажити сертифікат" display="Завантажити сертифікат"/>
    <hyperlink ref="F491" r:id="rId490" tooltip="Завантажити сертифікат" display="Завантажити сертифікат"/>
    <hyperlink ref="F492" r:id="rId491" tooltip="Завантажити сертифікат" display="Завантажити сертифікат"/>
    <hyperlink ref="F493" r:id="rId492" tooltip="Завантажити сертифікат" display="Завантажити сертифікат"/>
    <hyperlink ref="F494" r:id="rId493" tooltip="Завантажити сертифікат" display="Завантажити сертифікат"/>
    <hyperlink ref="F495" r:id="rId494" tooltip="Завантажити сертифікат" display="Завантажити сертифікат"/>
    <hyperlink ref="F496" r:id="rId495" tooltip="Завантажити сертифікат" display="Завантажити сертифікат"/>
    <hyperlink ref="F497" r:id="rId496" tooltip="Завантажити сертифікат" display="Завантажити сертифікат"/>
    <hyperlink ref="F498" r:id="rId497" tooltip="Завантажити сертифікат" display="Завантажити сертифікат"/>
    <hyperlink ref="F499" r:id="rId498" tooltip="Завантажити сертифікат" display="Завантажити сертифікат"/>
    <hyperlink ref="F500" r:id="rId499" tooltip="Завантажити сертифікат" display="Завантажити сертифікат"/>
    <hyperlink ref="F501" r:id="rId500" tooltip="Завантажити сертифікат" display="Завантажити сертифікат"/>
    <hyperlink ref="F502" r:id="rId501" tooltip="Завантажити сертифікат" display="Завантажити сертифікат"/>
    <hyperlink ref="F503" r:id="rId502" tooltip="Завантажити сертифікат" display="Завантажити сертифікат"/>
    <hyperlink ref="F504" r:id="rId503" tooltip="Завантажити сертифікат" display="Завантажити сертифікат"/>
    <hyperlink ref="F505" r:id="rId504" tooltip="Завантажити сертифікат" display="Завантажити сертифікат"/>
    <hyperlink ref="F506" r:id="rId505" tooltip="Завантажити сертифікат" display="Завантажити сертифікат"/>
    <hyperlink ref="F507" r:id="rId506" tooltip="Завантажити сертифікат" display="Завантажити сертифікат"/>
    <hyperlink ref="F508" r:id="rId507" tooltip="Завантажити сертифікат" display="Завантажити сертифікат"/>
    <hyperlink ref="F509" r:id="rId508" tooltip="Завантажити сертифікат" display="Завантажити сертифікат"/>
    <hyperlink ref="F510" r:id="rId509" tooltip="Завантажити сертифікат" display="Завантажити сертифікат"/>
    <hyperlink ref="F511" r:id="rId510" tooltip="Завантажити сертифікат" display="Завантажити сертифікат"/>
    <hyperlink ref="F512" r:id="rId511" tooltip="Завантажити сертифікат" display="Завантажити сертифікат"/>
    <hyperlink ref="F513" r:id="rId512" tooltip="Завантажити сертифікат" display="Завантажити сертифікат"/>
    <hyperlink ref="F514" r:id="rId513" tooltip="Завантажити сертифікат" display="Завантажити сертифікат"/>
    <hyperlink ref="F515" r:id="rId514" tooltip="Завантажити сертифікат" display="Завантажити сертифікат"/>
    <hyperlink ref="F516" r:id="rId515" tooltip="Завантажити сертифікат" display="Завантажити сертифікат"/>
    <hyperlink ref="F517" r:id="rId516" tooltip="Завантажити сертифікат" display="Завантажити сертифікат"/>
    <hyperlink ref="F518" r:id="rId517" tooltip="Завантажити сертифікат" display="Завантажити сертифікат"/>
    <hyperlink ref="F519" r:id="rId518" tooltip="Завантажити сертифікат" display="Завантажити сертифікат"/>
    <hyperlink ref="F520" r:id="rId519" tooltip="Завантажити сертифікат" display="Завантажити сертифікат"/>
    <hyperlink ref="F521" r:id="rId520" tooltip="Завантажити сертифікат" display="Завантажити сертифікат"/>
    <hyperlink ref="F522" r:id="rId521" tooltip="Завантажити сертифікат" display="Завантажити сертифікат"/>
    <hyperlink ref="F523" r:id="rId522" tooltip="Завантажити сертифікат" display="Завантажити сертифікат"/>
    <hyperlink ref="F524" r:id="rId523" tooltip="Завантажити сертифікат" display="Завантажити сертифікат"/>
    <hyperlink ref="F525" r:id="rId524" tooltip="Завантажити сертифікат" display="Завантажити сертифікат"/>
    <hyperlink ref="F526" r:id="rId525" tooltip="Завантажити сертифікат" display="Завантажити сертифікат"/>
    <hyperlink ref="F527" r:id="rId526" tooltip="Завантажити сертифікат" display="Завантажити сертифікат"/>
    <hyperlink ref="F528" r:id="rId527" tooltip="Завантажити сертифікат" display="Завантажити сертифікат"/>
    <hyperlink ref="F529" r:id="rId528" tooltip="Завантажити сертифікат" display="Завантажити сертифікат"/>
    <hyperlink ref="F530" r:id="rId529" tooltip="Завантажити сертифікат" display="Завантажити сертифікат"/>
    <hyperlink ref="F531" r:id="rId530" tooltip="Завантажити сертифікат" display="Завантажити сертифікат"/>
    <hyperlink ref="F532" r:id="rId531" tooltip="Завантажити сертифікат" display="Завантажити сертифікат"/>
    <hyperlink ref="F533" r:id="rId532" tooltip="Завантажити сертифікат" display="Завантажити сертифікат"/>
    <hyperlink ref="F534" r:id="rId533" tooltip="Завантажити сертифікат" display="Завантажити сертифікат"/>
    <hyperlink ref="F535" r:id="rId534" tooltip="Завантажити сертифікат" display="Завантажити сертифікат"/>
    <hyperlink ref="F536" r:id="rId535" tooltip="Завантажити сертифікат" display="Завантажити сертифікат"/>
    <hyperlink ref="F537" r:id="rId536" tooltip="Завантажити сертифікат" display="Завантажити сертифікат"/>
    <hyperlink ref="F538" r:id="rId537" tooltip="Завантажити сертифікат" display="Завантажити сертифікат"/>
    <hyperlink ref="F539" r:id="rId538" tooltip="Завантажити сертифікат" display="Завантажити сертифікат"/>
    <hyperlink ref="F540" r:id="rId539" tooltip="Завантажити сертифікат" display="Завантажити сертифікат"/>
    <hyperlink ref="F541" r:id="rId540" tooltip="Завантажити сертифікат" display="Завантажити сертифікат"/>
    <hyperlink ref="F542" r:id="rId541" tooltip="Завантажити сертифікат" display="Завантажити сертифікат"/>
    <hyperlink ref="F543" r:id="rId542" tooltip="Завантажити сертифікат" display="Завантажити сертифікат"/>
    <hyperlink ref="F544" r:id="rId543" tooltip="Завантажити сертифікат" display="Завантажити сертифікат"/>
    <hyperlink ref="F545" r:id="rId544" tooltip="Завантажити сертифікат" display="Завантажити сертифікат"/>
    <hyperlink ref="F546" r:id="rId545" tooltip="Завантажити сертифікат" display="Завантажити сертифікат"/>
    <hyperlink ref="F547" r:id="rId546" tooltip="Завантажити сертифікат" display="Завантажити сертифікат"/>
    <hyperlink ref="F548" r:id="rId547" tooltip="Завантажити сертифікат" display="Завантажити сертифікат"/>
    <hyperlink ref="F549" r:id="rId548" tooltip="Завантажити сертифікат" display="Завантажити сертифікат"/>
    <hyperlink ref="F550" r:id="rId549" tooltip="Завантажити сертифікат" display="Завантажити сертифікат"/>
    <hyperlink ref="F551" r:id="rId550" tooltip="Завантажити сертифікат" display="Завантажити сертифікат"/>
    <hyperlink ref="F552" r:id="rId551" tooltip="Завантажити сертифікат" display="Завантажити сертифікат"/>
    <hyperlink ref="F553" r:id="rId552" tooltip="Завантажити сертифікат" display="Завантажити сертифікат"/>
    <hyperlink ref="F554" r:id="rId553" tooltip="Завантажити сертифікат" display="Завантажити сертифікат"/>
    <hyperlink ref="F555" r:id="rId554" tooltip="Завантажити сертифікат" display="Завантажити сертифікат"/>
    <hyperlink ref="F556" r:id="rId555" tooltip="Завантажити сертифікат" display="Завантажити сертифікат"/>
    <hyperlink ref="F557" r:id="rId556" tooltip="Завантажити сертифікат" display="Завантажити сертифікат"/>
    <hyperlink ref="F558" r:id="rId557" tooltip="Завантажити сертифікат" display="Завантажити сертифікат"/>
    <hyperlink ref="F559" r:id="rId558" tooltip="Завантажити сертифікат" display="Завантажити сертифікат"/>
    <hyperlink ref="F560" r:id="rId559" tooltip="Завантажити сертифікат" display="Завантажити сертифікат"/>
    <hyperlink ref="F561" r:id="rId560" tooltip="Завантажити сертифікат" display="Завантажити сертифікат"/>
    <hyperlink ref="F562" r:id="rId561" tooltip="Завантажити сертифікат" display="Завантажити сертифікат"/>
    <hyperlink ref="F563" r:id="rId562" tooltip="Завантажити сертифікат" display="Завантажити сертифікат"/>
    <hyperlink ref="F564" r:id="rId563" tooltip="Завантажити сертифікат" display="Завантажити сертифікат"/>
    <hyperlink ref="F565" r:id="rId564" tooltip="Завантажити сертифікат" display="Завантажити сертифікат"/>
    <hyperlink ref="F566" r:id="rId565" tooltip="Завантажити сертифікат" display="Завантажити сертифікат"/>
    <hyperlink ref="F578" r:id="rId566" tooltip="Завантажити сертифікат" display="Завантажити сертифікат"/>
    <hyperlink ref="F579" r:id="rId567" tooltip="Завантажити сертифікат" display="Завантажити сертифікат"/>
    <hyperlink ref="F580" r:id="rId568" tooltip="Завантажити сертифікат" display="Завантажити сертифікат"/>
    <hyperlink ref="F581" r:id="rId569" tooltip="Завантажити сертифікат" display="Завантажити сертифікат"/>
    <hyperlink ref="F582" r:id="rId570" tooltip="Завантажити сертифікат" display="Завантажити сертифікат"/>
    <hyperlink ref="F583" r:id="rId571" tooltip="Завантажити сертифікат" display="Завантажити сертифікат"/>
    <hyperlink ref="F584" r:id="rId572" tooltip="Завантажити сертифікат" display="Завантажити сертифікат"/>
    <hyperlink ref="F585" r:id="rId573" tooltip="Завантажити сертифікат" display="Завантажити сертифікат"/>
    <hyperlink ref="F586" r:id="rId574" tooltip="Завантажити сертифікат" display="Завантажити сертифікат"/>
    <hyperlink ref="F587" r:id="rId575" tooltip="Завантажити сертифікат" display="Завантажити сертифікат"/>
    <hyperlink ref="F588" r:id="rId576" tooltip="Завантажити сертифікат" display="Завантажити сертифікат"/>
    <hyperlink ref="F589" r:id="rId577" tooltip="Завантажити сертифікат" display="Завантажити сертифікат"/>
    <hyperlink ref="F590" r:id="rId578" tooltip="Завантажити сертифікат" display="Завантажити сертифікат"/>
    <hyperlink ref="F591" r:id="rId579" tooltip="Завантажити сертифікат" display="Завантажити сертифікат"/>
    <hyperlink ref="F592" r:id="rId580" tooltip="Завантажити сертифікат" display="Завантажити сертифікат"/>
    <hyperlink ref="F593" r:id="rId581" tooltip="Завантажити сертифікат" display="Завантажити сертифікат"/>
    <hyperlink ref="F594" r:id="rId582" tooltip="Завантажити сертифікат" display="Завантажити сертифікат"/>
    <hyperlink ref="F595" r:id="rId583" tooltip="Завантажити сертифікат" display="Завантажити сертифікат"/>
    <hyperlink ref="F596" r:id="rId584" tooltip="Завантажити сертифікат" display="Завантажити сертифікат"/>
    <hyperlink ref="F597" r:id="rId585" tooltip="Завантажити сертифікат" display="Завантажити сертифікат"/>
    <hyperlink ref="F598" r:id="rId586" tooltip="Завантажити сертифікат" display="Завантажити сертифікат"/>
    <hyperlink ref="F599" r:id="rId587" tooltip="Завантажити сертифікат" display="Завантажити сертифікат"/>
    <hyperlink ref="F600" r:id="rId588" tooltip="Завантажити сертифікат" display="Завантажити сертифікат"/>
    <hyperlink ref="F601" r:id="rId589" tooltip="Завантажити сертифікат" display="Завантажити сертифікат"/>
    <hyperlink ref="F602" r:id="rId590" tooltip="Завантажити сертифікат" display="Завантажити сертифікат"/>
    <hyperlink ref="F603" r:id="rId591" tooltip="Завантажити сертифікат" display="Завантажити сертифікат"/>
    <hyperlink ref="F604" r:id="rId592" tooltip="Завантажити сертифікат" display="Завантажити сертифікат"/>
    <hyperlink ref="F605" r:id="rId593" tooltip="Завантажити сертифікат" display="Завантажити сертифікат"/>
    <hyperlink ref="F606" r:id="rId594" tooltip="Завантажити сертифікат" display="Завантажити сертифікат"/>
    <hyperlink ref="F607" r:id="rId595" tooltip="Завантажити сертифікат" display="Завантажити сертифікат"/>
    <hyperlink ref="F608" r:id="rId596" tooltip="Завантажити сертифікат" display="Завантажити сертифікат"/>
    <hyperlink ref="F609" r:id="rId597" tooltip="Завантажити сертифікат" display="Завантажити сертифікат"/>
    <hyperlink ref="F610" r:id="rId598" tooltip="Завантажити сертифікат" display="Завантажити сертифікат"/>
    <hyperlink ref="F611" r:id="rId599" tooltip="Завантажити сертифікат" display="Завантажити сертифікат"/>
    <hyperlink ref="F612" r:id="rId600" tooltip="Завантажити сертифікат" display="Завантажити сертифікат"/>
    <hyperlink ref="F613" r:id="rId601" tooltip="Завантажити сертифікат" display="Завантажити сертифікат"/>
    <hyperlink ref="F614" r:id="rId602" tooltip="Завантажити сертифікат" display="Завантажити сертифікат"/>
    <hyperlink ref="F615" r:id="rId603" tooltip="Завантажити сертифікат" display="Завантажити сертифікат"/>
    <hyperlink ref="F616" r:id="rId604" tooltip="Завантажити сертифікат" display="Завантажити сертифікат"/>
    <hyperlink ref="F617" r:id="rId605" tooltip="Завантажити сертифікат" display="Завантажити сертифікат"/>
    <hyperlink ref="F618" r:id="rId606" tooltip="Завантажити сертифікат" display="Завантажити сертифікат"/>
    <hyperlink ref="F619" r:id="rId607" tooltip="Завантажити сертифікат" display="Завантажити сертифікат"/>
    <hyperlink ref="F620" r:id="rId608" tooltip="Завантажити сертифікат" display="Завантажити сертифікат"/>
    <hyperlink ref="F621" r:id="rId609" tooltip="Завантажити сертифікат" display="Завантажити сертифікат"/>
    <hyperlink ref="F622" r:id="rId610" tooltip="Завантажити сертифікат" display="Завантажити сертифікат"/>
    <hyperlink ref="F623" r:id="rId611" tooltip="Завантажити сертифікат" display="Завантажити сертифікат"/>
    <hyperlink ref="F624" r:id="rId612" tooltip="Завантажити сертифікат" display="Завантажити сертифікат"/>
    <hyperlink ref="F625" r:id="rId613" tooltip="Завантажити сертифікат" display="Завантажити сертифікат"/>
    <hyperlink ref="F626" r:id="rId614" tooltip="Завантажити сертифікат" display="Завантажити сертифікат"/>
    <hyperlink ref="F627" r:id="rId615" tooltip="Завантажити сертифікат" display="Завантажити сертифікат"/>
    <hyperlink ref="F628" r:id="rId616" tooltip="Завантажити сертифікат" display="Завантажити сертифікат"/>
    <hyperlink ref="F629" r:id="rId617" tooltip="Завантажити сертифікат" display="Завантажити сертифікат"/>
    <hyperlink ref="F630" r:id="rId618" tooltip="Завантажити сертифікат" display="Завантажити сертифікат"/>
    <hyperlink ref="F631" r:id="rId619" tooltip="Завантажити сертифікат" display="Завантажити сертифікат"/>
    <hyperlink ref="F632" r:id="rId620" tooltip="Завантажити сертифікат" display="Завантажити сертифікат"/>
    <hyperlink ref="F633" r:id="rId621" tooltip="Завантажити сертифікат" display="Завантажити сертифікат"/>
    <hyperlink ref="F634" r:id="rId622" tooltip="Завантажити сертифікат" display="Завантажити сертифікат"/>
    <hyperlink ref="F635" r:id="rId623" tooltip="Завантажити сертифікат" display="Завантажити сертифікат"/>
    <hyperlink ref="F636" r:id="rId624" tooltip="Завантажити сертифікат" display="Завантажити сертифікат"/>
    <hyperlink ref="F637" r:id="rId625" tooltip="Завантажити сертифікат" display="Завантажити сертифікат"/>
    <hyperlink ref="F638" r:id="rId626" tooltip="Завантажити сертифікат" display="Завантажити сертифікат"/>
    <hyperlink ref="F639" r:id="rId627" tooltip="Завантажити сертифікат" display="Завантажити сертифікат"/>
    <hyperlink ref="F640" r:id="rId628" tooltip="Завантажити сертифікат" display="Завантажити сертифікат"/>
    <hyperlink ref="F641" r:id="rId629" tooltip="Завантажити сертифікат" display="Завантажити сертифікат"/>
    <hyperlink ref="F642" r:id="rId630" tooltip="Завантажити сертифікат" display="Завантажити сертифікат"/>
    <hyperlink ref="F643" r:id="rId631" tooltip="Завантажити сертифікат" display="Завантажити сертифікат"/>
    <hyperlink ref="F644" r:id="rId632" tooltip="Завантажити сертифікат" display="Завантажити сертифікат"/>
    <hyperlink ref="F645" r:id="rId633" tooltip="Завантажити сертифікат" display="Завантажити сертифікат"/>
    <hyperlink ref="F646" r:id="rId634" tooltip="Завантажити сертифікат" display="Завантажити сертифікат"/>
    <hyperlink ref="F647" r:id="rId635" tooltip="Завантажити сертифікат" display="Завантажити сертифікат"/>
    <hyperlink ref="F648" r:id="rId636" tooltip="Завантажити сертифікат" display="Завантажити сертифікат"/>
    <hyperlink ref="F649" r:id="rId637" tooltip="Завантажити сертифікат" display="Завантажити сертифікат"/>
    <hyperlink ref="F650" r:id="rId638" tooltip="Завантажити сертифікат" display="Завантажити сертифікат"/>
    <hyperlink ref="F651" r:id="rId639" tooltip="Завантажити сертифікат" display="Завантажити сертифікат"/>
    <hyperlink ref="F652" r:id="rId640" tooltip="Завантажити сертифікат" display="Завантажити сертифікат"/>
    <hyperlink ref="F653" r:id="rId641" tooltip="Завантажити сертифікат" display="Завантажити сертифікат"/>
    <hyperlink ref="F654" r:id="rId642" tooltip="Завантажити сертифікат" display="Завантажити сертифікат"/>
    <hyperlink ref="F655" r:id="rId643" tooltip="Завантажити сертифікат" display="Завантажити сертифікат"/>
    <hyperlink ref="F656" r:id="rId644" tooltip="Завантажити сертифікат" display="Завантажити сертифікат"/>
    <hyperlink ref="F657" r:id="rId645" tooltip="Завантажити сертифікат" display="Завантажити сертифікат"/>
    <hyperlink ref="F658" r:id="rId646" tooltip="Завантажити сертифікат" display="Завантажити сертифікат"/>
    <hyperlink ref="F659" r:id="rId647" tooltip="Завантажити сертифікат" display="Завантажити сертифікат"/>
    <hyperlink ref="F660" r:id="rId648" tooltip="Завантажити сертифікат" display="Завантажити сертифікат"/>
    <hyperlink ref="F661" r:id="rId649" tooltip="Завантажити сертифікат" display="Завантажити сертифікат"/>
    <hyperlink ref="F662" r:id="rId650" tooltip="Завантажити сертифікат" display="Завантажити сертифікат"/>
    <hyperlink ref="F663" r:id="rId651" tooltip="Завантажити сертифікат" display="Завантажити сертифікат"/>
    <hyperlink ref="F664" r:id="rId652" tooltip="Завантажити сертифікат" display="Завантажити сертифікат"/>
    <hyperlink ref="F665" r:id="rId653" tooltip="Завантажити сертифікат" display="Завантажити сертифікат"/>
    <hyperlink ref="F666" r:id="rId654" tooltip="Завантажити сертифікат" display="Завантажити сертифікат"/>
    <hyperlink ref="F667" r:id="rId655" tooltip="Завантажити сертифікат" display="Завантажити сертифікат"/>
    <hyperlink ref="F668" r:id="rId656" tooltip="Завантажити сертифікат" display="Завантажити сертифікат"/>
    <hyperlink ref="F669" r:id="rId657" tooltip="Завантажити сертифікат" display="Завантажити сертифікат"/>
    <hyperlink ref="F670" r:id="rId658" tooltip="Завантажити сертифікат" display="Завантажити сертифікат"/>
    <hyperlink ref="F671" r:id="rId659" tooltip="Завантажити сертифікат" display="Завантажити сертифікат"/>
    <hyperlink ref="F672" r:id="rId660" tooltip="Завантажити сертифікат" display="Завантажити сертифікат"/>
    <hyperlink ref="F673" r:id="rId661" tooltip="Завантажити сертифікат" display="Завантажити сертифікат"/>
    <hyperlink ref="F674" r:id="rId662" tooltip="Завантажити сертифікат" display="Завантажити сертифікат"/>
    <hyperlink ref="F675" r:id="rId663" tooltip="Завантажити сертифікат" display="Завантажити сертифікат"/>
    <hyperlink ref="F676" r:id="rId664" tooltip="Завантажити сертифікат" display="Завантажити сертифікат"/>
    <hyperlink ref="F677" r:id="rId665" tooltip="Завантажити сертифікат" display="Завантажити сертифікат"/>
    <hyperlink ref="F678" r:id="rId666" tooltip="Завантажити сертифікат" display="Завантажити сертифікат"/>
    <hyperlink ref="F679" r:id="rId667" tooltip="Завантажити сертифікат" display="Завантажити сертифікат"/>
    <hyperlink ref="F680" r:id="rId668" tooltip="Завантажити сертифікат" display="Завантажити сертифікат"/>
    <hyperlink ref="F681" r:id="rId669" tooltip="Завантажити сертифікат" display="Завантажити сертифікат"/>
    <hyperlink ref="F682" r:id="rId670" tooltip="Завантажити сертифікат" display="Завантажити сертифікат"/>
    <hyperlink ref="F683" r:id="rId671" tooltip="Завантажити сертифікат" display="Завантажити сертифікат"/>
    <hyperlink ref="F684" r:id="rId672" tooltip="Завантажити сертифікат" display="Завантажити сертифікат"/>
    <hyperlink ref="F685" r:id="rId673" tooltip="Завантажити сертифікат" display="Завантажити сертифікат"/>
    <hyperlink ref="F686" r:id="rId674" tooltip="Завантажити сертифікат" display="Завантажити сертифікат"/>
    <hyperlink ref="F687" r:id="rId675" tooltip="Завантажити сертифікат" display="Завантажити сертифікат"/>
    <hyperlink ref="F688" r:id="rId676" tooltip="Завантажити сертифікат" display="Завантажити сертифікат"/>
    <hyperlink ref="F689" r:id="rId677" tooltip="Завантажити сертифікат" display="Завантажити сертифікат"/>
    <hyperlink ref="F690" r:id="rId678" tooltip="Завантажити сертифікат" display="Завантажити сертифікат"/>
    <hyperlink ref="F691" r:id="rId679" tooltip="Завантажити сертифікат" display="Завантажити сертифікат"/>
    <hyperlink ref="F692" r:id="rId680" tooltip="Завантажити сертифікат" display="Завантажити сертифікат"/>
    <hyperlink ref="F693" r:id="rId681" tooltip="Завантажити сертифікат" display="Завантажити сертифікат"/>
    <hyperlink ref="F694" r:id="rId682" tooltip="Завантажити сертифікат" display="Завантажити сертифікат"/>
    <hyperlink ref="F695" r:id="rId683" tooltip="Завантажити сертифікат" display="Завантажити сертифікат"/>
    <hyperlink ref="F696" r:id="rId684" tooltip="Завантажити сертифікат" display="Завантажити сертифікат"/>
    <hyperlink ref="F697" r:id="rId685" tooltip="Завантажити сертифікат" display="Завантажити сертифікат"/>
    <hyperlink ref="F698" r:id="rId686" tooltip="Завантажити сертифікат" display="Завантажити сертифікат"/>
    <hyperlink ref="F699" r:id="rId687" tooltip="Завантажити сертифікат" display="Завантажити сертифікат"/>
    <hyperlink ref="F700" r:id="rId688" tooltip="Завантажити сертифікат" display="Завантажити сертифікат"/>
    <hyperlink ref="F701" r:id="rId689" tooltip="Завантажити сертифікат" display="Завантажити сертифікат"/>
    <hyperlink ref="F702" r:id="rId690" tooltip="Завантажити сертифікат" display="Завантажити сертифікат"/>
    <hyperlink ref="F703" r:id="rId691" tooltip="Завантажити сертифікат" display="Завантажити сертифікат"/>
    <hyperlink ref="F704" r:id="rId692" tooltip="Завантажити сертифікат" display="Завантажити сертифікат"/>
    <hyperlink ref="F705" r:id="rId693" tooltip="Завантажити сертифікат" display="Завантажити сертифікат"/>
    <hyperlink ref="F706" r:id="rId694" tooltip="Завантажити сертифікат" display="Завантажити сертифікат"/>
    <hyperlink ref="F707" r:id="rId695" tooltip="Завантажити сертифікат" display="Завантажити сертифікат"/>
    <hyperlink ref="F708" r:id="rId696" tooltip="Завантажити сертифікат" display="Завантажити сертифікат"/>
    <hyperlink ref="F709" r:id="rId697" tooltip="Завантажити сертифікат" display="Завантажити сертифікат"/>
    <hyperlink ref="F710" r:id="rId698" tooltip="Завантажити сертифікат" display="Завантажити сертифікат"/>
    <hyperlink ref="F711" r:id="rId699" tooltip="Завантажити сертифікат" display="Завантажити сертифікат"/>
    <hyperlink ref="F712" r:id="rId700" tooltip="Завантажити сертифікат" display="Завантажити сертифікат"/>
    <hyperlink ref="F713" r:id="rId701" tooltip="Завантажити сертифікат" display="Завантажити сертифікат"/>
    <hyperlink ref="F714" r:id="rId702" tooltip="Завантажити сертифікат" display="Завантажити сертифікат"/>
    <hyperlink ref="F715" r:id="rId703" tooltip="Завантажити сертифікат" display="Завантажити сертифікат"/>
    <hyperlink ref="F716" r:id="rId704" tooltip="Завантажити сертифікат" display="Завантажити сертифікат"/>
    <hyperlink ref="F717" r:id="rId705" tooltip="Завантажити сертифікат" display="Завантажити сертифікат"/>
    <hyperlink ref="F718" r:id="rId706" tooltip="Завантажити сертифікат" display="Завантажити сертифікат"/>
    <hyperlink ref="F719" r:id="rId707" tooltip="Завантажити сертифікат" display="Завантажити сертифікат"/>
    <hyperlink ref="F720" r:id="rId708" tooltip="Завантажити сертифікат" display="Завантажити сертифікат"/>
    <hyperlink ref="F721" r:id="rId709" tooltip="Завантажити сертифікат" display="Завантажити сертифікат"/>
    <hyperlink ref="F722" r:id="rId710" tooltip="Завантажити сертифікат" display="Завантажити сертифікат"/>
    <hyperlink ref="F723" r:id="rId711" tooltip="Завантажити сертифікат" display="Завантажити сертифікат"/>
    <hyperlink ref="F724" r:id="rId712" tooltip="Завантажити сертифікат" display="Завантажити сертифікат"/>
    <hyperlink ref="F725" r:id="rId713" tooltip="Завантажити сертифікат" display="Завантажити сертифікат"/>
    <hyperlink ref="F726" r:id="rId714" tooltip="Завантажити сертифікат" display="Завантажити сертифікат"/>
    <hyperlink ref="F727" r:id="rId715" tooltip="Завантажити сертифікат" display="Завантажити сертифікат"/>
    <hyperlink ref="F728" r:id="rId716" tooltip="Завантажити сертифікат" display="Завантажити сертифікат"/>
    <hyperlink ref="F729" r:id="rId717" tooltip="Завантажити сертифікат" display="Завантажити сертифікат"/>
    <hyperlink ref="F730" r:id="rId718" tooltip="Завантажити сертифікат" display="Завантажити сертифікат"/>
    <hyperlink ref="F731" r:id="rId719" tooltip="Завантажити сертифікат" display="Завантажити сертифікат"/>
    <hyperlink ref="F732" r:id="rId720" tooltip="Завантажити сертифікат" display="Завантажити сертифікат"/>
    <hyperlink ref="F733" r:id="rId721" tooltip="Завантажити сертифікат" display="Завантажити сертифікат"/>
    <hyperlink ref="F734" r:id="rId722" tooltip="Завантажити сертифікат" display="Завантажити сертифікат"/>
    <hyperlink ref="F735" r:id="rId723" tooltip="Завантажити сертифікат" display="Завантажити сертифікат"/>
    <hyperlink ref="F736" r:id="rId724" tooltip="Завантажити сертифікат" display="Завантажити сертифікат"/>
    <hyperlink ref="F737" r:id="rId725" tooltip="Завантажити сертифікат" display="Завантажити сертифікат"/>
    <hyperlink ref="F738" r:id="rId726" tooltip="Завантажити сертифікат" display="Завантажити сертифікат"/>
    <hyperlink ref="F739" r:id="rId727" tooltip="Завантажити сертифікат" display="Завантажити сертифікат"/>
    <hyperlink ref="F740" r:id="rId728" tooltip="Завантажити сертифікат" display="Завантажити сертифікат"/>
    <hyperlink ref="F741" r:id="rId729" tooltip="Завантажити сертифікат" display="Завантажити сертифікат"/>
    <hyperlink ref="F742" r:id="rId730" tooltip="Завантажити сертифікат" display="Завантажити сертифікат"/>
    <hyperlink ref="F743" r:id="rId731" tooltip="Завантажити сертифікат" display="Завантажити сертифікат"/>
    <hyperlink ref="F744" r:id="rId732" tooltip="Завантажити сертифікат" display="Завантажити сертифікат"/>
    <hyperlink ref="F745" r:id="rId733" tooltip="Завантажити сертифікат" display="Завантажити сертифікат"/>
    <hyperlink ref="F746" r:id="rId734" tooltip="Завантажити сертифікат" display="Завантажити сертифікат"/>
    <hyperlink ref="F747" r:id="rId735" tooltip="Завантажити сертифікат" display="Завантажити сертифікат"/>
    <hyperlink ref="F748" r:id="rId736" tooltip="Завантажити сертифікат" display="Завантажити сертифікат"/>
    <hyperlink ref="F749" r:id="rId737" tooltip="Завантажити сертифікат" display="Завантажити сертифікат"/>
    <hyperlink ref="F750" r:id="rId738" tooltip="Завантажити сертифікат" display="Завантажити сертифікат"/>
    <hyperlink ref="F751" r:id="rId739" tooltip="Завантажити сертифікат" display="Завантажити сертифікат"/>
    <hyperlink ref="F752" r:id="rId740" tooltip="Завантажити сертифікат" display="Завантажити сертифікат"/>
    <hyperlink ref="F753" r:id="rId741" tooltip="Завантажити сертифікат" display="Завантажити сертифікат"/>
    <hyperlink ref="F754" r:id="rId742" tooltip="Завантажити сертифікат" display="Завантажити сертифікат"/>
    <hyperlink ref="F755" r:id="rId743" tooltip="Завантажити сертифікат" display="Завантажити сертифікат"/>
    <hyperlink ref="F756" r:id="rId744" tooltip="Завантажити сертифікат" display="Завантажити сертифікат"/>
    <hyperlink ref="F757" r:id="rId745" tooltip="Завантажити сертифікат" display="Завантажити сертифікат"/>
    <hyperlink ref="F758" r:id="rId746" tooltip="Завантажити сертифікат" display="Завантажити сертифікат"/>
    <hyperlink ref="F759" r:id="rId747" tooltip="Завантажити сертифікат" display="Завантажити сертифікат"/>
    <hyperlink ref="F760" r:id="rId748" tooltip="Завантажити сертифікат" display="Завантажити сертифікат"/>
    <hyperlink ref="F761" r:id="rId749" tooltip="Завантажити сертифікат" display="Завантажити сертифікат"/>
    <hyperlink ref="F762" r:id="rId750" tooltip="Завантажити сертифікат" display="Завантажити сертифікат"/>
    <hyperlink ref="F763" r:id="rId751" tooltip="Завантажити сертифікат" display="Завантажити сертифікат"/>
    <hyperlink ref="F764" r:id="rId752" tooltip="Завантажити сертифікат" display="Завантажити сертифікат"/>
    <hyperlink ref="F765" r:id="rId753" tooltip="Завантажити сертифікат" display="Завантажити сертифікат"/>
    <hyperlink ref="F766" r:id="rId754" tooltip="Завантажити сертифікат" display="Завантажити сертифікат"/>
    <hyperlink ref="F767" r:id="rId755" tooltip="Завантажити сертифікат" display="Завантажити сертифікат"/>
    <hyperlink ref="F768" r:id="rId756" tooltip="Завантажити сертифікат" display="Завантажити сертифікат"/>
    <hyperlink ref="F769" r:id="rId757" tooltip="Завантажити сертифікат" display="Завантажити сертифікат"/>
    <hyperlink ref="F770" r:id="rId758" tooltip="Завантажити сертифікат" display="Завантажити сертифікат"/>
    <hyperlink ref="F771" r:id="rId759" tooltip="Завантажити сертифікат" display="Завантажити сертифікат"/>
    <hyperlink ref="F772" r:id="rId760" tooltip="Завантажити сертифікат" display="Завантажити сертифікат"/>
    <hyperlink ref="F773" r:id="rId761" tooltip="Завантажити сертифікат" display="Завантажити сертифікат"/>
    <hyperlink ref="F774" r:id="rId762" tooltip="Завантажити сертифікат" display="Завантажити сертифікат"/>
    <hyperlink ref="F775" r:id="rId763" tooltip="Завантажити сертифікат" display="Завантажити сертифікат"/>
    <hyperlink ref="F776" r:id="rId764" tooltip="Завантажити сертифікат" display="Завантажити сертифікат"/>
    <hyperlink ref="F777" r:id="rId765" tooltip="Завантажити сертифікат" display="Завантажити сертифікат"/>
    <hyperlink ref="F778" r:id="rId766" tooltip="Завантажити сертифікат" display="Завантажити сертифікат"/>
    <hyperlink ref="F779" r:id="rId767" tooltip="Завантажити сертифікат" display="Завантажити сертифікат"/>
    <hyperlink ref="F780" r:id="rId768" tooltip="Завантажити сертифікат" display="Завантажити сертифікат"/>
    <hyperlink ref="F781" r:id="rId769" tooltip="Завантажити сертифікат" display="Завантажити сертифікат"/>
    <hyperlink ref="F782" r:id="rId770" tooltip="Завантажити сертифікат" display="Завантажити сертифікат"/>
    <hyperlink ref="F783" r:id="rId771" tooltip="Завантажити сертифікат" display="Завантажити сертифікат"/>
    <hyperlink ref="F784" r:id="rId772" tooltip="Завантажити сертифікат" display="Завантажити сертифікат"/>
    <hyperlink ref="F785" r:id="rId773" tooltip="Завантажити сертифікат" display="Завантажити сертифікат"/>
    <hyperlink ref="F786" r:id="rId774" tooltip="Завантажити сертифікат" display="Завантажити сертифікат"/>
    <hyperlink ref="F787" r:id="rId775" tooltip="Завантажити сертифікат" display="Завантажити сертифікат"/>
    <hyperlink ref="F788" r:id="rId776" tooltip="Завантажити сертифікат" display="Завантажити сертифікат"/>
    <hyperlink ref="F789" r:id="rId777" tooltip="Завантажити сертифікат" display="Завантажити сертифікат"/>
    <hyperlink ref="F790" r:id="rId778" tooltip="Завантажити сертифікат" display="Завантажити сертифікат"/>
    <hyperlink ref="F791" r:id="rId779" tooltip="Завантажити сертифікат" display="Завантажити сертифікат"/>
    <hyperlink ref="F792" r:id="rId780" tooltip="Завантажити сертифікат" display="Завантажити сертифікат"/>
    <hyperlink ref="F793" r:id="rId781" tooltip="Завантажити сертифікат" display="Завантажити сертифікат"/>
    <hyperlink ref="F794" r:id="rId782" tooltip="Завантажити сертифікат" display="Завантажити сертифікат"/>
    <hyperlink ref="F795" r:id="rId783" tooltip="Завантажити сертифікат" display="Завантажити сертифікат"/>
    <hyperlink ref="F796" r:id="rId784" tooltip="Завантажити сертифікат" display="Завантажити сертифікат"/>
    <hyperlink ref="F797" r:id="rId785" tooltip="Завантажити сертифікат" display="Завантажити сертифікат"/>
    <hyperlink ref="F798" r:id="rId786" tooltip="Завантажити сертифікат" display="Завантажити сертифікат"/>
    <hyperlink ref="F799" r:id="rId787" tooltip="Завантажити сертифікат" display="Завантажити сертифікат"/>
    <hyperlink ref="F800" r:id="rId788" tooltip="Завантажити сертифікат" display="Завантажити сертифікат"/>
    <hyperlink ref="F801" r:id="rId789" tooltip="Завантажити сертифікат" display="Завантажити сертифікат"/>
    <hyperlink ref="F802" r:id="rId790" tooltip="Завантажити сертифікат" display="Завантажити сертифікат"/>
    <hyperlink ref="F803" r:id="rId791" tooltip="Завантажити сертифікат" display="Завантажити сертифікат"/>
    <hyperlink ref="F804" r:id="rId792" tooltip="Завантажити сертифікат" display="Завантажити сертифікат"/>
    <hyperlink ref="F805" r:id="rId793" tooltip="Завантажити сертифікат" display="Завантажити сертифікат"/>
    <hyperlink ref="F806" r:id="rId794" tooltip="Завантажити сертифікат" display="Завантажити сертифікат"/>
    <hyperlink ref="F807" r:id="rId795" tooltip="Завантажити сертифікат" display="Завантажити сертифікат"/>
    <hyperlink ref="F808" r:id="rId796" tooltip="Завантажити сертифікат" display="Завантажити сертифікат"/>
    <hyperlink ref="F809" r:id="rId797" tooltip="Завантажити сертифікат" display="Завантажити сертифікат"/>
    <hyperlink ref="F810" r:id="rId798" tooltip="Завантажити сертифікат" display="Завантажити сертифікат"/>
    <hyperlink ref="F811" r:id="rId799" tooltip="Завантажити сертифікат" display="Завантажити сертифікат"/>
    <hyperlink ref="F812" r:id="rId800" tooltip="Завантажити сертифікат" display="Завантажити сертифікат"/>
    <hyperlink ref="F813" r:id="rId801" tooltip="Завантажити сертифікат" display="Завантажити сертифікат"/>
    <hyperlink ref="F814" r:id="rId802" tooltip="Завантажити сертифікат" display="Завантажити сертифікат"/>
    <hyperlink ref="F815" r:id="rId803" tooltip="Завантажити сертифікат" display="Завантажити сертифікат"/>
    <hyperlink ref="F816" r:id="rId804" tooltip="Завантажити сертифікат" display="Завантажити сертифікат"/>
    <hyperlink ref="F817" r:id="rId805" tooltip="Завантажити сертифікат" display="Завантажити сертифікат"/>
    <hyperlink ref="F818" r:id="rId806" tooltip="Завантажити сертифікат" display="Завантажити сертифікат"/>
    <hyperlink ref="F819" r:id="rId807" tooltip="Завантажити сертифікат" display="Завантажити сертифікат"/>
    <hyperlink ref="F820" r:id="rId808" tooltip="Завантажити сертифікат" display="Завантажити сертифікат"/>
    <hyperlink ref="F821" r:id="rId809" tooltip="Завантажити сертифікат" display="Завантажити сертифікат"/>
    <hyperlink ref="F822" r:id="rId810" tooltip="Завантажити сертифікат" display="Завантажити сертифікат"/>
    <hyperlink ref="F823" r:id="rId811" tooltip="Завантажити сертифікат" display="Завантажити сертифікат"/>
    <hyperlink ref="F824" r:id="rId812" tooltip="Завантажити сертифікат" display="Завантажити сертифікат"/>
    <hyperlink ref="F825" r:id="rId813" tooltip="Завантажити сертифікат" display="Завантажити сертифікат"/>
    <hyperlink ref="F826" r:id="rId814" tooltip="Завантажити сертифікат" display="Завантажити сертифікат"/>
    <hyperlink ref="F827" r:id="rId815" tooltip="Завантажити сертифікат" display="Завантажити сертифікат"/>
    <hyperlink ref="F828" r:id="rId816" tooltip="Завантажити сертифікат" display="Завантажити сертифікат"/>
    <hyperlink ref="F829" r:id="rId817" tooltip="Завантажити сертифікат" display="Завантажити сертифікат"/>
    <hyperlink ref="F830" r:id="rId818" tooltip="Завантажити сертифікат" display="Завантажити сертифікат"/>
    <hyperlink ref="F831" r:id="rId819" tooltip="Завантажити сертифікат" display="Завантажити сертифікат"/>
    <hyperlink ref="F832" r:id="rId820" tooltip="Завантажити сертифікат" display="Завантажити сертифікат"/>
    <hyperlink ref="F833" r:id="rId821" tooltip="Завантажити сертифікат" display="Завантажити сертифікат"/>
    <hyperlink ref="F834" r:id="rId822" tooltip="Завантажити сертифікат" display="Завантажити сертифікат"/>
    <hyperlink ref="F835" r:id="rId823" tooltip="Завантажити сертифікат" display="Завантажити сертифікат"/>
    <hyperlink ref="F836" r:id="rId824" tooltip="Завантажити сертифікат" display="Завантажити сертифікат"/>
    <hyperlink ref="F837" r:id="rId825" tooltip="Завантажити сертифікат" display="Завантажити сертифікат"/>
    <hyperlink ref="F838" r:id="rId826" tooltip="Завантажити сертифікат" display="Завантажити сертифікат"/>
    <hyperlink ref="F839" r:id="rId827" tooltip="Завантажити сертифікат" display="Завантажити сертифікат"/>
    <hyperlink ref="F840" r:id="rId828" tooltip="Завантажити сертифікат" display="Завантажити сертифікат"/>
    <hyperlink ref="F841" r:id="rId829" tooltip="Завантажити сертифікат" display="Завантажити сертифікат"/>
    <hyperlink ref="F842" r:id="rId830" tooltip="Завантажити сертифікат" display="Завантажити сертифікат"/>
    <hyperlink ref="F843" r:id="rId831" tooltip="Завантажити сертифікат" display="Завантажити сертифікат"/>
    <hyperlink ref="F844" r:id="rId832" tooltip="Завантажити сертифікат" display="Завантажити сертифікат"/>
    <hyperlink ref="F845" r:id="rId833" tooltip="Завантажити сертифікат" display="Завантажити сертифікат"/>
    <hyperlink ref="F846" r:id="rId834" tooltip="Завантажити сертифікат" display="Завантажити сертифікат"/>
    <hyperlink ref="F847" r:id="rId835" tooltip="Завантажити сертифікат" display="Завантажити сертифікат"/>
    <hyperlink ref="F848" r:id="rId836" tooltip="Завантажити сертифікат" display="Завантажити сертифікат"/>
    <hyperlink ref="F849" r:id="rId837" tooltip="Завантажити сертифікат" display="Завантажити сертифікат"/>
    <hyperlink ref="F850" r:id="rId838" tooltip="Завантажити сертифікат" display="Завантажити сертифікат"/>
    <hyperlink ref="F851" r:id="rId839" tooltip="Завантажити сертифікат" display="Завантажити сертифікат"/>
    <hyperlink ref="F852" r:id="rId840" tooltip="Завантажити сертифікат" display="Завантажити сертифікат"/>
    <hyperlink ref="F853" r:id="rId841" tooltip="Завантажити сертифікат" display="Завантажити сертифікат"/>
    <hyperlink ref="F854" r:id="rId842" tooltip="Завантажити сертифікат" display="Завантажити сертифікат"/>
    <hyperlink ref="F855" r:id="rId843" tooltip="Завантажити сертифікат" display="Завантажити сертифікат"/>
    <hyperlink ref="F856" r:id="rId844" tooltip="Завантажити сертифікат" display="Завантажити сертифікат"/>
    <hyperlink ref="F857" r:id="rId845" tooltip="Завантажити сертифікат" display="Завантажити сертифікат"/>
    <hyperlink ref="F858" r:id="rId846" tooltip="Завантажити сертифікат" display="Завантажити сертифікат"/>
    <hyperlink ref="F859" r:id="rId847" tooltip="Завантажити сертифікат" display="Завантажити сертифікат"/>
    <hyperlink ref="F860" r:id="rId848" tooltip="Завантажити сертифікат" display="Завантажити сертифікат"/>
    <hyperlink ref="F861" r:id="rId849" tooltip="Завантажити сертифікат" display="Завантажити сертифікат"/>
    <hyperlink ref="F862" r:id="rId850" tooltip="Завантажити сертифікат" display="Завантажити сертифікат"/>
    <hyperlink ref="F863" r:id="rId851" tooltip="Завантажити сертифікат" display="Завантажити сертифікат"/>
    <hyperlink ref="F864" r:id="rId852" tooltip="Завантажити сертифікат" display="Завантажити сертифікат"/>
    <hyperlink ref="F865" r:id="rId853" tooltip="Завантажити сертифікат" display="Завантажити сертифікат"/>
    <hyperlink ref="F866" r:id="rId854" tooltip="Завантажити сертифікат" display="Завантажити сертифікат"/>
    <hyperlink ref="F867" r:id="rId855" tooltip="Завантажити сертифікат" display="Завантажити сертифікат"/>
    <hyperlink ref="F868" r:id="rId856" tooltip="Завантажити сертифікат" display="Завантажити сертифікат"/>
    <hyperlink ref="F869" r:id="rId857" tooltip="Завантажити сертифікат" display="Завантажити сертифікат"/>
    <hyperlink ref="F870" r:id="rId858" tooltip="Завантажити сертифікат" display="Завантажити сертифікат"/>
    <hyperlink ref="F871" r:id="rId859" tooltip="Завантажити сертифікат" display="Завантажити сертифікат"/>
    <hyperlink ref="F872" r:id="rId860" tooltip="Завантажити сертифікат" display="Завантажити сертифікат"/>
    <hyperlink ref="F873" r:id="rId861" tooltip="Завантажити сертифікат" display="Завантажити сертифікат"/>
    <hyperlink ref="F874" r:id="rId862" tooltip="Завантажити сертифікат" display="Завантажити сертифікат"/>
    <hyperlink ref="F875" r:id="rId863" tooltip="Завантажити сертифікат" display="Завантажити сертифікат"/>
    <hyperlink ref="F876" r:id="rId864" tooltip="Завантажити сертифікат" display="Завантажити сертифікат"/>
    <hyperlink ref="F877" r:id="rId865" tooltip="Завантажити сертифікат" display="Завантажити сертифікат"/>
    <hyperlink ref="F878" r:id="rId866" tooltip="Завантажити сертифікат" display="Завантажити сертифікат"/>
    <hyperlink ref="F879" r:id="rId867" tooltip="Завантажити сертифікат" display="Завантажити сертифікат"/>
    <hyperlink ref="F880" r:id="rId868" tooltip="Завантажити сертифікат" display="Завантажити сертифікат"/>
    <hyperlink ref="F881" r:id="rId869" tooltip="Завантажити сертифікат" display="Завантажити сертифікат"/>
    <hyperlink ref="F882" r:id="rId870" tooltip="Завантажити сертифікат" display="Завантажити сертифікат"/>
    <hyperlink ref="F883" r:id="rId871" tooltip="Завантажити сертифікат" display="Завантажити сертифікат"/>
    <hyperlink ref="F884" r:id="rId872" tooltip="Завантажити сертифікат" display="Завантажити сертифікат"/>
    <hyperlink ref="F885" r:id="rId873" tooltip="Завантажити сертифікат" display="Завантажити сертифікат"/>
    <hyperlink ref="F886" r:id="rId874" tooltip="Завантажити сертифікат" display="Завантажити сертифікат"/>
    <hyperlink ref="F887" r:id="rId875" tooltip="Завантажити сертифікат" display="Завантажити сертифікат"/>
    <hyperlink ref="F888" r:id="rId876" tooltip="Завантажити сертифікат" display="Завантажити сертифікат"/>
    <hyperlink ref="F889" r:id="rId877" tooltip="Завантажити сертифікат" display="Завантажити сертифікат"/>
    <hyperlink ref="F890" r:id="rId878" tooltip="Завантажити сертифікат" display="Завантажити сертифікат"/>
    <hyperlink ref="F891" r:id="rId879" tooltip="Завантажити сертифікат" display="Завантажити сертифікат"/>
    <hyperlink ref="F892" r:id="rId880" tooltip="Завантажити сертифікат" display="Завантажити сертифікат"/>
    <hyperlink ref="F893" r:id="rId881" tooltip="Завантажити сертифікат" display="Завантажити сертифікат"/>
    <hyperlink ref="F894" r:id="rId882" tooltip="Завантажити сертифікат" display="Завантажити сертифікат"/>
    <hyperlink ref="F895" r:id="rId883" tooltip="Завантажити сертифікат" display="Завантажити сертифікат"/>
    <hyperlink ref="F896" r:id="rId884" tooltip="Завантажити сертифікат" display="Завантажити сертифікат"/>
    <hyperlink ref="F897" r:id="rId885" tooltip="Завантажити сертифікат" display="Завантажити сертифікат"/>
    <hyperlink ref="F898" r:id="rId886" tooltip="Завантажити сертифікат" display="Завантажити сертифікат"/>
    <hyperlink ref="F899" r:id="rId887" tooltip="Завантажити сертифікат" display="Завантажити сертифікат"/>
    <hyperlink ref="F900" r:id="rId888" tooltip="Завантажити сертифікат" display="Завантажити сертифікат"/>
    <hyperlink ref="F901" r:id="rId889" tooltip="Завантажити сертифікат" display="Завантажити сертифікат"/>
    <hyperlink ref="F902" r:id="rId890" tooltip="Завантажити сертифікат" display="Завантажити сертифікат"/>
    <hyperlink ref="F903" r:id="rId891" tooltip="Завантажити сертифікат" display="Завантажити сертифікат"/>
    <hyperlink ref="F904" r:id="rId892" tooltip="Завантажити сертифікат" display="Завантажити сертифікат"/>
    <hyperlink ref="F905" r:id="rId893" tooltip="Завантажити сертифікат" display="Завантажити сертифікат"/>
    <hyperlink ref="F906" r:id="rId894" tooltip="Завантажити сертифікат" display="Завантажити сертифікат"/>
    <hyperlink ref="F907" r:id="rId895" tooltip="Завантажити сертифікат" display="Завантажити сертифікат"/>
    <hyperlink ref="F908" r:id="rId896" tooltip="Завантажити сертифікат" display="Завантажити сертифікат"/>
    <hyperlink ref="F909" r:id="rId897" tooltip="Завантажити сертифікат" display="Завантажити сертифікат"/>
    <hyperlink ref="F910" r:id="rId898" tooltip="Завантажити сертифікат" display="Завантажити сертифікат"/>
    <hyperlink ref="F911" r:id="rId899" tooltip="Завантажити сертифікат" display="Завантажити сертифікат"/>
    <hyperlink ref="F912" r:id="rId900" tooltip="Завантажити сертифікат" display="Завантажити сертифікат"/>
    <hyperlink ref="F913" r:id="rId901" tooltip="Завантажити сертифікат" display="Завантажити сертифікат"/>
    <hyperlink ref="F914" r:id="rId902" tooltip="Завантажити сертифікат" display="Завантажити сертифікат"/>
    <hyperlink ref="F915" r:id="rId903" tooltip="Завантажити сертифікат" display="Завантажити сертифікат"/>
    <hyperlink ref="F916" r:id="rId904" tooltip="Завантажити сертифікат" display="Завантажити сертифікат"/>
    <hyperlink ref="F917" r:id="rId905" tooltip="Завантажити сертифікат" display="Завантажити сертифікат"/>
    <hyperlink ref="F918" r:id="rId906" tooltip="Завантажити сертифікат" display="Завантажити сертифікат"/>
    <hyperlink ref="F919" r:id="rId907" tooltip="Завантажити сертифікат" display="Завантажити сертифікат"/>
    <hyperlink ref="F920" r:id="rId908" tooltip="Завантажити сертифікат" display="Завантажити сертифікат"/>
    <hyperlink ref="F921" r:id="rId909" tooltip="Завантажити сертифікат" display="Завантажити сертифікат"/>
    <hyperlink ref="F922" r:id="rId910" tooltip="Завантажити сертифікат" display="Завантажити сертифікат"/>
    <hyperlink ref="F923" r:id="rId911" tooltip="Завантажити сертифікат" display="Завантажити сертифікат"/>
    <hyperlink ref="F924" r:id="rId912" tooltip="Завантажити сертифікат" display="Завантажити сертифікат"/>
    <hyperlink ref="F925" r:id="rId913" tooltip="Завантажити сертифікат" display="Завантажити сертифікат"/>
    <hyperlink ref="F926" r:id="rId914" tooltip="Завантажити сертифікат" display="Завантажити сертифікат"/>
    <hyperlink ref="F927" r:id="rId915" tooltip="Завантажити сертифікат" display="Завантажити сертифікат"/>
    <hyperlink ref="F928" r:id="rId916" tooltip="Завантажити сертифікат" display="Завантажити сертифікат"/>
    <hyperlink ref="F929" r:id="rId917" tooltip="Завантажити сертифікат" display="Завантажити сертифікат"/>
    <hyperlink ref="F930" r:id="rId918" tooltip="Завантажити сертифікат" display="Завантажити сертифікат"/>
    <hyperlink ref="F931" r:id="rId919" tooltip="Завантажити сертифікат" display="Завантажити сертифікат"/>
    <hyperlink ref="F932" r:id="rId920" tooltip="Завантажити сертифікат" display="Завантажити сертифікат"/>
    <hyperlink ref="F933" r:id="rId921" tooltip="Завантажити сертифікат" display="Завантажити сертифікат"/>
    <hyperlink ref="F934" r:id="rId922" tooltip="Завантажити сертифікат" display="Завантажити сертифікат"/>
    <hyperlink ref="F935" r:id="rId923" tooltip="Завантажити сертифікат" display="Завантажити сертифікат"/>
    <hyperlink ref="F936" r:id="rId924" tooltip="Завантажити сертифікат" display="Завантажити сертифікат"/>
    <hyperlink ref="F937" r:id="rId925" tooltip="Завантажити сертифікат" display="Завантажити сертифікат"/>
    <hyperlink ref="F938" r:id="rId926" tooltip="Завантажити сертифікат" display="Завантажити сертифікат"/>
    <hyperlink ref="F939" r:id="rId927" tooltip="Завантажити сертифікат" display="Завантажити сертифікат"/>
    <hyperlink ref="F940" r:id="rId928" tooltip="Завантажити сертифікат" display="Завантажити сертифікат"/>
    <hyperlink ref="F941" r:id="rId929" tooltip="Завантажити сертифікат" display="Завантажити сертифікат"/>
    <hyperlink ref="F942" r:id="rId930" tooltip="Завантажити сертифікат" display="Завантажити сертифікат"/>
    <hyperlink ref="F943" r:id="rId931" tooltip="Завантажити сертифікат" display="Завантажити сертифікат"/>
    <hyperlink ref="F944" r:id="rId932" tooltip="Завантажити сертифікат" display="Завантажити сертифікат"/>
    <hyperlink ref="F945" r:id="rId933" tooltip="Завантажити сертифікат" display="Завантажити сертифікат"/>
    <hyperlink ref="F946" r:id="rId934" tooltip="Завантажити сертифікат" display="Завантажити сертифікат"/>
    <hyperlink ref="F947" r:id="rId935" tooltip="Завантажити сертифікат" display="Завантажити сертифікат"/>
    <hyperlink ref="F948" r:id="rId936" tooltip="Завантажити сертифікат" display="Завантажити сертифікат"/>
    <hyperlink ref="F949" r:id="rId937" tooltip="Завантажити сертифікат" display="Завантажити сертифікат"/>
    <hyperlink ref="F950" r:id="rId938" tooltip="Завантажити сертифікат" display="Завантажити сертифікат"/>
    <hyperlink ref="F951" r:id="rId939" tooltip="Завантажити сертифікат" display="Завантажити сертифікат"/>
    <hyperlink ref="F952" r:id="rId940" tooltip="Завантажити сертифікат" display="Завантажити сертифікат"/>
    <hyperlink ref="F953" r:id="rId941" tooltip="Завантажити сертифікат" display="Завантажити сертифікат"/>
    <hyperlink ref="F954" r:id="rId942" tooltip="Завантажити сертифікат" display="Завантажити сертифікат"/>
    <hyperlink ref="F955" r:id="rId943" tooltip="Завантажити сертифікат" display="Завантажити сертифікат"/>
    <hyperlink ref="F956" r:id="rId944" tooltip="Завантажити сертифікат" display="Завантажити сертифікат"/>
    <hyperlink ref="F957" r:id="rId945" tooltip="Завантажити сертифікат" display="Завантажити сертифікат"/>
    <hyperlink ref="F958" r:id="rId946" tooltip="Завантажити сертифікат" display="Завантажити сертифікат"/>
    <hyperlink ref="F959" r:id="rId947" tooltip="Завантажити сертифікат" display="Завантажити сертифікат"/>
    <hyperlink ref="F960" r:id="rId948" tooltip="Завантажити сертифікат" display="Завантажити сертифікат"/>
    <hyperlink ref="F961" r:id="rId949" tooltip="Завантажити сертифікат" display="Завантажити сертифікат"/>
    <hyperlink ref="F962" r:id="rId950" tooltip="Завантажити сертифікат" display="Завантажити сертифікат"/>
    <hyperlink ref="F963" r:id="rId951" tooltip="Завантажити сертифікат" display="Завантажити сертифікат"/>
    <hyperlink ref="F964" r:id="rId952" tooltip="Завантажити сертифікат" display="Завантажити сертифікат"/>
    <hyperlink ref="F965" r:id="rId953" tooltip="Завантажити сертифікат" display="Завантажити сертифікат"/>
    <hyperlink ref="F966" r:id="rId954" tooltip="Завантажити сертифікат" display="Завантажити сертифікат"/>
    <hyperlink ref="F967" r:id="rId955" tooltip="Завантажити сертифікат" display="Завантажити сертифікат"/>
    <hyperlink ref="F968" r:id="rId956" tooltip="Завантажити сертифікат" display="Завантажити сертифікат"/>
    <hyperlink ref="F969" r:id="rId957" tooltip="Завантажити сертифікат" display="Завантажити сертифікат"/>
    <hyperlink ref="F970" r:id="rId958" tooltip="Завантажити сертифікат" display="Завантажити сертифікат"/>
    <hyperlink ref="F971" r:id="rId959" tooltip="Завантажити сертифікат" display="Завантажити сертифікат"/>
    <hyperlink ref="F972" r:id="rId960" tooltip="Завантажити сертифікат" display="Завантажити сертифікат"/>
    <hyperlink ref="F973" r:id="rId961" tooltip="Завантажити сертифікат" display="Завантажити сертифікат"/>
    <hyperlink ref="F974" r:id="rId962" tooltip="Завантажити сертифікат" display="Завантажити сертифікат"/>
    <hyperlink ref="F975" r:id="rId963" tooltip="Завантажити сертифікат" display="Завантажити сертифікат"/>
    <hyperlink ref="F976" r:id="rId964" tooltip="Завантажити сертифікат" display="Завантажити сертифікат"/>
    <hyperlink ref="F977" r:id="rId965" tooltip="Завантажити сертифікат" display="Завантажити сертифікат"/>
    <hyperlink ref="F978" r:id="rId966" tooltip="Завантажити сертифікат" display="Завантажити сертифікат"/>
    <hyperlink ref="F979" r:id="rId967" tooltip="Завантажити сертифікат" display="Завантажити сертифікат"/>
    <hyperlink ref="F980" r:id="rId968" tooltip="Завантажити сертифікат" display="Завантажити сертифікат"/>
    <hyperlink ref="F981" r:id="rId969" tooltip="Завантажити сертифікат" display="Завантажити сертифікат"/>
    <hyperlink ref="F982" r:id="rId970" tooltip="Завантажити сертифікат" display="Завантажити сертифікат"/>
    <hyperlink ref="F983" r:id="rId971" tooltip="Завантажити сертифікат" display="Завантажити сертифікат"/>
    <hyperlink ref="F984" r:id="rId972" tooltip="Завантажити сертифікат" display="Завантажити сертифікат"/>
    <hyperlink ref="F985" r:id="rId973" tooltip="Завантажити сертифікат" display="Завантажити сертифікат"/>
    <hyperlink ref="F986" r:id="rId974" tooltip="Завантажити сертифікат" display="Завантажити сертифікат"/>
    <hyperlink ref="F987" r:id="rId975" tooltip="Завантажити сертифікат" display="Завантажити сертифікат"/>
    <hyperlink ref="F988" r:id="rId976" tooltip="Завантажити сертифікат" display="Завантажити сертифікат"/>
    <hyperlink ref="F989" r:id="rId977" tooltip="Завантажити сертифікат" display="Завантажити сертифікат"/>
    <hyperlink ref="F990" r:id="rId978" tooltip="Завантажити сертифікат" display="Завантажити сертифікат"/>
    <hyperlink ref="F991" r:id="rId979" tooltip="Завантажити сертифікат" display="Завантажити сертифікат"/>
    <hyperlink ref="F992" r:id="rId980" tooltip="Завантажити сертифікат" display="Завантажити сертифікат"/>
    <hyperlink ref="F993" r:id="rId981" tooltip="Завантажити сертифікат" display="Завантажити сертифікат"/>
    <hyperlink ref="F994" r:id="rId982" tooltip="Завантажити сертифікат" display="Завантажити сертифікат"/>
    <hyperlink ref="F995" r:id="rId983" tooltip="Завантажити сертифікат" display="Завантажити сертифікат"/>
    <hyperlink ref="F996" r:id="rId984" tooltip="Завантажити сертифікат" display="Завантажити сертифікат"/>
    <hyperlink ref="F997" r:id="rId985" tooltip="Завантажити сертифікат" display="Завантажити сертифікат"/>
    <hyperlink ref="F998" r:id="rId986" tooltip="Завантажити сертифікат" display="Завантажити сертифікат"/>
    <hyperlink ref="F999" r:id="rId987" tooltip="Завантажити сертифікат" display="Завантажити сертифікат"/>
    <hyperlink ref="F1000" r:id="rId988" tooltip="Завантажити сертифікат" display="Завантажити сертифікат"/>
    <hyperlink ref="F1001" r:id="rId989" tooltip="Завантажити сертифікат" display="Завантажити сертифікат"/>
    <hyperlink ref="F1002" r:id="rId990" tooltip="Завантажити сертифікат" display="Завантажити сертифікат"/>
    <hyperlink ref="F1003" r:id="rId991" tooltip="Завантажити сертифікат" display="Завантажити сертифікат"/>
    <hyperlink ref="F1004" r:id="rId992" tooltip="Завантажити сертифікат" display="Завантажити сертифікат"/>
    <hyperlink ref="F1005" r:id="rId993" tooltip="Завантажити сертифікат" display="Завантажити сертифікат"/>
    <hyperlink ref="F1006" r:id="rId994" tooltip="Завантажити сертифікат" display="Завантажити сертифікат"/>
    <hyperlink ref="F1007" r:id="rId995" tooltip="Завантажити сертифікат" display="Завантажити сертифікат"/>
    <hyperlink ref="F1008" r:id="rId996" tooltip="Завантажити сертифікат" display="Завантажити сертифікат"/>
    <hyperlink ref="F1009" r:id="rId997" tooltip="Завантажити сертифікат" display="Завантажити сертифікат"/>
    <hyperlink ref="F1010" r:id="rId998" tooltip="Завантажити сертифікат" display="Завантажити сертифікат"/>
    <hyperlink ref="F1011" r:id="rId999" tooltip="Завантажити сертифікат" display="Завантажити сертифікат"/>
    <hyperlink ref="F1012" r:id="rId1000" tooltip="Завантажити сертифікат" display="Завантажити сертифікат"/>
    <hyperlink ref="F1013" r:id="rId1001" tooltip="Завантажити сертифікат" display="Завантажити сертифікат"/>
    <hyperlink ref="F1014" r:id="rId1002" tooltip="Завантажити сертифікат" display="Завантажити сертифікат"/>
    <hyperlink ref="F1015" r:id="rId1003" tooltip="Завантажити сертифікат" display="Завантажити сертифікат"/>
    <hyperlink ref="F1016" r:id="rId1004" tooltip="Завантажити сертифікат" display="Завантажити сертифікат"/>
    <hyperlink ref="F1017" r:id="rId1005" tooltip="Завантажити сертифікат" display="Завантажити сертифікат"/>
    <hyperlink ref="F1018" r:id="rId1006" tooltip="Завантажити сертифікат" display="Завантажити сертифікат"/>
    <hyperlink ref="F1019" r:id="rId1007" tooltip="Завантажити сертифікат" display="Завантажити сертифікат"/>
    <hyperlink ref="F1020" r:id="rId1008" tooltip="Завантажити сертифікат" display="Завантажити сертифікат"/>
    <hyperlink ref="F1021" r:id="rId1009" tooltip="Завантажити сертифікат" display="Завантажити сертифікат"/>
    <hyperlink ref="F1022" r:id="rId1010" tooltip="Завантажити сертифікат" display="Завантажити сертифікат"/>
    <hyperlink ref="F1023" r:id="rId1011" tooltip="Завантажити сертифікат" display="Завантажити сертифікат"/>
    <hyperlink ref="F1024" r:id="rId1012" tooltip="Завантажити сертифікат" display="Завантажити сертифікат"/>
    <hyperlink ref="F1025" r:id="rId1013" tooltip="Завантажити сертифікат" display="Завантажити сертифікат"/>
    <hyperlink ref="F1026" r:id="rId1014" tooltip="Завантажити сертифікат" display="Завантажити сертифікат"/>
    <hyperlink ref="F1027" r:id="rId1015" tooltip="Завантажити сертифікат" display="Завантажити сертифікат"/>
    <hyperlink ref="F1028" r:id="rId1016" tooltip="Завантажити сертифікат" display="Завантажити сертифікат"/>
    <hyperlink ref="F1029" r:id="rId1017" tooltip="Завантажити сертифікат" display="Завантажити сертифікат"/>
    <hyperlink ref="F1030" r:id="rId1018" tooltip="Завантажити сертифікат" display="Завантажити сертифікат"/>
    <hyperlink ref="F1031" r:id="rId1019" tooltip="Завантажити сертифікат" display="Завантажити сертифікат"/>
    <hyperlink ref="F1032" r:id="rId1020" tooltip="Завантажити сертифікат" display="Завантажити сертифікат"/>
    <hyperlink ref="F1033" r:id="rId1021" tooltip="Завантажити сертифікат" display="Завантажити сертифікат"/>
    <hyperlink ref="F1034" r:id="rId1022" tooltip="Завантажити сертифікат" display="Завантажити сертифікат"/>
    <hyperlink ref="F1035" r:id="rId1023" tooltip="Завантажити сертифікат" display="Завантажити сертифікат"/>
    <hyperlink ref="F1036" r:id="rId1024" tooltip="Завантажити сертифікат" display="Завантажити сертифікат"/>
    <hyperlink ref="F1037" r:id="rId1025" tooltip="Завантажити сертифікат" display="Завантажити сертифікат"/>
    <hyperlink ref="F1038" r:id="rId1026" tooltip="Завантажити сертифікат" display="Завантажити сертифікат"/>
    <hyperlink ref="F1039" r:id="rId1027" tooltip="Завантажити сертифікат" display="Завантажити сертифікат"/>
    <hyperlink ref="F1040" r:id="rId1028" tooltip="Завантажити сертифікат" display="Завантажити сертифікат"/>
    <hyperlink ref="F1041" r:id="rId1029" tooltip="Завантажити сертифікат" display="Завантажити сертифікат"/>
    <hyperlink ref="F1042" r:id="rId1030" tooltip="Завантажити сертифікат" display="Завантажити сертифікат"/>
    <hyperlink ref="F1043" r:id="rId1031" tooltip="Завантажити сертифікат" display="Завантажити сертифікат"/>
    <hyperlink ref="F1044" r:id="rId1032" tooltip="Завантажити сертифікат" display="Завантажити сертифікат"/>
    <hyperlink ref="F1045" r:id="rId1033" tooltip="Завантажити сертифікат" display="Завантажити сертифікат"/>
    <hyperlink ref="F1046" r:id="rId1034" tooltip="Завантажити сертифікат" display="Завантажити сертифікат"/>
    <hyperlink ref="F1047" r:id="rId1035" tooltip="Завантажити сертифікат" display="Завантажити сертифікат"/>
    <hyperlink ref="F1048" r:id="rId1036" tooltip="Завантажити сертифікат" display="Завантажити сертифікат"/>
    <hyperlink ref="F1049" r:id="rId1037" tooltip="Завантажити сертифікат" display="Завантажити сертифікат"/>
    <hyperlink ref="F1050" r:id="rId1038" tooltip="Завантажити сертифікат" display="Завантажити сертифікат"/>
    <hyperlink ref="F1051" r:id="rId1039" tooltip="Завантажити сертифікат" display="Завантажити сертифікат"/>
    <hyperlink ref="F1052" r:id="rId1040" tooltip="Завантажити сертифікат" display="Завантажити сертифікат"/>
    <hyperlink ref="F1053" r:id="rId1041" tooltip="Завантажити сертифікат" display="Завантажити сертифікат"/>
    <hyperlink ref="F1054" r:id="rId1042" tooltip="Завантажити сертифікат" display="Завантажити сертифікат"/>
    <hyperlink ref="F1055" r:id="rId1043" tooltip="Завантажити сертифікат" display="Завантажити сертифікат"/>
    <hyperlink ref="F1056" r:id="rId1044" tooltip="Завантажити сертифікат" display="Завантажити сертифікат"/>
    <hyperlink ref="F1057" r:id="rId1045" tooltip="Завантажити сертифікат" display="Завантажити сертифікат"/>
    <hyperlink ref="F1058" r:id="rId1046" tooltip="Завантажити сертифікат" display="Завантажити сертифікат"/>
    <hyperlink ref="F1059" r:id="rId1047" tooltip="Завантажити сертифікат" display="Завантажити сертифікат"/>
    <hyperlink ref="F1060" r:id="rId1048" tooltip="Завантажити сертифікат" display="Завантажити сертифікат"/>
    <hyperlink ref="F1061" r:id="rId1049" tooltip="Завантажити сертифікат" display="Завантажити сертифікат"/>
    <hyperlink ref="F1062" r:id="rId1050" tooltip="Завантажити сертифікат" display="Завантажити сертифікат"/>
    <hyperlink ref="F1063" r:id="rId1051" tooltip="Завантажити сертифікат" display="Завантажити сертифікат"/>
    <hyperlink ref="F1064" r:id="rId1052" tooltip="Завантажити сертифікат" display="Завантажити сертифікат"/>
    <hyperlink ref="F1065" r:id="rId1053" tooltip="Завантажити сертифікат" display="Завантажити сертифікат"/>
    <hyperlink ref="F1066" r:id="rId1054" tooltip="Завантажити сертифікат" display="Завантажити сертифікат"/>
    <hyperlink ref="F1067" r:id="rId1055" tooltip="Завантажити сертифікат" display="Завантажити сертифікат"/>
    <hyperlink ref="F1068" r:id="rId1056" tooltip="Завантажити сертифікат" display="Завантажити сертифікат"/>
    <hyperlink ref="F1069" r:id="rId1057" tooltip="Завантажити сертифікат" display="Завантажити сертифікат"/>
    <hyperlink ref="F1070" r:id="rId1058" tooltip="Завантажити сертифікат" display="Завантажити сертифікат"/>
    <hyperlink ref="F1071" r:id="rId1059" tooltip="Завантажити сертифікат" display="Завантажити сертифікат"/>
    <hyperlink ref="F1072" r:id="rId1060" tooltip="Завантажити сертифікат" display="Завантажити сертифікат"/>
    <hyperlink ref="F1073" r:id="rId1061" tooltip="Завантажити сертифікат" display="Завантажити сертифікат"/>
    <hyperlink ref="F1074" r:id="rId1062" tooltip="Завантажити сертифікат" display="Завантажити сертифікат"/>
    <hyperlink ref="F1075" r:id="rId1063" tooltip="Завантажити сертифікат" display="Завантажити сертифікат"/>
    <hyperlink ref="F1076" r:id="rId1064" tooltip="Завантажити сертифікат" display="Завантажити сертифікат"/>
    <hyperlink ref="F1077" r:id="rId1065" tooltip="Завантажити сертифікат" display="Завантажити сертифікат"/>
    <hyperlink ref="F1078" r:id="rId1066" tooltip="Завантажити сертифікат" display="Завантажити сертифікат"/>
    <hyperlink ref="F1079" r:id="rId1067" tooltip="Завантажити сертифікат" display="Завантажити сертифікат"/>
    <hyperlink ref="F1080" r:id="rId1068" tooltip="Завантажити сертифікат" display="Завантажити сертифікат"/>
    <hyperlink ref="F1081" r:id="rId1069" tooltip="Завантажити сертифікат" display="Завантажити сертифікат"/>
    <hyperlink ref="F1082" r:id="rId1070" tooltip="Завантажити сертифікат" display="Завантажити сертифікат"/>
    <hyperlink ref="F1083" r:id="rId1071" tooltip="Завантажити сертифікат" display="Завантажити сертифікат"/>
    <hyperlink ref="F1084" r:id="rId1072" tooltip="Завантажити сертифікат" display="Завантажити сертифікат"/>
    <hyperlink ref="F1085" r:id="rId1073" tooltip="Завантажити сертифікат" display="Завантажити сертифікат"/>
    <hyperlink ref="F1086" r:id="rId1074" tooltip="Завантажити сертифікат" display="Завантажити сертифікат"/>
    <hyperlink ref="F1087" r:id="rId1075" tooltip="Завантажити сертифікат" display="Завантажити сертифікат"/>
    <hyperlink ref="F1088" r:id="rId1076" tooltip="Завантажити сертифікат" display="Завантажити сертифікат"/>
    <hyperlink ref="F1089" r:id="rId1077" tooltip="Завантажити сертифікат" display="Завантажити сертифікат"/>
    <hyperlink ref="F1090" r:id="rId1078" tooltip="Завантажити сертифікат" display="Завантажити сертифікат"/>
    <hyperlink ref="F1091" r:id="rId1079" tooltip="Завантажити сертифікат" display="Завантажити сертифікат"/>
    <hyperlink ref="F1092" r:id="rId1080" tooltip="Завантажити сертифікат" display="Завантажити сертифікат"/>
    <hyperlink ref="F1093" r:id="rId1081" tooltip="Завантажити сертифікат" display="Завантажити сертифікат"/>
    <hyperlink ref="F1094" r:id="rId1082" tooltip="Завантажити сертифікат" display="Завантажити сертифікат"/>
    <hyperlink ref="F1095" r:id="rId1083" tooltip="Завантажити сертифікат" display="Завантажити сертифікат"/>
    <hyperlink ref="F1096" r:id="rId1084" tooltip="Завантажити сертифікат" display="Завантажити сертифікат"/>
    <hyperlink ref="F1097" r:id="rId1085" tooltip="Завантажити сертифікат" display="Завантажити сертифікат"/>
    <hyperlink ref="F1098" r:id="rId1086" tooltip="Завантажити сертифікат" display="Завантажити сертифікат"/>
    <hyperlink ref="F1099" r:id="rId1087" tooltip="Завантажити сертифікат" display="Завантажити сертифікат"/>
    <hyperlink ref="F1100" r:id="rId1088" tooltip="Завантажити сертифікат" display="Завантажити сертифікат"/>
    <hyperlink ref="F1101" r:id="rId1089" tooltip="Завантажити сертифікат" display="Завантажити сертифікат"/>
    <hyperlink ref="F1102" r:id="rId1090" tooltip="Завантажити сертифікат" display="Завантажити сертифікат"/>
    <hyperlink ref="F1103" r:id="rId1091" tooltip="Завантажити сертифікат" display="Завантажити сертифікат"/>
    <hyperlink ref="F1104" r:id="rId1092" tooltip="Завантажити сертифікат" display="Завантажити сертифікат"/>
    <hyperlink ref="F1105" r:id="rId1093" tooltip="Завантажити сертифікат" display="Завантажити сертифікат"/>
    <hyperlink ref="F1106" r:id="rId1094" tooltip="Завантажити сертифікат" display="Завантажити сертифікат"/>
    <hyperlink ref="F1107" r:id="rId1095" tooltip="Завантажити сертифікат" display="Завантажити сертифікат"/>
    <hyperlink ref="F1108" r:id="rId1096" tooltip="Завантажити сертифікат" display="Завантажити сертифікат"/>
    <hyperlink ref="F1109" r:id="rId1097" tooltip="Завантажити сертифікат" display="Завантажити сертифікат"/>
    <hyperlink ref="F1110" r:id="rId1098" tooltip="Завантажити сертифікат" display="Завантажити сертифікат"/>
    <hyperlink ref="F1111" r:id="rId1099" tooltip="Завантажити сертифікат" display="Завантажити сертифікат"/>
    <hyperlink ref="F1112" r:id="rId1100" tooltip="Завантажити сертифікат" display="Завантажити сертифікат"/>
    <hyperlink ref="F1113" r:id="rId1101" tooltip="Завантажити сертифікат" display="Завантажити сертифікат"/>
    <hyperlink ref="F1114" r:id="rId1102" tooltip="Завантажити сертифікат" display="Завантажити сертифікат"/>
    <hyperlink ref="F1115" r:id="rId1103" tooltip="Завантажити сертифікат" display="Завантажити сертифікат"/>
    <hyperlink ref="F1116" r:id="rId1104" tooltip="Завантажити сертифікат" display="Завантажити сертифікат"/>
    <hyperlink ref="F1117" r:id="rId1105" tooltip="Завантажити сертифікат" display="Завантажити сертифікат"/>
    <hyperlink ref="F1118" r:id="rId1106" tooltip="Завантажити сертифікат" display="Завантажити сертифікат"/>
    <hyperlink ref="F1119" r:id="rId1107" tooltip="Завантажити сертифікат" display="Завантажити сертифікат"/>
    <hyperlink ref="F1120" r:id="rId1108" tooltip="Завантажити сертифікат" display="Завантажити сертифікат"/>
    <hyperlink ref="F1121" r:id="rId1109" tooltip="Завантажити сертифікат" display="Завантажити сертифікат"/>
    <hyperlink ref="F1122" r:id="rId1110" tooltip="Завантажити сертифікат" display="Завантажити сертифікат"/>
    <hyperlink ref="F1123" r:id="rId1111" tooltip="Завантажити сертифікат" display="Завантажити сертифікат"/>
    <hyperlink ref="F1124" r:id="rId1112" tooltip="Завантажити сертифікат" display="Завантажити сертифікат"/>
    <hyperlink ref="F1125" r:id="rId1113" tooltip="Завантажити сертифікат" display="Завантажити сертифікат"/>
    <hyperlink ref="F1126" r:id="rId1114" tooltip="Завантажити сертифікат" display="Завантажити сертифікат"/>
    <hyperlink ref="F1127" r:id="rId1115" tooltip="Завантажити сертифікат" display="Завантажити сертифікат"/>
    <hyperlink ref="F1128" r:id="rId1116" tooltip="Завантажити сертифікат" display="Завантажити сертифікат"/>
    <hyperlink ref="F1129" r:id="rId1117" tooltip="Завантажити сертифікат" display="Завантажити сертифікат"/>
    <hyperlink ref="F1130" r:id="rId1118" tooltip="Завантажити сертифікат" display="Завантажити сертифікат"/>
    <hyperlink ref="F1131" r:id="rId1119" tooltip="Завантажити сертифікат" display="Завантажити сертифікат"/>
    <hyperlink ref="F1132" r:id="rId1120" tooltip="Завантажити сертифікат" display="Завантажити сертифікат"/>
    <hyperlink ref="F1133" r:id="rId1121" tooltip="Завантажити сертифікат" display="Завантажити сертифікат"/>
    <hyperlink ref="F1134" r:id="rId1122" tooltip="Завантажити сертифікат" display="Завантажити сертифікат"/>
    <hyperlink ref="F1135" r:id="rId1123" tooltip="Завантажити сертифікат" display="Завантажити сертифікат"/>
    <hyperlink ref="F1136" r:id="rId1124" tooltip="Завантажити сертифікат" display="Завантажити сертифікат"/>
    <hyperlink ref="F1137" r:id="rId1125" tooltip="Завантажити сертифікат" display="Завантажити сертифікат"/>
    <hyperlink ref="F1138" r:id="rId1126" tooltip="Завантажити сертифікат" display="Завантажити сертифікат"/>
    <hyperlink ref="F1139" r:id="rId1127" tooltip="Завантажити сертифікат" display="Завантажити сертифікат"/>
    <hyperlink ref="F1140" r:id="rId1128" tooltip="Завантажити сертифікат" display="Завантажити сертифікат"/>
    <hyperlink ref="F1141" r:id="rId1129" tooltip="Завантажити сертифікат" display="Завантажити сертифікат"/>
    <hyperlink ref="F1142" r:id="rId1130" tooltip="Завантажити сертифікат" display="Завантажити сертифікат"/>
    <hyperlink ref="F1143" r:id="rId1131" tooltip="Завантажити сертифікат" display="Завантажити сертифікат"/>
    <hyperlink ref="F1144" r:id="rId1132" tooltip="Завантажити сертифікат" display="Завантажити сертифікат"/>
    <hyperlink ref="F1145" r:id="rId1133" tooltip="Завантажити сертифікат" display="Завантажити сертифікат"/>
    <hyperlink ref="F1146" r:id="rId1134" tooltip="Завантажити сертифікат" display="Завантажити сертифікат"/>
    <hyperlink ref="F1147" r:id="rId1135" tooltip="Завантажити сертифікат" display="Завантажити сертифікат"/>
    <hyperlink ref="F1148" r:id="rId1136" tooltip="Завантажити сертифікат" display="Завантажити сертифікат"/>
    <hyperlink ref="F1149" r:id="rId1137" tooltip="Завантажити сертифікат" display="Завантажити сертифікат"/>
    <hyperlink ref="F1150" r:id="rId1138" tooltip="Завантажити сертифікат" display="Завантажити сертифікат"/>
    <hyperlink ref="F1151" r:id="rId1139" tooltip="Завантажити сертифікат" display="Завантажити сертифікат"/>
    <hyperlink ref="F1152" r:id="rId1140" tooltip="Завантажити сертифікат" display="Завантажити сертифікат"/>
    <hyperlink ref="F1153" r:id="rId1141" tooltip="Завантажити сертифікат" display="Завантажити сертифікат"/>
    <hyperlink ref="F1154" r:id="rId1142" tooltip="Завантажити сертифікат" display="Завантажити сертифікат"/>
    <hyperlink ref="F1155" r:id="rId1143" tooltip="Завантажити сертифікат" display="Завантажити сертифікат"/>
    <hyperlink ref="F1156" r:id="rId1144" tooltip="Завантажити сертифікат" display="Завантажити сертифікат"/>
    <hyperlink ref="F1157" r:id="rId1145" tooltip="Завантажити сертифікат" display="Завантажити сертифікат"/>
    <hyperlink ref="F1158" r:id="rId1146" tooltip="Завантажити сертифікат" display="Завантажити сертифікат"/>
    <hyperlink ref="F1159" r:id="rId1147" tooltip="Завантажити сертифікат" display="Завантажити сертифікат"/>
    <hyperlink ref="F1160" r:id="rId1148" tooltip="Завантажити сертифікат" display="Завантажити сертифікат"/>
    <hyperlink ref="F1161" r:id="rId1149" tooltip="Завантажити сертифікат" display="Завантажити сертифікат"/>
    <hyperlink ref="F1162" r:id="rId1150" tooltip="Завантажити сертифікат" display="Завантажити сертифікат"/>
    <hyperlink ref="F1163" r:id="rId1151" tooltip="Завантажити сертифікат" display="Завантажити сертифікат"/>
    <hyperlink ref="F1164" r:id="rId1152" tooltip="Завантажити сертифікат" display="Завантажити сертифікат"/>
    <hyperlink ref="F1165" r:id="rId1153" tooltip="Завантажити сертифікат" display="Завантажити сертифікат"/>
    <hyperlink ref="F1166" r:id="rId1154" tooltip="Завантажити сертифікат" display="Завантажити сертифікат"/>
    <hyperlink ref="F1167" r:id="rId1155" tooltip="Завантажити сертифікат" display="Завантажити сертифікат"/>
    <hyperlink ref="F1168" r:id="rId1156" tooltip="Завантажити сертифікат" display="Завантажити сертифікат"/>
    <hyperlink ref="F1169" r:id="rId1157" tooltip="Завантажити сертифікат" display="Завантажити сертифікат"/>
    <hyperlink ref="F1170" r:id="rId1158" tooltip="Завантажити сертифікат" display="Завантажити сертифікат"/>
    <hyperlink ref="F1171" r:id="rId1159" tooltip="Завантажити сертифікат" display="Завантажити сертифікат"/>
    <hyperlink ref="F1172" r:id="rId1160" tooltip="Завантажити сертифікат" display="Завантажити сертифікат"/>
    <hyperlink ref="F1173" r:id="rId1161" tooltip="Завантажити сертифікат" display="Завантажити сертифікат"/>
    <hyperlink ref="F1174" r:id="rId1162" tooltip="Завантажити сертифікат" display="Завантажити сертифікат"/>
    <hyperlink ref="F1175" r:id="rId1163" tooltip="Завантажити сертифікат" display="Завантажити сертифікат"/>
    <hyperlink ref="F1176" r:id="rId1164" tooltip="Завантажити сертифікат" display="Завантажити сертифікат"/>
    <hyperlink ref="F1177" r:id="rId1165" tooltip="Завантажити сертифікат" display="Завантажити сертифікат"/>
    <hyperlink ref="F1178" r:id="rId1166" tooltip="Завантажити сертифікат" display="Завантажити сертифікат"/>
    <hyperlink ref="F1179" r:id="rId1167" tooltip="Завантажити сертифікат" display="Завантажити сертифікат"/>
    <hyperlink ref="F1180" r:id="rId1168" tooltip="Завантажити сертифікат" display="Завантажити сертифікат"/>
    <hyperlink ref="F1181" r:id="rId1169" tooltip="Завантажити сертифікат" display="Завантажити сертифікат"/>
    <hyperlink ref="F1182" r:id="rId1170" tooltip="Завантажити сертифікат" display="Завантажити сертифікат"/>
    <hyperlink ref="F1183" r:id="rId1171" tooltip="Завантажити сертифікат" display="Завантажити сертифікат"/>
    <hyperlink ref="F1184" r:id="rId1172" tooltip="Завантажити сертифікат" display="Завантажити сертифікат"/>
    <hyperlink ref="F1185" r:id="rId1173" tooltip="Завантажити сертифікат" display="Завантажити сертифікат"/>
    <hyperlink ref="F1186" r:id="rId1174" tooltip="Завантажити сертифікат" display="Завантажити сертифікат"/>
    <hyperlink ref="F1187" r:id="rId1175" tooltip="Завантажити сертифікат" display="Завантажити сертифікат"/>
    <hyperlink ref="F1188" r:id="rId1176" tooltip="Завантажити сертифікат" display="Завантажити сертифікат"/>
    <hyperlink ref="F1189" r:id="rId1177" tooltip="Завантажити сертифікат" display="Завантажити сертифікат"/>
    <hyperlink ref="F1190" r:id="rId1178" tooltip="Завантажити сертифікат" display="Завантажити сертифікат"/>
    <hyperlink ref="F1191" r:id="rId1179" tooltip="Завантажити сертифікат" display="Завантажити сертифікат"/>
    <hyperlink ref="F1192" r:id="rId1180" tooltip="Завантажити сертифікат" display="Завантажити сертифікат"/>
    <hyperlink ref="F1193" r:id="rId1181" tooltip="Завантажити сертифікат" display="Завантажити сертифікат"/>
    <hyperlink ref="F1194" r:id="rId1182" tooltip="Завантажити сертифікат" display="Завантажити сертифікат"/>
    <hyperlink ref="F1195" r:id="rId1183" tooltip="Завантажити сертифікат" display="Завантажити сертифікат"/>
    <hyperlink ref="F1196" r:id="rId1184" tooltip="Завантажити сертифікат" display="Завантажити сертифікат"/>
    <hyperlink ref="F1197" r:id="rId1185" tooltip="Завантажити сертифікат" display="Завантажити сертифікат"/>
    <hyperlink ref="F1198" r:id="rId1186" tooltip="Завантажити сертифікат" display="Завантажити сертифікат"/>
    <hyperlink ref="F1199" r:id="rId1187" tooltip="Завантажити сертифікат" display="Завантажити сертифікат"/>
    <hyperlink ref="F1200" r:id="rId1188" tooltip="Завантажити сертифікат" display="Завантажити сертифікат"/>
    <hyperlink ref="F1201" r:id="rId1189" tooltip="Завантажити сертифікат" display="Завантажити сертифікат"/>
    <hyperlink ref="F1202" r:id="rId1190" tooltip="Завантажити сертифікат" display="Завантажити сертифікат"/>
    <hyperlink ref="F1203" r:id="rId1191" tooltip="Завантажити сертифікат" display="Завантажити сертифікат"/>
    <hyperlink ref="F1204" r:id="rId1192" tooltip="Завантажити сертифікат" display="Завантажити сертифікат"/>
    <hyperlink ref="F1205" r:id="rId1193" tooltip="Завантажити сертифікат" display="Завантажити сертифікат"/>
    <hyperlink ref="F1206" r:id="rId1194" tooltip="Завантажити сертифікат" display="Завантажити сертифікат"/>
    <hyperlink ref="F1207" r:id="rId1195" tooltip="Завантажити сертифікат" display="Завантажити сертифікат"/>
    <hyperlink ref="F1208" r:id="rId1196" tooltip="Завантажити сертифікат" display="Завантажити сертифікат"/>
    <hyperlink ref="F1209" r:id="rId1197" tooltip="Завантажити сертифікат" display="Завантажити сертифікат"/>
    <hyperlink ref="F1210" r:id="rId1198" tooltip="Завантажити сертифікат" display="Завантажити сертифікат"/>
    <hyperlink ref="F1211" r:id="rId1199" tooltip="Завантажити сертифікат" display="Завантажити сертифікат"/>
    <hyperlink ref="F1212" r:id="rId1200" tooltip="Завантажити сертифікат" display="Завантажити сертифікат"/>
    <hyperlink ref="F1213" r:id="rId1201" tooltip="Завантажити сертифікат" display="Завантажити сертифікат"/>
    <hyperlink ref="F1214" r:id="rId1202" tooltip="Завантажити сертифікат" display="Завантажити сертифікат"/>
    <hyperlink ref="F1215" r:id="rId1203" tooltip="Завантажити сертифікат" display="Завантажити сертифікат"/>
    <hyperlink ref="F1216" r:id="rId1204" tooltip="Завантажити сертифікат" display="Завантажити сертифікат"/>
    <hyperlink ref="F1217" r:id="rId1205" tooltip="Завантажити сертифікат" display="Завантажити сертифікат"/>
    <hyperlink ref="F1218" r:id="rId1206" tooltip="Завантажити сертифікат" display="Завантажити сертифікат"/>
    <hyperlink ref="F1219" r:id="rId1207" tooltip="Завантажити сертифікат" display="Завантажити сертифікат"/>
    <hyperlink ref="F1220" r:id="rId1208" tooltip="Завантажити сертифікат" display="Завантажити сертифікат"/>
    <hyperlink ref="F1221" r:id="rId1209" tooltip="Завантажити сертифікат" display="Завантажити сертифікат"/>
    <hyperlink ref="F1222" r:id="rId1210" tooltip="Завантажити сертифікат" display="Завантажити сертифікат"/>
    <hyperlink ref="F1223" r:id="rId1211" tooltip="Завантажити сертифікат" display="Завантажити сертифікат"/>
    <hyperlink ref="F1224" r:id="rId1212" tooltip="Завантажити сертифікат" display="Завантажити сертифікат"/>
    <hyperlink ref="F1225" r:id="rId1213" tooltip="Завантажити сертифікат" display="Завантажити сертифікат"/>
    <hyperlink ref="F1226" r:id="rId1214" tooltip="Завантажити сертифікат" display="Завантажити сертифікат"/>
    <hyperlink ref="F1227" r:id="rId1215" tooltip="Завантажити сертифікат" display="Завантажити сертифікат"/>
    <hyperlink ref="F1228" r:id="rId1216" tooltip="Завантажити сертифікат" display="Завантажити сертифікат"/>
    <hyperlink ref="F1229" r:id="rId1217" tooltip="Завантажити сертифікат" display="Завантажити сертифікат"/>
    <hyperlink ref="F1230" r:id="rId1218" tooltip="Завантажити сертифікат" display="Завантажити сертифікат"/>
    <hyperlink ref="F1231" r:id="rId1219" tooltip="Завантажити сертифікат" display="Завантажити сертифікат"/>
    <hyperlink ref="F1232" r:id="rId1220" tooltip="Завантажити сертифікат" display="Завантажити сертифікат"/>
    <hyperlink ref="F1233" r:id="rId1221" tooltip="Завантажити сертифікат" display="Завантажити сертифікат"/>
    <hyperlink ref="F1234" r:id="rId1222" tooltip="Завантажити сертифікат" display="Завантажити сертифікат"/>
    <hyperlink ref="F1235" r:id="rId1223" tooltip="Завантажити сертифікат" display="Завантажити сертифікат"/>
    <hyperlink ref="F1236" r:id="rId1224" tooltip="Завантажити сертифікат" display="Завантажити сертифікат"/>
    <hyperlink ref="F1237" r:id="rId1225" tooltip="Завантажити сертифікат" display="Завантажити сертифікат"/>
    <hyperlink ref="F1238" r:id="rId1226" tooltip="Завантажити сертифікат" display="Завантажити сертифікат"/>
    <hyperlink ref="F1239" r:id="rId1227" tooltip="Завантажити сертифікат" display="Завантажити сертифікат"/>
    <hyperlink ref="F1240" r:id="rId1228" tooltip="Завантажити сертифікат" display="Завантажити сертифікат"/>
    <hyperlink ref="F1241" r:id="rId1229" tooltip="Завантажити сертифікат" display="Завантажити сертифікат"/>
    <hyperlink ref="F1242" r:id="rId1230" tooltip="Завантажити сертифікат" display="Завантажити сертифікат"/>
    <hyperlink ref="F1243" r:id="rId1231" tooltip="Завантажити сертифікат" display="Завантажити сертифікат"/>
    <hyperlink ref="F1244" r:id="rId1232" tooltip="Завантажити сертифікат" display="Завантажити сертифікат"/>
    <hyperlink ref="F1245" r:id="rId1233" tooltip="Завантажити сертифікат" display="Завантажити сертифікат"/>
    <hyperlink ref="F1246" r:id="rId1234" tooltip="Завантажити сертифікат" display="Завантажити сертифікат"/>
    <hyperlink ref="F1247" r:id="rId1235" tooltip="Завантажити сертифікат" display="Завантажити сертифікат"/>
    <hyperlink ref="F1248" r:id="rId1236" tooltip="Завантажити сертифікат" display="Завантажити сертифікат"/>
    <hyperlink ref="F1249" r:id="rId1237" tooltip="Завантажити сертифікат" display="Завантажити сертифікат"/>
    <hyperlink ref="F1250" r:id="rId1238" tooltip="Завантажити сертифікат" display="Завантажити сертифікат"/>
    <hyperlink ref="F1251" r:id="rId1239" tooltip="Завантажити сертифікат" display="Завантажити сертифікат"/>
    <hyperlink ref="F1252" r:id="rId1240" tooltip="Завантажити сертифікат" display="Завантажити сертифікат"/>
    <hyperlink ref="F1253" r:id="rId1241" tooltip="Завантажити сертифікат" display="Завантажити сертифікат"/>
    <hyperlink ref="F1254" r:id="rId1242" tooltip="Завантажити сертифікат" display="Завантажити сертифікат"/>
    <hyperlink ref="F1255" r:id="rId1243" tooltip="Завантажити сертифікат" display="Завантажити сертифікат"/>
    <hyperlink ref="F1256" r:id="rId1244" tooltip="Завантажити сертифікат" display="Завантажити сертифікат"/>
    <hyperlink ref="F1257" r:id="rId1245" tooltip="Завантажити сертифікат" display="Завантажити сертифікат"/>
    <hyperlink ref="F1258" r:id="rId1246" tooltip="Завантажити сертифікат" display="Завантажити сертифікат"/>
    <hyperlink ref="F1259" r:id="rId1247" tooltip="Завантажити сертифікат" display="Завантажити сертифікат"/>
    <hyperlink ref="F1260" r:id="rId1248" tooltip="Завантажити сертифікат" display="Завантажити сертифікат"/>
    <hyperlink ref="F1261" r:id="rId1249" tooltip="Завантажити сертифікат" display="Завантажити сертифікат"/>
    <hyperlink ref="F1262" r:id="rId1250" tooltip="Завантажити сертифікат" display="Завантажити сертифікат"/>
    <hyperlink ref="F1263" r:id="rId1251" tooltip="Завантажити сертифікат" display="Завантажити сертифікат"/>
    <hyperlink ref="F1264" r:id="rId1252" tooltip="Завантажити сертифікат" display="Завантажити сертифікат"/>
    <hyperlink ref="F1265" r:id="rId1253" tooltip="Завантажити сертифікат" display="Завантажити сертифікат"/>
    <hyperlink ref="F1266" r:id="rId1254" tooltip="Завантажити сертифікат" display="Завантажити сертифікат"/>
    <hyperlink ref="F1267" r:id="rId1255" tooltip="Завантажити сертифікат" display="Завантажити сертифікат"/>
    <hyperlink ref="F1268" r:id="rId1256" tooltip="Завантажити сертифікат" display="Завантажити сертифікат"/>
    <hyperlink ref="F1269" r:id="rId1257" tooltip="Завантажити сертифікат" display="Завантажити сертифікат"/>
    <hyperlink ref="F1270" r:id="rId1258" tooltip="Завантажити сертифікат" display="Завантажити сертифікат"/>
    <hyperlink ref="F1271" r:id="rId1259" tooltip="Завантажити сертифікат" display="Завантажити сертифікат"/>
    <hyperlink ref="F1272" r:id="rId1260" tooltip="Завантажити сертифікат" display="Завантажити сертифікат"/>
    <hyperlink ref="F1273" r:id="rId1261" tooltip="Завантажити сертифікат" display="Завантажити сертифікат"/>
    <hyperlink ref="F1274" r:id="rId1262" tooltip="Завантажити сертифікат" display="Завантажити сертифікат"/>
    <hyperlink ref="F1275" r:id="rId1263" tooltip="Завантажити сертифікат" display="Завантажити сертифікат"/>
    <hyperlink ref="F1276" r:id="rId1264" tooltip="Завантажити сертифікат" display="Завантажити сертифікат"/>
    <hyperlink ref="F1277" r:id="rId1265" tooltip="Завантажити сертифікат" display="Завантажити сертифікат"/>
    <hyperlink ref="F1278" r:id="rId1266" tooltip="Завантажити сертифікат" display="Завантажити сертифікат"/>
    <hyperlink ref="F1279" r:id="rId1267" tooltip="Завантажити сертифікат" display="Завантажити сертифікат"/>
    <hyperlink ref="F1280" r:id="rId1268" tooltip="Завантажити сертифікат" display="Завантажити сертифікат"/>
    <hyperlink ref="F1281" r:id="rId1269" tooltip="Завантажити сертифікат" display="Завантажити сертифікат"/>
    <hyperlink ref="F1282" r:id="rId1270" tooltip="Завантажити сертифікат" display="Завантажити сертифікат"/>
    <hyperlink ref="F1283" r:id="rId1271" tooltip="Завантажити сертифікат" display="Завантажити сертифікат"/>
    <hyperlink ref="F1284" r:id="rId1272" tooltip="Завантажити сертифікат" display="Завантажити сертифікат"/>
    <hyperlink ref="F1285" r:id="rId1273" tooltip="Завантажити сертифікат" display="Завантажити сертифікат"/>
    <hyperlink ref="F1286" r:id="rId1274" tooltip="Завантажити сертифікат" display="Завантажити сертифікат"/>
    <hyperlink ref="F1287" r:id="rId1275" tooltip="Завантажити сертифікат" display="Завантажити сертифікат"/>
    <hyperlink ref="F1288" r:id="rId1276" tooltip="Завантажити сертифікат" display="Завантажити сертифікат"/>
    <hyperlink ref="F1289" r:id="rId1277" tooltip="Завантажити сертифікат" display="Завантажити сертифікат"/>
    <hyperlink ref="F1290" r:id="rId1278" tooltip="Завантажити сертифікат" display="Завантажити сертифікат"/>
    <hyperlink ref="F1291" r:id="rId1279" tooltip="Завантажити сертифікат" display="Завантажити сертифікат"/>
    <hyperlink ref="F1292" r:id="rId1280" tooltip="Завантажити сертифікат" display="Завантажити сертифікат"/>
    <hyperlink ref="F1293" r:id="rId1281" tooltip="Завантажити сертифікат" display="Завантажити сертифікат"/>
    <hyperlink ref="F1294" r:id="rId1282" tooltip="Завантажити сертифікат" display="Завантажити сертифікат"/>
    <hyperlink ref="F1295" r:id="rId1283" tooltip="Завантажити сертифікат" display="Завантажити сертифікат"/>
    <hyperlink ref="F1296" r:id="rId1284" tooltip="Завантажити сертифікат" display="Завантажити сертифікат"/>
    <hyperlink ref="F1297" r:id="rId1285" tooltip="Завантажити сертифікат" display="Завантажити сертифікат"/>
    <hyperlink ref="F1298" r:id="rId1286" tooltip="Завантажити сертифікат" display="Завантажити сертифікат"/>
    <hyperlink ref="F1299" r:id="rId1287" tooltip="Завантажити сертифікат" display="Завантажити сертифікат"/>
    <hyperlink ref="F1300" r:id="rId1288" tooltip="Завантажити сертифікат" display="Завантажити сертифікат"/>
    <hyperlink ref="F1301" r:id="rId1289" tooltip="Завантажити сертифікат" display="Завантажити сертифікат"/>
    <hyperlink ref="F1302" r:id="rId1290" tooltip="Завантажити сертифікат" display="Завантажити сертифікат"/>
    <hyperlink ref="F1303" r:id="rId1291" tooltip="Завантажити сертифікат" display="Завантажити сертифікат"/>
    <hyperlink ref="F1304" r:id="rId1292" tooltip="Завантажити сертифікат" display="Завантажити сертифікат"/>
    <hyperlink ref="F1305" r:id="rId1293" tooltip="Завантажити сертифікат" display="Завантажити сертифікат"/>
    <hyperlink ref="F1306" r:id="rId1294" tooltip="Завантажити сертифікат" display="Завантажити сертифікат"/>
    <hyperlink ref="F1307" r:id="rId1295" tooltip="Завантажити сертифікат" display="Завантажити сертифікат"/>
    <hyperlink ref="F1308" r:id="rId1296" tooltip="Завантажити сертифікат" display="Завантажити сертифікат"/>
    <hyperlink ref="F1309" r:id="rId1297" tooltip="Завантажити сертифікат" display="Завантажити сертифікат"/>
    <hyperlink ref="F1310" r:id="rId1298" tooltip="Завантажити сертифікат" display="Завантажити сертифікат"/>
    <hyperlink ref="F1311" r:id="rId1299" tooltip="Завантажити сертифікат" display="Завантажити сертифікат"/>
    <hyperlink ref="F1312" r:id="rId1300" tooltip="Завантажити сертифікат" display="Завантажити сертифікат"/>
    <hyperlink ref="F1313" r:id="rId1301" tooltip="Завантажити сертифікат" display="Завантажити сертифікат"/>
    <hyperlink ref="F1314" r:id="rId1302" tooltip="Завантажити сертифікат" display="Завантажити сертифікат"/>
    <hyperlink ref="F1315" r:id="rId1303" tooltip="Завантажити сертифікат" display="Завантажити сертифікат"/>
    <hyperlink ref="F1316" r:id="rId1304" tooltip="Завантажити сертифікат" display="Завантажити сертифікат"/>
    <hyperlink ref="F1317" r:id="rId1305" tooltip="Завантажити сертифікат" display="Завантажити сертифікат"/>
    <hyperlink ref="F1318" r:id="rId1306" tooltip="Завантажити сертифікат" display="Завантажити сертифікат"/>
    <hyperlink ref="F1319" r:id="rId1307" tooltip="Завантажити сертифікат" display="Завантажити сертифікат"/>
    <hyperlink ref="F1320" r:id="rId1308" tooltip="Завантажити сертифікат" display="Завантажити сертифікат"/>
    <hyperlink ref="F1321" r:id="rId1309" tooltip="Завантажити сертифікат" display="Завантажити сертифікат"/>
    <hyperlink ref="F1322" r:id="rId1310" tooltip="Завантажити сертифікат" display="Завантажити сертифікат"/>
    <hyperlink ref="F1323" r:id="rId1311" tooltip="Завантажити сертифікат" display="Завантажити сертифікат"/>
    <hyperlink ref="F1324" r:id="rId1312" tooltip="Завантажити сертифікат" display="Завантажити сертифікат"/>
    <hyperlink ref="F1325" r:id="rId1313" tooltip="Завантажити сертифікат" display="Завантажити сертифікат"/>
    <hyperlink ref="F1326" r:id="rId1314" tooltip="Завантажити сертифікат" display="Завантажити сертифікат"/>
    <hyperlink ref="F1327" r:id="rId1315" tooltip="Завантажити сертифікат" display="Завантажити сертифікат"/>
    <hyperlink ref="F1328" r:id="rId1316" tooltip="Завантажити сертифікат" display="Завантажити сертифікат"/>
    <hyperlink ref="F1329" r:id="rId1317" tooltip="Завантажити сертифікат" display="Завантажити сертифікат"/>
    <hyperlink ref="F1330" r:id="rId1318" tooltip="Завантажити сертифікат" display="Завантажити сертифікат"/>
    <hyperlink ref="F1331" r:id="rId1319" tooltip="Завантажити сертифікат" display="Завантажити сертифікат"/>
    <hyperlink ref="F1332" r:id="rId1320" tooltip="Завантажити сертифікат" display="Завантажити сертифікат"/>
    <hyperlink ref="F1333" r:id="rId1321" tooltip="Завантажити сертифікат" display="Завантажити сертифікат"/>
    <hyperlink ref="F1334" r:id="rId1322" tooltip="Завантажити сертифікат" display="Завантажити сертифікат"/>
    <hyperlink ref="F1335" r:id="rId1323" tooltip="Завантажити сертифікат" display="Завантажити сертифікат"/>
    <hyperlink ref="F1336" r:id="rId1324" tooltip="Завантажити сертифікат" display="Завантажити сертифікат"/>
    <hyperlink ref="F1337" r:id="rId1325" tooltip="Завантажити сертифікат" display="Завантажити сертифікат"/>
    <hyperlink ref="F1338" r:id="rId1326" tooltip="Завантажити сертифікат" display="Завантажити сертифікат"/>
    <hyperlink ref="F1339" r:id="rId1327" tooltip="Завантажити сертифікат" display="Завантажити сертифікат"/>
    <hyperlink ref="F1340" r:id="rId1328" tooltip="Завантажити сертифікат" display="Завантажити сертифікат"/>
    <hyperlink ref="F1341" r:id="rId1329" tooltip="Завантажити сертифікат" display="Завантажити сертифікат"/>
    <hyperlink ref="F1342" r:id="rId1330" tooltip="Завантажити сертифікат" display="Завантажити сертифікат"/>
    <hyperlink ref="F1343" r:id="rId1331" tooltip="Завантажити сертифікат" display="Завантажити сертифікат"/>
    <hyperlink ref="F1344" r:id="rId1332" tooltip="Завантажити сертифікат" display="Завантажити сертифікат"/>
    <hyperlink ref="F1345" r:id="rId1333" tooltip="Завантажити сертифікат" display="Завантажити сертифікат"/>
    <hyperlink ref="F1346" r:id="rId1334" tooltip="Завантажити сертифікат" display="Завантажити сертифікат"/>
    <hyperlink ref="F1347" r:id="rId1335" tooltip="Завантажити сертифікат" display="Завантажити сертифікат"/>
    <hyperlink ref="F1348" r:id="rId1336" tooltip="Завантажити сертифікат" display="Завантажити сертифікат"/>
    <hyperlink ref="F1349" r:id="rId1337" tooltip="Завантажити сертифікат" display="Завантажити сертифікат"/>
    <hyperlink ref="F1350" r:id="rId1338" tooltip="Завантажити сертифікат" display="Завантажити сертифікат"/>
    <hyperlink ref="F1351" r:id="rId1339" tooltip="Завантажити сертифікат" display="Завантажити сертифікат"/>
    <hyperlink ref="F1352" r:id="rId1340" tooltip="Завантажити сертифікат" display="Завантажити сертифікат"/>
    <hyperlink ref="F1353" r:id="rId1341" tooltip="Завантажити сертифікат" display="Завантажити сертифікат"/>
    <hyperlink ref="F1354" r:id="rId1342" tooltip="Завантажити сертифікат" display="Завантажити сертифікат"/>
    <hyperlink ref="F1355" r:id="rId1343" tooltip="Завантажити сертифікат" display="Завантажити сертифікат"/>
    <hyperlink ref="F1356" r:id="rId1344" tooltip="Завантажити сертифікат" display="Завантажити сертифікат"/>
    <hyperlink ref="F1357" r:id="rId1345" tooltip="Завантажити сертифікат" display="Завантажити сертифікат"/>
    <hyperlink ref="F1358" r:id="rId1346" tooltip="Завантажити сертифікат" display="Завантажити сертифікат"/>
    <hyperlink ref="F1359" r:id="rId1347" tooltip="Завантажити сертифікат" display="Завантажити сертифікат"/>
    <hyperlink ref="F1360" r:id="rId1348" tooltip="Завантажити сертифікат" display="Завантажити сертифікат"/>
    <hyperlink ref="F1361" r:id="rId1349" tooltip="Завантажити сертифікат" display="Завантажити сертифікат"/>
    <hyperlink ref="F1362" r:id="rId1350" tooltip="Завантажити сертифікат" display="Завантажити сертифікат"/>
    <hyperlink ref="F1363" r:id="rId1351" tooltip="Завантажити сертифікат" display="Завантажити сертифікат"/>
    <hyperlink ref="F1364" r:id="rId1352" tooltip="Завантажити сертифікат" display="Завантажити сертифікат"/>
    <hyperlink ref="F1365" r:id="rId1353" tooltip="Завантажити сертифікат" display="Завантажити сертифікат"/>
    <hyperlink ref="F1366" r:id="rId1354" tooltip="Завантажити сертифікат" display="Завантажити сертифікат"/>
    <hyperlink ref="F1367" r:id="rId1355" tooltip="Завантажити сертифікат" display="Завантажити сертифікат"/>
    <hyperlink ref="F1368" r:id="rId1356" tooltip="Завантажити сертифікат" display="Завантажити сертифікат"/>
    <hyperlink ref="F1369" r:id="rId1357" tooltip="Завантажити сертифікат" display="Завантажити сертифікат"/>
    <hyperlink ref="F1370" r:id="rId1358" tooltip="Завантажити сертифікат" display="Завантажити сертифікат"/>
    <hyperlink ref="F1371" r:id="rId1359" tooltip="Завантажити сертифікат" display="Завантажити сертифікат"/>
    <hyperlink ref="F1372" r:id="rId1360" tooltip="Завантажити сертифікат" display="Завантажити сертифікат"/>
    <hyperlink ref="F1373" r:id="rId1361" tooltip="Завантажити сертифікат" display="Завантажити сертифікат"/>
    <hyperlink ref="F1374" r:id="rId1362" tooltip="Завантажити сертифікат" display="Завантажити сертифікат"/>
    <hyperlink ref="F1375" r:id="rId1363" tooltip="Завантажити сертифікат" display="Завантажити сертифікат"/>
    <hyperlink ref="F1376" r:id="rId1364" tooltip="Завантажити сертифікат" display="Завантажити сертифікат"/>
    <hyperlink ref="F1377" r:id="rId1365" tooltip="Завантажити сертифікат" display="Завантажити сертифікат"/>
    <hyperlink ref="F1378" r:id="rId1366" tooltip="Завантажити сертифікат" display="Завантажити сертифікат"/>
    <hyperlink ref="F1379" r:id="rId1367" tooltip="Завантажити сертифікат" display="Завантажити сертифікат"/>
    <hyperlink ref="F1380" r:id="rId1368" tooltip="Завантажити сертифікат" display="Завантажити сертифікат"/>
    <hyperlink ref="F1381" r:id="rId1369" tooltip="Завантажити сертифікат" display="Завантажити сертифікат"/>
    <hyperlink ref="F1382" r:id="rId1370" tooltip="Завантажити сертифікат" display="Завантажити сертифікат"/>
    <hyperlink ref="F1383" r:id="rId1371" tooltip="Завантажити сертифікат" display="Завантажити сертифікат"/>
    <hyperlink ref="F1384" r:id="rId1372" tooltip="Завантажити сертифікат" display="Завантажити сертифікат"/>
    <hyperlink ref="F1385" r:id="rId1373" tooltip="Завантажити сертифікат" display="Завантажити сертифікат"/>
    <hyperlink ref="F1386" r:id="rId1374" tooltip="Завантажити сертифікат" display="Завантажити сертифікат"/>
    <hyperlink ref="F1387" r:id="rId1375" tooltip="Завантажити сертифікат" display="Завантажити сертифікат"/>
    <hyperlink ref="F1388" r:id="rId1376" tooltip="Завантажити сертифікат" display="Завантажити сертифікат"/>
    <hyperlink ref="F1389" r:id="rId1377" tooltip="Завантажити сертифікат" display="Завантажити сертифікат"/>
    <hyperlink ref="F1390" r:id="rId1378" tooltip="Завантажити сертифікат" display="Завантажити сертифікат"/>
    <hyperlink ref="F1391" r:id="rId1379" tooltip="Завантажити сертифікат" display="Завантажити сертифікат"/>
    <hyperlink ref="F1392" r:id="rId1380" tooltip="Завантажити сертифікат" display="Завантажити сертифікат"/>
    <hyperlink ref="F1393" r:id="rId1381" tooltip="Завантажити сертифікат" display="Завантажити сертифікат"/>
    <hyperlink ref="F1394" r:id="rId1382" tooltip="Завантажити сертифікат" display="Завантажити сертифікат"/>
    <hyperlink ref="F1395" r:id="rId1383" tooltip="Завантажити сертифікат" display="Завантажити сертифікат"/>
    <hyperlink ref="F1396" r:id="rId1384" tooltip="Завантажити сертифікат" display="Завантажити сертифікат"/>
    <hyperlink ref="F1397" r:id="rId1385" tooltip="Завантажити сертифікат" display="Завантажити сертифікат"/>
    <hyperlink ref="F1398" r:id="rId1386" tooltip="Завантажити сертифікат" display="Завантажити сертифікат"/>
    <hyperlink ref="F1399" r:id="rId1387" tooltip="Завантажити сертифікат" display="Завантажити сертифікат"/>
    <hyperlink ref="F1400" r:id="rId1388" tooltip="Завантажити сертифікат" display="Завантажити сертифікат"/>
    <hyperlink ref="F1401" r:id="rId1389" tooltip="Завантажити сертифікат" display="Завантажити сертифікат"/>
    <hyperlink ref="F1402" r:id="rId1390" tooltip="Завантажити сертифікат" display="Завантажити сертифікат"/>
    <hyperlink ref="F1403" r:id="rId1391" tooltip="Завантажити сертифікат" display="Завантажити сертифікат"/>
    <hyperlink ref="F1404" r:id="rId1392" tooltip="Завантажити сертифікат" display="Завантажити сертифікат"/>
    <hyperlink ref="F1405" r:id="rId1393" tooltip="Завантажити сертифікат" display="Завантажити сертифікат"/>
    <hyperlink ref="F1406" r:id="rId1394" tooltip="Завантажити сертифікат" display="Завантажити сертифікат"/>
    <hyperlink ref="F1407" r:id="rId1395" tooltip="Завантажити сертифікат" display="Завантажити сертифікат"/>
    <hyperlink ref="F1408" r:id="rId1396" tooltip="Завантажити сертифікат" display="Завантажити сертифікат"/>
    <hyperlink ref="F1409" r:id="rId1397" tooltip="Завантажити сертифікат" display="Завантажити сертифікат"/>
    <hyperlink ref="F1410" r:id="rId1398" tooltip="Завантажити сертифікат" display="Завантажити сертифікат"/>
    <hyperlink ref="F1411" r:id="rId1399" tooltip="Завантажити сертифікат" display="Завантажити сертифікат"/>
    <hyperlink ref="F1412" r:id="rId1400" tooltip="Завантажити сертифікат" display="Завантажити сертифікат"/>
    <hyperlink ref="F1413" r:id="rId1401" tooltip="Завантажити сертифікат" display="Завантажити сертифікат"/>
    <hyperlink ref="F1414" r:id="rId1402" tooltip="Завантажити сертифікат" display="Завантажити сертифікат"/>
    <hyperlink ref="F1415" r:id="rId1403" tooltip="Завантажити сертифікат" display="Завантажити сертифікат"/>
    <hyperlink ref="F1416" r:id="rId1404" tooltip="Завантажити сертифікат" display="Завантажити сертифікат"/>
    <hyperlink ref="F1417" r:id="rId1405" tooltip="Завантажити сертифікат" display="Завантажити сертифікат"/>
    <hyperlink ref="F1418" r:id="rId1406" tooltip="Завантажити сертифікат" display="Завантажити сертифікат"/>
    <hyperlink ref="F1419" r:id="rId1407" tooltip="Завантажити сертифікат" display="Завантажити сертифікат"/>
    <hyperlink ref="F1420" r:id="rId1408" tooltip="Завантажити сертифікат" display="Завантажити сертифікат"/>
    <hyperlink ref="F1421" r:id="rId1409" tooltip="Завантажити сертифікат" display="Завантажити сертифікат"/>
    <hyperlink ref="F1422" r:id="rId1410" tooltip="Завантажити сертифікат" display="Завантажити сертифікат"/>
    <hyperlink ref="F1423" r:id="rId1411" tooltip="Завантажити сертифікат" display="Завантажити сертифікат"/>
    <hyperlink ref="F1424" r:id="rId1412" tooltip="Завантажити сертифікат" display="Завантажити сертифікат"/>
    <hyperlink ref="F1425" r:id="rId1413" tooltip="Завантажити сертифікат" display="Завантажити сертифікат"/>
    <hyperlink ref="F1426" r:id="rId1414" tooltip="Завантажити сертифікат" display="Завантажити сертифікат"/>
    <hyperlink ref="F1427" r:id="rId1415" tooltip="Завантажити сертифікат" display="Завантажити сертифікат"/>
    <hyperlink ref="F1428" r:id="rId1416" tooltip="Завантажити сертифікат" display="Завантажити сертифікат"/>
    <hyperlink ref="F1429" r:id="rId1417" tooltip="Завантажити сертифікат" display="Завантажити сертифікат"/>
    <hyperlink ref="F1430" r:id="rId1418" tooltip="Завантажити сертифікат" display="Завантажити сертифікат"/>
    <hyperlink ref="F1431" r:id="rId1419" tooltip="Завантажити сертифікат" display="Завантажити сертифікат"/>
    <hyperlink ref="F1432" r:id="rId1420" tooltip="Завантажити сертифікат" display="Завантажити сертифікат"/>
    <hyperlink ref="F1433" r:id="rId1421" tooltip="Завантажити сертифікат" display="Завантажити сертифікат"/>
    <hyperlink ref="F1434" r:id="rId1422" tooltip="Завантажити сертифікат" display="Завантажити сертифікат"/>
    <hyperlink ref="F1435" r:id="rId1423" tooltip="Завантажити сертифікат" display="Завантажити сертифікат"/>
    <hyperlink ref="F1436" r:id="rId1424" tooltip="Завантажити сертифікат" display="Завантажити сертифікат"/>
    <hyperlink ref="F1437" r:id="rId1425" tooltip="Завантажити сертифікат" display="Завантажити сертифікат"/>
    <hyperlink ref="F1438" r:id="rId1426" tooltip="Завантажити сертифікат" display="Завантажити сертифікат"/>
    <hyperlink ref="F1439" r:id="rId1427" tooltip="Завантажити сертифікат" display="Завантажити сертифікат"/>
    <hyperlink ref="F1440" r:id="rId1428" tooltip="Завантажити сертифікат" display="Завантажити сертифікат"/>
    <hyperlink ref="F1441" r:id="rId1429" tooltip="Завантажити сертифікат" display="Завантажити сертифікат"/>
    <hyperlink ref="F1442" r:id="rId1430" tooltip="Завантажити сертифікат" display="Завантажити сертифікат"/>
    <hyperlink ref="F1443" r:id="rId1431" tooltip="Завантажити сертифікат" display="Завантажити сертифікат"/>
    <hyperlink ref="F1444" r:id="rId1432" tooltip="Завантажити сертифікат" display="Завантажити сертифікат"/>
    <hyperlink ref="F1445" r:id="rId1433" tooltip="Завантажити сертифікат" display="Завантажити сертифікат"/>
    <hyperlink ref="F1446" r:id="rId1434" tooltip="Завантажити сертифікат" display="Завантажити сертифікат"/>
    <hyperlink ref="F1447" r:id="rId1435" tooltip="Завантажити сертифікат" display="Завантажити сертифікат"/>
    <hyperlink ref="F1448" r:id="rId1436" tooltip="Завантажити сертифікат" display="Завантажити сертифікат"/>
    <hyperlink ref="F1449" r:id="rId1437" tooltip="Завантажити сертифікат" display="Завантажити сертифікат"/>
    <hyperlink ref="F1450" r:id="rId1438" tooltip="Завантажити сертифікат" display="Завантажити сертифікат"/>
    <hyperlink ref="F1451" r:id="rId1439" tooltip="Завантажити сертифікат" display="Завантажити сертифікат"/>
    <hyperlink ref="F1452" r:id="rId1440" tooltip="Завантажити сертифікат" display="Завантажити сертифікат"/>
    <hyperlink ref="F1453" r:id="rId1441" tooltip="Завантажити сертифікат" display="Завантажити сертифікат"/>
    <hyperlink ref="F1454" r:id="rId1442" tooltip="Завантажити сертифікат" display="Завантажити сертифікат"/>
    <hyperlink ref="F1455" r:id="rId1443" tooltip="Завантажити сертифікат" display="Завантажити сертифікат"/>
    <hyperlink ref="F1456" r:id="rId1444" tooltip="Завантажити сертифікат" display="Завантажити сертифікат"/>
    <hyperlink ref="F1457" r:id="rId1445" tooltip="Завантажити сертифікат" display="Завантажити сертифікат"/>
    <hyperlink ref="F1458" r:id="rId1446" tooltip="Завантажити сертифікат" display="Завантажити сертифікат"/>
    <hyperlink ref="F1459" r:id="rId1447" tooltip="Завантажити сертифікат" display="Завантажити сертифікат"/>
    <hyperlink ref="F1460" r:id="rId1448" tooltip="Завантажити сертифікат" display="Завантажити сертифікат"/>
    <hyperlink ref="F1461" r:id="rId1449" tooltip="Завантажити сертифікат" display="Завантажити сертифікат"/>
    <hyperlink ref="F1462" r:id="rId1450" tooltip="Завантажити сертифікат" display="Завантажити сертифікат"/>
    <hyperlink ref="F1463" r:id="rId1451" tooltip="Завантажити сертифікат" display="Завантажити сертифікат"/>
    <hyperlink ref="F1464" r:id="rId1452" tooltip="Завантажити сертифікат" display="Завантажити сертифікат"/>
    <hyperlink ref="F1465" r:id="rId1453" tooltip="Завантажити сертифікат" display="Завантажити сертифікат"/>
    <hyperlink ref="F1466" r:id="rId1454" tooltip="Завантажити сертифікат" display="Завантажити сертифікат"/>
    <hyperlink ref="F1467" r:id="rId1455" tooltip="Завантажити сертифікат" display="Завантажити сертифікат"/>
    <hyperlink ref="F1468" r:id="rId1456" tooltip="Завантажити сертифікат" display="Завантажити сертифікат"/>
    <hyperlink ref="F1469" r:id="rId1457" tooltip="Завантажити сертифікат" display="Завантажити сертифікат"/>
    <hyperlink ref="F1470" r:id="rId1458" tooltip="Завантажити сертифікат" display="Завантажити сертифікат"/>
    <hyperlink ref="F1471" r:id="rId1459" tooltip="Завантажити сертифікат" display="Завантажити сертифікат"/>
    <hyperlink ref="F1472" r:id="rId1460" tooltip="Завантажити сертифікат" display="Завантажити сертифікат"/>
    <hyperlink ref="F1473" r:id="rId1461" tooltip="Завантажити сертифікат" display="Завантажити сертифікат"/>
    <hyperlink ref="F1474" r:id="rId1462" tooltip="Завантажити сертифікат" display="Завантажити сертифікат"/>
    <hyperlink ref="F1475" r:id="rId1463" tooltip="Завантажити сертифікат" display="Завантажити сертифікат"/>
    <hyperlink ref="F1476" r:id="rId1464" tooltip="Завантажити сертифікат" display="Завантажити сертифікат"/>
    <hyperlink ref="F1477" r:id="rId1465" tooltip="Завантажити сертифікат" display="Завантажити сертифікат"/>
    <hyperlink ref="F1478" r:id="rId1466" tooltip="Завантажити сертифікат" display="Завантажити сертифікат"/>
    <hyperlink ref="F1479" r:id="rId1467" tooltip="Завантажити сертифікат" display="Завантажити сертифікат"/>
    <hyperlink ref="F1480" r:id="rId1468" tooltip="Завантажити сертифікат" display="Завантажити сертифікат"/>
    <hyperlink ref="F1481" r:id="rId1469" tooltip="Завантажити сертифікат" display="Завантажити сертифікат"/>
    <hyperlink ref="F1482" r:id="rId1470" tooltip="Завантажити сертифікат" display="Завантажити сертифікат"/>
    <hyperlink ref="F1483" r:id="rId1471" tooltip="Завантажити сертифікат" display="Завантажити сертифікат"/>
    <hyperlink ref="F1484" r:id="rId1472" tooltip="Завантажити сертифікат" display="Завантажити сертифікат"/>
    <hyperlink ref="F1485" r:id="rId1473" tooltip="Завантажити сертифікат" display="Завантажити сертифікат"/>
    <hyperlink ref="F1486" r:id="rId1474" tooltip="Завантажити сертифікат" display="Завантажити сертифікат"/>
    <hyperlink ref="F1487" r:id="rId1475" tooltip="Завантажити сертифікат" display="Завантажити сертифікат"/>
    <hyperlink ref="F1488" r:id="rId1476" tooltip="Завантажити сертифікат" display="Завантажити сертифікат"/>
    <hyperlink ref="F1489" r:id="rId1477" tooltip="Завантажити сертифікат" display="Завантажити сертифікат"/>
    <hyperlink ref="F1490" r:id="rId1478" tooltip="Завантажити сертифікат" display="Завантажити сертифікат"/>
    <hyperlink ref="F1491" r:id="rId1479" tooltip="Завантажити сертифікат" display="Завантажити сертифікат"/>
    <hyperlink ref="F1492" r:id="rId1480" tooltip="Завантажити сертифікат" display="Завантажити сертифікат"/>
    <hyperlink ref="F1493" r:id="rId1481" tooltip="Завантажити сертифікат" display="Завантажити сертифікат"/>
    <hyperlink ref="F1494" r:id="rId1482" tooltip="Завантажити сертифікат" display="Завантажити сертифікат"/>
    <hyperlink ref="F1495" r:id="rId1483" tooltip="Завантажити сертифікат" display="Завантажити сертифікат"/>
    <hyperlink ref="F1496" r:id="rId1484" tooltip="Завантажити сертифікат" display="Завантажити сертифікат"/>
    <hyperlink ref="F1497" r:id="rId1485" tooltip="Завантажити сертифікат" display="Завантажити сертифікат"/>
    <hyperlink ref="F1498" r:id="rId1486" tooltip="Завантажити сертифікат" display="Завантажити сертифікат"/>
    <hyperlink ref="F1499" r:id="rId1487" tooltip="Завантажити сертифікат" display="Завантажити сертифікат"/>
    <hyperlink ref="F1500" r:id="rId1488" tooltip="Завантажити сертифікат" display="Завантажити сертифікат"/>
    <hyperlink ref="F1501" r:id="rId1489" tooltip="Завантажити сертифікат" display="Завантажити сертифікат"/>
    <hyperlink ref="F1502" r:id="rId1490" tooltip="Завантажити сертифікат" display="Завантажити сертифікат"/>
    <hyperlink ref="F1503" r:id="rId1491" tooltip="Завантажити сертифікат" display="Завантажити сертифікат"/>
    <hyperlink ref="F1504" r:id="rId1492" tooltip="Завантажити сертифікат" display="Завантажити сертифікат"/>
    <hyperlink ref="F1505" r:id="rId1493" tooltip="Завантажити сертифікат" display="Завантажити сертифікат"/>
    <hyperlink ref="F1506" r:id="rId1494" tooltip="Завантажити сертифікат" display="Завантажити сертифікат"/>
    <hyperlink ref="F1507" r:id="rId1495" tooltip="Завантажити сертифікат" display="Завантажити сертифікат"/>
    <hyperlink ref="F1508" r:id="rId1496" tooltip="Завантажити сертифікат" display="Завантажити сертифікат"/>
    <hyperlink ref="F1509" r:id="rId1497" tooltip="Завантажити сертифікат" display="Завантажити сертифікат"/>
    <hyperlink ref="F1510" r:id="rId1498" tooltip="Завантажити сертифікат" display="Завантажити сертифікат"/>
    <hyperlink ref="F1511" r:id="rId1499" tooltip="Завантажити сертифікат" display="Завантажити сертифікат"/>
    <hyperlink ref="F1512" r:id="rId1500" tooltip="Завантажити сертифікат" display="Завантажити сертифікат"/>
    <hyperlink ref="F1513" r:id="rId1501" tooltip="Завантажити сертифікат" display="Завантажити сертифікат"/>
    <hyperlink ref="F1514" r:id="rId1502" tooltip="Завантажити сертифікат" display="Завантажити сертифікат"/>
    <hyperlink ref="F1515" r:id="rId1503" tooltip="Завантажити сертифікат" display="Завантажити сертифікат"/>
    <hyperlink ref="F1516" r:id="rId1504" tooltip="Завантажити сертифікат" display="Завантажити сертифікат"/>
    <hyperlink ref="F1517" r:id="rId1505" tooltip="Завантажити сертифікат" display="Завантажити сертифікат"/>
    <hyperlink ref="F1518" r:id="rId1506" tooltip="Завантажити сертифікат" display="Завантажити сертифікат"/>
    <hyperlink ref="F1519" r:id="rId1507" tooltip="Завантажити сертифікат" display="Завантажити сертифікат"/>
    <hyperlink ref="F1520" r:id="rId1508" tooltip="Завантажити сертифікат" display="Завантажити сертифікат"/>
    <hyperlink ref="F1521" r:id="rId1509" tooltip="Завантажити сертифікат" display="Завантажити сертифікат"/>
    <hyperlink ref="F1522" r:id="rId1510" tooltip="Завантажити сертифікат" display="Завантажити сертифікат"/>
    <hyperlink ref="F1523" r:id="rId1511" tooltip="Завантажити сертифікат" display="Завантажити сертифікат"/>
    <hyperlink ref="F1524" r:id="rId1512" tooltip="Завантажити сертифікат" display="Завантажити сертифікат"/>
    <hyperlink ref="F1525" r:id="rId1513" tooltip="Завантажити сертифікат" display="Завантажити сертифікат"/>
    <hyperlink ref="F1526" r:id="rId1514" tooltip="Завантажити сертифікат" display="Завантажити сертифікат"/>
    <hyperlink ref="F1527" r:id="rId1515" tooltip="Завантажити сертифікат" display="Завантажити сертифікат"/>
    <hyperlink ref="F1528" r:id="rId1516" tooltip="Завантажити сертифікат" display="Завантажити сертифікат"/>
    <hyperlink ref="F1529" r:id="rId1517" tooltip="Завантажити сертифікат" display="Завантажити сертифікат"/>
    <hyperlink ref="F1530" r:id="rId1518" tooltip="Завантажити сертифікат" display="Завантажити сертифікат"/>
    <hyperlink ref="F1531" r:id="rId1519" tooltip="Завантажити сертифікат" display="Завантажити сертифікат"/>
    <hyperlink ref="F1532" r:id="rId1520" tooltip="Завантажити сертифікат" display="Завантажити сертифікат"/>
    <hyperlink ref="F1533" r:id="rId1521" tooltip="Завантажити сертифікат" display="Завантажити сертифікат"/>
    <hyperlink ref="F1534" r:id="rId1522" tooltip="Завантажити сертифікат" display="Завантажити сертифікат"/>
    <hyperlink ref="F1535" r:id="rId1523" tooltip="Завантажити сертифікат" display="Завантажити сертифікат"/>
    <hyperlink ref="F1536" r:id="rId1524" tooltip="Завантажити сертифікат" display="Завантажити сертифікат"/>
    <hyperlink ref="F1537" r:id="rId1525" tooltip="Завантажити сертифікат" display="Завантажити сертифікат"/>
    <hyperlink ref="F1538" r:id="rId1526" tooltip="Завантажити сертифікат" display="Завантажити сертифікат"/>
    <hyperlink ref="F1539" r:id="rId1527" tooltip="Завантажити сертифікат" display="Завантажити сертифікат"/>
    <hyperlink ref="F1540" r:id="rId1528" tooltip="Завантажити сертифікат" display="Завантажити сертифікат"/>
    <hyperlink ref="F1541" r:id="rId1529" tooltip="Завантажити сертифікат" display="Завантажити сертифікат"/>
    <hyperlink ref="F1542" r:id="rId1530" tooltip="Завантажити сертифікат" display="Завантажити сертифікат"/>
    <hyperlink ref="F1543" r:id="rId1531" tooltip="Завантажити сертифікат" display="Завантажити сертифікат"/>
    <hyperlink ref="F1544" r:id="rId1532" tooltip="Завантажити сертифікат" display="Завантажити сертифікат"/>
    <hyperlink ref="F1545" r:id="rId1533" tooltip="Завантажити сертифікат" display="Завантажити сертифікат"/>
    <hyperlink ref="F1546" r:id="rId1534" tooltip="Завантажити сертифікат" display="Завантажити сертифікат"/>
    <hyperlink ref="F1547" r:id="rId1535" tooltip="Завантажити сертифікат" display="Завантажити сертифікат"/>
    <hyperlink ref="F1548" r:id="rId1536" tooltip="Завантажити сертифікат" display="Завантажити сертифікат"/>
    <hyperlink ref="F1549" r:id="rId1537" tooltip="Завантажити сертифікат" display="Завантажити сертифікат"/>
    <hyperlink ref="F1550" r:id="rId1538" tooltip="Завантажити сертифікат" display="Завантажити сертифікат"/>
    <hyperlink ref="F1551" r:id="rId1539" tooltip="Завантажити сертифікат" display="Завантажити сертифікат"/>
    <hyperlink ref="F1552" r:id="rId1540" tooltip="Завантажити сертифікат" display="Завантажити сертифікат"/>
    <hyperlink ref="F1553" r:id="rId1541" tooltip="Завантажити сертифікат" display="Завантажити сертифікат"/>
    <hyperlink ref="F1554" r:id="rId1542" tooltip="Завантажити сертифікат" display="Завантажити сертифікат"/>
    <hyperlink ref="F1555" r:id="rId1543" tooltip="Завантажити сертифікат" display="Завантажити сертифікат"/>
    <hyperlink ref="F1556" r:id="rId1544" tooltip="Завантажити сертифікат" display="Завантажити сертифікат"/>
    <hyperlink ref="F1557" r:id="rId1545" tooltip="Завантажити сертифікат" display="Завантажити сертифікат"/>
    <hyperlink ref="F1558" r:id="rId1546" tooltip="Завантажити сертифікат" display="Завантажити сертифікат"/>
    <hyperlink ref="F1559" r:id="rId1547" tooltip="Завантажити сертифікат" display="Завантажити сертифікат"/>
    <hyperlink ref="F1560" r:id="rId1548" tooltip="Завантажити сертифікат" display="Завантажити сертифікат"/>
    <hyperlink ref="F1561" r:id="rId1549" tooltip="Завантажити сертифікат" display="Завантажити сертифікат"/>
    <hyperlink ref="F1562" r:id="rId1550" tooltip="Завантажити сертифікат" display="Завантажити сертифікат"/>
    <hyperlink ref="F1563" r:id="rId1551" tooltip="Завантажити сертифікат" display="Завантажити сертифікат"/>
    <hyperlink ref="F1564" r:id="rId1552" tooltip="Завантажити сертифікат" display="Завантажити сертифікат"/>
    <hyperlink ref="F1565" r:id="rId1553" tooltip="Завантажити сертифікат" display="Завантажити сертифікат"/>
    <hyperlink ref="F1566" r:id="rId1554" tooltip="Завантажити сертифікат" display="Завантажити сертифікат"/>
    <hyperlink ref="F1567" r:id="rId1555" tooltip="Завантажити сертифікат" display="Завантажити сертифікат"/>
    <hyperlink ref="F1568" r:id="rId1556" tooltip="Завантажити сертифікат" display="Завантажити сертифікат"/>
    <hyperlink ref="F1569" r:id="rId1557" tooltip="Завантажити сертифікат" display="Завантажити сертифікат"/>
    <hyperlink ref="F1570" r:id="rId1558" tooltip="Завантажити сертифікат" display="Завантажити сертифікат"/>
    <hyperlink ref="F1571" r:id="rId1559" tooltip="Завантажити сертифікат" display="Завантажити сертифікат"/>
    <hyperlink ref="F1572" r:id="rId1560" tooltip="Завантажити сертифікат" display="Завантажити сертифікат"/>
    <hyperlink ref="F1573" r:id="rId1561" tooltip="Завантажити сертифікат" display="Завантажити сертифікат"/>
    <hyperlink ref="F1574" r:id="rId1562" tooltip="Завантажити сертифікат" display="Завантажити сертифікат"/>
    <hyperlink ref="F1575" r:id="rId1563" tooltip="Завантажити сертифікат" display="Завантажити сертифікат"/>
    <hyperlink ref="F1576" r:id="rId1564" tooltip="Завантажити сертифікат" display="Завантажити сертифікат"/>
    <hyperlink ref="F1577" r:id="rId1565" tooltip="Завантажити сертифікат" display="Завантажити сертифікат"/>
    <hyperlink ref="F1578" r:id="rId1566" tooltip="Завантажити сертифікат" display="Завантажити сертифікат"/>
    <hyperlink ref="F1579" r:id="rId1567" tooltip="Завантажити сертифікат" display="Завантажити сертифікат"/>
    <hyperlink ref="F1580" r:id="rId1568" tooltip="Завантажити сертифікат" display="Завантажити сертифікат"/>
    <hyperlink ref="F1581" r:id="rId1569" tooltip="Завантажити сертифікат" display="Завантажити сертифікат"/>
    <hyperlink ref="F1582" r:id="rId1570" tooltip="Завантажити сертифікат" display="Завантажити сертифікат"/>
    <hyperlink ref="F1583" r:id="rId1571" tooltip="Завантажити сертифікат" display="Завантажити сертифікат"/>
    <hyperlink ref="F1584" r:id="rId1572" tooltip="Завантажити сертифікат" display="Завантажити сертифікат"/>
    <hyperlink ref="F1585" r:id="rId1573" tooltip="Завантажити сертифікат" display="Завантажити сертифікат"/>
    <hyperlink ref="F1586" r:id="rId1574" tooltip="Завантажити сертифікат" display="Завантажити сертифікат"/>
    <hyperlink ref="F1587" r:id="rId1575" tooltip="Завантажити сертифікат" display="Завантажити сертифікат"/>
    <hyperlink ref="F1588" r:id="rId1576" tooltip="Завантажити сертифікат" display="Завантажити сертифікат"/>
    <hyperlink ref="F1589" r:id="rId1577" tooltip="Завантажити сертифікат" display="Завантажити сертифікат"/>
    <hyperlink ref="F1590" r:id="rId1578" tooltip="Завантажити сертифікат" display="Завантажити сертифікат"/>
    <hyperlink ref="F1591" r:id="rId1579" tooltip="Завантажити сертифікат" display="Завантажити сертифікат"/>
    <hyperlink ref="F1592" r:id="rId1580" tooltip="Завантажити сертифікат" display="Завантажити сертифікат"/>
    <hyperlink ref="F1593" r:id="rId1581" tooltip="Завантажити сертифікат" display="Завантажити сертифікат"/>
    <hyperlink ref="F1594" r:id="rId1582" tooltip="Завантажити сертифікат" display="Завантажити сертифікат"/>
    <hyperlink ref="F1595" r:id="rId1583" tooltip="Завантажити сертифікат" display="Завантажити сертифікат"/>
    <hyperlink ref="F1596" r:id="rId1584" tooltip="Завантажити сертифікат" display="Завантажити сертифікат"/>
    <hyperlink ref="F1597" r:id="rId1585" tooltip="Завантажити сертифікат" display="Завантажити сертифікат"/>
    <hyperlink ref="F1598" r:id="rId1586" tooltip="Завантажити сертифікат" display="Завантажити сертифікат"/>
    <hyperlink ref="F1599" r:id="rId1587" tooltip="Завантажити сертифікат" display="Завантажити сертифікат"/>
    <hyperlink ref="F1600" r:id="rId1588" tooltip="Завантажити сертифікат" display="Завантажити сертифікат"/>
    <hyperlink ref="F1601" r:id="rId1589" tooltip="Завантажити сертифікат" display="Завантажити сертифікат"/>
    <hyperlink ref="F1602" r:id="rId1590" tooltip="Завантажити сертифікат" display="Завантажити сертифікат"/>
    <hyperlink ref="F1603" r:id="rId1591" tooltip="Завантажити сертифікат" display="Завантажити сертифікат"/>
    <hyperlink ref="F1604" r:id="rId1592" tooltip="Завантажити сертифікат" display="Завантажити сертифікат"/>
    <hyperlink ref="F1605" r:id="rId1593" tooltip="Завантажити сертифікат" display="Завантажити сертифікат"/>
    <hyperlink ref="F1606" r:id="rId1594" tooltip="Завантажити сертифікат" display="Завантажити сертифікат"/>
    <hyperlink ref="F1607" r:id="rId1595" tooltip="Завантажити сертифікат" display="Завантажити сертифікат"/>
    <hyperlink ref="F1608" r:id="rId1596" tooltip="Завантажити сертифікат" display="Завантажити сертифікат"/>
    <hyperlink ref="F1609" r:id="rId1597" tooltip="Завантажити сертифікат" display="Завантажити сертифікат"/>
    <hyperlink ref="F1610" r:id="rId1598" tooltip="Завантажити сертифікат" display="Завантажити сертифікат"/>
    <hyperlink ref="F1611" r:id="rId1599" tooltip="Завантажити сертифікат" display="Завантажити сертифікат"/>
    <hyperlink ref="F1612" r:id="rId1600" tooltip="Завантажити сертифікат" display="Завантажити сертифікат"/>
    <hyperlink ref="F1613" r:id="rId1601" tooltip="Завантажити сертифікат" display="Завантажити сертифікат"/>
    <hyperlink ref="F1614" r:id="rId1602" tooltip="Завантажити сертифікат" display="Завантажити сертифікат"/>
    <hyperlink ref="F1615" r:id="rId1603" tooltip="Завантажити сертифікат" display="Завантажити сертифікат"/>
    <hyperlink ref="F1616" r:id="rId1604" tooltip="Завантажити сертифікат" display="Завантажити сертифікат"/>
    <hyperlink ref="F1617" r:id="rId1605" tooltip="Завантажити сертифікат" display="Завантажити сертифікат"/>
    <hyperlink ref="F1618" r:id="rId1606" tooltip="Завантажити сертифікат" display="Завантажити сертифікат"/>
    <hyperlink ref="F1619" r:id="rId1607" tooltip="Завантажити сертифікат" display="Завантажити сертифікат"/>
    <hyperlink ref="F1620" r:id="rId1608" tooltip="Завантажити сертифікат" display="Завантажити сертифікат"/>
    <hyperlink ref="F1621" r:id="rId1609" tooltip="Завантажити сертифікат" display="Завантажити сертифікат"/>
    <hyperlink ref="F1622" r:id="rId1610" tooltip="Завантажити сертифікат" display="Завантажити сертифікат"/>
    <hyperlink ref="F1623" r:id="rId1611" tooltip="Завантажити сертифікат" display="Завантажити сертифікат"/>
    <hyperlink ref="F1624" r:id="rId1612" tooltip="Завантажити сертифікат" display="Завантажити сертифікат"/>
    <hyperlink ref="F1625" r:id="rId1613" tooltip="Завантажити сертифікат" display="Завантажити сертифікат"/>
    <hyperlink ref="F1626" r:id="rId1614" tooltip="Завантажити сертифікат" display="Завантажити сертифікат"/>
    <hyperlink ref="F1627" r:id="rId1615" tooltip="Завантажити сертифікат" display="Завантажити сертифікат"/>
    <hyperlink ref="F1628" r:id="rId1616" tooltip="Завантажити сертифікат" display="Завантажити сертифікат"/>
    <hyperlink ref="F1629" r:id="rId1617" tooltip="Завантажити сертифікат" display="Завантажити сертифікат"/>
    <hyperlink ref="F1630" r:id="rId1618" tooltip="Завантажити сертифікат" display="Завантажити сертифікат"/>
    <hyperlink ref="F1631" r:id="rId1619" tooltip="Завантажити сертифікат" display="Завантажити сертифікат"/>
    <hyperlink ref="F1632" r:id="rId1620" tooltip="Завантажити сертифікат" display="Завантажити сертифікат"/>
    <hyperlink ref="F1633" r:id="rId1621" tooltip="Завантажити сертифікат" display="Завантажити сертифікат"/>
    <hyperlink ref="F1634" r:id="rId1622" tooltip="Завантажити сертифікат" display="Завантажити сертифікат"/>
    <hyperlink ref="F1635" r:id="rId1623" tooltip="Завантажити сертифікат" display="Завантажити сертифікат"/>
    <hyperlink ref="F1636" r:id="rId1624" tooltip="Завантажити сертифікат" display="Завантажити сертифікат"/>
    <hyperlink ref="F1637" r:id="rId1625" tooltip="Завантажити сертифікат" display="Завантажити сертифікат"/>
    <hyperlink ref="F1638" r:id="rId1626" tooltip="Завантажити сертифікат" display="Завантажити сертифікат"/>
    <hyperlink ref="F1639" r:id="rId1627" tooltip="Завантажити сертифікат" display="Завантажити сертифікат"/>
    <hyperlink ref="F1640" r:id="rId1628" tooltip="Завантажити сертифікат" display="Завантажити сертифікат"/>
    <hyperlink ref="F1641" r:id="rId1629" tooltip="Завантажити сертифікат" display="Завантажити сертифікат"/>
    <hyperlink ref="F1642" r:id="rId1630" tooltip="Завантажити сертифікат" display="Завантажити сертифікат"/>
    <hyperlink ref="F1643" r:id="rId1631" tooltip="Завантажити сертифікат" display="Завантажити сертифікат"/>
    <hyperlink ref="F1644" r:id="rId1632" tooltip="Завантажити сертифікат" display="Завантажити сертифікат"/>
    <hyperlink ref="F1645" r:id="rId1633" tooltip="Завантажити сертифікат" display="Завантажити сертифікат"/>
    <hyperlink ref="F1646" r:id="rId1634" tooltip="Завантажити сертифікат" display="Завантажити сертифікат"/>
    <hyperlink ref="F1647" r:id="rId1635" tooltip="Завантажити сертифікат" display="Завантажити сертифікат"/>
    <hyperlink ref="F1648" r:id="rId1636" tooltip="Завантажити сертифікат" display="Завантажити сертифікат"/>
    <hyperlink ref="F1649" r:id="rId1637" tooltip="Завантажити сертифікат" display="Завантажити сертифікат"/>
    <hyperlink ref="F1650" r:id="rId1638" tooltip="Завантажити сертифікат" display="Завантажити сертифікат"/>
    <hyperlink ref="F1651" r:id="rId1639" tooltip="Завантажити сертифікат" display="Завантажити сертифікат"/>
    <hyperlink ref="F1652" r:id="rId1640" tooltip="Завантажити сертифікат" display="Завантажити сертифікат"/>
    <hyperlink ref="F1653" r:id="rId1641" tooltip="Завантажити сертифікат" display="Завантажити сертифікат"/>
    <hyperlink ref="F1654" r:id="rId1642" tooltip="Завантажити сертифікат" display="Завантажити сертифікат"/>
    <hyperlink ref="F1655" r:id="rId1643" tooltip="Завантажити сертифікат" display="Завантажити сертифікат"/>
    <hyperlink ref="F1656" r:id="rId1644" tooltip="Завантажити сертифікат" display="Завантажити сертифікат"/>
    <hyperlink ref="F1657" r:id="rId1645" tooltip="Завантажити сертифікат" display="Завантажити сертифікат"/>
    <hyperlink ref="F1658" r:id="rId1646" tooltip="Завантажити сертифікат" display="Завантажити сертифікат"/>
    <hyperlink ref="F1659" r:id="rId1647" tooltip="Завантажити сертифікат" display="Завантажити сертифікат"/>
    <hyperlink ref="F1660" r:id="rId1648" tooltip="Завантажити сертифікат" display="Завантажити сертифікат"/>
    <hyperlink ref="F1661" r:id="rId1649" tooltip="Завантажити сертифікат" display="Завантажити сертифікат"/>
    <hyperlink ref="F1662" r:id="rId1650" tooltip="Завантажити сертифікат" display="Завантажити сертифікат"/>
    <hyperlink ref="F1663" r:id="rId1651" tooltip="Завантажити сертифікат" display="Завантажити сертифікат"/>
    <hyperlink ref="F1664" r:id="rId1652" tooltip="Завантажити сертифікат" display="Завантажити сертифікат"/>
    <hyperlink ref="F1665" r:id="rId1653" tooltip="Завантажити сертифікат" display="Завантажити сертифікат"/>
    <hyperlink ref="F1666" r:id="rId1654" tooltip="Завантажити сертифікат" display="Завантажити сертифікат"/>
    <hyperlink ref="F1667" r:id="rId1655" tooltip="Завантажити сертифікат" display="Завантажити сертифікат"/>
    <hyperlink ref="F1668" r:id="rId1656" tooltip="Завантажити сертифікат" display="Завантажити сертифікат"/>
    <hyperlink ref="F1669" r:id="rId1657" tooltip="Завантажити сертифікат" display="Завантажити сертифікат"/>
    <hyperlink ref="F1670" r:id="rId1658" tooltip="Завантажити сертифікат" display="Завантажити сертифікат"/>
    <hyperlink ref="F1671" r:id="rId1659" tooltip="Завантажити сертифікат" display="Завантажити сертифікат"/>
    <hyperlink ref="F1672" r:id="rId1660" tooltip="Завантажити сертифікат" display="Завантажити сертифікат"/>
    <hyperlink ref="F1673" r:id="rId1661" tooltip="Завантажити сертифікат" display="Завантажити сертифікат"/>
    <hyperlink ref="F1674" r:id="rId1662" tooltip="Завантажити сертифікат" display="Завантажити сертифікат"/>
    <hyperlink ref="F1675" r:id="rId1663" tooltip="Завантажити сертифікат" display="Завантажити сертифікат"/>
    <hyperlink ref="F1676" r:id="rId1664" tooltip="Завантажити сертифікат" display="Завантажити сертифікат"/>
    <hyperlink ref="F1677" r:id="rId1665" tooltip="Завантажити сертифікат" display="Завантажити сертифікат"/>
    <hyperlink ref="F1678" r:id="rId1666" tooltip="Завантажити сертифікат" display="Завантажити сертифікат"/>
    <hyperlink ref="F1679" r:id="rId1667" tooltip="Завантажити сертифікат" display="Завантажити сертифікат"/>
    <hyperlink ref="F1680" r:id="rId1668" tooltip="Завантажити сертифікат" display="Завантажити сертифікат"/>
    <hyperlink ref="F1681" r:id="rId1669" tooltip="Завантажити сертифікат" display="Завантажити сертифікат"/>
    <hyperlink ref="F1682" r:id="rId1670" tooltip="Завантажити сертифікат" display="Завантажити сертифікат"/>
    <hyperlink ref="F1683" r:id="rId1671" tooltip="Завантажити сертифікат" display="Завантажити сертифікат"/>
    <hyperlink ref="F1684" r:id="rId1672" tooltip="Завантажити сертифікат" display="Завантажити сертифікат"/>
    <hyperlink ref="F1685" r:id="rId1673" tooltip="Завантажити сертифікат" display="Завантажити сертифікат"/>
    <hyperlink ref="F1686" r:id="rId1674" tooltip="Завантажити сертифікат" display="Завантажити сертифікат"/>
    <hyperlink ref="F1687" r:id="rId1675" tooltip="Завантажити сертифікат" display="Завантажити сертифікат"/>
    <hyperlink ref="F1688" r:id="rId1676" tooltip="Завантажити сертифікат" display="Завантажити сертифікат"/>
    <hyperlink ref="F1689" r:id="rId1677" tooltip="Завантажити сертифікат" display="Завантажити сертифікат"/>
    <hyperlink ref="F1690" r:id="rId1678" tooltip="Завантажити сертифікат" display="Завантажити сертифікат"/>
    <hyperlink ref="F1691" r:id="rId1679" tooltip="Завантажити сертифікат" display="Завантажити сертифікат"/>
    <hyperlink ref="F1692" r:id="rId1680" tooltip="Завантажити сертифікат" display="Завантажити сертифікат"/>
    <hyperlink ref="F1693" r:id="rId1681" tooltip="Завантажити сертифікат" display="Завантажити сертифікат"/>
    <hyperlink ref="F1694" r:id="rId1682" tooltip="Завантажити сертифікат" display="Завантажити сертифікат"/>
    <hyperlink ref="F1695" r:id="rId1683" tooltip="Завантажити сертифікат" display="Завантажити сертифікат"/>
    <hyperlink ref="F1696" r:id="rId1684" tooltip="Завантажити сертифікат" display="Завантажити сертифікат"/>
    <hyperlink ref="F1697" r:id="rId1685" tooltip="Завантажити сертифікат" display="Завантажити сертифікат"/>
    <hyperlink ref="F1698" r:id="rId1686" tooltip="Завантажити сертифікат" display="Завантажити сертифікат"/>
    <hyperlink ref="F1699" r:id="rId1687" tooltip="Завантажити сертифікат" display="Завантажити сертифікат"/>
    <hyperlink ref="F1700" r:id="rId1688" tooltip="Завантажити сертифікат" display="Завантажити сертифікат"/>
    <hyperlink ref="F1701" r:id="rId1689" tooltip="Завантажити сертифікат" display="Завантажити сертифікат"/>
    <hyperlink ref="F1702" r:id="rId1690" tooltip="Завантажити сертифікат" display="Завантажити сертифікат"/>
    <hyperlink ref="F1703" r:id="rId1691" tooltip="Завантажити сертифікат" display="Завантажити сертифікат"/>
    <hyperlink ref="F1704" r:id="rId1692" tooltip="Завантажити сертифікат" display="Завантажити сертифікат"/>
    <hyperlink ref="F1705" r:id="rId1693" tooltip="Завантажити сертифікат" display="Завантажити сертифікат"/>
    <hyperlink ref="F1706" r:id="rId1694" tooltip="Завантажити сертифікат" display="Завантажити сертифікат"/>
    <hyperlink ref="F1707" r:id="rId1695" tooltip="Завантажити сертифікат" display="Завантажити сертифікат"/>
    <hyperlink ref="F1708" r:id="rId1696" tooltip="Завантажити сертифікат" display="Завантажити сертифікат"/>
    <hyperlink ref="F1709" r:id="rId1697" tooltip="Завантажити сертифікат" display="Завантажити сертифікат"/>
    <hyperlink ref="F1710" r:id="rId1698" tooltip="Завантажити сертифікат" display="Завантажити сертифікат"/>
    <hyperlink ref="F1711" r:id="rId1699" tooltip="Завантажити сертифікат" display="Завантажити сертифікат"/>
    <hyperlink ref="F1712" r:id="rId1700" tooltip="Завантажити сертифікат" display="Завантажити сертифікат"/>
    <hyperlink ref="F1713" r:id="rId1701" tooltip="Завантажити сертифікат" display="Завантажити сертифікат"/>
    <hyperlink ref="F1714" r:id="rId1702" tooltip="Завантажити сертифікат" display="Завантажити сертифікат"/>
    <hyperlink ref="F1715" r:id="rId1703" tooltip="Завантажити сертифікат" display="Завантажити сертифікат"/>
    <hyperlink ref="F1716" r:id="rId1704" tooltip="Завантажити сертифікат" display="Завантажити сертифікат"/>
    <hyperlink ref="F1717" r:id="rId1705" tooltip="Завантажити сертифікат" display="Завантажити сертифікат"/>
    <hyperlink ref="F1718" r:id="rId1706" tooltip="Завантажити сертифікат" display="Завантажити сертифікат"/>
    <hyperlink ref="F1719" r:id="rId1707" tooltip="Завантажити сертифікат" display="Завантажити сертифікат"/>
    <hyperlink ref="F1720" r:id="rId1708" tooltip="Завантажити сертифікат" display="Завантажити сертифікат"/>
    <hyperlink ref="F1721" r:id="rId1709" tooltip="Завантажити сертифікат" display="Завантажити сертифікат"/>
    <hyperlink ref="F1722" r:id="rId1710" tooltip="Завантажити сертифікат" display="Завантажити сертифікат"/>
    <hyperlink ref="F1723" r:id="rId1711" tooltip="Завантажити сертифікат" display="Завантажити сертифікат"/>
    <hyperlink ref="F1724" r:id="rId1712" tooltip="Завантажити сертифікат" display="Завантажити сертифікат"/>
    <hyperlink ref="F1725" r:id="rId1713" tooltip="Завантажити сертифікат" display="Завантажити сертифікат"/>
    <hyperlink ref="F1726" r:id="rId1714" tooltip="Завантажити сертифікат" display="Завантажити сертифікат"/>
    <hyperlink ref="F1727" r:id="rId1715" tooltip="Завантажити сертифікат" display="Завантажити сертифікат"/>
    <hyperlink ref="F1728" r:id="rId1716" tooltip="Завантажити сертифікат" display="Завантажити сертифікат"/>
    <hyperlink ref="F1729" r:id="rId1717" tooltip="Завантажити сертифікат" display="Завантажити сертифікат"/>
    <hyperlink ref="F1730" r:id="rId1718" tooltip="Завантажити сертифікат" display="Завантажити сертифікат"/>
    <hyperlink ref="F1731" r:id="rId1719" tooltip="Завантажити сертифікат" display="Завантажити сертифікат"/>
    <hyperlink ref="F1732" r:id="rId1720" tooltip="Завантажити сертифікат" display="Завантажити сертифікат"/>
    <hyperlink ref="F1733" r:id="rId1721" tooltip="Завантажити сертифікат" display="Завантажити сертифікат"/>
    <hyperlink ref="F1734" r:id="rId1722" tooltip="Завантажити сертифікат" display="Завантажити сертифікат"/>
    <hyperlink ref="F1735" r:id="rId1723" tooltip="Завантажити сертифікат" display="Завантажити сертифікат"/>
    <hyperlink ref="F1736" r:id="rId1724" tooltip="Завантажити сертифікат" display="Завантажити сертифікат"/>
    <hyperlink ref="F1737" r:id="rId1725" tooltip="Завантажити сертифікат" display="Завантажити сертифікат"/>
    <hyperlink ref="F1738" r:id="rId1726" tooltip="Завантажити сертифікат" display="Завантажити сертифікат"/>
    <hyperlink ref="F1739" r:id="rId1727" tooltip="Завантажити сертифікат" display="Завантажити сертифікат"/>
    <hyperlink ref="F1740" r:id="rId1728" tooltip="Завантажити сертифікат" display="Завантажити сертифікат"/>
    <hyperlink ref="F1741" r:id="rId1729" tooltip="Завантажити сертифікат" display="Завантажити сертифікат"/>
    <hyperlink ref="F1742" r:id="rId1730" tooltip="Завантажити сертифікат" display="Завантажити сертифікат"/>
    <hyperlink ref="F1743" r:id="rId1731" tooltip="Завантажити сертифікат" display="Завантажити сертифікат"/>
    <hyperlink ref="F1744" r:id="rId1732" tooltip="Завантажити сертифікат" display="Завантажити сертифікат"/>
    <hyperlink ref="F1745" r:id="rId1733" tooltip="Завантажити сертифікат" display="Завантажити сертифікат"/>
    <hyperlink ref="F1746" r:id="rId1734" tooltip="Завантажити сертифікат" display="Завантажити сертифікат"/>
    <hyperlink ref="F1747" r:id="rId1735" tooltip="Завантажити сертифікат" display="Завантажити сертифікат"/>
    <hyperlink ref="F1748" r:id="rId1736" tooltip="Завантажити сертифікат" display="Завантажити сертифікат"/>
    <hyperlink ref="F1749" r:id="rId1737" tooltip="Завантажити сертифікат" display="Завантажити сертифікат"/>
    <hyperlink ref="F1750" r:id="rId1738" tooltip="Завантажити сертифікат" display="Завантажити сертифікат"/>
    <hyperlink ref="F1751" r:id="rId1739" tooltip="Завантажити сертифікат" display="Завантажити сертифікат"/>
    <hyperlink ref="F1752" r:id="rId1740" tooltip="Завантажити сертифікат" display="Завантажити сертифікат"/>
    <hyperlink ref="F1753" r:id="rId1741" tooltip="Завантажити сертифікат" display="Завантажити сертифікат"/>
    <hyperlink ref="F1754" r:id="rId1742" tooltip="Завантажити сертифікат" display="Завантажити сертифікат"/>
    <hyperlink ref="F1755" r:id="rId1743" tooltip="Завантажити сертифікат" display="Завантажити сертифікат"/>
    <hyperlink ref="F1756" r:id="rId1744" tooltip="Завантажити сертифікат" display="Завантажити сертифікат"/>
    <hyperlink ref="F1757" r:id="rId1745" tooltip="Завантажити сертифікат" display="Завантажити сертифікат"/>
    <hyperlink ref="F1758" r:id="rId1746" tooltip="Завантажити сертифікат" display="Завантажити сертифікат"/>
    <hyperlink ref="F1759" r:id="rId1747" tooltip="Завантажити сертифікат" display="Завантажити сертифікат"/>
    <hyperlink ref="F1760" r:id="rId1748" tooltip="Завантажити сертифікат" display="Завантажити сертифікат"/>
    <hyperlink ref="F1761" r:id="rId1749" tooltip="Завантажити сертифікат" display="Завантажити сертифікат"/>
    <hyperlink ref="F1762" r:id="rId1750" tooltip="Завантажити сертифікат" display="Завантажити сертифікат"/>
    <hyperlink ref="F1763" r:id="rId1751" tooltip="Завантажити сертифікат" display="Завантажити сертифікат"/>
    <hyperlink ref="F1764" r:id="rId1752" tooltip="Завантажити сертифікат" display="Завантажити сертифікат"/>
    <hyperlink ref="F1765" r:id="rId1753" tooltip="Завантажити сертифікат" display="Завантажити сертифікат"/>
    <hyperlink ref="F1766" r:id="rId1754" tooltip="Завантажити сертифікат" display="Завантажити сертифікат"/>
    <hyperlink ref="F1767" r:id="rId1755" tooltip="Завантажити сертифікат" display="Завантажити сертифікат"/>
    <hyperlink ref="F1768" r:id="rId1756" tooltip="Завантажити сертифікат" display="Завантажити сертифікат"/>
    <hyperlink ref="F1769" r:id="rId1757" tooltip="Завантажити сертифікат" display="Завантажити сертифікат"/>
    <hyperlink ref="F1770" r:id="rId1758" tooltip="Завантажити сертифікат" display="Завантажити сертифікат"/>
    <hyperlink ref="F1771" r:id="rId1759" tooltip="Завантажити сертифікат" display="Завантажити сертифікат"/>
    <hyperlink ref="F1772" r:id="rId1760" tooltip="Завантажити сертифікат" display="Завантажити сертифікат"/>
    <hyperlink ref="F1773" r:id="rId1761" tooltip="Завантажити сертифікат" display="Завантажити сертифікат"/>
    <hyperlink ref="F1774" r:id="rId1762" tooltip="Завантажити сертифікат" display="Завантажити сертифікат"/>
    <hyperlink ref="F1775" r:id="rId1763" tooltip="Завантажити сертифікат" display="Завантажити сертифікат"/>
    <hyperlink ref="F1776" r:id="rId1764" tooltip="Завантажити сертифікат" display="Завантажити сертифікат"/>
    <hyperlink ref="F1777" r:id="rId1765" tooltip="Завантажити сертифікат" display="Завантажити сертифікат"/>
    <hyperlink ref="F1778" r:id="rId1766" tooltip="Завантажити сертифікат" display="Завантажити сертифікат"/>
    <hyperlink ref="F1779" r:id="rId1767" tooltip="Завантажити сертифікат" display="Завантажити сертифікат"/>
    <hyperlink ref="F1780" r:id="rId1768" tooltip="Завантажити сертифікат" display="Завантажити сертифікат"/>
    <hyperlink ref="F1781" r:id="rId1769" tooltip="Завантажити сертифікат" display="Завантажити сертифікат"/>
    <hyperlink ref="F1782" r:id="rId1770" tooltip="Завантажити сертифікат" display="Завантажити сертифікат"/>
    <hyperlink ref="F1783" r:id="rId1771" tooltip="Завантажити сертифікат" display="Завантажити сертифікат"/>
    <hyperlink ref="F1784" r:id="rId1772" tooltip="Завантажити сертифікат" display="Завантажити сертифікат"/>
    <hyperlink ref="F1785" r:id="rId1773" tooltip="Завантажити сертифікат" display="Завантажити сертифікат"/>
    <hyperlink ref="F1786" r:id="rId1774" tooltip="Завантажити сертифікат" display="Завантажити сертифікат"/>
    <hyperlink ref="F1787" r:id="rId1775" tooltip="Завантажити сертифікат" display="Завантажити сертифікат"/>
    <hyperlink ref="F1788" r:id="rId1776" tooltip="Завантажити сертифікат" display="Завантажити сертифікат"/>
    <hyperlink ref="F1789" r:id="rId1777" tooltip="Завантажити сертифікат" display="Завантажити сертифікат"/>
    <hyperlink ref="F1790" r:id="rId1778" tooltip="Завантажити сертифікат" display="Завантажити сертифікат"/>
    <hyperlink ref="F1791" r:id="rId1779" tooltip="Завантажити сертифікат" display="Завантажити сертифікат"/>
    <hyperlink ref="F1792" r:id="rId1780" tooltip="Завантажити сертифікат" display="Завантажити сертифікат"/>
    <hyperlink ref="F1793" r:id="rId1781" tooltip="Завантажити сертифікат" display="Завантажити сертифікат"/>
    <hyperlink ref="F1794" r:id="rId1782" tooltip="Завантажити сертифікат" display="Завантажити сертифікат"/>
    <hyperlink ref="F1795" r:id="rId1783" tooltip="Завантажити сертифікат" display="Завантажити сертифікат"/>
    <hyperlink ref="F1796" r:id="rId1784" tooltip="Завантажити сертифікат" display="Завантажити сертифікат"/>
    <hyperlink ref="F1797" r:id="rId1785" tooltip="Завантажити сертифікат" display="Завантажити сертифікат"/>
    <hyperlink ref="F1798" r:id="rId1786" tooltip="Завантажити сертифікат" display="Завантажити сертифікат"/>
    <hyperlink ref="F1799" r:id="rId1787" tooltip="Завантажити сертифікат" display="Завантажити сертифікат"/>
    <hyperlink ref="F1800" r:id="rId1788" tooltip="Завантажити сертифікат" display="Завантажити сертифікат"/>
    <hyperlink ref="F1801" r:id="rId1789" tooltip="Завантажити сертифікат" display="Завантажити сертифікат"/>
    <hyperlink ref="F1802" r:id="rId1790" tooltip="Завантажити сертифікат" display="Завантажити сертифікат"/>
    <hyperlink ref="F1803" r:id="rId1791" tooltip="Завантажити сертифікат" display="Завантажити сертифікат"/>
    <hyperlink ref="F1804" r:id="rId1792" tooltip="Завантажити сертифікат" display="Завантажити сертифікат"/>
    <hyperlink ref="F1805" r:id="rId1793" tooltip="Завантажити сертифікат" display="Завантажити сертифікат"/>
    <hyperlink ref="F1806" r:id="rId1794" tooltip="Завантажити сертифікат" display="Завантажити сертифікат"/>
    <hyperlink ref="F1807" r:id="rId1795" tooltip="Завантажити сертифікат" display="Завантажити сертифікат"/>
    <hyperlink ref="F1808" r:id="rId1796" tooltip="Завантажити сертифікат" display="Завантажити сертифікат"/>
    <hyperlink ref="F1809" r:id="rId1797" tooltip="Завантажити сертифікат" display="Завантажити сертифікат"/>
    <hyperlink ref="F1810" r:id="rId1798" tooltip="Завантажити сертифікат" display="Завантажити сертифікат"/>
    <hyperlink ref="F1811" r:id="rId1799" tooltip="Завантажити сертифікат" display="Завантажити сертифікат"/>
    <hyperlink ref="F1812" r:id="rId1800" tooltip="Завантажити сертифікат" display="Завантажити сертифікат"/>
    <hyperlink ref="F1813" r:id="rId1801" tooltip="Завантажити сертифікат" display="Завантажити сертифікат"/>
    <hyperlink ref="F1814" r:id="rId1802" tooltip="Завантажити сертифікат" display="Завантажити сертифікат"/>
    <hyperlink ref="F1815" r:id="rId1803" tooltip="Завантажити сертифікат" display="Завантажити сертифікат"/>
    <hyperlink ref="F1816" r:id="rId1804" tooltip="Завантажити сертифікат" display="Завантажити сертифікат"/>
    <hyperlink ref="F1817" r:id="rId1805" tooltip="Завантажити сертифікат" display="Завантажити сертифікат"/>
    <hyperlink ref="F1818" r:id="rId1806" tooltip="Завантажити сертифікат" display="Завантажити сертифікат"/>
    <hyperlink ref="F1819" r:id="rId1807" tooltip="Завантажити сертифікат" display="Завантажити сертифікат"/>
    <hyperlink ref="F1820" r:id="rId1808" tooltip="Завантажити сертифікат" display="Завантажити сертифікат"/>
    <hyperlink ref="F1821" r:id="rId1809" tooltip="Завантажити сертифікат" display="Завантажити сертифікат"/>
    <hyperlink ref="F1822" r:id="rId1810" tooltip="Завантажити сертифікат" display="Завантажити сертифікат"/>
    <hyperlink ref="F1823" r:id="rId1811" tooltip="Завантажити сертифікат" display="Завантажити сертифікат"/>
    <hyperlink ref="F1824" r:id="rId1812" tooltip="Завантажити сертифікат" display="Завантажити сертифікат"/>
    <hyperlink ref="F1825" r:id="rId1813" tooltip="Завантажити сертифікат" display="Завантажити сертифікат"/>
    <hyperlink ref="F1826" r:id="rId1814" tooltip="Завантажити сертифікат" display="Завантажити сертифікат"/>
    <hyperlink ref="F1827" r:id="rId1815" tooltip="Завантажити сертифікат" display="Завантажити сертифікат"/>
    <hyperlink ref="F1828" r:id="rId1816" tooltip="Завантажити сертифікат" display="Завантажити сертифікат"/>
    <hyperlink ref="F1829" r:id="rId1817" tooltip="Завантажити сертифікат" display="Завантажити сертифікат"/>
    <hyperlink ref="F1830" r:id="rId1818" tooltip="Завантажити сертифікат" display="Завантажити сертифікат"/>
    <hyperlink ref="F1831" r:id="rId1819" tooltip="Завантажити сертифікат" display="Завантажити сертифікат"/>
    <hyperlink ref="F1832" r:id="rId1820" tooltip="Завантажити сертифікат" display="Завантажити сертифікат"/>
    <hyperlink ref="F1833" r:id="rId1821" tooltip="Завантажити сертифікат" display="Завантажити сертифікат"/>
    <hyperlink ref="F1834" r:id="rId1822" tooltip="Завантажити сертифікат" display="Завантажити сертифікат"/>
    <hyperlink ref="F1835" r:id="rId1823" tooltip="Завантажити сертифікат" display="Завантажити сертифікат"/>
    <hyperlink ref="F1836" r:id="rId1824" tooltip="Завантажити сертифікат" display="Завантажити сертифікат"/>
    <hyperlink ref="F1837" r:id="rId1825" tooltip="Завантажити сертифікат" display="Завантажити сертифікат"/>
    <hyperlink ref="F1838" r:id="rId1826" tooltip="Завантажити сертифікат" display="Завантажити сертифікат"/>
    <hyperlink ref="F1839" r:id="rId1827" tooltip="Завантажити сертифікат" display="Завантажити сертифікат"/>
    <hyperlink ref="F1840" r:id="rId1828" tooltip="Завантажити сертифікат" display="Завантажити сертифікат"/>
    <hyperlink ref="F1841" r:id="rId1829" tooltip="Завантажити сертифікат" display="Завантажити сертифікат"/>
    <hyperlink ref="F1842" r:id="rId1830" tooltip="Завантажити сертифікат" display="Завантажити сертифікат"/>
    <hyperlink ref="F1843" r:id="rId1831" tooltip="Завантажити сертифікат" display="Завантажити сертифікат"/>
    <hyperlink ref="F1844" r:id="rId1832" tooltip="Завантажити сертифікат" display="Завантажити сертифікат"/>
    <hyperlink ref="F1845" r:id="rId1833" tooltip="Завантажити сертифікат" display="Завантажити сертифікат"/>
    <hyperlink ref="F1846" r:id="rId1834" tooltip="Завантажити сертифікат" display="Завантажити сертифікат"/>
    <hyperlink ref="F1847" r:id="rId1835" tooltip="Завантажити сертифікат" display="Завантажити сертифікат"/>
    <hyperlink ref="F1848" r:id="rId1836" tooltip="Завантажити сертифікат" display="Завантажити сертифікат"/>
    <hyperlink ref="F1849" r:id="rId1837" tooltip="Завантажити сертифікат" display="Завантажити сертифікат"/>
    <hyperlink ref="F1850" r:id="rId1838" tooltip="Завантажити сертифікат" display="Завантажити сертифікат"/>
    <hyperlink ref="F1851" r:id="rId1839" tooltip="Завантажити сертифікат" display="Завантажити сертифікат"/>
    <hyperlink ref="F1852" r:id="rId1840" tooltip="Завантажити сертифікат" display="Завантажити сертифікат"/>
    <hyperlink ref="F1853" r:id="rId1841" tooltip="Завантажити сертифікат" display="Завантажити сертифікат"/>
    <hyperlink ref="F1854" r:id="rId1842" tooltip="Завантажити сертифікат" display="Завантажити сертифікат"/>
    <hyperlink ref="F1855" r:id="rId1843" tooltip="Завантажити сертифікат" display="Завантажити сертифікат"/>
    <hyperlink ref="F1856" r:id="rId1844" tooltip="Завантажити сертифікат" display="Завантажити сертифікат"/>
    <hyperlink ref="F1857" r:id="rId1845" tooltip="Завантажити сертифікат" display="Завантажити сертифікат"/>
    <hyperlink ref="F1858" r:id="rId1846" tooltip="Завантажити сертифікат" display="Завантажити сертифікат"/>
    <hyperlink ref="F1859" r:id="rId1847" tooltip="Завантажити сертифікат" display="Завантажити сертифікат"/>
    <hyperlink ref="F1860" r:id="rId1848" tooltip="Завантажити сертифікат" display="Завантажити сертифікат"/>
    <hyperlink ref="F1861" r:id="rId1849" tooltip="Завантажити сертифікат" display="Завантажити сертифікат"/>
    <hyperlink ref="F1862" r:id="rId1850" tooltip="Завантажити сертифікат" display="Завантажити сертифікат"/>
    <hyperlink ref="F1863" r:id="rId1851" tooltip="Завантажити сертифікат" display="Завантажити сертифікат"/>
    <hyperlink ref="F1864" r:id="rId1852" tooltip="Завантажити сертифікат" display="Завантажити сертифікат"/>
    <hyperlink ref="F1865" r:id="rId1853" tooltip="Завантажити сертифікат" display="Завантажити сертифікат"/>
    <hyperlink ref="F1866" r:id="rId1854" tooltip="Завантажити сертифікат" display="Завантажити сертифікат"/>
    <hyperlink ref="F1867" r:id="rId1855" tooltip="Завантажити сертифікат" display="Завантажити сертифікат"/>
    <hyperlink ref="F1868" r:id="rId1856" tooltip="Завантажити сертифікат" display="Завантажити сертифікат"/>
    <hyperlink ref="F1869" r:id="rId1857" tooltip="Завантажити сертифікат" display="Завантажити сертифікат"/>
    <hyperlink ref="F1870" r:id="rId1858" tooltip="Завантажити сертифікат" display="Завантажити сертифікат"/>
    <hyperlink ref="F1871" r:id="rId1859" tooltip="Завантажити сертифікат" display="Завантажити сертифікат"/>
    <hyperlink ref="F1872" r:id="rId1860" tooltip="Завантажити сертифікат" display="Завантажити сертифікат"/>
    <hyperlink ref="F1873" r:id="rId1861" tooltip="Завантажити сертифікат" display="Завантажити сертифікат"/>
    <hyperlink ref="F1874" r:id="rId1862" tooltip="Завантажити сертифікат" display="Завантажити сертифікат"/>
    <hyperlink ref="F1875" r:id="rId1863" tooltip="Завантажити сертифікат" display="Завантажити сертифікат"/>
    <hyperlink ref="F1876" r:id="rId1864" tooltip="Завантажити сертифікат" display="Завантажити сертифікат"/>
    <hyperlink ref="F1877" r:id="rId1865" tooltip="Завантажити сертифікат" display="Завантажити сертифікат"/>
    <hyperlink ref="F1878" r:id="rId1866" tooltip="Завантажити сертифікат" display="Завантажити сертифікат"/>
    <hyperlink ref="F1879" r:id="rId1867" tooltip="Завантажити сертифікат" display="Завантажити сертифікат"/>
    <hyperlink ref="F1880" r:id="rId1868" tooltip="Завантажити сертифікат" display="Завантажити сертифікат"/>
    <hyperlink ref="F1881" r:id="rId1869" tooltip="Завантажити сертифікат" display="Завантажити сертифікат"/>
    <hyperlink ref="F1882" r:id="rId1870" tooltip="Завантажити сертифікат" display="Завантажити сертифікат"/>
    <hyperlink ref="F1883" r:id="rId1871" tooltip="Завантажити сертифікат" display="Завантажити сертифікат"/>
    <hyperlink ref="F1884" r:id="rId1872" tooltip="Завантажити сертифікат" display="Завантажити сертифікат"/>
    <hyperlink ref="F1885" r:id="rId1873" tooltip="Завантажити сертифікат" display="Завантажити сертифікат"/>
    <hyperlink ref="F1886" r:id="rId1874" tooltip="Завантажити сертифікат" display="Завантажити сертифікат"/>
    <hyperlink ref="F1887" r:id="rId1875" tooltip="Завантажити сертифікат" display="Завантажити сертифікат"/>
    <hyperlink ref="F1888" r:id="rId1876" tooltip="Завантажити сертифікат" display="Завантажити сертифікат"/>
    <hyperlink ref="F1889" r:id="rId1877" tooltip="Завантажити сертифікат" display="Завантажити сертифікат"/>
    <hyperlink ref="F1890" r:id="rId1878" tooltip="Завантажити сертифікат" display="Завантажити сертифікат"/>
    <hyperlink ref="F1891" r:id="rId1879" tooltip="Завантажити сертифікат" display="Завантажити сертифікат"/>
    <hyperlink ref="F1892" r:id="rId1880" tooltip="Завантажити сертифікат" display="Завантажити сертифікат"/>
    <hyperlink ref="F1893" r:id="rId1881" tooltip="Завантажити сертифікат" display="Завантажити сертифікат"/>
    <hyperlink ref="F1894" r:id="rId1882" tooltip="Завантажити сертифікат" display="Завантажити сертифікат"/>
    <hyperlink ref="F1895" r:id="rId1883" tooltip="Завантажити сертифікат" display="Завантажити сертифікат"/>
    <hyperlink ref="F1896" r:id="rId1884" tooltip="Завантажити сертифікат" display="Завантажити сертифікат"/>
    <hyperlink ref="F1897" r:id="rId1885" tooltip="Завантажити сертифікат" display="Завантажити сертифікат"/>
    <hyperlink ref="F1898" r:id="rId1886" tooltip="Завантажити сертифікат" display="Завантажити сертифікат"/>
    <hyperlink ref="F1899" r:id="rId1887" tooltip="Завантажити сертифікат" display="Завантажити сертифікат"/>
    <hyperlink ref="F1900" r:id="rId1888" tooltip="Завантажити сертифікат" display="Завантажити сертифікат"/>
    <hyperlink ref="F1901" r:id="rId1889" tooltip="Завантажити сертифікат" display="Завантажити сертифікат"/>
    <hyperlink ref="F1902" r:id="rId1890" tooltip="Завантажити сертифікат" display="Завантажити сертифікат"/>
    <hyperlink ref="F1903" r:id="rId1891" tooltip="Завантажити сертифікат" display="Завантажити сертифікат"/>
    <hyperlink ref="F1904" r:id="rId1892" tooltip="Завантажити сертифікат" display="Завантажити сертифікат"/>
    <hyperlink ref="F1905" r:id="rId1893" tooltip="Завантажити сертифікат" display="Завантажити сертифікат"/>
    <hyperlink ref="F1906" r:id="rId1894" tooltip="Завантажити сертифікат" display="Завантажити сертифікат"/>
    <hyperlink ref="F1907" r:id="rId1895" tooltip="Завантажити сертифікат" display="Завантажити сертифікат"/>
    <hyperlink ref="F1908" r:id="rId1896" tooltip="Завантажити сертифікат" display="Завантажити сертифікат"/>
    <hyperlink ref="F1909" r:id="rId1897" tooltip="Завантажити сертифікат" display="Завантажити сертифікат"/>
    <hyperlink ref="F1910" r:id="rId1898" tooltip="Завантажити сертифікат" display="Завантажити сертифікат"/>
    <hyperlink ref="F1911" r:id="rId1899" tooltip="Завантажити сертифікат" display="Завантажити сертифікат"/>
    <hyperlink ref="F1912" r:id="rId1900" tooltip="Завантажити сертифікат" display="Завантажити сертифікат"/>
    <hyperlink ref="F1913" r:id="rId1901" tooltip="Завантажити сертифікат" display="Завантажити сертифікат"/>
    <hyperlink ref="F1914" r:id="rId1902" tooltip="Завантажити сертифікат" display="Завантажити сертифікат"/>
    <hyperlink ref="F1915" r:id="rId1903" tooltip="Завантажити сертифікат" display="Завантажити сертифікат"/>
    <hyperlink ref="F1916" r:id="rId1904" tooltip="Завантажити сертифікат" display="Завантажити сертифікат"/>
    <hyperlink ref="F1917" r:id="rId1905" tooltip="Завантажити сертифікат" display="Завантажити сертифікат"/>
    <hyperlink ref="F1918" r:id="rId1906" tooltip="Завантажити сертифікат" display="Завантажити сертифікат"/>
    <hyperlink ref="F1919" r:id="rId1907" tooltip="Завантажити сертифікат" display="Завантажити сертифікат"/>
    <hyperlink ref="F1920" r:id="rId1908" tooltip="Завантажити сертифікат" display="Завантажити сертифікат"/>
    <hyperlink ref="F1921" r:id="rId1909" tooltip="Завантажити сертифікат" display="Завантажити сертифікат"/>
    <hyperlink ref="F1922" r:id="rId1910" tooltip="Завантажити сертифікат" display="Завантажити сертифікат"/>
    <hyperlink ref="F1923" r:id="rId1911" tooltip="Завантажити сертифікат" display="Завантажити сертифікат"/>
    <hyperlink ref="F1924" r:id="rId1912" tooltip="Завантажити сертифікат" display="Завантажити сертифікат"/>
    <hyperlink ref="F1925" r:id="rId1913" tooltip="Завантажити сертифікат" display="Завантажити сертифікат"/>
    <hyperlink ref="F1926" r:id="rId1914" tooltip="Завантажити сертифікат" display="Завантажити сертифікат"/>
    <hyperlink ref="F1927" r:id="rId1915" tooltip="Завантажити сертифікат" display="Завантажити сертифікат"/>
    <hyperlink ref="F1928" r:id="rId1916" tooltip="Завантажити сертифікат" display="Завантажити сертифікат"/>
    <hyperlink ref="F1929" r:id="rId1917" tooltip="Завантажити сертифікат" display="Завантажити сертифікат"/>
    <hyperlink ref="F1930" r:id="rId1918" tooltip="Завантажити сертифікат" display="Завантажити сертифікат"/>
    <hyperlink ref="F1931" r:id="rId1919" tooltip="Завантажити сертифікат" display="Завантажити сертифікат"/>
    <hyperlink ref="F1932" r:id="rId1920" tooltip="Завантажити сертифікат" display="Завантажити сертифікат"/>
    <hyperlink ref="F1933" r:id="rId1921" tooltip="Завантажити сертифікат" display="Завантажити сертифікат"/>
    <hyperlink ref="F1934" r:id="rId1922" tooltip="Завантажити сертифікат" display="Завантажити сертифікат"/>
    <hyperlink ref="F1935" r:id="rId1923" tooltip="Завантажити сертифікат" display="Завантажити сертифікат"/>
    <hyperlink ref="F1936" r:id="rId1924" tooltip="Завантажити сертифікат" display="Завантажити сертифікат"/>
    <hyperlink ref="F1937" r:id="rId1925" tooltip="Завантажити сертифікат" display="Завантажити сертифікат"/>
    <hyperlink ref="F1938" r:id="rId1926" tooltip="Завантажити сертифікат" display="Завантажити сертифікат"/>
    <hyperlink ref="F1939" r:id="rId1927" tooltip="Завантажити сертифікат" display="Завантажити сертифікат"/>
    <hyperlink ref="F1940" r:id="rId1928" tooltip="Завантажити сертифікат" display="Завантажити сертифікат"/>
    <hyperlink ref="F1941" r:id="rId1929" tooltip="Завантажити сертифікат" display="Завантажити сертифікат"/>
    <hyperlink ref="F1942" r:id="rId1930" tooltip="Завантажити сертифікат" display="Завантажити сертифікат"/>
    <hyperlink ref="F1943" r:id="rId1931" tooltip="Завантажити сертифікат" display="Завантажити сертифікат"/>
    <hyperlink ref="F1944" r:id="rId1932" tooltip="Завантажити сертифікат" display="Завантажити сертифікат"/>
    <hyperlink ref="F1945" r:id="rId1933" tooltip="Завантажити сертифікат" display="Завантажити сертифікат"/>
    <hyperlink ref="F1946" r:id="rId1934" tooltip="Завантажити сертифікат" display="Завантажити сертифікат"/>
    <hyperlink ref="F1947" r:id="rId1935" tooltip="Завантажити сертифікат" display="Завантажити сертифікат"/>
    <hyperlink ref="F1948" r:id="rId1936" tooltip="Завантажити сертифікат" display="Завантажити сертифікат"/>
    <hyperlink ref="F1949" r:id="rId1937" tooltip="Завантажити сертифікат" display="Завантажити сертифікат"/>
    <hyperlink ref="F1950" r:id="rId1938" tooltip="Завантажити сертифікат" display="Завантажити сертифікат"/>
    <hyperlink ref="F1951" r:id="rId1939" tooltip="Завантажити сертифікат" display="Завантажити сертифікат"/>
    <hyperlink ref="F1952" r:id="rId1940" tooltip="Завантажити сертифікат" display="Завантажити сертифікат"/>
    <hyperlink ref="F1953" r:id="rId1941" tooltip="Завантажити сертифікат" display="Завантажити сертифікат"/>
    <hyperlink ref="F1954" r:id="rId1942" tooltip="Завантажити сертифікат" display="Завантажити сертифікат"/>
    <hyperlink ref="F1955" r:id="rId1943" tooltip="Завантажити сертифікат" display="Завантажити сертифікат"/>
    <hyperlink ref="F1956" r:id="rId1944" tooltip="Завантажити сертифікат" display="Завантажити сертифікат"/>
    <hyperlink ref="F1957" r:id="rId1945" tooltip="Завантажити сертифікат" display="Завантажити сертифікат"/>
    <hyperlink ref="F1958" r:id="rId1946" tooltip="Завантажити сертифікат" display="Завантажити сертифікат"/>
    <hyperlink ref="F1959" r:id="rId1947" tooltip="Завантажити сертифікат" display="Завантажити сертифікат"/>
    <hyperlink ref="F1960" r:id="rId1948" tooltip="Завантажити сертифікат" display="Завантажити сертифікат"/>
    <hyperlink ref="F1961" r:id="rId1949" tooltip="Завантажити сертифікат" display="Завантажити сертифікат"/>
    <hyperlink ref="F1962" r:id="rId1950" tooltip="Завантажити сертифікат" display="Завантажити сертифікат"/>
    <hyperlink ref="F1963" r:id="rId1951" tooltip="Завантажити сертифікат" display="Завантажити сертифікат"/>
    <hyperlink ref="F1964" r:id="rId1952" tooltip="Завантажити сертифікат" display="Завантажити сертифікат"/>
    <hyperlink ref="F1965" r:id="rId1953" tooltip="Завантажити сертифікат" display="Завантажити сертифікат"/>
    <hyperlink ref="F1966" r:id="rId1954" tooltip="Завантажити сертифікат" display="Завантажити сертифікат"/>
    <hyperlink ref="F1967" r:id="rId1955" tooltip="Завантажити сертифікат" display="Завантажити сертифікат"/>
    <hyperlink ref="F1968" r:id="rId1956" tooltip="Завантажити сертифікат" display="Завантажити сертифікат"/>
    <hyperlink ref="F1969" r:id="rId1957" tooltip="Завантажити сертифікат" display="Завантажити сертифікат"/>
    <hyperlink ref="F1970" r:id="rId1958" tooltip="Завантажити сертифікат" display="Завантажити сертифікат"/>
    <hyperlink ref="F1971" r:id="rId1959" tooltip="Завантажити сертифікат" display="Завантажити сертифікат"/>
    <hyperlink ref="F1972" r:id="rId1960" tooltip="Завантажити сертифікат" display="Завантажити сертифікат"/>
    <hyperlink ref="F1973" r:id="rId1961" tooltip="Завантажити сертифікат" display="Завантажити сертифікат"/>
    <hyperlink ref="F1974" r:id="rId1962" tooltip="Завантажити сертифікат" display="Завантажити сертифікат"/>
    <hyperlink ref="F1975" r:id="rId1963" tooltip="Завантажити сертифікат" display="Завантажити сертифікат"/>
    <hyperlink ref="F1976" r:id="rId1964" tooltip="Завантажити сертифікат" display="Завантажити сертифікат"/>
    <hyperlink ref="F1977" r:id="rId1965" tooltip="Завантажити сертифікат" display="Завантажити сертифікат"/>
    <hyperlink ref="F1978" r:id="rId1966" tooltip="Завантажити сертифікат" display="Завантажити сертифікат"/>
    <hyperlink ref="F1979" r:id="rId1967" tooltip="Завантажити сертифікат" display="Завантажити сертифікат"/>
    <hyperlink ref="F1980" r:id="rId1968" tooltip="Завантажити сертифікат" display="Завантажити сертифікат"/>
    <hyperlink ref="F1981" r:id="rId1969" tooltip="Завантажити сертифікат" display="Завантажити сертифікат"/>
    <hyperlink ref="F1982" r:id="rId1970" tooltip="Завантажити сертифікат" display="Завантажити сертифікат"/>
    <hyperlink ref="F1983" r:id="rId1971" tooltip="Завантажити сертифікат" display="Завантажити сертифікат"/>
    <hyperlink ref="F1984" r:id="rId1972" tooltip="Завантажити сертифікат" display="Завантажити сертифікат"/>
    <hyperlink ref="F1985" r:id="rId1973" tooltip="Завантажити сертифікат" display="Завантажити сертифікат"/>
    <hyperlink ref="F1986" r:id="rId1974" tooltip="Завантажити сертифікат" display="Завантажити сертифікат"/>
    <hyperlink ref="F1987" r:id="rId1975" tooltip="Завантажити сертифікат" display="Завантажити сертифікат"/>
    <hyperlink ref="F1988" r:id="rId1976" tooltip="Завантажити сертифікат" display="Завантажити сертифікат"/>
    <hyperlink ref="F1989" r:id="rId1977" tooltip="Завантажити сертифікат" display="Завантажити сертифікат"/>
    <hyperlink ref="F1990" r:id="rId1978" tooltip="Завантажити сертифікат" display="Завантажити сертифікат"/>
    <hyperlink ref="F1991" r:id="rId1979" tooltip="Завантажити сертифікат" display="Завантажити сертифікат"/>
    <hyperlink ref="F1992" r:id="rId1980" tooltip="Завантажити сертифікат" display="Завантажити сертифікат"/>
    <hyperlink ref="F1993" r:id="rId1981" tooltip="Завантажити сертифікат" display="Завантажити сертифікат"/>
    <hyperlink ref="F1994" r:id="rId1982" tooltip="Завантажити сертифікат" display="Завантажити сертифікат"/>
    <hyperlink ref="F1995" r:id="rId1983" tooltip="Завантажити сертифікат" display="Завантажити сертифікат"/>
    <hyperlink ref="F1996" r:id="rId1984" tooltip="Завантажити сертифікат" display="Завантажити сертифікат"/>
    <hyperlink ref="F1997" r:id="rId1985" tooltip="Завантажити сертифікат" display="Завантажити сертифікат"/>
    <hyperlink ref="F1998" r:id="rId1986" tooltip="Завантажити сертифікат" display="Завантажити сертифікат"/>
    <hyperlink ref="F1999" r:id="rId1987" tooltip="Завантажити сертифікат" display="Завантажити сертифікат"/>
    <hyperlink ref="F2000" r:id="rId1988" tooltip="Завантажити сертифікат" display="Завантажити сертифікат"/>
    <hyperlink ref="F2001" r:id="rId1989" tooltip="Завантажити сертифікат" display="Завантажити сертифікат"/>
    <hyperlink ref="F2002" r:id="rId1990" tooltip="Завантажити сертифікат" display="Завантажити сертифікат"/>
    <hyperlink ref="F2003" r:id="rId1991" tooltip="Завантажити сертифікат" display="Завантажити сертифікат"/>
    <hyperlink ref="F2004" r:id="rId1992" tooltip="Завантажити сертифікат" display="Завантажити сертифікат"/>
    <hyperlink ref="F2005" r:id="rId1993" tooltip="Завантажити сертифікат" display="Завантажити сертифікат"/>
    <hyperlink ref="F2006" r:id="rId1994" tooltip="Завантажити сертифікат" display="Завантажити сертифікат"/>
    <hyperlink ref="F2007" r:id="rId1995" tooltip="Завантажити сертифікат" display="Завантажити сертифікат"/>
    <hyperlink ref="F2008" r:id="rId1996" tooltip="Завантажити сертифікат" display="Завантажити сертифікат"/>
    <hyperlink ref="F2009" r:id="rId1997" tooltip="Завантажити сертифікат" display="Завантажити сертифікат"/>
    <hyperlink ref="F2010" r:id="rId1998" tooltip="Завантажити сертифікат" display="Завантажити сертифікат"/>
    <hyperlink ref="F2011" r:id="rId1999" tooltip="Завантажити сертифікат" display="Завантажити сертифікат"/>
    <hyperlink ref="F2012" r:id="rId2000" tooltip="Завантажити сертифікат" display="Завантажити сертифікат"/>
    <hyperlink ref="F2013" r:id="rId2001" tooltip="Завантажити сертифікат" display="Завантажити сертифікат"/>
    <hyperlink ref="F2014" r:id="rId2002" tooltip="Завантажити сертифікат" display="Завантажити сертифікат"/>
    <hyperlink ref="F2015" r:id="rId2003" tooltip="Завантажити сертифікат" display="Завантажити сертифікат"/>
    <hyperlink ref="F2016" r:id="rId2004" tooltip="Завантажити сертифікат" display="Завантажити сертифікат"/>
    <hyperlink ref="F2017" r:id="rId2005" tooltip="Завантажити сертифікат" display="Завантажити сертифікат"/>
    <hyperlink ref="F2018" r:id="rId2006" tooltip="Завантажити сертифікат" display="Завантажити сертифікат"/>
    <hyperlink ref="F2019" r:id="rId2007" tooltip="Завантажити сертифікат" display="Завантажити сертифікат"/>
    <hyperlink ref="F2020" r:id="rId2008" tooltip="Завантажити сертифікат" display="Завантажити сертифікат"/>
    <hyperlink ref="F2021" r:id="rId2009" tooltip="Завантажити сертифікат" display="Завантажити сертифікат"/>
    <hyperlink ref="F2022" r:id="rId2010" tooltip="Завантажити сертифікат" display="Завантажити сертифікат"/>
    <hyperlink ref="F2023" r:id="rId2011" tooltip="Завантажити сертифікат" display="Завантажити сертифікат"/>
    <hyperlink ref="F2024" r:id="rId2012" tooltip="Завантажити сертифікат" display="Завантажити сертифікат"/>
    <hyperlink ref="F2025" r:id="rId2013" tooltip="Завантажити сертифікат" display="Завантажити сертифікат"/>
    <hyperlink ref="F2026" r:id="rId2014" tooltip="Завантажити сертифікат" display="Завантажити сертифікат"/>
    <hyperlink ref="F2027" r:id="rId2015" tooltip="Завантажити сертифікат" display="Завантажити сертифікат"/>
    <hyperlink ref="F2028" r:id="rId2016" tooltip="Завантажити сертифікат" display="Завантажити сертифікат"/>
    <hyperlink ref="F2029" r:id="rId2017" tooltip="Завантажити сертифікат" display="Завантажити сертифікат"/>
    <hyperlink ref="F2030" r:id="rId2018" tooltip="Завантажити сертифікат" display="Завантажити сертифікат"/>
    <hyperlink ref="F2031" r:id="rId2019" tooltip="Завантажити сертифікат" display="Завантажити сертифікат"/>
    <hyperlink ref="F2032" r:id="rId2020" tooltip="Завантажити сертифікат" display="Завантажити сертифікат"/>
    <hyperlink ref="F2033" r:id="rId2021" tooltip="Завантажити сертифікат" display="Завантажити сертифікат"/>
    <hyperlink ref="F2034" r:id="rId2022" tooltip="Завантажити сертифікат" display="Завантажити сертифікат"/>
    <hyperlink ref="F2035" r:id="rId2023" tooltip="Завантажити сертифікат" display="Завантажити сертифікат"/>
    <hyperlink ref="F2036" r:id="rId2024" tooltip="Завантажити сертифікат" display="Завантажити сертифікат"/>
    <hyperlink ref="F2037" r:id="rId2025" tooltip="Завантажити сертифікат" display="Завантажити сертифікат"/>
    <hyperlink ref="F2038" r:id="rId2026" tooltip="Завантажити сертифікат" display="Завантажити сертифікат"/>
    <hyperlink ref="F2039" r:id="rId2027" tooltip="Завантажити сертифікат" display="Завантажити сертифікат"/>
    <hyperlink ref="F2040" r:id="rId2028" tooltip="Завантажити сертифікат" display="Завантажити сертифікат"/>
    <hyperlink ref="F2041" r:id="rId2029" tooltip="Завантажити сертифікат" display="Завантажити сертифікат"/>
    <hyperlink ref="F2042" r:id="rId2030" tooltip="Завантажити сертифікат" display="Завантажити сертифікат"/>
    <hyperlink ref="F2043" r:id="rId2031" tooltip="Завантажити сертифікат" display="Завантажити сертифікат"/>
    <hyperlink ref="F2044" r:id="rId2032" tooltip="Завантажити сертифікат" display="Завантажити сертифікат"/>
    <hyperlink ref="F2045" r:id="rId2033" tooltip="Завантажити сертифікат" display="Завантажити сертифікат"/>
    <hyperlink ref="F2046" r:id="rId2034" tooltip="Завантажити сертифікат" display="Завантажити сертифікат"/>
    <hyperlink ref="F2047" r:id="rId2035" tooltip="Завантажити сертифікат" display="Завантажити сертифікат"/>
    <hyperlink ref="F2048" r:id="rId2036" tooltip="Завантажити сертифікат" display="Завантажити сертифікат"/>
    <hyperlink ref="F2049" r:id="rId2037" tooltip="Завантажити сертифікат" display="Завантажити сертифікат"/>
    <hyperlink ref="F2050" r:id="rId2038" tooltip="Завантажити сертифікат" display="Завантажити сертифікат"/>
    <hyperlink ref="F2051" r:id="rId2039" tooltip="Завантажити сертифікат" display="Завантажити сертифікат"/>
    <hyperlink ref="F2052" r:id="rId2040" tooltip="Завантажити сертифікат" display="Завантажити сертифікат"/>
    <hyperlink ref="F2053" r:id="rId2041" tooltip="Завантажити сертифікат" display="Завантажити сертифікат"/>
    <hyperlink ref="F2054" r:id="rId2042" tooltip="Завантажити сертифікат" display="Завантажити сертифікат"/>
    <hyperlink ref="F2055" r:id="rId2043" tooltip="Завантажити сертифікат" display="Завантажити сертифікат"/>
    <hyperlink ref="F2056" r:id="rId2044" tooltip="Завантажити сертифікат" display="Завантажити сертифікат"/>
    <hyperlink ref="F2057" r:id="rId2045" tooltip="Завантажити сертифікат" display="Завантажити сертифікат"/>
    <hyperlink ref="F2058" r:id="rId2046" tooltip="Завантажити сертифікат" display="Завантажити сертифікат"/>
    <hyperlink ref="F2059" r:id="rId2047" tooltip="Завантажити сертифікат" display="Завантажити сертифікат"/>
    <hyperlink ref="F2060" r:id="rId2048" tooltip="Завантажити сертифікат" display="Завантажити сертифікат"/>
    <hyperlink ref="F2061" r:id="rId2049" tooltip="Завантажити сертифікат" display="Завантажити сертифікат"/>
    <hyperlink ref="F2062" r:id="rId2050" tooltip="Завантажити сертифікат" display="Завантажити сертифікат"/>
    <hyperlink ref="F2063" r:id="rId2051" tooltip="Завантажити сертифікат" display="Завантажити сертифікат"/>
    <hyperlink ref="F2064" r:id="rId2052" tooltip="Завантажити сертифікат" display="Завантажити сертифікат"/>
    <hyperlink ref="F2065" r:id="rId2053" tooltip="Завантажити сертифікат" display="Завантажити сертифікат"/>
    <hyperlink ref="F2066" r:id="rId2054" tooltip="Завантажити сертифікат" display="Завантажити сертифікат"/>
    <hyperlink ref="F2067" r:id="rId2055" tooltip="Завантажити сертифікат" display="Завантажити сертифікат"/>
    <hyperlink ref="F2068" r:id="rId2056" tooltip="Завантажити сертифікат" display="Завантажити сертифікат"/>
    <hyperlink ref="F2069" r:id="rId2057" tooltip="Завантажити сертифікат" display="Завантажити сертифікат"/>
    <hyperlink ref="F2070" r:id="rId2058" tooltip="Завантажити сертифікат" display="Завантажити сертифікат"/>
    <hyperlink ref="F2071" r:id="rId2059" tooltip="Завантажити сертифікат" display="Завантажити сертифікат"/>
    <hyperlink ref="F2072" r:id="rId2060" tooltip="Завантажити сертифікат" display="Завантажити сертифікат"/>
    <hyperlink ref="F2073" r:id="rId2061" tooltip="Завантажити сертифікат" display="Завантажити сертифікат"/>
    <hyperlink ref="F2074" r:id="rId2062" tooltip="Завантажити сертифікат" display="Завантажити сертифікат"/>
    <hyperlink ref="F2075" r:id="rId2063" tooltip="Завантажити сертифікат" display="Завантажити сертифікат"/>
    <hyperlink ref="F2076" r:id="rId2064" tooltip="Завантажити сертифікат" display="Завантажити сертифікат"/>
    <hyperlink ref="F2077" r:id="rId2065" tooltip="Завантажити сертифікат" display="Завантажити сертифікат"/>
    <hyperlink ref="F2078" r:id="rId2066" tooltip="Завантажити сертифікат" display="Завантажити сертифікат"/>
    <hyperlink ref="F2079" r:id="rId2067" tooltip="Завантажити сертифікат" display="Завантажити сертифікат"/>
    <hyperlink ref="F2080" r:id="rId2068" tooltip="Завантажити сертифікат" display="Завантажити сертифікат"/>
    <hyperlink ref="F2081" r:id="rId2069" tooltip="Завантажити сертифікат" display="Завантажити сертифікат"/>
    <hyperlink ref="F2082" r:id="rId2070" tooltip="Завантажити сертифікат" display="Завантажити сертифікат"/>
    <hyperlink ref="F2083" r:id="rId2071" tooltip="Завантажити сертифікат" display="Завантажити сертифікат"/>
    <hyperlink ref="F2084" r:id="rId2072" tooltip="Завантажити сертифікат" display="Завантажити сертифікат"/>
    <hyperlink ref="F2085" r:id="rId2073" tooltip="Завантажити сертифікат" display="Завантажити сертифікат"/>
    <hyperlink ref="F2086" r:id="rId2074" tooltip="Завантажити сертифікат" display="Завантажити сертифікат"/>
    <hyperlink ref="F2087" r:id="rId2075" tooltip="Завантажити сертифікат" display="Завантажити сертифікат"/>
    <hyperlink ref="F2088" r:id="rId2076" tooltip="Завантажити сертифікат" display="Завантажити сертифікат"/>
    <hyperlink ref="F2089" r:id="rId2077" tooltip="Завантажити сертифікат" display="Завантажити сертифікат"/>
    <hyperlink ref="F2090" r:id="rId2078" tooltip="Завантажити сертифікат" display="Завантажити сертифікат"/>
    <hyperlink ref="F2091" r:id="rId2079" tooltip="Завантажити сертифікат" display="Завантажити сертифікат"/>
    <hyperlink ref="F2092" r:id="rId2080" tooltip="Завантажити сертифікат" display="Завантажити сертифікат"/>
    <hyperlink ref="F2093" r:id="rId2081" tooltip="Завантажити сертифікат" display="Завантажити сертифікат"/>
    <hyperlink ref="F2094" r:id="rId2082" tooltip="Завантажити сертифікат" display="Завантажити сертифікат"/>
    <hyperlink ref="F2095" r:id="rId2083" tooltip="Завантажити сертифікат" display="Завантажити сертифікат"/>
    <hyperlink ref="F2096" r:id="rId2084" tooltip="Завантажити сертифікат" display="Завантажити сертифікат"/>
    <hyperlink ref="F2097" r:id="rId2085" tooltip="Завантажити сертифікат" display="Завантажити сертифікат"/>
    <hyperlink ref="F2098" r:id="rId2086" tooltip="Завантажити сертифікат" display="Завантажити сертифікат"/>
    <hyperlink ref="F2099" r:id="rId2087" tooltip="Завантажити сертифікат" display="Завантажити сертифікат"/>
    <hyperlink ref="F2100" r:id="rId2088" tooltip="Завантажити сертифікат" display="Завантажити сертифікат"/>
    <hyperlink ref="F2101" r:id="rId2089" tooltip="Завантажити сертифікат" display="Завантажити сертифікат"/>
    <hyperlink ref="F2102" r:id="rId2090" tooltip="Завантажити сертифікат" display="Завантажити сертифікат"/>
    <hyperlink ref="F2103" r:id="rId2091" tooltip="Завантажити сертифікат" display="Завантажити сертифікат"/>
    <hyperlink ref="F2104" r:id="rId2092" tooltip="Завантажити сертифікат" display="Завантажити сертифікат"/>
    <hyperlink ref="F2105" r:id="rId2093" tooltip="Завантажити сертифікат" display="Завантажити сертифікат"/>
    <hyperlink ref="F2106" r:id="rId2094" tooltip="Завантажити сертифікат" display="Завантажити сертифікат"/>
    <hyperlink ref="F2107" r:id="rId2095" tooltip="Завантажити сертифікат" display="Завантажити сертифікат"/>
    <hyperlink ref="F2108" r:id="rId2096" tooltip="Завантажити сертифікат" display="Завантажити сертифікат"/>
    <hyperlink ref="F2109" r:id="rId2097" tooltip="Завантажити сертифікат" display="Завантажити сертифікат"/>
    <hyperlink ref="F2110" r:id="rId2098" tooltip="Завантажити сертифікат" display="Завантажити сертифікат"/>
    <hyperlink ref="F2111" r:id="rId2099" tooltip="Завантажити сертифікат" display="Завантажити сертифікат"/>
    <hyperlink ref="F2112" r:id="rId2100" tooltip="Завантажити сертифікат" display="Завантажити сертифікат"/>
    <hyperlink ref="F2113" r:id="rId2101" tooltip="Завантажити сертифікат" display="Завантажити сертифікат"/>
    <hyperlink ref="F2114" r:id="rId2102" tooltip="Завантажити сертифікат" display="Завантажити сертифікат"/>
    <hyperlink ref="F2115" r:id="rId2103" tooltip="Завантажити сертифікат" display="Завантажити сертифікат"/>
    <hyperlink ref="F2116" r:id="rId2104" tooltip="Завантажити сертифікат" display="Завантажити сертифікат"/>
    <hyperlink ref="F2117" r:id="rId2105" tooltip="Завантажити сертифікат" display="Завантажити сертифікат"/>
    <hyperlink ref="F2118" r:id="rId2106" tooltip="Завантажити сертифікат" display="Завантажити сертифікат"/>
    <hyperlink ref="F2119" r:id="rId2107" tooltip="Завантажити сертифікат" display="Завантажити сертифікат"/>
    <hyperlink ref="F2120" r:id="rId2108" tooltip="Завантажити сертифікат" display="Завантажити сертифікат"/>
    <hyperlink ref="F2121" r:id="rId2109" tooltip="Завантажити сертифікат" display="Завантажити сертифікат"/>
    <hyperlink ref="F2122" r:id="rId2110" tooltip="Завантажити сертифікат" display="Завантажити сертифікат"/>
    <hyperlink ref="F2123" r:id="rId2111" tooltip="Завантажити сертифікат" display="Завантажити сертифікат"/>
    <hyperlink ref="F2124" r:id="rId2112" tooltip="Завантажити сертифікат" display="Завантажити сертифікат"/>
    <hyperlink ref="F2125" r:id="rId2113" tooltip="Завантажити сертифікат" display="Завантажити сертифікат"/>
    <hyperlink ref="F2126" r:id="rId2114" tooltip="Завантажити сертифікат" display="Завантажити сертифікат"/>
    <hyperlink ref="F2127" r:id="rId2115" tooltip="Завантажити сертифікат" display="Завантажити сертифікат"/>
    <hyperlink ref="F2128" r:id="rId2116" tooltip="Завантажити сертифікат" display="Завантажити сертифікат"/>
    <hyperlink ref="F2129" r:id="rId2117" tooltip="Завантажити сертифікат" display="Завантажити сертифікат"/>
    <hyperlink ref="F2130" r:id="rId2118" tooltip="Завантажити сертифікат" display="Завантажити сертифікат"/>
    <hyperlink ref="F2131" r:id="rId2119" tooltip="Завантажити сертифікат" display="Завантажити сертифікат"/>
    <hyperlink ref="F2132" r:id="rId2120" tooltip="Завантажити сертифікат" display="Завантажити сертифікат"/>
    <hyperlink ref="F2133" r:id="rId2121" tooltip="Завантажити сертифікат" display="Завантажити сертифікат"/>
    <hyperlink ref="F2134" r:id="rId2122" tooltip="Завантажити сертифікат" display="Завантажити сертифікат"/>
    <hyperlink ref="F2135" r:id="rId2123" tooltip="Завантажити сертифікат" display="Завантажити сертифікат"/>
    <hyperlink ref="F2136" r:id="rId2124" tooltip="Завантажити сертифікат" display="Завантажити сертифікат"/>
    <hyperlink ref="F2137" r:id="rId2125" tooltip="Завантажити сертифікат" display="Завантажити сертифікат"/>
    <hyperlink ref="F2138" r:id="rId2126" tooltip="Завантажити сертифікат" display="Завантажити сертифікат"/>
    <hyperlink ref="F2139" r:id="rId2127" tooltip="Завантажити сертифікат" display="Завантажити сертифікат"/>
    <hyperlink ref="F2140" r:id="rId2128" tooltip="Завантажити сертифікат" display="Завантажити сертифікат"/>
    <hyperlink ref="F2141" r:id="rId2129" tooltip="Завантажити сертифікат" display="Завантажити сертифікат"/>
    <hyperlink ref="F2142" r:id="rId2130" tooltip="Завантажити сертифікат" display="Завантажити сертифікат"/>
    <hyperlink ref="F2143" r:id="rId2131" tooltip="Завантажити сертифікат" display="Завантажити сертифікат"/>
    <hyperlink ref="F2144" r:id="rId2132" tooltip="Завантажити сертифікат" display="Завантажити сертифікат"/>
    <hyperlink ref="F2145" r:id="rId2133" tooltip="Завантажити сертифікат" display="Завантажити сертифікат"/>
    <hyperlink ref="F2146" r:id="rId2134" tooltip="Завантажити сертифікат" display="Завантажити сертифікат"/>
    <hyperlink ref="F2147" r:id="rId2135" tooltip="Завантажити сертифікат" display="Завантажити сертифікат"/>
    <hyperlink ref="F2148" r:id="rId2136" tooltip="Завантажити сертифікат" display="Завантажити сертифікат"/>
    <hyperlink ref="F2149" r:id="rId2137" tooltip="Завантажити сертифікат" display="Завантажити сертифікат"/>
    <hyperlink ref="F2150" r:id="rId2138" tooltip="Завантажити сертифікат" display="Завантажити сертифікат"/>
    <hyperlink ref="F2151" r:id="rId2139" tooltip="Завантажити сертифікат" display="Завантажити сертифікат"/>
    <hyperlink ref="F2152" r:id="rId2140" tooltip="Завантажити сертифікат" display="Завантажити сертифікат"/>
    <hyperlink ref="F2153" r:id="rId2141" tooltip="Завантажити сертифікат" display="Завантажити сертифікат"/>
    <hyperlink ref="F2154" r:id="rId2142" tooltip="Завантажити сертифікат" display="Завантажити сертифікат"/>
    <hyperlink ref="F2155" r:id="rId2143" tooltip="Завантажити сертифікат" display="Завантажити сертифікат"/>
    <hyperlink ref="F2156" r:id="rId2144" tooltip="Завантажити сертифікат" display="Завантажити сертифікат"/>
    <hyperlink ref="F2157" r:id="rId2145" tooltip="Завантажити сертифікат" display="Завантажити сертифікат"/>
    <hyperlink ref="F2158" r:id="rId2146" tooltip="Завантажити сертифікат" display="Завантажити сертифікат"/>
    <hyperlink ref="F2159" r:id="rId2147" tooltip="Завантажити сертифікат" display="Завантажити сертифікат"/>
    <hyperlink ref="F2160" r:id="rId2148" tooltip="Завантажити сертифікат" display="Завантажити сертифікат"/>
    <hyperlink ref="F2161" r:id="rId2149" tooltip="Завантажити сертифікат" display="Завантажити сертифікат"/>
    <hyperlink ref="F2162" r:id="rId2150" tooltip="Завантажити сертифікат" display="Завантажити сертифікат"/>
    <hyperlink ref="F2163" r:id="rId2151" tooltip="Завантажити сертифікат" display="Завантажити сертифікат"/>
    <hyperlink ref="F2164" r:id="rId2152" tooltip="Завантажити сертифікат" display="Завантажити сертифікат"/>
    <hyperlink ref="F2165" r:id="rId2153" tooltip="Завантажити сертифікат" display="Завантажити сертифікат"/>
    <hyperlink ref="F2166" r:id="rId2154" tooltip="Завантажити сертифікат" display="Завантажити сертифікат"/>
    <hyperlink ref="F2167" r:id="rId2155" tooltip="Завантажити сертифікат" display="Завантажити сертифікат"/>
    <hyperlink ref="F2168" r:id="rId2156" tooltip="Завантажити сертифікат" display="Завантажити сертифікат"/>
    <hyperlink ref="F2169" r:id="rId2157" tooltip="Завантажити сертифікат" display="Завантажити сертифікат"/>
    <hyperlink ref="F2170" r:id="rId2158" tooltip="Завантажити сертифікат" display="Завантажити сертифікат"/>
    <hyperlink ref="F2171" r:id="rId2159" tooltip="Завантажити сертифікат" display="Завантажити сертифікат"/>
    <hyperlink ref="F2172" r:id="rId2160" tooltip="Завантажити сертифікат" display="Завантажити сертифікат"/>
    <hyperlink ref="F2173" r:id="rId2161" tooltip="Завантажити сертифікат" display="Завантажити сертифікат"/>
    <hyperlink ref="F2174" r:id="rId2162" tooltip="Завантажити сертифікат" display="Завантажити сертифікат"/>
    <hyperlink ref="F2175" r:id="rId2163" tooltip="Завантажити сертифікат" display="Завантажити сертифікат"/>
    <hyperlink ref="F2176" r:id="rId2164" tooltip="Завантажити сертифікат" display="Завантажити сертифікат"/>
    <hyperlink ref="F2177" r:id="rId2165" tooltip="Завантажити сертифікат" display="Завантажити сертифікат"/>
    <hyperlink ref="F2178" r:id="rId2166" tooltip="Завантажити сертифікат" display="Завантажити сертифікат"/>
    <hyperlink ref="F2179" r:id="rId2167" tooltip="Завантажити сертифікат" display="Завантажити сертифікат"/>
    <hyperlink ref="F2180" r:id="rId2168" tooltip="Завантажити сертифікат" display="Завантажити сертифікат"/>
    <hyperlink ref="F2181" r:id="rId2169" tooltip="Завантажити сертифікат" display="Завантажити сертифікат"/>
    <hyperlink ref="F2182" r:id="rId2170" tooltip="Завантажити сертифікат" display="Завантажити сертифікат"/>
    <hyperlink ref="F2183" r:id="rId2171" tooltip="Завантажити сертифікат" display="Завантажити сертифікат"/>
    <hyperlink ref="F2184" r:id="rId2172" tooltip="Завантажити сертифікат" display="Завантажити сертифікат"/>
    <hyperlink ref="F2185" r:id="rId2173" tooltip="Завантажити сертифікат" display="Завантажити сертифікат"/>
    <hyperlink ref="F2186" r:id="rId2174" tooltip="Завантажити сертифікат" display="Завантажити сертифікат"/>
    <hyperlink ref="F2187" r:id="rId2175" tooltip="Завантажити сертифікат" display="Завантажити сертифікат"/>
    <hyperlink ref="F2188" r:id="rId2176" tooltip="Завантажити сертифікат" display="Завантажити сертифікат"/>
    <hyperlink ref="F2189" r:id="rId2177" tooltip="Завантажити сертифікат" display="Завантажити сертифікат"/>
    <hyperlink ref="F2190" r:id="rId2178" tooltip="Завантажити сертифікат" display="Завантажити сертифікат"/>
    <hyperlink ref="F2191" r:id="rId2179" tooltip="Завантажити сертифікат" display="Завантажити сертифікат"/>
    <hyperlink ref="F2192" r:id="rId2180" tooltip="Завантажити сертифікат" display="Завантажити сертифікат"/>
    <hyperlink ref="F2193" r:id="rId2181" tooltip="Завантажити сертифікат" display="Завантажити сертифікат"/>
    <hyperlink ref="F2194" r:id="rId2182" tooltip="Завантажити сертифікат" display="Завантажити сертифікат"/>
    <hyperlink ref="F2195" r:id="rId2183" tooltip="Завантажити сертифікат" display="Завантажити сертифікат"/>
    <hyperlink ref="F2196" r:id="rId2184" tooltip="Завантажити сертифікат" display="Завантажити сертифікат"/>
    <hyperlink ref="F2197" r:id="rId2185" tooltip="Завантажити сертифікат" display="Завантажити сертифікат"/>
    <hyperlink ref="F2198" r:id="rId2186" tooltip="Завантажити сертифікат" display="Завантажити сертифікат"/>
    <hyperlink ref="F2199" r:id="rId2187" tooltip="Завантажити сертифікат" display="Завантажити сертифікат"/>
    <hyperlink ref="F2200" r:id="rId2188" tooltip="Завантажити сертифікат" display="Завантажити сертифікат"/>
    <hyperlink ref="F2201" r:id="rId2189" tooltip="Завантажити сертифікат" display="Завантажити сертифікат"/>
    <hyperlink ref="F2202" r:id="rId2190" tooltip="Завантажити сертифікат" display="Завантажити сертифікат"/>
    <hyperlink ref="F2203" r:id="rId2191" tooltip="Завантажити сертифікат" display="Завантажити сертифікат"/>
    <hyperlink ref="F2204" r:id="rId2192" tooltip="Завантажити сертифікат" display="Завантажити сертифікат"/>
    <hyperlink ref="F2205" r:id="rId2193" tooltip="Завантажити сертифікат" display="Завантажити сертифікат"/>
    <hyperlink ref="F2206" r:id="rId2194" tooltip="Завантажити сертифікат" display="Завантажити сертифікат"/>
    <hyperlink ref="F2207" r:id="rId2195" tooltip="Завантажити сертифікат" display="Завантажити сертифікат"/>
    <hyperlink ref="F2208" r:id="rId2196" tooltip="Завантажити сертифікат" display="Завантажити сертифікат"/>
    <hyperlink ref="F2209" r:id="rId2197" tooltip="Завантажити сертифікат" display="Завантажити сертифікат"/>
    <hyperlink ref="F2210" r:id="rId2198" tooltip="Завантажити сертифікат" display="Завантажити сертифікат"/>
    <hyperlink ref="F2211" r:id="rId2199" tooltip="Завантажити сертифікат" display="Завантажити сертифікат"/>
    <hyperlink ref="F2212" r:id="rId2200" tooltip="Завантажити сертифікат" display="Завантажити сертифікат"/>
    <hyperlink ref="F2213" r:id="rId2201" tooltip="Завантажити сертифікат" display="Завантажити сертифікат"/>
    <hyperlink ref="F2214" r:id="rId2202" tooltip="Завантажити сертифікат" display="Завантажити сертифікат"/>
    <hyperlink ref="F2215" r:id="rId2203" tooltip="Завантажити сертифікат" display="Завантажити сертифікат"/>
    <hyperlink ref="F2216" r:id="rId2204" tooltip="Завантажити сертифікат" display="Завантажити сертифікат"/>
    <hyperlink ref="F2217" r:id="rId2205" tooltip="Завантажити сертифікат" display="Завантажити сертифікат"/>
    <hyperlink ref="F2218" r:id="rId2206" tooltip="Завантажити сертифікат" display="Завантажити сертифікат"/>
    <hyperlink ref="F2219" r:id="rId2207" tooltip="Завантажити сертифікат" display="Завантажити сертифікат"/>
    <hyperlink ref="F2220" r:id="rId2208" tooltip="Завантажити сертифікат" display="Завантажити сертифікат"/>
    <hyperlink ref="F2221" r:id="rId2209" tooltip="Завантажити сертифікат" display="Завантажити сертифікат"/>
    <hyperlink ref="F2222" r:id="rId2210" tooltip="Завантажити сертифікат" display="Завантажити сертифікат"/>
    <hyperlink ref="F2223" r:id="rId2211" tooltip="Завантажити сертифікат" display="Завантажити сертифікат"/>
    <hyperlink ref="F2224" r:id="rId2212" tooltip="Завантажити сертифікат" display="Завантажити сертифікат"/>
    <hyperlink ref="F2225" r:id="rId2213" tooltip="Завантажити сертифікат" display="Завантажити сертифікат"/>
    <hyperlink ref="F2226" r:id="rId2214" tooltip="Завантажити сертифікат" display="Завантажити сертифікат"/>
    <hyperlink ref="F2227" r:id="rId2215" tooltip="Завантажити сертифікат" display="Завантажити сертифікат"/>
    <hyperlink ref="F2228" r:id="rId2216" tooltip="Завантажити сертифікат" display="Завантажити сертифікат"/>
    <hyperlink ref="F2229" r:id="rId2217" tooltip="Завантажити сертифікат" display="Завантажити сертифікат"/>
    <hyperlink ref="F2230" r:id="rId2218" tooltip="Завантажити сертифікат" display="Завантажити сертифікат"/>
    <hyperlink ref="F2231" r:id="rId2219" tooltip="Завантажити сертифікат" display="Завантажити сертифікат"/>
    <hyperlink ref="F2232" r:id="rId2220" tooltip="Завантажити сертифікат" display="Завантажити сертифікат"/>
    <hyperlink ref="F2233" r:id="rId2221" tooltip="Завантажити сертифікат" display="Завантажити сертифікат"/>
    <hyperlink ref="F2234" r:id="rId2222" tooltip="Завантажити сертифікат" display="Завантажити сертифікат"/>
    <hyperlink ref="F2235" r:id="rId2223" tooltip="Завантажити сертифікат" display="Завантажити сертифікат"/>
    <hyperlink ref="F2236" r:id="rId2224" tooltip="Завантажити сертифікат" display="Завантажити сертифікат"/>
    <hyperlink ref="F2237" r:id="rId2225" tooltip="Завантажити сертифікат" display="Завантажити сертифікат"/>
    <hyperlink ref="F2238" r:id="rId2226" tooltip="Завантажити сертифікат" display="Завантажити сертифікат"/>
    <hyperlink ref="F2239" r:id="rId2227" tooltip="Завантажити сертифікат" display="Завантажити сертифікат"/>
    <hyperlink ref="F2240" r:id="rId2228" tooltip="Завантажити сертифікат" display="Завантажити сертифікат"/>
    <hyperlink ref="F2241" r:id="rId2229" tooltip="Завантажити сертифікат" display="Завантажити сертифікат"/>
    <hyperlink ref="F2242" r:id="rId2230" tooltip="Завантажити сертифікат" display="Завантажити сертифікат"/>
    <hyperlink ref="F2243" r:id="rId2231" tooltip="Завантажити сертифікат" display="Завантажити сертифікат"/>
    <hyperlink ref="F2244" r:id="rId2232" tooltip="Завантажити сертифікат" display="Завантажити сертифікат"/>
    <hyperlink ref="F2245" r:id="rId2233" tooltip="Завантажити сертифікат" display="Завантажити сертифікат"/>
    <hyperlink ref="F2246" r:id="rId2234" tooltip="Завантажити сертифікат" display="Завантажити сертифікат"/>
    <hyperlink ref="F2247" r:id="rId2235" tooltip="Завантажити сертифікат" display="Завантажити сертифікат"/>
    <hyperlink ref="F2248" r:id="rId2236" tooltip="Завантажити сертифікат" display="Завантажити сертифікат"/>
    <hyperlink ref="F2249" r:id="rId2237" tooltip="Завантажити сертифікат" display="Завантажити сертифікат"/>
    <hyperlink ref="F2250" r:id="rId2238" tooltip="Завантажити сертифікат" display="Завантажити сертифікат"/>
    <hyperlink ref="F2251" r:id="rId2239" tooltip="Завантажити сертифікат" display="Завантажити сертифікат"/>
    <hyperlink ref="F2252" r:id="rId2240" tooltip="Завантажити сертифікат" display="Завантажити сертифікат"/>
    <hyperlink ref="F2253" r:id="rId2241" tooltip="Завантажити сертифікат" display="Завантажити сертифікат"/>
    <hyperlink ref="F2254" r:id="rId2242" tooltip="Завантажити сертифікат" display="Завантажити сертифікат"/>
    <hyperlink ref="F2255" r:id="rId2243" tooltip="Завантажити сертифікат" display="Завантажити сертифікат"/>
    <hyperlink ref="F2256" r:id="rId2244" tooltip="Завантажити сертифікат" display="Завантажити сертифікат"/>
    <hyperlink ref="F2257" r:id="rId2245" tooltip="Завантажити сертифікат" display="Завантажити сертифікат"/>
    <hyperlink ref="F2258" r:id="rId2246" tooltip="Завантажити сертифікат" display="Завантажити сертифікат"/>
    <hyperlink ref="F2259" r:id="rId2247" tooltip="Завантажити сертифікат" display="Завантажити сертифікат"/>
    <hyperlink ref="F2260" r:id="rId2248" tooltip="Завантажити сертифікат" display="Завантажити сертифікат"/>
    <hyperlink ref="F2261" r:id="rId2249" tooltip="Завантажити сертифікат" display="Завантажити сертифікат"/>
    <hyperlink ref="F2262" r:id="rId2250" tooltip="Завантажити сертифікат" display="Завантажити сертифікат"/>
    <hyperlink ref="F2263" r:id="rId2251" tooltip="Завантажити сертифікат" display="Завантажити сертифікат"/>
    <hyperlink ref="F2264" r:id="rId2252" tooltip="Завантажити сертифікат" display="Завантажити сертифікат"/>
    <hyperlink ref="F2265" r:id="rId2253" tooltip="Завантажити сертифікат" display="Завантажити сертифікат"/>
    <hyperlink ref="F2266" r:id="rId2254" tooltip="Завантажити сертифікат" display="Завантажити сертифікат"/>
    <hyperlink ref="F2267" r:id="rId2255" tooltip="Завантажити сертифікат" display="Завантажити сертифікат"/>
    <hyperlink ref="F2268" r:id="rId2256" tooltip="Завантажити сертифікат" display="Завантажити сертифікат"/>
    <hyperlink ref="F2269" r:id="rId2257" tooltip="Завантажити сертифікат" display="Завантажити сертифікат"/>
    <hyperlink ref="F2270" r:id="rId2258" tooltip="Завантажити сертифікат" display="Завантажити сертифікат"/>
    <hyperlink ref="F2271" r:id="rId2259" tooltip="Завантажити сертифікат" display="Завантажити сертифікат"/>
    <hyperlink ref="F2272" r:id="rId2260" tooltip="Завантажити сертифікат" display="Завантажити сертифікат"/>
    <hyperlink ref="F2273" r:id="rId2261" tooltip="Завантажити сертифікат" display="Завантажити сертифікат"/>
    <hyperlink ref="F2274" r:id="rId2262" tooltip="Завантажити сертифікат" display="Завантажити сертифікат"/>
    <hyperlink ref="F2275" r:id="rId2263" tooltip="Завантажити сертифікат" display="Завантажити сертифікат"/>
    <hyperlink ref="F2276" r:id="rId2264" tooltip="Завантажити сертифікат" display="Завантажити сертифікат"/>
    <hyperlink ref="F2277" r:id="rId2265" tooltip="Завантажити сертифікат" display="Завантажити сертифікат"/>
    <hyperlink ref="F2278" r:id="rId2266" tooltip="Завантажити сертифікат" display="Завантажити сертифікат"/>
    <hyperlink ref="F2279" r:id="rId2267" tooltip="Завантажити сертифікат" display="Завантажити сертифікат"/>
    <hyperlink ref="F2280" r:id="rId2268" tooltip="Завантажити сертифікат" display="Завантажити сертифікат"/>
    <hyperlink ref="F2281" r:id="rId2269" tooltip="Завантажити сертифікат" display="Завантажити сертифікат"/>
    <hyperlink ref="F2282" r:id="rId2270" tooltip="Завантажити сертифікат" display="Завантажити сертифікат"/>
    <hyperlink ref="F2283" r:id="rId2271" tooltip="Завантажити сертифікат" display="Завантажити сертифікат"/>
    <hyperlink ref="F2284" r:id="rId2272" tooltip="Завантажити сертифікат" display="Завантажити сертифікат"/>
    <hyperlink ref="F2285" r:id="rId2273" tooltip="Завантажити сертифікат" display="Завантажити сертифікат"/>
    <hyperlink ref="F2286" r:id="rId2274" tooltip="Завантажити сертифікат" display="Завантажити сертифікат"/>
    <hyperlink ref="F2287" r:id="rId2275" tooltip="Завантажити сертифікат" display="Завантажити сертифікат"/>
    <hyperlink ref="F2288" r:id="rId2276" tooltip="Завантажити сертифікат" display="Завантажити сертифікат"/>
    <hyperlink ref="F2289" r:id="rId2277" tooltip="Завантажити сертифікат" display="Завантажити сертифікат"/>
    <hyperlink ref="F2290" r:id="rId2278" tooltip="Завантажити сертифікат" display="Завантажити сертифікат"/>
    <hyperlink ref="F2291" r:id="rId2279" tooltip="Завантажити сертифікат" display="Завантажити сертифікат"/>
    <hyperlink ref="F2292" r:id="rId2280" tooltip="Завантажити сертифікат" display="Завантажити сертифікат"/>
    <hyperlink ref="F2293" r:id="rId2281" tooltip="Завантажити сертифікат" display="Завантажити сертифікат"/>
    <hyperlink ref="F2294" r:id="rId2282" tooltip="Завантажити сертифікат" display="Завантажити сертифікат"/>
    <hyperlink ref="F2295" r:id="rId2283" tooltip="Завантажити сертифікат" display="Завантажити сертифікат"/>
    <hyperlink ref="F2296" r:id="rId2284" tooltip="Завантажити сертифікат" display="Завантажити сертифікат"/>
    <hyperlink ref="F2297" r:id="rId2285" tooltip="Завантажити сертифікат" display="Завантажити сертифікат"/>
    <hyperlink ref="F2298" r:id="rId2286" tooltip="Завантажити сертифікат" display="Завантажити сертифікат"/>
    <hyperlink ref="F2299" r:id="rId2287" tooltip="Завантажити сертифікат" display="Завантажити сертифікат"/>
    <hyperlink ref="F2300" r:id="rId2288" tooltip="Завантажити сертифікат" display="Завантажити сертифікат"/>
    <hyperlink ref="F2301" r:id="rId2289" tooltip="Завантажити сертифікат" display="Завантажити сертифікат"/>
    <hyperlink ref="F2302" r:id="rId2290" tooltip="Завантажити сертифікат" display="Завантажити сертифікат"/>
    <hyperlink ref="F2303" r:id="rId2291" tooltip="Завантажити сертифікат" display="Завантажити сертифікат"/>
    <hyperlink ref="F2304" r:id="rId2292" tooltip="Завантажити сертифікат" display="Завантажити сертифікат"/>
    <hyperlink ref="F2305" r:id="rId2293" tooltip="Завантажити сертифікат" display="Завантажити сертифікат"/>
    <hyperlink ref="F2306" r:id="rId2294" tooltip="Завантажити сертифікат" display="Завантажити сертифікат"/>
    <hyperlink ref="F2307" r:id="rId2295" tooltip="Завантажити сертифікат" display="Завантажити сертифікат"/>
    <hyperlink ref="F2308" r:id="rId2296" tooltip="Завантажити сертифікат" display="Завантажити сертифікат"/>
    <hyperlink ref="F2309" r:id="rId2297" tooltip="Завантажити сертифікат" display="Завантажити сертифікат"/>
    <hyperlink ref="F2310" r:id="rId2298" tooltip="Завантажити сертифікат" display="Завантажити сертифікат"/>
    <hyperlink ref="F2311" r:id="rId2299" tooltip="Завантажити сертифікат" display="Завантажити сертифікат"/>
    <hyperlink ref="F2312" r:id="rId2300" tooltip="Завантажити сертифікат" display="Завантажити сертифікат"/>
    <hyperlink ref="F2313" r:id="rId2301" tooltip="Завантажити сертифікат" display="Завантажити сертифікат"/>
    <hyperlink ref="F2314" r:id="rId2302" tooltip="Завантажити сертифікат" display="Завантажити сертифікат"/>
    <hyperlink ref="F2315" r:id="rId2303" tooltip="Завантажити сертифікат" display="Завантажити сертифікат"/>
    <hyperlink ref="F2316" r:id="rId2304" tooltip="Завантажити сертифікат" display="Завантажити сертифікат"/>
    <hyperlink ref="F2317" r:id="rId2305" tooltip="Завантажити сертифікат" display="Завантажити сертифікат"/>
    <hyperlink ref="F2318" r:id="rId2306" tooltip="Завантажити сертифікат" display="Завантажити сертифікат"/>
    <hyperlink ref="F2319" r:id="rId2307" tooltip="Завантажити сертифікат" display="Завантажити сертифікат"/>
    <hyperlink ref="F2320" r:id="rId2308" tooltip="Завантажити сертифікат" display="Завантажити сертифікат"/>
    <hyperlink ref="F2321" r:id="rId2309" tooltip="Завантажити сертифікат" display="Завантажити сертифікат"/>
    <hyperlink ref="F2322" r:id="rId2310" tooltip="Завантажити сертифікат" display="Завантажити сертифікат"/>
    <hyperlink ref="F2323" r:id="rId2311" tooltip="Завантажити сертифікат" display="Завантажити сертифікат"/>
    <hyperlink ref="F2324" r:id="rId2312" tooltip="Завантажити сертифікат" display="Завантажити сертифікат"/>
    <hyperlink ref="F2325" r:id="rId2313" tooltip="Завантажити сертифікат" display="Завантажити сертифікат"/>
    <hyperlink ref="F2326" r:id="rId2314" tooltip="Завантажити сертифікат" display="Завантажити сертифікат"/>
    <hyperlink ref="F2327" r:id="rId2315" tooltip="Завантажити сертифікат" display="Завантажити сертифікат"/>
    <hyperlink ref="F2328" r:id="rId2316" tooltip="Завантажити сертифікат" display="Завантажити сертифікат"/>
    <hyperlink ref="F2329" r:id="rId2317" tooltip="Завантажити сертифікат" display="Завантажити сертифікат"/>
    <hyperlink ref="F2330" r:id="rId2318" tooltip="Завантажити сертифікат" display="Завантажити сертифікат"/>
    <hyperlink ref="F2331" r:id="rId2319" tooltip="Завантажити сертифікат" display="Завантажити сертифікат"/>
    <hyperlink ref="F2332" r:id="rId2320" tooltip="Завантажити сертифікат" display="Завантажити сертифікат"/>
    <hyperlink ref="F2333" r:id="rId2321" tooltip="Завантажити сертифікат" display="Завантажити сертифікат"/>
    <hyperlink ref="F2334" r:id="rId2322" tooltip="Завантажити сертифікат" display="Завантажити сертифікат"/>
    <hyperlink ref="F2335" r:id="rId2323" tooltip="Завантажити сертифікат" display="Завантажити сертифікат"/>
    <hyperlink ref="F2336" r:id="rId2324" tooltip="Завантажити сертифікат" display="Завантажити сертифікат"/>
    <hyperlink ref="F2337" r:id="rId2325" tooltip="Завантажити сертифікат" display="Завантажити сертифікат"/>
    <hyperlink ref="F2338" r:id="rId2326" tooltip="Завантажити сертифікат" display="Завантажити сертифікат"/>
    <hyperlink ref="F2339" r:id="rId2327" tooltip="Завантажити сертифікат" display="Завантажити сертифікат"/>
    <hyperlink ref="F2340" r:id="rId2328" tooltip="Завантажити сертифікат" display="Завантажити сертифікат"/>
    <hyperlink ref="F2341" r:id="rId2329" tooltip="Завантажити сертифікат" display="Завантажити сертифікат"/>
    <hyperlink ref="F2342" r:id="rId2330" tooltip="Завантажити сертифікат" display="Завантажити сертифікат"/>
    <hyperlink ref="F2343" r:id="rId2331" tooltip="Завантажити сертифікат" display="Завантажити сертифікат"/>
    <hyperlink ref="F2344" r:id="rId2332" tooltip="Завантажити сертифікат" display="Завантажити сертифікат"/>
    <hyperlink ref="F2345" r:id="rId2333" tooltip="Завантажити сертифікат" display="Завантажити сертифікат"/>
    <hyperlink ref="F2346" r:id="rId2334" tooltip="Завантажити сертифікат" display="Завантажити сертифікат"/>
    <hyperlink ref="F2347" r:id="rId2335" tooltip="Завантажити сертифікат" display="Завантажити сертифікат"/>
    <hyperlink ref="F2348" r:id="rId2336" tooltip="Завантажити сертифікат" display="Завантажити сертифікат"/>
    <hyperlink ref="F2349" r:id="rId2337" tooltip="Завантажити сертифікат" display="Завантажити сертифікат"/>
    <hyperlink ref="F2350" r:id="rId2338" tooltip="Завантажити сертифікат" display="Завантажити сертифікат"/>
    <hyperlink ref="F2351" r:id="rId2339" tooltip="Завантажити сертифікат" display="Завантажити сертифікат"/>
    <hyperlink ref="F2352" r:id="rId2340" tooltip="Завантажити сертифікат" display="Завантажити сертифікат"/>
    <hyperlink ref="F2353" r:id="rId2341" tooltip="Завантажити сертифікат" display="Завантажити сертифікат"/>
    <hyperlink ref="F2354" r:id="rId2342" tooltip="Завантажити сертифікат" display="Завантажити сертифікат"/>
    <hyperlink ref="F2355" r:id="rId2343" tooltip="Завантажити сертифікат" display="Завантажити сертифікат"/>
    <hyperlink ref="F2356" r:id="rId2344" tooltip="Завантажити сертифікат" display="Завантажити сертифікат"/>
    <hyperlink ref="F2357" r:id="rId2345" tooltip="Завантажити сертифікат" display="Завантажити сертифікат"/>
    <hyperlink ref="F2358" r:id="rId2346" tooltip="Завантажити сертифікат" display="Завантажити сертифікат"/>
    <hyperlink ref="F2359" r:id="rId2347" tooltip="Завантажити сертифікат" display="Завантажити сертифікат"/>
    <hyperlink ref="F2360" r:id="rId2348" tooltip="Завантажити сертифікат" display="Завантажити сертифікат"/>
    <hyperlink ref="F2361" r:id="rId2349" tooltip="Завантажити сертифікат" display="Завантажити сертифікат"/>
    <hyperlink ref="F2362" r:id="rId2350" tooltip="Завантажити сертифікат" display="Завантажити сертифікат"/>
    <hyperlink ref="F2363" r:id="rId2351" tooltip="Завантажити сертифікат" display="Завантажити сертифікат"/>
    <hyperlink ref="F2364" r:id="rId2352" tooltip="Завантажити сертифікат" display="Завантажити сертифікат"/>
    <hyperlink ref="F2365" r:id="rId2353" tooltip="Завантажити сертифікат" display="Завантажити сертифікат"/>
    <hyperlink ref="F2366" r:id="rId2354" tooltip="Завантажити сертифікат" display="Завантажити сертифікат"/>
    <hyperlink ref="F2367" r:id="rId2355" tooltip="Завантажити сертифікат" display="Завантажити сертифікат"/>
    <hyperlink ref="F2368" r:id="rId2356" tooltip="Завантажити сертифікат" display="Завантажити сертифікат"/>
    <hyperlink ref="F2369" r:id="rId2357" tooltip="Завантажити сертифікат" display="Завантажити сертифікат"/>
    <hyperlink ref="F2370" r:id="rId2358" tooltip="Завантажити сертифікат" display="Завантажити сертифікат"/>
    <hyperlink ref="F2371" r:id="rId2359" tooltip="Завантажити сертифікат" display="Завантажити сертифікат"/>
    <hyperlink ref="F2372" r:id="rId2360" tooltip="Завантажити сертифікат" display="Завантажити сертифікат"/>
    <hyperlink ref="F2373" r:id="rId2361" tooltip="Завантажити сертифікат" display="Завантажити сертифікат"/>
    <hyperlink ref="F2374" r:id="rId2362" tooltip="Завантажити сертифікат" display="Завантажити сертифікат"/>
    <hyperlink ref="F2375" r:id="rId2363" tooltip="Завантажити сертифікат" display="Завантажити сертифікат"/>
    <hyperlink ref="F2376" r:id="rId2364" tooltip="Завантажити сертифікат" display="Завантажити сертифікат"/>
    <hyperlink ref="F2377" r:id="rId2365" tooltip="Завантажити сертифікат" display="Завантажити сертифікат"/>
    <hyperlink ref="F2378" r:id="rId2366" tooltip="Завантажити сертифікат" display="Завантажити сертифікат"/>
    <hyperlink ref="F2379" r:id="rId2367" tooltip="Завантажити сертифікат" display="Завантажити сертифікат"/>
    <hyperlink ref="F2380" r:id="rId2368" tooltip="Завантажити сертифікат" display="Завантажити сертифікат"/>
    <hyperlink ref="F2381" r:id="rId2369" tooltip="Завантажити сертифікат" display="Завантажити сертифікат"/>
    <hyperlink ref="F2382" r:id="rId2370" tooltip="Завантажити сертифікат" display="Завантажити сертифікат"/>
    <hyperlink ref="F2383" r:id="rId2371" tooltip="Завантажити сертифікат" display="Завантажити сертифікат"/>
    <hyperlink ref="F2384" r:id="rId2372" tooltip="Завантажити сертифікат" display="Завантажити сертифікат"/>
    <hyperlink ref="F2385" r:id="rId2373" tooltip="Завантажити сертифікат" display="Завантажити сертифікат"/>
    <hyperlink ref="F2386" r:id="rId2374" tooltip="Завантажити сертифікат" display="Завантажити сертифікат"/>
    <hyperlink ref="F2387" r:id="rId2375" tooltip="Завантажити сертифікат" display="Завантажити сертифікат"/>
    <hyperlink ref="F2388" r:id="rId2376" tooltip="Завантажити сертифікат" display="Завантажити сертифікат"/>
    <hyperlink ref="F2389" r:id="rId2377" tooltip="Завантажити сертифікат" display="Завантажити сертифікат"/>
    <hyperlink ref="F2390" r:id="rId2378" tooltip="Завантажити сертифікат" display="Завантажити сертифікат"/>
    <hyperlink ref="F2391" r:id="rId2379" tooltip="Завантажити сертифікат" display="Завантажити сертифікат"/>
    <hyperlink ref="F2392" r:id="rId2380" tooltip="Завантажити сертифікат" display="Завантажити сертифікат"/>
    <hyperlink ref="F2393" r:id="rId2381" tooltip="Завантажити сертифікат" display="Завантажити сертифікат"/>
    <hyperlink ref="F2394" r:id="rId2382" tooltip="Завантажити сертифікат" display="Завантажити сертифікат"/>
    <hyperlink ref="F2395" r:id="rId2383" tooltip="Завантажити сертифікат" display="Завантажити сертифікат"/>
    <hyperlink ref="F2396" r:id="rId2384" tooltip="Завантажити сертифікат" display="Завантажити сертифікат"/>
    <hyperlink ref="F2397" r:id="rId2385" tooltip="Завантажити сертифікат" display="Завантажити сертифікат"/>
    <hyperlink ref="F2398" r:id="rId2386" tooltip="Завантажити сертифікат" display="Завантажити сертифікат"/>
    <hyperlink ref="F2399" r:id="rId2387" tooltip="Завантажити сертифікат" display="Завантажити сертифікат"/>
    <hyperlink ref="F2400" r:id="rId2388" tooltip="Завантажити сертифікат" display="Завантажити сертифікат"/>
    <hyperlink ref="F2401" r:id="rId2389" tooltip="Завантажити сертифікат" display="Завантажити сертифікат"/>
    <hyperlink ref="F2402" r:id="rId2390" tooltip="Завантажити сертифікат" display="Завантажити сертифікат"/>
    <hyperlink ref="F2403" r:id="rId2391" tooltip="Завантажити сертифікат" display="Завантажити сертифікат"/>
    <hyperlink ref="F2404" r:id="rId2392" tooltip="Завантажити сертифікат" display="Завантажити сертифікат"/>
    <hyperlink ref="F2405" r:id="rId2393" tooltip="Завантажити сертифікат" display="Завантажити сертифікат"/>
    <hyperlink ref="F2406" r:id="rId2394" tooltip="Завантажити сертифікат" display="Завантажити сертифікат"/>
    <hyperlink ref="F2407" r:id="rId2395" tooltip="Завантажити сертифікат" display="Завантажити сертифікат"/>
    <hyperlink ref="F2408" r:id="rId2396" tooltip="Завантажити сертифікат" display="Завантажити сертифікат"/>
    <hyperlink ref="F2409" r:id="rId2397" tooltip="Завантажити сертифікат" display="Завантажити сертифікат"/>
    <hyperlink ref="F2410" r:id="rId2398" tooltip="Завантажити сертифікат" display="Завантажити сертифікат"/>
    <hyperlink ref="F2411" r:id="rId2399" tooltip="Завантажити сертифікат" display="Завантажити сертифікат"/>
    <hyperlink ref="F2412" r:id="rId2400" tooltip="Завантажити сертифікат" display="Завантажити сертифікат"/>
    <hyperlink ref="F2413" r:id="rId2401" tooltip="Завантажити сертифікат" display="Завантажити сертифікат"/>
    <hyperlink ref="F2414" r:id="rId2402" tooltip="Завантажити сертифікат" display="Завантажити сертифікат"/>
    <hyperlink ref="F2415" r:id="rId2403" tooltip="Завантажити сертифікат" display="Завантажити сертифікат"/>
    <hyperlink ref="F2416" r:id="rId2404" tooltip="Завантажити сертифікат" display="Завантажити сертифікат"/>
    <hyperlink ref="F2417" r:id="rId2405" tooltip="Завантажити сертифікат" display="Завантажити сертифікат"/>
    <hyperlink ref="F2418" r:id="rId2406" tooltip="Завантажити сертифікат" display="Завантажити сертифікат"/>
    <hyperlink ref="F2419" r:id="rId2407" tooltip="Завантажити сертифікат" display="Завантажити сертифікат"/>
    <hyperlink ref="F2420" r:id="rId2408" tooltip="Завантажити сертифікат" display="Завантажити сертифікат"/>
    <hyperlink ref="F2421" r:id="rId2409" tooltip="Завантажити сертифікат" display="Завантажити сертифікат"/>
    <hyperlink ref="F2422" r:id="rId2410" tooltip="Завантажити сертифікат" display="Завантажити сертифікат"/>
    <hyperlink ref="F2423" r:id="rId2411" tooltip="Завантажити сертифікат" display="Завантажити сертифікат"/>
    <hyperlink ref="F2424" r:id="rId2412" tooltip="Завантажити сертифікат" display="Завантажити сертифікат"/>
    <hyperlink ref="F2425" r:id="rId2413" tooltip="Завантажити сертифікат" display="Завантажити сертифікат"/>
    <hyperlink ref="F2426" r:id="rId2414" tooltip="Завантажити сертифікат" display="Завантажити сертифікат"/>
    <hyperlink ref="F2427" r:id="rId2415" tooltip="Завантажити сертифікат" display="Завантажити сертифікат"/>
    <hyperlink ref="F2428" r:id="rId2416" tooltip="Завантажити сертифікат" display="Завантажити сертифікат"/>
    <hyperlink ref="F2429" r:id="rId2417" tooltip="Завантажити сертифікат" display="Завантажити сертифікат"/>
    <hyperlink ref="F2430" r:id="rId2418" tooltip="Завантажити сертифікат" display="Завантажити сертифікат"/>
    <hyperlink ref="F2431" r:id="rId2419" tooltip="Завантажити сертифікат" display="Завантажити сертифікат"/>
    <hyperlink ref="F2432" r:id="rId2420" tooltip="Завантажити сертифікат" display="Завантажити сертифікат"/>
    <hyperlink ref="F2433" r:id="rId2421" tooltip="Завантажити сертифікат" display="Завантажити сертифікат"/>
    <hyperlink ref="F2434" r:id="rId2422" tooltip="Завантажити сертифікат" display="Завантажити сертифікат"/>
    <hyperlink ref="F2435" r:id="rId2423" tooltip="Завантажити сертифікат" display="Завантажити сертифікат"/>
    <hyperlink ref="F2436" r:id="rId2424" tooltip="Завантажити сертифікат" display="Завантажити сертифікат"/>
    <hyperlink ref="F2437" r:id="rId2425" tooltip="Завантажити сертифікат" display="Завантажити сертифікат"/>
    <hyperlink ref="F2438" r:id="rId2426" tooltip="Завантажити сертифікат" display="Завантажити сертифікат"/>
    <hyperlink ref="F2439" r:id="rId2427" tooltip="Завантажити сертифікат" display="Завантажити сертифікат"/>
    <hyperlink ref="F2440" r:id="rId2428" tooltip="Завантажити сертифікат" display="Завантажити сертифікат"/>
    <hyperlink ref="F2441" r:id="rId2429" tooltip="Завантажити сертифікат" display="Завантажити сертифікат"/>
    <hyperlink ref="F2442" r:id="rId2430" tooltip="Завантажити сертифікат" display="Завантажити сертифікат"/>
    <hyperlink ref="F2443" r:id="rId2431" tooltip="Завантажити сертифікат" display="Завантажити сертифікат"/>
    <hyperlink ref="F2444" r:id="rId2432" tooltip="Завантажити сертифікат" display="Завантажити сертифікат"/>
    <hyperlink ref="F2445" r:id="rId2433" tooltip="Завантажити сертифікат" display="Завантажити сертифікат"/>
    <hyperlink ref="F2446" r:id="rId2434" tooltip="Завантажити сертифікат" display="Завантажити сертифікат"/>
    <hyperlink ref="F2447" r:id="rId2435" tooltip="Завантажити сертифікат" display="Завантажити сертифікат"/>
    <hyperlink ref="F2448" r:id="rId2436" tooltip="Завантажити сертифікат" display="Завантажити сертифікат"/>
    <hyperlink ref="F2449" r:id="rId2437" tooltip="Завантажити сертифікат" display="Завантажити сертифікат"/>
    <hyperlink ref="F2450" r:id="rId2438" tooltip="Завантажити сертифікат" display="Завантажити сертифікат"/>
    <hyperlink ref="F2451" r:id="rId2439" tooltip="Завантажити сертифікат" display="Завантажити сертифікат"/>
    <hyperlink ref="F2452" r:id="rId2440" tooltip="Завантажити сертифікат" display="Завантажити сертифікат"/>
    <hyperlink ref="F2453" r:id="rId2441" tooltip="Завантажити сертифікат" display="Завантажити сертифікат"/>
    <hyperlink ref="F2454" r:id="rId2442" tooltip="Завантажити сертифікат" display="Завантажити сертифікат"/>
    <hyperlink ref="F2455" r:id="rId2443" tooltip="Завантажити сертифікат" display="Завантажити сертифікат"/>
    <hyperlink ref="F2456" r:id="rId2444" tooltip="Завантажити сертифікат" display="Завантажити сертифікат"/>
    <hyperlink ref="F2457" r:id="rId2445" tooltip="Завантажити сертифікат" display="Завантажити сертифікат"/>
    <hyperlink ref="F2458" r:id="rId2446" tooltip="Завантажити сертифікат" display="Завантажити сертифікат"/>
    <hyperlink ref="F2459" r:id="rId2447" tooltip="Завантажити сертифікат" display="Завантажити сертифікат"/>
    <hyperlink ref="F2460" r:id="rId2448" tooltip="Завантажити сертифікат" display="Завантажити сертифікат"/>
    <hyperlink ref="F2461" r:id="rId2449" tooltip="Завантажити сертифікат" display="Завантажити сертифікат"/>
    <hyperlink ref="F2462" r:id="rId2450" tooltip="Завантажити сертифікат" display="Завантажити сертифікат"/>
    <hyperlink ref="F2463" r:id="rId2451" tooltip="Завантажити сертифікат" display="Завантажити сертифікат"/>
    <hyperlink ref="F2464" r:id="rId2452" tooltip="Завантажити сертифікат" display="Завантажити сертифікат"/>
    <hyperlink ref="F2465" r:id="rId2453" tooltip="Завантажити сертифікат" display="Завантажити сертифікат"/>
    <hyperlink ref="F2466" r:id="rId2454" tooltip="Завантажити сертифікат" display="Завантажити сертифікат"/>
    <hyperlink ref="F2467" r:id="rId2455" tooltip="Завантажити сертифікат" display="Завантажити сертифікат"/>
    <hyperlink ref="F2468" r:id="rId2456" tooltip="Завантажити сертифікат" display="Завантажити сертифікат"/>
    <hyperlink ref="F2469" r:id="rId2457" tooltip="Завантажити сертифікат" display="Завантажити сертифікат"/>
    <hyperlink ref="F2470" r:id="rId2458" tooltip="Завантажити сертифікат" display="Завантажити сертифікат"/>
    <hyperlink ref="F2471" r:id="rId2459" tooltip="Завантажити сертифікат" display="Завантажити сертифікат"/>
    <hyperlink ref="F2472" r:id="rId2460" tooltip="Завантажити сертифікат" display="Завантажити сертифікат"/>
    <hyperlink ref="F2473" r:id="rId2461" tooltip="Завантажити сертифікат" display="Завантажити сертифікат"/>
    <hyperlink ref="F2474" r:id="rId2462" tooltip="Завантажити сертифікат" display="Завантажити сертифікат"/>
    <hyperlink ref="F2475" r:id="rId2463" tooltip="Завантажити сертифікат" display="Завантажити сертифікат"/>
    <hyperlink ref="F2476" r:id="rId2464" tooltip="Завантажити сертифікат" display="Завантажити сертифікат"/>
    <hyperlink ref="F2477" r:id="rId2465" tooltip="Завантажити сертифікат" display="Завантажити сертифікат"/>
    <hyperlink ref="F2478" r:id="rId2466" tooltip="Завантажити сертифікат" display="Завантажити сертифікат"/>
    <hyperlink ref="F2479" r:id="rId2467" tooltip="Завантажити сертифікат" display="Завантажити сертифікат"/>
    <hyperlink ref="F2480" r:id="rId2468" tooltip="Завантажити сертифікат" display="Завантажити сертифікат"/>
    <hyperlink ref="F2481" r:id="rId2469" tooltip="Завантажити сертифікат" display="Завантажити сертифікат"/>
    <hyperlink ref="F2482" r:id="rId2470" tooltip="Завантажити сертифікат" display="Завантажити сертифікат"/>
    <hyperlink ref="F2483" r:id="rId2471" tooltip="Завантажити сертифікат" display="Завантажити сертифікат"/>
    <hyperlink ref="F2484" r:id="rId2472" tooltip="Завантажити сертифікат" display="Завантажити сертифікат"/>
    <hyperlink ref="F2485" r:id="rId2473" tooltip="Завантажити сертифікат" display="Завантажити сертифікат"/>
    <hyperlink ref="F2486" r:id="rId2474" tooltip="Завантажити сертифікат" display="Завантажити сертифікат"/>
    <hyperlink ref="F2487" r:id="rId2475" tooltip="Завантажити сертифікат" display="Завантажити сертифікат"/>
    <hyperlink ref="F2488" r:id="rId2476" tooltip="Завантажити сертифікат" display="Завантажити сертифікат"/>
    <hyperlink ref="F2489" r:id="rId2477" tooltip="Завантажити сертифікат" display="Завантажити сертифікат"/>
    <hyperlink ref="F2490" r:id="rId2478" tooltip="Завантажити сертифікат" display="Завантажити сертифікат"/>
    <hyperlink ref="F2491" r:id="rId2479" tooltip="Завантажити сертифікат" display="Завантажити сертифікат"/>
    <hyperlink ref="F2492" r:id="rId2480" tooltip="Завантажити сертифікат" display="Завантажити сертифікат"/>
    <hyperlink ref="F2493" r:id="rId2481" tooltip="Завантажити сертифікат" display="Завантажити сертифікат"/>
    <hyperlink ref="F2494" r:id="rId2482" tooltip="Завантажити сертифікат" display="Завантажити сертифікат"/>
    <hyperlink ref="F2495" r:id="rId2483" tooltip="Завантажити сертифікат" display="Завантажити сертифікат"/>
    <hyperlink ref="F2496" r:id="rId2484" tooltip="Завантажити сертифікат" display="Завантажити сертифікат"/>
    <hyperlink ref="F2497" r:id="rId2485" tooltip="Завантажити сертифікат" display="Завантажити сертифікат"/>
    <hyperlink ref="F2498" r:id="rId2486" tooltip="Завантажити сертифікат" display="Завантажити сертифікат"/>
    <hyperlink ref="F2499" r:id="rId2487" tooltip="Завантажити сертифікат" display="Завантажити сертифікат"/>
    <hyperlink ref="F2500" r:id="rId2488" tooltip="Завантажити сертифікат" display="Завантажити сертифікат"/>
    <hyperlink ref="F2501" r:id="rId2489" tooltip="Завантажити сертифікат" display="Завантажити сертифікат"/>
    <hyperlink ref="F2502" r:id="rId2490" tooltip="Завантажити сертифікат" display="Завантажити сертифікат"/>
    <hyperlink ref="F2503" r:id="rId2491" tooltip="Завантажити сертифікат" display="Завантажити сертифікат"/>
    <hyperlink ref="F2504" r:id="rId2492" tooltip="Завантажити сертифікат" display="Завантажити сертифікат"/>
    <hyperlink ref="F2505" r:id="rId2493" tooltip="Завантажити сертифікат" display="Завантажити сертифікат"/>
    <hyperlink ref="F2506" r:id="rId2494" tooltip="Завантажити сертифікат" display="Завантажити сертифікат"/>
    <hyperlink ref="F2507" r:id="rId2495" tooltip="Завантажити сертифікат" display="Завантажити сертифікат"/>
    <hyperlink ref="F2508" r:id="rId2496" tooltip="Завантажити сертифікат" display="Завантажити сертифікат"/>
    <hyperlink ref="F2509" r:id="rId2497" tooltip="Завантажити сертифікат" display="Завантажити сертифікат"/>
    <hyperlink ref="F2510" r:id="rId2498" tooltip="Завантажити сертифікат" display="Завантажити сертифікат"/>
    <hyperlink ref="F2511" r:id="rId2499" tooltip="Завантажити сертифікат" display="Завантажити сертифікат"/>
    <hyperlink ref="F2512" r:id="rId2500" tooltip="Завантажити сертифікат" display="Завантажити сертифікат"/>
    <hyperlink ref="F2513" r:id="rId2501" tooltip="Завантажити сертифікат" display="Завантажити сертифікат"/>
    <hyperlink ref="F2514" r:id="rId2502" tooltip="Завантажити сертифікат" display="Завантажити сертифікат"/>
    <hyperlink ref="F2515" r:id="rId2503" tooltip="Завантажити сертифікат" display="Завантажити сертифікат"/>
    <hyperlink ref="F2516" r:id="rId2504" tooltip="Завантажити сертифікат" display="Завантажити сертифікат"/>
    <hyperlink ref="F2517" r:id="rId2505" tooltip="Завантажити сертифікат" display="Завантажити сертифікат"/>
    <hyperlink ref="F2518" r:id="rId2506" tooltip="Завантажити сертифікат" display="Завантажити сертифікат"/>
    <hyperlink ref="F2519" r:id="rId2507" tooltip="Завантажити сертифікат" display="Завантажити сертифікат"/>
    <hyperlink ref="F2520" r:id="rId2508" tooltip="Завантажити сертифікат" display="Завантажити сертифікат"/>
    <hyperlink ref="F2521" r:id="rId2509" tooltip="Завантажити сертифікат" display="Завантажити сертифікат"/>
    <hyperlink ref="F2522" r:id="rId2510" tooltip="Завантажити сертифікат" display="Завантажити сертифікат"/>
    <hyperlink ref="F2523" r:id="rId2511" tooltip="Завантажити сертифікат" display="Завантажити сертифікат"/>
    <hyperlink ref="F2524" r:id="rId2512" tooltip="Завантажити сертифікат" display="Завантажити сертифікат"/>
    <hyperlink ref="F2525" r:id="rId2513" tooltip="Завантажити сертифікат" display="Завантажити сертифікат"/>
    <hyperlink ref="F2526" r:id="rId2514" tooltip="Завантажити сертифікат" display="Завантажити сертифікат"/>
    <hyperlink ref="F2527" r:id="rId2515" tooltip="Завантажити сертифікат" display="Завантажити сертифікат"/>
    <hyperlink ref="F2528" r:id="rId2516" tooltip="Завантажити сертифікат" display="Завантажити сертифікат"/>
    <hyperlink ref="F2529" r:id="rId2517" tooltip="Завантажити сертифікат" display="Завантажити сертифікат"/>
    <hyperlink ref="F2530" r:id="rId2518" tooltip="Завантажити сертифікат" display="Завантажити сертифікат"/>
    <hyperlink ref="F2531" r:id="rId2519" tooltip="Завантажити сертифікат" display="Завантажити сертифікат"/>
    <hyperlink ref="F2532" r:id="rId2520" tooltip="Завантажити сертифікат" display="Завантажити сертифікат"/>
    <hyperlink ref="F2533" r:id="rId2521" tooltip="Завантажити сертифікат" display="Завантажити сертифікат"/>
    <hyperlink ref="F2534" r:id="rId2522" tooltip="Завантажити сертифікат" display="Завантажити сертифікат"/>
    <hyperlink ref="F2535" r:id="rId2523" tooltip="Завантажити сертифікат" display="Завантажити сертифікат"/>
    <hyperlink ref="F2536" r:id="rId2524" tooltip="Завантажити сертифікат" display="Завантажити сертифікат"/>
    <hyperlink ref="F2537" r:id="rId2525" tooltip="Завантажити сертифікат" display="Завантажити сертифікат"/>
    <hyperlink ref="F2538" r:id="rId2526" tooltip="Завантажити сертифікат" display="Завантажити сертифікат"/>
    <hyperlink ref="F2539" r:id="rId2527" tooltip="Завантажити сертифікат" display="Завантажити сертифікат"/>
    <hyperlink ref="F2540" r:id="rId2528" tooltip="Завантажити сертифікат" display="Завантажити сертифікат"/>
    <hyperlink ref="F2541" r:id="rId2529" tooltip="Завантажити сертифікат" display="Завантажити сертифікат"/>
    <hyperlink ref="F2542" r:id="rId2530" tooltip="Завантажити сертифікат" display="Завантажити сертифікат"/>
    <hyperlink ref="F2543" r:id="rId2531" tooltip="Завантажити сертифікат" display="Завантажити сертифікат"/>
    <hyperlink ref="F2544" r:id="rId2532" tooltip="Завантажити сертифікат" display="Завантажити сертифікат"/>
    <hyperlink ref="F2545" r:id="rId2533" tooltip="Завантажити сертифікат" display="Завантажити сертифікат"/>
    <hyperlink ref="F2546" r:id="rId2534" tooltip="Завантажити сертифікат" display="Завантажити сертифікат"/>
    <hyperlink ref="F2547" r:id="rId2535" tooltip="Завантажити сертифікат" display="Завантажити сертифікат"/>
    <hyperlink ref="F2548" r:id="rId2536" tooltip="Завантажити сертифікат" display="Завантажити сертифікат"/>
    <hyperlink ref="F2549" r:id="rId2537" tooltip="Завантажити сертифікат" display="Завантажити сертифікат"/>
    <hyperlink ref="F2550" r:id="rId2538" tooltip="Завантажити сертифікат" display="Завантажити сертифікат"/>
    <hyperlink ref="F2551" r:id="rId2539" tooltip="Завантажити сертифікат" display="Завантажити сертифікат"/>
    <hyperlink ref="F2552" r:id="rId2540" tooltip="Завантажити сертифікат" display="Завантажити сертифікат"/>
    <hyperlink ref="F2553" r:id="rId2541" tooltip="Завантажити сертифікат" display="Завантажити сертифікат"/>
    <hyperlink ref="F2554" r:id="rId2542" tooltip="Завантажити сертифікат" display="Завантажити сертифікат"/>
    <hyperlink ref="F2555" r:id="rId2543" tooltip="Завантажити сертифікат" display="Завантажити сертифікат"/>
    <hyperlink ref="F2556" r:id="rId2544" tooltip="Завантажити сертифікат" display="Завантажити сертифікат"/>
    <hyperlink ref="F2557" r:id="rId2545" tooltip="Завантажити сертифікат" display="Завантажити сертифікат"/>
    <hyperlink ref="F2558" r:id="rId2546" tooltip="Завантажити сертифікат" display="Завантажити сертифікат"/>
    <hyperlink ref="F2559" r:id="rId2547" tooltip="Завантажити сертифікат" display="Завантажити сертифікат"/>
    <hyperlink ref="F2560" r:id="rId2548" tooltip="Завантажити сертифікат" display="Завантажити сертифікат"/>
    <hyperlink ref="F2561" r:id="rId2549" tooltip="Завантажити сертифікат" display="Завантажити сертифікат"/>
    <hyperlink ref="F2562" r:id="rId2550" tooltip="Завантажити сертифікат" display="Завантажити сертифікат"/>
    <hyperlink ref="F2563" r:id="rId2551" tooltip="Завантажити сертифікат" display="Завантажити сертифікат"/>
    <hyperlink ref="F2564" r:id="rId2552" tooltip="Завантажити сертифікат" display="Завантажити сертифікат"/>
    <hyperlink ref="F2565" r:id="rId2553" tooltip="Завантажити сертифікат" display="Завантажити сертифікат"/>
    <hyperlink ref="F2566" r:id="rId2554" tooltip="Завантажити сертифікат" display="Завантажити сертифікат"/>
    <hyperlink ref="F2567" r:id="rId2555" tooltip="Завантажити сертифікат" display="Завантажити сертифікат"/>
    <hyperlink ref="F2568" r:id="rId2556" tooltip="Завантажити сертифікат" display="Завантажити сертифікат"/>
    <hyperlink ref="F2569" r:id="rId2557" tooltip="Завантажити сертифікат" display="Завантажити сертифікат"/>
    <hyperlink ref="F2570" r:id="rId2558" tooltip="Завантажити сертифікат" display="Завантажити сертифікат"/>
    <hyperlink ref="F2571" r:id="rId2559" tooltip="Завантажити сертифікат" display="Завантажити сертифікат"/>
    <hyperlink ref="F2572" r:id="rId2560" tooltip="Завантажити сертифікат" display="Завантажити сертифікат"/>
    <hyperlink ref="F2573" r:id="rId2561" tooltip="Завантажити сертифікат" display="Завантажити сертифікат"/>
    <hyperlink ref="F2574" r:id="rId2562" tooltip="Завантажити сертифікат" display="Завантажити сертифікат"/>
    <hyperlink ref="F2575" r:id="rId2563" tooltip="Завантажити сертифікат" display="Завантажити сертифікат"/>
    <hyperlink ref="F2576" r:id="rId2564" tooltip="Завантажити сертифікат" display="Завантажити сертифікат"/>
    <hyperlink ref="F2577" r:id="rId2565" tooltip="Завантажити сертифікат" display="Завантажити сертифікат"/>
    <hyperlink ref="F2578" r:id="rId2566" tooltip="Завантажити сертифікат" display="Завантажити сертифікат"/>
    <hyperlink ref="F2579" r:id="rId2567" tooltip="Завантажити сертифікат" display="Завантажити сертифікат"/>
    <hyperlink ref="F2580" r:id="rId2568" tooltip="Завантажити сертифікат" display="Завантажити сертифікат"/>
    <hyperlink ref="F2581" r:id="rId2569" tooltip="Завантажити сертифікат" display="Завантажити сертифікат"/>
    <hyperlink ref="F2582" r:id="rId2570" tooltip="Завантажити сертифікат" display="Завантажити сертифікат"/>
    <hyperlink ref="F2583" r:id="rId2571" tooltip="Завантажити сертифікат" display="Завантажити сертифікат"/>
    <hyperlink ref="F2584" r:id="rId2572" tooltip="Завантажити сертифікат" display="Завантажити сертифікат"/>
    <hyperlink ref="F2585" r:id="rId2573" tooltip="Завантажити сертифікат" display="Завантажити сертифікат"/>
    <hyperlink ref="F2586" r:id="rId2574" tooltip="Завантажити сертифікат" display="Завантажити сертифікат"/>
    <hyperlink ref="F2587" r:id="rId2575" tooltip="Завантажити сертифікат" display="Завантажити сертифікат"/>
    <hyperlink ref="F2588" r:id="rId2576" tooltip="Завантажити сертифікат" display="Завантажити сертифікат"/>
    <hyperlink ref="F2589" r:id="rId2577" tooltip="Завантажити сертифікат" display="Завантажити сертифікат"/>
    <hyperlink ref="F2590" r:id="rId2578" tooltip="Завантажити сертифікат" display="Завантажити сертифікат"/>
    <hyperlink ref="F2591" r:id="rId2579" tooltip="Завантажити сертифікат" display="Завантажити сертифікат"/>
    <hyperlink ref="F2592" r:id="rId2580" tooltip="Завантажити сертифікат" display="Завантажити сертифікат"/>
    <hyperlink ref="F2593" r:id="rId2581" tooltip="Завантажити сертифікат" display="Завантажити сертифікат"/>
    <hyperlink ref="F2594" r:id="rId2582" tooltip="Завантажити сертифікат" display="Завантажити сертифікат"/>
    <hyperlink ref="F2595" r:id="rId2583" tooltip="Завантажити сертифікат" display="Завантажити сертифікат"/>
    <hyperlink ref="F2596" r:id="rId2584" tooltip="Завантажити сертифікат" display="Завантажити сертифікат"/>
    <hyperlink ref="F2597" r:id="rId2585" tooltip="Завантажити сертифікат" display="Завантажити сертифікат"/>
    <hyperlink ref="F2598" r:id="rId2586" tooltip="Завантажити сертифікат" display="Завантажити сертифікат"/>
    <hyperlink ref="F2599" r:id="rId2587" tooltip="Завантажити сертифікат" display="Завантажити сертифікат"/>
    <hyperlink ref="F2600" r:id="rId2588" tooltip="Завантажити сертифікат" display="Завантажити сертифікат"/>
    <hyperlink ref="F2601" r:id="rId2589" tooltip="Завантажити сертифікат" display="Завантажити сертифікат"/>
    <hyperlink ref="F2602" r:id="rId2590" tooltip="Завантажити сертифікат" display="Завантажити сертифікат"/>
    <hyperlink ref="F2603" r:id="rId2591" tooltip="Завантажити сертифікат" display="Завантажити сертифікат"/>
    <hyperlink ref="F2604" r:id="rId2592" tooltip="Завантажити сертифікат" display="Завантажити сертифікат"/>
    <hyperlink ref="F2605" r:id="rId2593" tooltip="Завантажити сертифікат" display="Завантажити сертифікат"/>
    <hyperlink ref="F2606" r:id="rId2594" tooltip="Завантажити сертифікат" display="Завантажити сертифікат"/>
    <hyperlink ref="F2607" r:id="rId2595" tooltip="Завантажити сертифікат" display="Завантажити сертифікат"/>
    <hyperlink ref="F2608" r:id="rId2596" tooltip="Завантажити сертифікат" display="Завантажити сертифікат"/>
    <hyperlink ref="F2609" r:id="rId2597" tooltip="Завантажити сертифікат" display="Завантажити сертифікат"/>
    <hyperlink ref="F2610" r:id="rId2598" tooltip="Завантажити сертифікат" display="Завантажити сертифікат"/>
    <hyperlink ref="F2611" r:id="rId2599" tooltip="Завантажити сертифікат" display="Завантажити сертифікат"/>
    <hyperlink ref="F2612" r:id="rId2600" tooltip="Завантажити сертифікат" display="Завантажити сертифікат"/>
    <hyperlink ref="F2613" r:id="rId2601" tooltip="Завантажити сертифікат" display="Завантажити сертифікат"/>
    <hyperlink ref="F2614" r:id="rId2602" tooltip="Завантажити сертифікат" display="Завантажити сертифікат"/>
    <hyperlink ref="F2615" r:id="rId2603" tooltip="Завантажити сертифікат" display="Завантажити сертифікат"/>
    <hyperlink ref="F2616" r:id="rId2604" tooltip="Завантажити сертифікат" display="Завантажити сертифікат"/>
    <hyperlink ref="F2617" r:id="rId2605" tooltip="Завантажити сертифікат" display="Завантажити сертифікат"/>
    <hyperlink ref="F2618" r:id="rId2606" tooltip="Завантажити сертифікат" display="Завантажити сертифікат"/>
    <hyperlink ref="F2619" r:id="rId2607" tooltip="Завантажити сертифікат" display="Завантажити сертифікат"/>
    <hyperlink ref="F2620" r:id="rId2608" tooltip="Завантажити сертифікат" display="Завантажити сертифікат"/>
    <hyperlink ref="F2621" r:id="rId2609" tooltip="Завантажити сертифікат" display="Завантажити сертифікат"/>
    <hyperlink ref="F2622" r:id="rId2610" tooltip="Завантажити сертифікат" display="Завантажити сертифікат"/>
    <hyperlink ref="F2623" r:id="rId2611" tooltip="Завантажити сертифікат" display="Завантажити сертифікат"/>
    <hyperlink ref="F2624" r:id="rId2612" tooltip="Завантажити сертифікат" display="Завантажити сертифікат"/>
    <hyperlink ref="F2625" r:id="rId2613" tooltip="Завантажити сертифікат" display="Завантажити сертифікат"/>
    <hyperlink ref="F2626" r:id="rId2614" tooltip="Завантажити сертифікат" display="Завантажити сертифікат"/>
    <hyperlink ref="F2627" r:id="rId2615" tooltip="Завантажити сертифікат" display="Завантажити сертифікат"/>
    <hyperlink ref="F2628" r:id="rId2616" tooltip="Завантажити сертифікат" display="Завантажити сертифікат"/>
    <hyperlink ref="F2629" r:id="rId2617" tooltip="Завантажити сертифікат" display="Завантажити сертифікат"/>
    <hyperlink ref="F2630" r:id="rId2618" tooltip="Завантажити сертифікат" display="Завантажити сертифікат"/>
    <hyperlink ref="F2631" r:id="rId2619" tooltip="Завантажити сертифікат" display="Завантажити сертифікат"/>
    <hyperlink ref="F2632" r:id="rId2620" tooltip="Завантажити сертифікат" display="Завантажити сертифікат"/>
    <hyperlink ref="F2633" r:id="rId2621" tooltip="Завантажити сертифікат" display="Завантажити сертифікат"/>
    <hyperlink ref="F2634" r:id="rId2622" tooltip="Завантажити сертифікат" display="Завантажити сертифікат"/>
    <hyperlink ref="F2635" r:id="rId2623" tooltip="Завантажити сертифікат" display="Завантажити сертифікат"/>
    <hyperlink ref="F2636" r:id="rId2624" tooltip="Завантажити сертифікат" display="Завантажити сертифікат"/>
    <hyperlink ref="F2637" r:id="rId2625" tooltip="Завантажити сертифікат" display="Завантажити сертифікат"/>
    <hyperlink ref="F2638" r:id="rId2626" tooltip="Завантажити сертифікат" display="Завантажити сертифікат"/>
    <hyperlink ref="F2639" r:id="rId2627" tooltip="Завантажити сертифікат" display="Завантажити сертифікат"/>
    <hyperlink ref="F2640" r:id="rId2628" tooltip="Завантажити сертифікат" display="Завантажити сертифікат"/>
    <hyperlink ref="F2641" r:id="rId2629" tooltip="Завантажити сертифікат" display="Завантажити сертифікат"/>
    <hyperlink ref="F2642" r:id="rId2630" tooltip="Завантажити сертифікат" display="Завантажити сертифікат"/>
    <hyperlink ref="F2643" r:id="rId2631" tooltip="Завантажити сертифікат" display="Завантажити сертифікат"/>
    <hyperlink ref="F2644" r:id="rId2632" tooltip="Завантажити сертифікат" display="Завантажити сертифікат"/>
    <hyperlink ref="F2645" r:id="rId2633" tooltip="Завантажити сертифікат" display="Завантажити сертифікат"/>
    <hyperlink ref="F2646" r:id="rId2634" tooltip="Завантажити сертифікат" display="Завантажити сертифікат"/>
    <hyperlink ref="F2647" r:id="rId2635" tooltip="Завантажити сертифікат" display="Завантажити сертифікат"/>
    <hyperlink ref="F2648" r:id="rId2636" tooltip="Завантажити сертифікат" display="Завантажити сертифікат"/>
    <hyperlink ref="F2649" r:id="rId2637" tooltip="Завантажити сертифікат" display="Завантажити сертифікат"/>
    <hyperlink ref="F2650" r:id="rId2638" tooltip="Завантажити сертифікат" display="Завантажити сертифікат"/>
    <hyperlink ref="F2651" r:id="rId2639" tooltip="Завантажити сертифікат" display="Завантажити сертифікат"/>
    <hyperlink ref="F2652" r:id="rId2640" tooltip="Завантажити сертифікат" display="Завантажити сертифікат"/>
    <hyperlink ref="F2653" r:id="rId2641" tooltip="Завантажити сертифікат" display="Завантажити сертифікат"/>
    <hyperlink ref="F2654" r:id="rId2642" tooltip="Завантажити сертифікат" display="Завантажити сертифікат"/>
    <hyperlink ref="F2655" r:id="rId2643" tooltip="Завантажити сертифікат" display="Завантажити сертифікат"/>
    <hyperlink ref="F2656" r:id="rId2644" tooltip="Завантажити сертифікат" display="Завантажити сертифікат"/>
    <hyperlink ref="F2657" r:id="rId2645" tooltip="Завантажити сертифікат" display="Завантажити сертифікат"/>
    <hyperlink ref="F2658" r:id="rId2646" tooltip="Завантажити сертифікат" display="Завантажити сертифікат"/>
    <hyperlink ref="F2659" r:id="rId2647" tooltip="Завантажити сертифікат" display="Завантажити сертифікат"/>
    <hyperlink ref="F2660" r:id="rId2648" tooltip="Завантажити сертифікат" display="Завантажити сертифікат"/>
    <hyperlink ref="F2661" r:id="rId2649" tooltip="Завантажити сертифікат" display="Завантажити сертифікат"/>
    <hyperlink ref="F2662" r:id="rId2650" tooltip="Завантажити сертифікат" display="Завантажити сертифікат"/>
    <hyperlink ref="F2663" r:id="rId2651" tooltip="Завантажити сертифікат" display="Завантажити сертифікат"/>
    <hyperlink ref="F2664" r:id="rId2652" tooltip="Завантажити сертифікат" display="Завантажити сертифікат"/>
    <hyperlink ref="F2665" r:id="rId2653" tooltip="Завантажити сертифікат" display="Завантажити сертифікат"/>
    <hyperlink ref="F2666" r:id="rId2654" tooltip="Завантажити сертифікат" display="Завантажити сертифікат"/>
    <hyperlink ref="F2667" r:id="rId2655" tooltip="Завантажити сертифікат" display="Завантажити сертифікат"/>
    <hyperlink ref="F2668" r:id="rId2656" tooltip="Завантажити сертифікат" display="Завантажити сертифікат"/>
    <hyperlink ref="F2669" r:id="rId2657" tooltip="Завантажити сертифікат" display="Завантажити сертифікат"/>
    <hyperlink ref="F2670" r:id="rId2658" tooltip="Завантажити сертифікат" display="Завантажити сертифікат"/>
    <hyperlink ref="F2671" r:id="rId2659" tooltip="Завантажити сертифікат" display="Завантажити сертифікат"/>
    <hyperlink ref="F2672" r:id="rId2660" tooltip="Завантажити сертифікат" display="Завантажити сертифікат"/>
    <hyperlink ref="F2673" r:id="rId2661" tooltip="Завантажити сертифікат" display="Завантажити сертифікат"/>
    <hyperlink ref="F2674" r:id="rId2662" tooltip="Завантажити сертифікат" display="Завантажити сертифікат"/>
    <hyperlink ref="F2675" r:id="rId2663" tooltip="Завантажити сертифікат" display="Завантажити сертифікат"/>
    <hyperlink ref="F2676" r:id="rId2664" tooltip="Завантажити сертифікат" display="Завантажити сертифікат"/>
    <hyperlink ref="F2677" r:id="rId2665" tooltip="Завантажити сертифікат" display="Завантажити сертифікат"/>
    <hyperlink ref="F2678" r:id="rId2666" tooltip="Завантажити сертифікат" display="Завантажити сертифікат"/>
    <hyperlink ref="F2679" r:id="rId2667" tooltip="Завантажити сертифікат" display="Завантажити сертифікат"/>
    <hyperlink ref="F2680" r:id="rId2668" tooltip="Завантажити сертифікат" display="Завантажити сертифікат"/>
    <hyperlink ref="F2681" r:id="rId2669" tooltip="Завантажити сертифікат" display="Завантажити сертифікат"/>
    <hyperlink ref="F2682" r:id="rId2670" tooltip="Завантажити сертифікат" display="Завантажити сертифікат"/>
    <hyperlink ref="F2683" r:id="rId2671" tooltip="Завантажити сертифікат" display="Завантажити сертифікат"/>
    <hyperlink ref="F2684" r:id="rId2672" tooltip="Завантажити сертифікат" display="Завантажити сертифікат"/>
    <hyperlink ref="F2685" r:id="rId2673" tooltip="Завантажити сертифікат" display="Завантажити сертифікат"/>
    <hyperlink ref="F2686" r:id="rId2674" tooltip="Завантажити сертифікат" display="Завантажити сертифікат"/>
    <hyperlink ref="F2687" r:id="rId2675" tooltip="Завантажити сертифікат" display="Завантажити сертифікат"/>
    <hyperlink ref="F2688" r:id="rId2676" tooltip="Завантажити сертифікат" display="Завантажити сертифікат"/>
    <hyperlink ref="F2689" r:id="rId2677" tooltip="Завантажити сертифікат" display="Завантажити сертифікат"/>
    <hyperlink ref="F2690" r:id="rId2678" tooltip="Завантажити сертифікат" display="Завантажити сертифікат"/>
    <hyperlink ref="F2691" r:id="rId2679" tooltip="Завантажити сертифікат" display="Завантажити сертифікат"/>
    <hyperlink ref="F2692" r:id="rId2680" tooltip="Завантажити сертифікат" display="Завантажити сертифікат"/>
    <hyperlink ref="F2693" r:id="rId2681" tooltip="Завантажити сертифікат" display="Завантажити сертифікат"/>
    <hyperlink ref="F2694" r:id="rId2682" tooltip="Завантажити сертифікат" display="Завантажити сертифікат"/>
    <hyperlink ref="F2695" r:id="rId2683" tooltip="Завантажити сертифікат" display="Завантажити сертифікат"/>
    <hyperlink ref="F2696" r:id="rId2684" tooltip="Завантажити сертифікат" display="Завантажити сертифікат"/>
    <hyperlink ref="F2697" r:id="rId2685" tooltip="Завантажити сертифікат" display="Завантажити сертифікат"/>
    <hyperlink ref="F2698" r:id="rId2686" tooltip="Завантажити сертифікат" display="Завантажити сертифікат"/>
    <hyperlink ref="F2699" r:id="rId2687" tooltip="Завантажити сертифікат" display="Завантажити сертифікат"/>
    <hyperlink ref="F2700" r:id="rId2688" tooltip="Завантажити сертифікат" display="Завантажити сертифікат"/>
    <hyperlink ref="F2701" r:id="rId2689" tooltip="Завантажити сертифікат" display="Завантажити сертифікат"/>
    <hyperlink ref="F2702" r:id="rId2690" tooltip="Завантажити сертифікат" display="Завантажити сертифікат"/>
    <hyperlink ref="F2703" r:id="rId2691" tooltip="Завантажити сертифікат" display="Завантажити сертифікат"/>
    <hyperlink ref="F2704" r:id="rId2692" tooltip="Завантажити сертифікат" display="Завантажити сертифікат"/>
    <hyperlink ref="F2705" r:id="rId2693" tooltip="Завантажити сертифікат" display="Завантажити сертифікат"/>
    <hyperlink ref="F2706" r:id="rId2694" tooltip="Завантажити сертифікат" display="Завантажити сертифікат"/>
    <hyperlink ref="F2707" r:id="rId2695" tooltip="Завантажити сертифікат" display="Завантажити сертифікат"/>
    <hyperlink ref="F2708" r:id="rId2696" tooltip="Завантажити сертифікат" display="Завантажити сертифікат"/>
    <hyperlink ref="F2709" r:id="rId2697" tooltip="Завантажити сертифікат" display="Завантажити сертифікат"/>
    <hyperlink ref="F2710" r:id="rId2698" tooltip="Завантажити сертифікат" display="Завантажити сертифікат"/>
    <hyperlink ref="F2711" r:id="rId2699" tooltip="Завантажити сертифікат" display="Завантажити сертифікат"/>
    <hyperlink ref="F2712" r:id="rId2700" tooltip="Завантажити сертифікат" display="Завантажити сертифікат"/>
    <hyperlink ref="F2713" r:id="rId2701" tooltip="Завантажити сертифікат" display="Завантажити сертифікат"/>
    <hyperlink ref="F2714" r:id="rId2702" tooltip="Завантажити сертифікат" display="Завантажити сертифікат"/>
    <hyperlink ref="F2715" r:id="rId2703" tooltip="Завантажити сертифікат" display="Завантажити сертифікат"/>
    <hyperlink ref="F2716" r:id="rId2704" tooltip="Завантажити сертифікат" display="Завантажити сертифікат"/>
    <hyperlink ref="F2717" r:id="rId2705" tooltip="Завантажити сертифікат" display="Завантажити сертифікат"/>
    <hyperlink ref="F2718" r:id="rId2706" tooltip="Завантажити сертифікат" display="Завантажити сертифікат"/>
    <hyperlink ref="F2719" r:id="rId2707" tooltip="Завантажити сертифікат" display="Завантажити сертифікат"/>
    <hyperlink ref="F2720" r:id="rId2708" tooltip="Завантажити сертифікат" display="Завантажити сертифікат"/>
    <hyperlink ref="F2721" r:id="rId2709" tooltip="Завантажити сертифікат" display="Завантажити сертифікат"/>
    <hyperlink ref="F2722" r:id="rId2710" tooltip="Завантажити сертифікат" display="Завантажити сертифікат"/>
    <hyperlink ref="F2723" r:id="rId2711" tooltip="Завантажити сертифікат" display="Завантажити сертифікат"/>
    <hyperlink ref="F2724" r:id="rId2712" tooltip="Завантажити сертифікат" display="Завантажити сертифікат"/>
    <hyperlink ref="F2725" r:id="rId2713" tooltip="Завантажити сертифікат" display="Завантажити сертифікат"/>
    <hyperlink ref="F2726" r:id="rId2714" tooltip="Завантажити сертифікат" display="Завантажити сертифікат"/>
    <hyperlink ref="F2727" r:id="rId2715" tooltip="Завантажити сертифікат" display="Завантажити сертифікат"/>
    <hyperlink ref="F2728" r:id="rId2716" tooltip="Завантажити сертифікат" display="Завантажити сертифікат"/>
    <hyperlink ref="F2729" r:id="rId2717" tooltip="Завантажити сертифікат" display="Завантажити сертифікат"/>
    <hyperlink ref="F2730" r:id="rId2718" tooltip="Завантажити сертифікат" display="Завантажити сертифікат"/>
    <hyperlink ref="F2731" r:id="rId2719" tooltip="Завантажити сертифікат" display="Завантажити сертифікат"/>
    <hyperlink ref="F2732" r:id="rId2720" tooltip="Завантажити сертифікат" display="Завантажити сертифікат"/>
    <hyperlink ref="F2733" r:id="rId2721" tooltip="Завантажити сертифікат" display="Завантажити сертифікат"/>
    <hyperlink ref="F2734" r:id="rId2722" tooltip="Завантажити сертифікат" display="Завантажити сертифікат"/>
    <hyperlink ref="F2735" r:id="rId2723" tooltip="Завантажити сертифікат" display="Завантажити сертифікат"/>
    <hyperlink ref="F2736" r:id="rId2724" tooltip="Завантажити сертифікат" display="Завантажити сертифікат"/>
    <hyperlink ref="F2737" r:id="rId2725" tooltip="Завантажити сертифікат" display="Завантажити сертифікат"/>
    <hyperlink ref="F2738" r:id="rId2726" tooltip="Завантажити сертифікат" display="Завантажити сертифікат"/>
    <hyperlink ref="F2739" r:id="rId2727" tooltip="Завантажити сертифікат" display="Завантажити сертифікат"/>
    <hyperlink ref="F2740" r:id="rId2728" tooltip="Завантажити сертифікат" display="Завантажити сертифікат"/>
    <hyperlink ref="F2741" r:id="rId2729" tooltip="Завантажити сертифікат" display="Завантажити сертифікат"/>
    <hyperlink ref="F2742" r:id="rId2730" tooltip="Завантажити сертифікат" display="Завантажити сертифікат"/>
    <hyperlink ref="F2743" r:id="rId2731" tooltip="Завантажити сертифікат" display="Завантажити сертифікат"/>
    <hyperlink ref="F2744" r:id="rId2732" tooltip="Завантажити сертифікат" display="Завантажити сертифікат"/>
    <hyperlink ref="F2745" r:id="rId2733" tooltip="Завантажити сертифікат" display="Завантажити сертифікат"/>
    <hyperlink ref="F2746" r:id="rId2734" tooltip="Завантажити сертифікат" display="Завантажити сертифікат"/>
    <hyperlink ref="F2747" r:id="rId2735" tooltip="Завантажити сертифікат" display="Завантажити сертифікат"/>
    <hyperlink ref="F2748" r:id="rId2736" tooltip="Завантажити сертифікат" display="Завантажити сертифікат"/>
    <hyperlink ref="F2749" r:id="rId2737" tooltip="Завантажити сертифікат" display="Завантажити сертифікат"/>
    <hyperlink ref="F2750" r:id="rId2738" tooltip="Завантажити сертифікат" display="Завантажити сертифікат"/>
    <hyperlink ref="F2751" r:id="rId2739" tooltip="Завантажити сертифікат" display="Завантажити сертифікат"/>
    <hyperlink ref="F2752" r:id="rId2740" tooltip="Завантажити сертифікат" display="Завантажити сертифікат"/>
    <hyperlink ref="F2753" r:id="rId2741" tooltip="Завантажити сертифікат" display="Завантажити сертифікат"/>
    <hyperlink ref="F2754" r:id="rId2742" tooltip="Завантажити сертифікат" display="Завантажити сертифікат"/>
    <hyperlink ref="F2755" r:id="rId2743" tooltip="Завантажити сертифікат" display="Завантажити сертифікат"/>
    <hyperlink ref="F2756" r:id="rId2744" tooltip="Завантажити сертифікат" display="Завантажити сертифікат"/>
    <hyperlink ref="F2757" r:id="rId2745" tooltip="Завантажити сертифікат" display="Завантажити сертифікат"/>
    <hyperlink ref="F2758" r:id="rId2746" tooltip="Завантажити сертифікат" display="Завантажити сертифікат"/>
    <hyperlink ref="F2759" r:id="rId2747" tooltip="Завантажити сертифікат" display="Завантажити сертифікат"/>
    <hyperlink ref="F2760" r:id="rId2748" tooltip="Завантажити сертифікат" display="Завантажити сертифікат"/>
    <hyperlink ref="F2761" r:id="rId2749" tooltip="Завантажити сертифікат" display="Завантажити сертифікат"/>
    <hyperlink ref="F2762" r:id="rId2750" tooltip="Завантажити сертифікат" display="Завантажити сертифікат"/>
    <hyperlink ref="F2763" r:id="rId2751" tooltip="Завантажити сертифікат" display="Завантажити сертифікат"/>
    <hyperlink ref="F2764" r:id="rId2752" tooltip="Завантажити сертифікат" display="Завантажити сертифікат"/>
    <hyperlink ref="F2765" r:id="rId2753" tooltip="Завантажити сертифікат" display="Завантажити сертифікат"/>
    <hyperlink ref="F2766" r:id="rId2754" tooltip="Завантажити сертифікат" display="Завантажити сертифікат"/>
    <hyperlink ref="F2767" r:id="rId2755" tooltip="Завантажити сертифікат" display="Завантажити сертифікат"/>
    <hyperlink ref="F2768" r:id="rId2756" tooltip="Завантажити сертифікат" display="Завантажити сертифікат"/>
    <hyperlink ref="F2769" r:id="rId2757" tooltip="Завантажити сертифікат" display="Завантажити сертифікат"/>
    <hyperlink ref="F2770" r:id="rId2758" tooltip="Завантажити сертифікат" display="Завантажити сертифікат"/>
    <hyperlink ref="F2771" r:id="rId2759" tooltip="Завантажити сертифікат" display="Завантажити сертифікат"/>
    <hyperlink ref="F2772" r:id="rId2760" tooltip="Завантажити сертифікат" display="Завантажити сертифікат"/>
    <hyperlink ref="F2773" r:id="rId2761" tooltip="Завантажити сертифікат" display="Завантажити сертифікат"/>
    <hyperlink ref="F2774" r:id="rId2762" tooltip="Завантажити сертифікат" display="Завантажити сертифікат"/>
    <hyperlink ref="F2775" r:id="rId2763" tooltip="Завантажити сертифікат" display="Завантажити сертифікат"/>
    <hyperlink ref="F2776" r:id="rId2764" tooltip="Завантажити сертифікат" display="Завантажити сертифікат"/>
    <hyperlink ref="F2777" r:id="rId2765" tooltip="Завантажити сертифікат" display="Завантажити сертифікат"/>
    <hyperlink ref="F2778" r:id="rId2766" tooltip="Завантажити сертифікат" display="Завантажити сертифікат"/>
    <hyperlink ref="F2779" r:id="rId2767" tooltip="Завантажити сертифікат" display="Завантажити сертифікат"/>
    <hyperlink ref="F2780" r:id="rId2768" tooltip="Завантажити сертифікат" display="Завантажити сертифікат"/>
    <hyperlink ref="F2781" r:id="rId2769" tooltip="Завантажити сертифікат" display="Завантажити сертифікат"/>
    <hyperlink ref="F2782" r:id="rId2770" tooltip="Завантажити сертифікат" display="Завантажити сертифікат"/>
    <hyperlink ref="F2783" r:id="rId2771" tooltip="Завантажити сертифікат" display="Завантажити сертифікат"/>
    <hyperlink ref="F2784" r:id="rId2772" tooltip="Завантажити сертифікат" display="Завантажити сертифікат"/>
    <hyperlink ref="F2785" r:id="rId2773" tooltip="Завантажити сертифікат" display="Завантажити сертифікат"/>
    <hyperlink ref="F2786" r:id="rId2774" tooltip="Завантажити сертифікат" display="Завантажити сертифікат"/>
    <hyperlink ref="F2787" r:id="rId2775" tooltip="Завантажити сертифікат" display="Завантажити сертифікат"/>
    <hyperlink ref="F2788" r:id="rId2776" tooltip="Завантажити сертифікат" display="Завантажити сертифікат"/>
    <hyperlink ref="F2789" r:id="rId2777" tooltip="Завантажити сертифікат" display="Завантажити сертифікат"/>
    <hyperlink ref="F2790" r:id="rId2778" tooltip="Завантажити сертифікат" display="Завантажити сертифікат"/>
    <hyperlink ref="F2791" r:id="rId2779" tooltip="Завантажити сертифікат" display="Завантажити сертифікат"/>
    <hyperlink ref="F2792" r:id="rId2780" tooltip="Завантажити сертифікат" display="Завантажити сертифікат"/>
    <hyperlink ref="F2793" r:id="rId2781" tooltip="Завантажити сертифікат" display="Завантажити сертифікат"/>
    <hyperlink ref="F2794" r:id="rId2782" tooltip="Завантажити сертифікат" display="Завантажити сертифікат"/>
    <hyperlink ref="F2795" r:id="rId2783" tooltip="Завантажити сертифікат" display="Завантажити сертифікат"/>
    <hyperlink ref="F2796" r:id="rId2784" tooltip="Завантажити сертифікат" display="Завантажити сертифікат"/>
    <hyperlink ref="F2797" r:id="rId2785" tooltip="Завантажити сертифікат" display="Завантажити сертифікат"/>
    <hyperlink ref="F2798" r:id="rId2786" tooltip="Завантажити сертифікат" display="Завантажити сертифікат"/>
    <hyperlink ref="F2799" r:id="rId2787" tooltip="Завантажити сертифікат" display="Завантажити сертифікат"/>
    <hyperlink ref="F2800" r:id="rId2788" tooltip="Завантажити сертифікат" display="Завантажити сертифікат"/>
    <hyperlink ref="F2801" r:id="rId2789" tooltip="Завантажити сертифікат" display="Завантажити сертифікат"/>
    <hyperlink ref="F2802" r:id="rId2790" tooltip="Завантажити сертифікат" display="Завантажити сертифікат"/>
    <hyperlink ref="F2803" r:id="rId2791" tooltip="Завантажити сертифікат" display="Завантажити сертифікат"/>
    <hyperlink ref="F2804" r:id="rId2792" tooltip="Завантажити сертифікат" display="Завантажити сертифікат"/>
    <hyperlink ref="F2805" r:id="rId2793" tooltip="Завантажити сертифікат" display="Завантажити сертифікат"/>
    <hyperlink ref="F2806" r:id="rId2794" tooltip="Завантажити сертифікат" display="Завантажити сертифікат"/>
    <hyperlink ref="F2807" r:id="rId2795" tooltip="Завантажити сертифікат" display="Завантажити сертифікат"/>
    <hyperlink ref="F2808" r:id="rId2796" tooltip="Завантажити сертифікат" display="Завантажити сертифікат"/>
    <hyperlink ref="F2809" r:id="rId2797" tooltip="Завантажити сертифікат" display="Завантажити сертифікат"/>
    <hyperlink ref="F2810" r:id="rId2798" tooltip="Завантажити сертифікат" display="Завантажити сертифікат"/>
    <hyperlink ref="F2811" r:id="rId2799" tooltip="Завантажити сертифікат" display="Завантажити сертифікат"/>
    <hyperlink ref="F2812" r:id="rId2800" tooltip="Завантажити сертифікат" display="Завантажити сертифікат"/>
    <hyperlink ref="F2813" r:id="rId2801" tooltip="Завантажити сертифікат" display="Завантажити сертифікат"/>
    <hyperlink ref="F2814" r:id="rId2802" tooltip="Завантажити сертифікат" display="Завантажити сертифікат"/>
    <hyperlink ref="F2815" r:id="rId2803" tooltip="Завантажити сертифікат" display="Завантажити сертифікат"/>
    <hyperlink ref="F2816" r:id="rId2804" tooltip="Завантажити сертифікат" display="Завантажити сертифікат"/>
    <hyperlink ref="F2817" r:id="rId2805" tooltip="Завантажити сертифікат" display="Завантажити сертифікат"/>
    <hyperlink ref="F2818" r:id="rId2806" tooltip="Завантажити сертифікат" display="Завантажити сертифікат"/>
    <hyperlink ref="F2819" r:id="rId2807" tooltip="Завантажити сертифікат" display="Завантажити сертифікат"/>
    <hyperlink ref="F2820" r:id="rId2808" tooltip="Завантажити сертифікат" display="Завантажити сертифікат"/>
    <hyperlink ref="F2821" r:id="rId2809" tooltip="Завантажити сертифікат" display="Завантажити сертифікат"/>
    <hyperlink ref="F2822" r:id="rId2810" tooltip="Завантажити сертифікат" display="Завантажити сертифікат"/>
    <hyperlink ref="F2823" r:id="rId2811" tooltip="Завантажити сертифікат" display="Завантажити сертифікат"/>
    <hyperlink ref="F2824" r:id="rId2812" tooltip="Завантажити сертифікат" display="Завантажити сертифікат"/>
    <hyperlink ref="F2825" r:id="rId2813" tooltip="Завантажити сертифікат" display="Завантажити сертифікат"/>
    <hyperlink ref="F2826" r:id="rId2814" tooltip="Завантажити сертифікат" display="Завантажити сертифікат"/>
    <hyperlink ref="F2827" r:id="rId2815" tooltip="Завантажити сертифікат" display="Завантажити сертифікат"/>
    <hyperlink ref="F2828" r:id="rId2816" tooltip="Завантажити сертифікат" display="Завантажити сертифікат"/>
    <hyperlink ref="F2829" r:id="rId2817" tooltip="Завантажити сертифікат" display="Завантажити сертифікат"/>
    <hyperlink ref="F2830" r:id="rId2818" tooltip="Завантажити сертифікат" display="Завантажити сертифікат"/>
    <hyperlink ref="F2831" r:id="rId2819" tooltip="Завантажити сертифікат" display="Завантажити сертифікат"/>
    <hyperlink ref="F2832" r:id="rId2820" tooltip="Завантажити сертифікат" display="Завантажити сертифікат"/>
    <hyperlink ref="F2833" r:id="rId2821" tooltip="Завантажити сертифікат" display="Завантажити сертифікат"/>
    <hyperlink ref="F2834" r:id="rId2822" tooltip="Завантажити сертифікат" display="Завантажити сертифікат"/>
    <hyperlink ref="F2835" r:id="rId2823" tooltip="Завантажити сертифікат" display="Завантажити сертифікат"/>
    <hyperlink ref="F2836" r:id="rId2824" tooltip="Завантажити сертифікат" display="Завантажити сертифікат"/>
    <hyperlink ref="F2837" r:id="rId2825" tooltip="Завантажити сертифікат" display="Завантажити сертифікат"/>
    <hyperlink ref="F2838" r:id="rId2826" tooltip="Завантажити сертифікат" display="Завантажити сертифікат"/>
    <hyperlink ref="F2839" r:id="rId2827" tooltip="Завантажити сертифікат" display="Завантажити сертифікат"/>
    <hyperlink ref="F2840" r:id="rId2828" tooltip="Завантажити сертифікат" display="Завантажити сертифікат"/>
    <hyperlink ref="F2841" r:id="rId2829" tooltip="Завантажити сертифікат" display="Завантажити сертифікат"/>
    <hyperlink ref="F2842" r:id="rId2830" tooltip="Завантажити сертифікат" display="Завантажити сертифікат"/>
    <hyperlink ref="F2843" r:id="rId2831" tooltip="Завантажити сертифікат" display="Завантажити сертифікат"/>
    <hyperlink ref="F2844" r:id="rId2832" tooltip="Завантажити сертифікат" display="Завантажити сертифікат"/>
    <hyperlink ref="F2845" r:id="rId2833" tooltip="Завантажити сертифікат" display="Завантажити сертифікат"/>
    <hyperlink ref="F2846" r:id="rId2834" tooltip="Завантажити сертифікат" display="Завантажити сертифікат"/>
    <hyperlink ref="F2847" r:id="rId2835" tooltip="Завантажити сертифікат" display="Завантажити сертифікат"/>
    <hyperlink ref="F2848" r:id="rId2836" tooltip="Завантажити сертифікат" display="Завантажити сертифікат"/>
    <hyperlink ref="F2849" r:id="rId2837" tooltip="Завантажити сертифікат" display="Завантажити сертифікат"/>
    <hyperlink ref="F2850" r:id="rId2838" tooltip="Завантажити сертифікат" display="Завантажити сертифікат"/>
    <hyperlink ref="F2851" r:id="rId2839" tooltip="Завантажити сертифікат" display="Завантажити сертифікат"/>
    <hyperlink ref="F2852" r:id="rId2840" tooltip="Завантажити сертифікат" display="Завантажити сертифікат"/>
    <hyperlink ref="F2853" r:id="rId2841" tooltip="Завантажити сертифікат" display="Завантажити сертифікат"/>
    <hyperlink ref="F2854" r:id="rId2842" tooltip="Завантажити сертифікат" display="Завантажити сертифікат"/>
    <hyperlink ref="F2855" r:id="rId2843" tooltip="Завантажити сертифікат" display="Завантажити сертифікат"/>
    <hyperlink ref="F2856" r:id="rId2844" tooltip="Завантажити сертифікат" display="Завантажити сертифікат"/>
    <hyperlink ref="F2857" r:id="rId2845" tooltip="Завантажити сертифікат" display="Завантажити сертифікат"/>
    <hyperlink ref="F2858" r:id="rId2846" tooltip="Завантажити сертифікат" display="Завантажити сертифікат"/>
    <hyperlink ref="F2859" r:id="rId2847" tooltip="Завантажити сертифікат" display="Завантажити сертифікат"/>
    <hyperlink ref="F2860" r:id="rId2848" tooltip="Завантажити сертифікат" display="Завантажити сертифікат"/>
    <hyperlink ref="F2861" r:id="rId2849" tooltip="Завантажити сертифікат" display="Завантажити сертифікат"/>
    <hyperlink ref="F2862" r:id="rId2850" tooltip="Завантажити сертифікат" display="Завантажити сертифікат"/>
    <hyperlink ref="F2863" r:id="rId2851" tooltip="Завантажити сертифікат" display="Завантажити сертифікат"/>
    <hyperlink ref="F2864" r:id="rId2852" tooltip="Завантажити сертифікат" display="Завантажити сертифікат"/>
    <hyperlink ref="F2865" r:id="rId2853" tooltip="Завантажити сертифікат" display="Завантажити сертифікат"/>
    <hyperlink ref="F2866" r:id="rId2854" tooltip="Завантажити сертифікат" display="Завантажити сертифікат"/>
    <hyperlink ref="F2867" r:id="rId2855" tooltip="Завантажити сертифікат" display="Завантажити сертифікат"/>
    <hyperlink ref="F2868" r:id="rId2856" tooltip="Завантажити сертифікат" display="Завантажити сертифікат"/>
    <hyperlink ref="F2869" r:id="rId2857" tooltip="Завантажити сертифікат" display="Завантажити сертифікат"/>
    <hyperlink ref="F2870" r:id="rId2858" tooltip="Завантажити сертифікат" display="Завантажити сертифікат"/>
    <hyperlink ref="F2871" r:id="rId2859" tooltip="Завантажити сертифікат" display="Завантажити сертифікат"/>
    <hyperlink ref="F2872" r:id="rId2860" tooltip="Завантажити сертифікат" display="Завантажити сертифікат"/>
    <hyperlink ref="F2873" r:id="rId2861" tooltip="Завантажити сертифікат" display="Завантажити сертифікат"/>
    <hyperlink ref="F2874" r:id="rId2862" tooltip="Завантажити сертифікат" display="Завантажити сертифікат"/>
    <hyperlink ref="F2875" r:id="rId2863" tooltip="Завантажити сертифікат" display="Завантажити сертифікат"/>
    <hyperlink ref="F2876" r:id="rId2864" tooltip="Завантажити сертифікат" display="Завантажити сертифікат"/>
    <hyperlink ref="F2877" r:id="rId2865" tooltip="Завантажити сертифікат" display="Завантажити сертифікат"/>
    <hyperlink ref="F2878" r:id="rId2866" tooltip="Завантажити сертифікат" display="Завантажити сертифікат"/>
    <hyperlink ref="F2879" r:id="rId2867" tooltip="Завантажити сертифікат" display="Завантажити сертифікат"/>
    <hyperlink ref="F2880" r:id="rId2868" tooltip="Завантажити сертифікат" display="Завантажити сертифікат"/>
    <hyperlink ref="F2881" r:id="rId2869" tooltip="Завантажити сертифікат" display="Завантажити сертифікат"/>
    <hyperlink ref="F2882" r:id="rId2870" tooltip="Завантажити сертифікат" display="Завантажити сертифікат"/>
    <hyperlink ref="F2883" r:id="rId2871" tooltip="Завантажити сертифікат" display="Завантажити сертифікат"/>
    <hyperlink ref="F2884" r:id="rId2872" tooltip="Завантажити сертифікат" display="Завантажити сертифікат"/>
    <hyperlink ref="F2885" r:id="rId2873" tooltip="Завантажити сертифікат" display="Завантажити сертифікат"/>
    <hyperlink ref="F2886" r:id="rId2874" tooltip="Завантажити сертифікат" display="Завантажити сертифікат"/>
    <hyperlink ref="F2887" r:id="rId2875" tooltip="Завантажити сертифікат" display="Завантажити сертифікат"/>
    <hyperlink ref="F2888" r:id="rId2876" tooltip="Завантажити сертифікат" display="Завантажити сертифікат"/>
    <hyperlink ref="F2889" r:id="rId2877" tooltip="Завантажити сертифікат" display="Завантажити сертифікат"/>
    <hyperlink ref="F2890" r:id="rId2878" tooltip="Завантажити сертифікат" display="Завантажити сертифікат"/>
    <hyperlink ref="F2891" r:id="rId2879" tooltip="Завантажити сертифікат" display="Завантажити сертифікат"/>
    <hyperlink ref="F2892" r:id="rId2880" tooltip="Завантажити сертифікат" display="Завантажити сертифікат"/>
    <hyperlink ref="F2893" r:id="rId2881" tooltip="Завантажити сертифікат" display="Завантажити сертифікат"/>
    <hyperlink ref="F2894" r:id="rId2882" tooltip="Завантажити сертифікат" display="Завантажити сертифікат"/>
    <hyperlink ref="F2895" r:id="rId2883" tooltip="Завантажити сертифікат" display="Завантажити сертифікат"/>
    <hyperlink ref="F2896" r:id="rId2884" tooltip="Завантажити сертифікат" display="Завантажити сертифікат"/>
    <hyperlink ref="F2897" r:id="rId2885" tooltip="Завантажити сертифікат" display="Завантажити сертифікат"/>
    <hyperlink ref="F2898" r:id="rId2886" tooltip="Завантажити сертифікат" display="Завантажити сертифікат"/>
    <hyperlink ref="F2899" r:id="rId2887" tooltip="Завантажити сертифікат" display="Завантажити сертифікат"/>
    <hyperlink ref="F2900" r:id="rId2888" tooltip="Завантажити сертифікат" display="Завантажити сертифікат"/>
    <hyperlink ref="F2901" r:id="rId2889" tooltip="Завантажити сертифікат" display="Завантажити сертифікат"/>
    <hyperlink ref="F2902" r:id="rId2890" tooltip="Завантажити сертифікат" display="Завантажити сертифікат"/>
    <hyperlink ref="F2903" r:id="rId2891" tooltip="Завантажити сертифікат" display="Завантажити сертифікат"/>
    <hyperlink ref="F2904" r:id="rId2892" tooltip="Завантажити сертифікат" display="Завантажити сертифікат"/>
    <hyperlink ref="F2905" r:id="rId2893" tooltip="Завантажити сертифікат" display="Завантажити сертифікат"/>
    <hyperlink ref="F2906" r:id="rId2894" tooltip="Завантажити сертифікат" display="Завантажити сертифікат"/>
    <hyperlink ref="F2907" r:id="rId2895" tooltip="Завантажити сертифікат" display="Завантажити сертифікат"/>
    <hyperlink ref="F2908" r:id="rId2896" tooltip="Завантажити сертифікат" display="Завантажити сертифікат"/>
    <hyperlink ref="F2909" r:id="rId2897" tooltip="Завантажити сертифікат" display="Завантажити сертифікат"/>
    <hyperlink ref="F2910" r:id="rId2898" tooltip="Завантажити сертифікат" display="Завантажити сертифікат"/>
    <hyperlink ref="F2911" r:id="rId2899" tooltip="Завантажити сертифікат" display="Завантажити сертифікат"/>
    <hyperlink ref="F2912" r:id="rId2900" tooltip="Завантажити сертифікат" display="Завантажити сертифікат"/>
    <hyperlink ref="F2913" r:id="rId2901" tooltip="Завантажити сертифікат" display="Завантажити сертифікат"/>
    <hyperlink ref="F2914" r:id="rId2902" tooltip="Завантажити сертифікат" display="Завантажити сертифікат"/>
    <hyperlink ref="F2915" r:id="rId2903" tooltip="Завантажити сертифікат" display="Завантажити сертифікат"/>
    <hyperlink ref="F2916" r:id="rId2904" tooltip="Завантажити сертифікат" display="Завантажити сертифікат"/>
    <hyperlink ref="F2917" r:id="rId2905" tooltip="Завантажити сертифікат" display="Завантажити сертифікат"/>
    <hyperlink ref="F2918" r:id="rId2906" tooltip="Завантажити сертифікат" display="Завантажити сертифікат"/>
    <hyperlink ref="F2919" r:id="rId2907" tooltip="Завантажити сертифікат" display="Завантажити сертифікат"/>
    <hyperlink ref="F2920" r:id="rId2908" tooltip="Завантажити сертифікат" display="Завантажити сертифікат"/>
    <hyperlink ref="F2921" r:id="rId2909" tooltip="Завантажити сертифікат" display="Завантажити сертифікат"/>
    <hyperlink ref="F2922" r:id="rId2910" tooltip="Завантажити сертифікат" display="Завантажити сертифікат"/>
    <hyperlink ref="F2923" r:id="rId2911" tooltip="Завантажити сертифікат" display="Завантажити сертифікат"/>
    <hyperlink ref="F2924" r:id="rId2912" tooltip="Завантажити сертифікат" display="Завантажити сертифікат"/>
    <hyperlink ref="F2925" r:id="rId2913" tooltip="Завантажити сертифікат" display="Завантажити сертифікат"/>
    <hyperlink ref="F2926" r:id="rId2914" tooltip="Завантажити сертифікат" display="Завантажити сертифікат"/>
    <hyperlink ref="F2927" r:id="rId2915" tooltip="Завантажити сертифікат" display="Завантажити сертифікат"/>
    <hyperlink ref="F2928" r:id="rId2916" tooltip="Завантажити сертифікат" display="Завантажити сертифікат"/>
    <hyperlink ref="F2929" r:id="rId2917" tooltip="Завантажити сертифікат" display="Завантажити сертифікат"/>
    <hyperlink ref="F2930" r:id="rId2918" tooltip="Завантажити сертифікат" display="Завантажити сертифікат"/>
    <hyperlink ref="F2931" r:id="rId2919" tooltip="Завантажити сертифікат" display="Завантажити сертифікат"/>
    <hyperlink ref="F2932" r:id="rId2920" tooltip="Завантажити сертифікат" display="Завантажити сертифікат"/>
    <hyperlink ref="F2933" r:id="rId2921" tooltip="Завантажити сертифікат" display="Завантажити сертифікат"/>
    <hyperlink ref="F2934" r:id="rId2922" tooltip="Завантажити сертифікат" display="Завантажити сертифікат"/>
    <hyperlink ref="F2935" r:id="rId2923" tooltip="Завантажити сертифікат" display="Завантажити сертифікат"/>
    <hyperlink ref="F2936" r:id="rId2924" tooltip="Завантажити сертифікат" display="Завантажити сертифікат"/>
    <hyperlink ref="F2937" r:id="rId2925" tooltip="Завантажити сертифікат" display="Завантажити сертифікат"/>
    <hyperlink ref="F2938" r:id="rId2926" tooltip="Завантажити сертифікат" display="Завантажити сертифікат"/>
    <hyperlink ref="F2939" r:id="rId2927" tooltip="Завантажити сертифікат" display="Завантажити сертифікат"/>
    <hyperlink ref="F2940" r:id="rId2928" tooltip="Завантажити сертифікат" display="Завантажити сертифікат"/>
    <hyperlink ref="F2941" r:id="rId2929" tooltip="Завантажити сертифікат" display="Завантажити сертифікат"/>
    <hyperlink ref="F2942" r:id="rId2930" tooltip="Завантажити сертифікат" display="Завантажити сертифікат"/>
    <hyperlink ref="F2943" r:id="rId2931" tooltip="Завантажити сертифікат" display="Завантажити сертифікат"/>
    <hyperlink ref="F2944" r:id="rId2932" tooltip="Завантажити сертифікат" display="Завантажити сертифікат"/>
    <hyperlink ref="F2945" r:id="rId2933" tooltip="Завантажити сертифікат" display="Завантажити сертифікат"/>
    <hyperlink ref="F2946" r:id="rId2934" tooltip="Завантажити сертифікат" display="Завантажити сертифікат"/>
    <hyperlink ref="F2947" r:id="rId2935" tooltip="Завантажити сертифікат" display="Завантажити сертифікат"/>
    <hyperlink ref="F2948" r:id="rId2936" tooltip="Завантажити сертифікат" display="Завантажити сертифікат"/>
    <hyperlink ref="F2949" r:id="rId2937" tooltip="Завантажити сертифікат" display="Завантажити сертифікат"/>
    <hyperlink ref="F2950" r:id="rId2938" tooltip="Завантажити сертифікат" display="Завантажити сертифікат"/>
    <hyperlink ref="F2951" r:id="rId2939" tooltip="Завантажити сертифікат" display="Завантажити сертифікат"/>
    <hyperlink ref="F2952" r:id="rId2940" tooltip="Завантажити сертифікат" display="Завантажити сертифікат"/>
    <hyperlink ref="F2953" r:id="rId2941" tooltip="Завантажити сертифікат" display="Завантажити сертифікат"/>
    <hyperlink ref="F2954" r:id="rId2942" tooltip="Завантажити сертифікат" display="Завантажити сертифікат"/>
    <hyperlink ref="F2955" r:id="rId2943" tooltip="Завантажити сертифікат" display="Завантажити сертифікат"/>
    <hyperlink ref="F2956" r:id="rId2944" tooltip="Завантажити сертифікат" display="Завантажити сертифікат"/>
    <hyperlink ref="F2957" r:id="rId2945" tooltip="Завантажити сертифікат" display="Завантажити сертифікат"/>
    <hyperlink ref="F2958" r:id="rId2946" tooltip="Завантажити сертифікат" display="Завантажити сертифікат"/>
    <hyperlink ref="F2959" r:id="rId2947" tooltip="Завантажити сертифікат" display="Завантажити сертифікат"/>
    <hyperlink ref="F2960" r:id="rId2948" tooltip="Завантажити сертифікат" display="Завантажити сертифікат"/>
    <hyperlink ref="F2961" r:id="rId2949" tooltip="Завантажити сертифікат" display="Завантажити сертифікат"/>
    <hyperlink ref="F2962" r:id="rId2950" tooltip="Завантажити сертифікат" display="Завантажити сертифікат"/>
    <hyperlink ref="F2963" r:id="rId2951" tooltip="Завантажити сертифікат" display="Завантажити сертифікат"/>
    <hyperlink ref="F2964" r:id="rId2952" tooltip="Завантажити сертифікат" display="Завантажити сертифікат"/>
    <hyperlink ref="F2965" r:id="rId2953" tooltip="Завантажити сертифікат" display="Завантажити сертифікат"/>
    <hyperlink ref="F2966" r:id="rId2954" tooltip="Завантажити сертифікат" display="Завантажити сертифікат"/>
    <hyperlink ref="F2967" r:id="rId2955" tooltip="Завантажити сертифікат" display="Завантажити сертифікат"/>
    <hyperlink ref="F2968" r:id="rId2956" tooltip="Завантажити сертифікат" display="Завантажити сертифікат"/>
    <hyperlink ref="F2969" r:id="rId2957" tooltip="Завантажити сертифікат" display="Завантажити сертифікат"/>
    <hyperlink ref="F2970" r:id="rId2958" tooltip="Завантажити сертифікат" display="Завантажити сертифікат"/>
    <hyperlink ref="F2971" r:id="rId2959" tooltip="Завантажити сертифікат" display="Завантажити сертифікат"/>
    <hyperlink ref="F2972" r:id="rId2960" tooltip="Завантажити сертифікат" display="Завантажити сертифікат"/>
    <hyperlink ref="F2973" r:id="rId2961" tooltip="Завантажити сертифікат" display="Завантажити сертифікат"/>
    <hyperlink ref="F2974" r:id="rId2962" tooltip="Завантажити сертифікат" display="Завантажити сертифікат"/>
    <hyperlink ref="F2975" r:id="rId2963" tooltip="Завантажити сертифікат" display="Завантажити сертифікат"/>
    <hyperlink ref="F2976" r:id="rId2964" tooltip="Завантажити сертифікат" display="Завантажити сертифікат"/>
    <hyperlink ref="F2977" r:id="rId2965" tooltip="Завантажити сертифікат" display="Завантажити сертифікат"/>
    <hyperlink ref="F2978" r:id="rId2966" tooltip="Завантажити сертифікат" display="Завантажити сертифікат"/>
    <hyperlink ref="F2979" r:id="rId2967" tooltip="Завантажити сертифікат" display="Завантажити сертифікат"/>
    <hyperlink ref="F2980" r:id="rId2968" tooltip="Завантажити сертифікат" display="Завантажити сертифікат"/>
    <hyperlink ref="F2981" r:id="rId2969" tooltip="Завантажити сертифікат" display="Завантажити сертифікат"/>
    <hyperlink ref="F2982" r:id="rId2970" tooltip="Завантажити сертифікат" display="Завантажити сертифікат"/>
    <hyperlink ref="F2983" r:id="rId2971" tooltip="Завантажити сертифікат" display="Завантажити сертифікат"/>
    <hyperlink ref="F2984" r:id="rId2972" tooltip="Завантажити сертифікат" display="Завантажити сертифікат"/>
    <hyperlink ref="F2985" r:id="rId2973" tooltip="Завантажити сертифікат" display="Завантажити сертифікат"/>
    <hyperlink ref="F2986" r:id="rId2974" tooltip="Завантажити сертифікат" display="Завантажити сертифікат"/>
    <hyperlink ref="F2987" r:id="rId2975" tooltip="Завантажити сертифікат" display="Завантажити сертифікат"/>
    <hyperlink ref="F2988" r:id="rId2976" tooltip="Завантажити сертифікат" display="Завантажити сертифікат"/>
    <hyperlink ref="F2989" r:id="rId2977" tooltip="Завантажити сертифікат" display="Завантажити сертифікат"/>
    <hyperlink ref="F2990" r:id="rId2978" tooltip="Завантажити сертифікат" display="Завантажити сертифікат"/>
    <hyperlink ref="F2991" r:id="rId2979" tooltip="Завантажити сертифікат" display="Завантажити сертифікат"/>
    <hyperlink ref="F2992" r:id="rId2980" tooltip="Завантажити сертифікат" display="Завантажити сертифікат"/>
    <hyperlink ref="F2993" r:id="rId2981" tooltip="Завантажити сертифікат" display="Завантажити сертифікат"/>
    <hyperlink ref="F2994" r:id="rId2982" tooltip="Завантажити сертифікат" display="Завантажити сертифікат"/>
    <hyperlink ref="F2995" r:id="rId2983" tooltip="Завантажити сертифікат" display="Завантажити сертифікат"/>
    <hyperlink ref="F2996" r:id="rId2984" tooltip="Завантажити сертифікат" display="Завантажити сертифікат"/>
    <hyperlink ref="F2997" r:id="rId2985" tooltip="Завантажити сертифікат" display="Завантажити сертифікат"/>
    <hyperlink ref="F2998" r:id="rId2986" tooltip="Завантажити сертифікат" display="Завантажити сертифікат"/>
    <hyperlink ref="F2999" r:id="rId2987" tooltip="Завантажити сертифікат" display="Завантажити сертифікат"/>
    <hyperlink ref="F3000" r:id="rId2988" tooltip="Завантажити сертифікат" display="Завантажити сертифікат"/>
    <hyperlink ref="F3001" r:id="rId2989" tooltip="Завантажити сертифікат" display="Завантажити сертифікат"/>
    <hyperlink ref="F3002" r:id="rId2990" tooltip="Завантажити сертифікат" display="Завантажити сертифікат"/>
    <hyperlink ref="F3003" r:id="rId2991" tooltip="Завантажити сертифікат" display="Завантажити сертифікат"/>
    <hyperlink ref="F3004" r:id="rId2992" tooltip="Завантажити сертифікат" display="Завантажити сертифікат"/>
    <hyperlink ref="F3005" r:id="rId2993" tooltip="Завантажити сертифікат" display="Завантажити сертифікат"/>
    <hyperlink ref="F3006" r:id="rId2994" tooltip="Завантажити сертифікат" display="Завантажити сертифікат"/>
    <hyperlink ref="F3007" r:id="rId2995" tooltip="Завантажити сертифікат" display="Завантажити сертифікат"/>
    <hyperlink ref="F3008" r:id="rId2996" tooltip="Завантажити сертифікат" display="Завантажити сертифікат"/>
    <hyperlink ref="F3009" r:id="rId2997" tooltip="Завантажити сертифікат" display="Завантажити сертифікат"/>
    <hyperlink ref="F3010" r:id="rId2998" tooltip="Завантажити сертифікат" display="Завантажити сертифікат"/>
    <hyperlink ref="F3011" r:id="rId2999" tooltip="Завантажити сертифікат" display="Завантажити сертифікат"/>
    <hyperlink ref="F3012" r:id="rId3000" tooltip="Завантажити сертифікат" display="Завантажити сертифікат"/>
    <hyperlink ref="F3013" r:id="rId3001" tooltip="Завантажити сертифікат" display="Завантажити сертифікат"/>
    <hyperlink ref="F3014" r:id="rId3002" tooltip="Завантажити сертифікат" display="Завантажити сертифікат"/>
    <hyperlink ref="F3015" r:id="rId3003" tooltip="Завантажити сертифікат" display="Завантажити сертифікат"/>
    <hyperlink ref="F3016" r:id="rId3004" tooltip="Завантажити сертифікат" display="Завантажити сертифікат"/>
    <hyperlink ref="F3017" r:id="rId3005" tooltip="Завантажити сертифікат" display="Завантажити сертифікат"/>
    <hyperlink ref="F3018" r:id="rId3006" tooltip="Завантажити сертифікат" display="Завантажити сертифікат"/>
    <hyperlink ref="F3019" r:id="rId3007" tooltip="Завантажити сертифікат" display="Завантажити сертифікат"/>
    <hyperlink ref="F3020" r:id="rId3008" tooltip="Завантажити сертифікат" display="Завантажити сертифікат"/>
    <hyperlink ref="F3021" r:id="rId3009" tooltip="Завантажити сертифікат" display="Завантажити сертифікат"/>
    <hyperlink ref="F3022" r:id="rId3010" tooltip="Завантажити сертифікат" display="Завантажити сертифікат"/>
    <hyperlink ref="F3023" r:id="rId3011" tooltip="Завантажити сертифікат" display="Завантажити сертифікат"/>
    <hyperlink ref="F3024" r:id="rId3012" tooltip="Завантажити сертифікат" display="Завантажити сертифікат"/>
    <hyperlink ref="F3025" r:id="rId3013" tooltip="Завантажити сертифікат" display="Завантажити сертифікат"/>
    <hyperlink ref="F3026" r:id="rId3014" tooltip="Завантажити сертифікат" display="Завантажити сертифікат"/>
    <hyperlink ref="F3027" r:id="rId3015" tooltip="Завантажити сертифікат" display="Завантажити сертифікат"/>
    <hyperlink ref="F3028" r:id="rId3016" tooltip="Завантажити сертифікат" display="Завантажити сертифікат"/>
    <hyperlink ref="F3029" r:id="rId3017" tooltip="Завантажити сертифікат" display="Завантажити сертифікат"/>
    <hyperlink ref="F3030" r:id="rId3018" tooltip="Завантажити сертифікат" display="Завантажити сертифікат"/>
    <hyperlink ref="F3031" r:id="rId3019" tooltip="Завантажити сертифікат" display="Завантажити сертифікат"/>
    <hyperlink ref="F3032" r:id="rId3020" tooltip="Завантажити сертифікат" display="Завантажити сертифікат"/>
    <hyperlink ref="F3033" r:id="rId3021" tooltip="Завантажити сертифікат" display="Завантажити сертифікат"/>
    <hyperlink ref="F3034" r:id="rId3022" tooltip="Завантажити сертифікат" display="Завантажити сертифікат"/>
    <hyperlink ref="F3035" r:id="rId3023" tooltip="Завантажити сертифікат" display="Завантажити сертифікат"/>
    <hyperlink ref="F3036" r:id="rId3024" tooltip="Завантажити сертифікат" display="Завантажити сертифікат"/>
    <hyperlink ref="F3037" r:id="rId3025" tooltip="Завантажити сертифікат" display="Завантажити сертифікат"/>
    <hyperlink ref="F3038" r:id="rId3026" tooltip="Завантажити сертифікат" display="Завантажити сертифікат"/>
    <hyperlink ref="F3039" r:id="rId3027" tooltip="Завантажити сертифікат" display="Завантажити сертифікат"/>
    <hyperlink ref="F3040" r:id="rId3028" tooltip="Завантажити сертифікат" display="Завантажити сертифікат"/>
    <hyperlink ref="F3041" r:id="rId3029" tooltip="Завантажити сертифікат" display="Завантажити сертифікат"/>
    <hyperlink ref="F3042" r:id="rId3030" tooltip="Завантажити сертифікат" display="Завантажити сертифікат"/>
    <hyperlink ref="F3043" r:id="rId3031" tooltip="Завантажити сертифікат" display="Завантажити сертифікат"/>
    <hyperlink ref="F3044" r:id="rId3032" tooltip="Завантажити сертифікат" display="Завантажити сертифікат"/>
    <hyperlink ref="F3045" r:id="rId3033" tooltip="Завантажити сертифікат" display="Завантажити сертифікат"/>
    <hyperlink ref="F3046" r:id="rId3034" tooltip="Завантажити сертифікат" display="Завантажити сертифікат"/>
    <hyperlink ref="F3047" r:id="rId3035" tooltip="Завантажити сертифікат" display="Завантажити сертифікат"/>
    <hyperlink ref="F3048" r:id="rId3036" tooltip="Завантажити сертифікат" display="Завантажити сертифікат"/>
    <hyperlink ref="F3049" r:id="rId3037" tooltip="Завантажити сертифікат" display="Завантажити сертифікат"/>
    <hyperlink ref="F3050" r:id="rId3038" tooltip="Завантажити сертифікат" display="Завантажити сертифікат"/>
    <hyperlink ref="F3051" r:id="rId3039" tooltip="Завантажити сертифікат" display="Завантажити сертифікат"/>
    <hyperlink ref="F3052" r:id="rId3040" tooltip="Завантажити сертифікат" display="Завантажити сертифікат"/>
    <hyperlink ref="F3053" r:id="rId3041" tooltip="Завантажити сертифікат" display="Завантажити сертифікат"/>
    <hyperlink ref="F3054" r:id="rId3042" tooltip="Завантажити сертифікат" display="Завантажити сертифікат"/>
    <hyperlink ref="F3055" r:id="rId3043" tooltip="Завантажити сертифікат" display="Завантажити сертифікат"/>
    <hyperlink ref="F3056" r:id="rId3044" tooltip="Завантажити сертифікат" display="Завантажити сертифікат"/>
    <hyperlink ref="F3057" r:id="rId3045" tooltip="Завантажити сертифікат" display="Завантажити сертифікат"/>
    <hyperlink ref="F3058" r:id="rId3046" tooltip="Завантажити сертифікат" display="Завантажити сертифікат"/>
    <hyperlink ref="F3059" r:id="rId3047" tooltip="Завантажити сертифікат" display="Завантажити сертифікат"/>
    <hyperlink ref="F3060" r:id="rId3048" tooltip="Завантажити сертифікат" display="Завантажити сертифікат"/>
    <hyperlink ref="F3061" r:id="rId3049" tooltip="Завантажити сертифікат" display="Завантажити сертифікат"/>
    <hyperlink ref="F3062" r:id="rId3050" tooltip="Завантажити сертифікат" display="Завантажити сертифікат"/>
    <hyperlink ref="F3063" r:id="rId3051" tooltip="Завантажити сертифікат" display="Завантажити сертифікат"/>
    <hyperlink ref="F3064" r:id="rId3052" tooltip="Завантажити сертифікат" display="Завантажити сертифікат"/>
    <hyperlink ref="F3065" r:id="rId3053" tooltip="Завантажити сертифікат" display="Завантажити сертифікат"/>
    <hyperlink ref="F3066" r:id="rId3054" tooltip="Завантажити сертифікат" display="Завантажити сертифікат"/>
    <hyperlink ref="F3067" r:id="rId3055" tooltip="Завантажити сертифікат" display="Завантажити сертифікат"/>
    <hyperlink ref="F3068" r:id="rId3056" tooltip="Завантажити сертифікат" display="Завантажити сертифікат"/>
    <hyperlink ref="F3069" r:id="rId3057" tooltip="Завантажити сертифікат" display="Завантажити сертифікат"/>
    <hyperlink ref="F3070" r:id="rId3058" tooltip="Завантажити сертифікат" display="Завантажити сертифікат"/>
    <hyperlink ref="F3071" r:id="rId3059" tooltip="Завантажити сертифікат" display="Завантажити сертифікат"/>
    <hyperlink ref="F3072" r:id="rId3060" tooltip="Завантажити сертифікат" display="Завантажити сертифікат"/>
    <hyperlink ref="F3073" r:id="rId3061" tooltip="Завантажити сертифікат" display="Завантажити сертифікат"/>
    <hyperlink ref="F3074" r:id="rId3062" tooltip="Завантажити сертифікат" display="Завантажити сертифікат"/>
    <hyperlink ref="F3075" r:id="rId3063" tooltip="Завантажити сертифікат" display="Завантажити сертифікат"/>
    <hyperlink ref="F3076" r:id="rId3064" tooltip="Завантажити сертифікат" display="Завантажити сертифікат"/>
    <hyperlink ref="F3077" r:id="rId3065" tooltip="Завантажити сертифікат" display="Завантажити сертифікат"/>
    <hyperlink ref="F3078" r:id="rId3066" tooltip="Завантажити сертифікат" display="Завантажити сертифікат"/>
    <hyperlink ref="F3079" r:id="rId3067" tooltip="Завантажити сертифікат" display="Завантажити сертифікат"/>
    <hyperlink ref="F3080" r:id="rId3068" tooltip="Завантажити сертифікат" display="Завантажити сертифікат"/>
    <hyperlink ref="F3081" r:id="rId3069" tooltip="Завантажити сертифікат" display="Завантажити сертифікат"/>
    <hyperlink ref="F3082" r:id="rId3070" tooltip="Завантажити сертифікат" display="Завантажити сертифікат"/>
    <hyperlink ref="F3083" r:id="rId3071" tooltip="Завантажити сертифікат" display="Завантажити сертифікат"/>
    <hyperlink ref="F3084" r:id="rId3072" tooltip="Завантажити сертифікат" display="Завантажити сертифікат"/>
    <hyperlink ref="F3085" r:id="rId3073" tooltip="Завантажити сертифікат" display="Завантажити сертифікат"/>
    <hyperlink ref="F3086" r:id="rId3074" tooltip="Завантажити сертифікат" display="Завантажити сертифікат"/>
    <hyperlink ref="F3087" r:id="rId3075" tooltip="Завантажити сертифікат" display="Завантажити сертифікат"/>
    <hyperlink ref="F3088" r:id="rId3076" tooltip="Завантажити сертифікат" display="Завантажити сертифікат"/>
    <hyperlink ref="F3089" r:id="rId3077" tooltip="Завантажити сертифікат" display="Завантажити сертифікат"/>
    <hyperlink ref="F3090" r:id="rId3078" tooltip="Завантажити сертифікат" display="Завантажити сертифікат"/>
    <hyperlink ref="F3091" r:id="rId3079" tooltip="Завантажити сертифікат" display="Завантажити сертифікат"/>
    <hyperlink ref="F3092" r:id="rId3080" tooltip="Завантажити сертифікат" display="Завантажити сертифікат"/>
    <hyperlink ref="F3093" r:id="rId3081" tooltip="Завантажити сертифікат" display="Завантажити сертифікат"/>
    <hyperlink ref="F3094" r:id="rId3082" tooltip="Завантажити сертифікат" display="Завантажити сертифікат"/>
    <hyperlink ref="F3095" r:id="rId3083" tooltip="Завантажити сертифікат" display="Завантажити сертифікат"/>
    <hyperlink ref="F3096" r:id="rId3084" tooltip="Завантажити сертифікат" display="Завантажити сертифікат"/>
    <hyperlink ref="F3097" r:id="rId3085" tooltip="Завантажити сертифікат" display="Завантажити сертифікат"/>
    <hyperlink ref="F3098" r:id="rId3086" tooltip="Завантажити сертифікат" display="Завантажити сертифікат"/>
    <hyperlink ref="F3099" r:id="rId3087" tooltip="Завантажити сертифікат" display="Завантажити сертифікат"/>
    <hyperlink ref="F3100" r:id="rId3088" tooltip="Завантажити сертифікат" display="Завантажити сертифікат"/>
    <hyperlink ref="F3101" r:id="rId3089" tooltip="Завантажити сертифікат" display="Завантажити сертифікат"/>
    <hyperlink ref="F3102" r:id="rId3090" tooltip="Завантажити сертифікат" display="Завантажити сертифікат"/>
    <hyperlink ref="F3103" r:id="rId3091" tooltip="Завантажити сертифікат" display="Завантажити сертифікат"/>
    <hyperlink ref="F3104" r:id="rId3092" tooltip="Завантажити сертифікат" display="Завантажити сертифікат"/>
    <hyperlink ref="F3105" r:id="rId3093" tooltip="Завантажити сертифікат" display="Завантажити сертифікат"/>
    <hyperlink ref="F3106" r:id="rId3094" tooltip="Завантажити сертифікат" display="Завантажити сертифікат"/>
    <hyperlink ref="F3107" r:id="rId3095" tooltip="Завантажити сертифікат" display="Завантажити сертифікат"/>
    <hyperlink ref="F3108" r:id="rId3096" tooltip="Завантажити сертифікат" display="Завантажити сертифікат"/>
    <hyperlink ref="F3109" r:id="rId3097" tooltip="Завантажити сертифікат" display="Завантажити сертифікат"/>
    <hyperlink ref="F3110" r:id="rId3098" tooltip="Завантажити сертифікат" display="Завантажити сертифікат"/>
    <hyperlink ref="F3111" r:id="rId3099" tooltip="Завантажити сертифікат" display="Завантажити сертифікат"/>
    <hyperlink ref="F3112" r:id="rId3100" tooltip="Завантажити сертифікат" display="Завантажити сертифікат"/>
    <hyperlink ref="F3113" r:id="rId3101" tooltip="Завантажити сертифікат" display="Завантажити сертифікат"/>
    <hyperlink ref="F3114" r:id="rId3102" tooltip="Завантажити сертифікат" display="Завантажити сертифікат"/>
    <hyperlink ref="F3115" r:id="rId3103" tooltip="Завантажити сертифікат" display="Завантажити сертифікат"/>
    <hyperlink ref="F3116" r:id="rId3104" tooltip="Завантажити сертифікат" display="Завантажити сертифікат"/>
    <hyperlink ref="F3117" r:id="rId3105" tooltip="Завантажити сертифікат" display="Завантажити сертифікат"/>
    <hyperlink ref="F3118" r:id="rId3106" tooltip="Завантажити сертифікат" display="Завантажити сертифікат"/>
    <hyperlink ref="F3119" r:id="rId3107" tooltip="Завантажити сертифікат" display="Завантажити сертифікат"/>
    <hyperlink ref="F3120" r:id="rId3108" tooltip="Завантажити сертифікат" display="Завантажити сертифікат"/>
    <hyperlink ref="F3121" r:id="rId3109" tooltip="Завантажити сертифікат" display="Завантажити сертифікат"/>
    <hyperlink ref="F3122" r:id="rId3110" tooltip="Завантажити сертифікат" display="Завантажити сертифікат"/>
    <hyperlink ref="F3123" r:id="rId3111" tooltip="Завантажити сертифікат" display="Завантажити сертифікат"/>
    <hyperlink ref="F3124" r:id="rId3112" tooltip="Завантажити сертифікат" display="Завантажити сертифікат"/>
    <hyperlink ref="F3125" r:id="rId3113" tooltip="Завантажити сертифікат" display="Завантажити сертифікат"/>
    <hyperlink ref="F3126" r:id="rId3114" tooltip="Завантажити сертифікат" display="Завантажити сертифікат"/>
    <hyperlink ref="F3127" r:id="rId3115" tooltip="Завантажити сертифікат" display="Завантажити сертифікат"/>
    <hyperlink ref="F3128" r:id="rId3116" tooltip="Завантажити сертифікат" display="Завантажити сертифікат"/>
    <hyperlink ref="F3129" r:id="rId3117" tooltip="Завантажити сертифікат" display="Завантажити сертифікат"/>
    <hyperlink ref="F3130" r:id="rId3118" tooltip="Завантажити сертифікат" display="Завантажити сертифікат"/>
    <hyperlink ref="F3131" r:id="rId3119" tooltip="Завантажити сертифікат" display="Завантажити сертифікат"/>
    <hyperlink ref="F3132" r:id="rId3120" tooltip="Завантажити сертифікат" display="Завантажити сертифікат"/>
    <hyperlink ref="F3133" r:id="rId3121" tooltip="Завантажити сертифікат" display="Завантажити сертифікат"/>
    <hyperlink ref="F3134" r:id="rId3122" tooltip="Завантажити сертифікат" display="Завантажити сертифікат"/>
    <hyperlink ref="F3135" r:id="rId3123" tooltip="Завантажити сертифікат" display="Завантажити сертифікат"/>
    <hyperlink ref="F3136" r:id="rId3124" tooltip="Завантажити сертифікат" display="Завантажити сертифікат"/>
    <hyperlink ref="F3137" r:id="rId3125" tooltip="Завантажити сертифікат" display="Завантажити сертифікат"/>
    <hyperlink ref="F3138" r:id="rId3126" tooltip="Завантажити сертифікат" display="Завантажити сертифікат"/>
    <hyperlink ref="F3139" r:id="rId3127" tooltip="Завантажити сертифікат" display="Завантажити сертифікат"/>
    <hyperlink ref="F3140" r:id="rId3128" tooltip="Завантажити сертифікат" display="Завантажити сертифікат"/>
    <hyperlink ref="F3141" r:id="rId3129" tooltip="Завантажити сертифікат" display="Завантажити сертифікат"/>
    <hyperlink ref="F3142" r:id="rId3130" tooltip="Завантажити сертифікат" display="Завантажити сертифікат"/>
    <hyperlink ref="F3143" r:id="rId3131" tooltip="Завантажити сертифікат" display="Завантажити сертифікат"/>
    <hyperlink ref="F3144" r:id="rId3132" tooltip="Завантажити сертифікат" display="Завантажити сертифікат"/>
    <hyperlink ref="F3145" r:id="rId3133" tooltip="Завантажити сертифікат" display="Завантажити сертифікат"/>
    <hyperlink ref="F3146" r:id="rId3134" tooltip="Завантажити сертифікат" display="Завантажити сертифікат"/>
    <hyperlink ref="F3147" r:id="rId3135" tooltip="Завантажити сертифікат" display="Завантажити сертифікат"/>
    <hyperlink ref="F3148" r:id="rId3136" tooltip="Завантажити сертифікат" display="Завантажити сертифікат"/>
    <hyperlink ref="F3149" r:id="rId3137" tooltip="Завантажити сертифікат" display="Завантажити сертифікат"/>
    <hyperlink ref="F3150" r:id="rId3138" tooltip="Завантажити сертифікат" display="Завантажити сертифікат"/>
    <hyperlink ref="F3151" r:id="rId3139" tooltip="Завантажити сертифікат" display="Завантажити сертифікат"/>
    <hyperlink ref="F3152" r:id="rId3140" tooltip="Завантажити сертифікат" display="Завантажити сертифікат"/>
    <hyperlink ref="F3153" r:id="rId3141" tooltip="Завантажити сертифікат" display="Завантажити сертифікат"/>
    <hyperlink ref="F3154" r:id="rId3142" tooltip="Завантажити сертифікат" display="Завантажити сертифікат"/>
    <hyperlink ref="F3155" r:id="rId3143" tooltip="Завантажити сертифікат" display="Завантажити сертифікат"/>
    <hyperlink ref="F3156" r:id="rId3144" tooltip="Завантажити сертифікат" display="Завантажити сертифікат"/>
    <hyperlink ref="F3157" r:id="rId3145" tooltip="Завантажити сертифікат" display="Завантажити сертифікат"/>
    <hyperlink ref="F3158" r:id="rId3146" tooltip="Завантажити сертифікат" display="Завантажити сертифікат"/>
    <hyperlink ref="F3159" r:id="rId3147" tooltip="Завантажити сертифікат" display="Завантажити сертифікат"/>
    <hyperlink ref="F3160" r:id="rId3148" tooltip="Завантажити сертифікат" display="Завантажити сертифікат"/>
    <hyperlink ref="F3161" r:id="rId3149" tooltip="Завантажити сертифікат" display="Завантажити сертифікат"/>
    <hyperlink ref="F3162" r:id="rId3150" tooltip="Завантажити сертифікат" display="Завантажити сертифікат"/>
    <hyperlink ref="F3163" r:id="rId3151" tooltip="Завантажити сертифікат" display="Завантажити сертифікат"/>
    <hyperlink ref="F3164" r:id="rId3152" tooltip="Завантажити сертифікат" display="Завантажити сертифікат"/>
    <hyperlink ref="F3165" r:id="rId3153" tooltip="Завантажити сертифікат" display="Завантажити сертифікат"/>
    <hyperlink ref="F3166" r:id="rId3154" tooltip="Завантажити сертифікат" display="Завантажити сертифікат"/>
    <hyperlink ref="F3167" r:id="rId3155" tooltip="Завантажити сертифікат" display="Завантажити сертифікат"/>
    <hyperlink ref="F3168" r:id="rId3156" tooltip="Завантажити сертифікат" display="Завантажити сертифікат"/>
    <hyperlink ref="F3169" r:id="rId3157" tooltip="Завантажити сертифікат" display="Завантажити сертифікат"/>
    <hyperlink ref="F3170" r:id="rId3158" tooltip="Завантажити сертифікат" display="Завантажити сертифікат"/>
    <hyperlink ref="F3171" r:id="rId3159" tooltip="Завантажити сертифікат" display="Завантажити сертифікат"/>
    <hyperlink ref="F3172" r:id="rId3160" tooltip="Завантажити сертифікат" display="Завантажити сертифікат"/>
    <hyperlink ref="F3173" r:id="rId3161" tooltip="Завантажити сертифікат" display="Завантажити сертифікат"/>
    <hyperlink ref="F3174" r:id="rId3162" tooltip="Завантажити сертифікат" display="Завантажити сертифікат"/>
    <hyperlink ref="F3175" r:id="rId3163" tooltip="Завантажити сертифікат" display="Завантажити сертифікат"/>
    <hyperlink ref="F3176" r:id="rId3164" tooltip="Завантажити сертифікат" display="Завантажити сертифікат"/>
    <hyperlink ref="F3177" r:id="rId3165" tooltip="Завантажити сертифікат" display="Завантажити сертифікат"/>
    <hyperlink ref="F3178" r:id="rId3166" tooltip="Завантажити сертифікат" display="Завантажити сертифікат"/>
    <hyperlink ref="F3179" r:id="rId3167" tooltip="Завантажити сертифікат" display="Завантажити сертифікат"/>
    <hyperlink ref="F3180" r:id="rId3168" tooltip="Завантажити сертифікат" display="Завантажити сертифікат"/>
    <hyperlink ref="F3181" r:id="rId3169" tooltip="Завантажити сертифікат" display="Завантажити сертифікат"/>
    <hyperlink ref="F3182" r:id="rId3170" tooltip="Завантажити сертифікат" display="Завантажити сертифікат"/>
    <hyperlink ref="F3183" r:id="rId3171" tooltip="Завантажити сертифікат" display="Завантажити сертифікат"/>
    <hyperlink ref="F3184" r:id="rId3172" tooltip="Завантажити сертифікат" display="Завантажити сертифікат"/>
    <hyperlink ref="F3185" r:id="rId3173" tooltip="Завантажити сертифікат" display="Завантажити сертифікат"/>
    <hyperlink ref="F3186" r:id="rId3174" tooltip="Завантажити сертифікат" display="Завантажити сертифікат"/>
    <hyperlink ref="F3187" r:id="rId3175" tooltip="Завантажити сертифікат" display="Завантажити сертифікат"/>
    <hyperlink ref="F3188" r:id="rId3176" tooltip="Завантажити сертифікат" display="Завантажити сертифікат"/>
    <hyperlink ref="F3189" r:id="rId3177" tooltip="Завантажити сертифікат" display="Завантажити сертифікат"/>
    <hyperlink ref="F3190" r:id="rId3178" tooltip="Завантажити сертифікат" display="Завантажити сертифікат"/>
    <hyperlink ref="F3191" r:id="rId3179" tooltip="Завантажити сертифікат" display="Завантажити сертифікат"/>
    <hyperlink ref="F3192" r:id="rId3180" tooltip="Завантажити сертифікат" display="Завантажити сертифікат"/>
    <hyperlink ref="F3193" r:id="rId3181" tooltip="Завантажити сертифікат" display="Завантажити сертифікат"/>
    <hyperlink ref="F3194" r:id="rId3182" tooltip="Завантажити сертифікат" display="Завантажити сертифікат"/>
    <hyperlink ref="F3195" r:id="rId3183" tooltip="Завантажити сертифікат" display="Завантажити сертифікат"/>
    <hyperlink ref="F3196" r:id="rId3184" tooltip="Завантажити сертифікат" display="Завантажити сертифікат"/>
    <hyperlink ref="F3197" r:id="rId3185" tooltip="Завантажити сертифікат" display="Завантажити сертифікат"/>
    <hyperlink ref="F3198" r:id="rId3186" tooltip="Завантажити сертифікат" display="Завантажити сертифікат"/>
    <hyperlink ref="F3199" r:id="rId3187" tooltip="Завантажити сертифікат" display="Завантажити сертифікат"/>
    <hyperlink ref="F3200" r:id="rId3188" tooltip="Завантажити сертифікат" display="Завантажити сертифікат"/>
    <hyperlink ref="F3201" r:id="rId3189" tooltip="Завантажити сертифікат" display="Завантажити сертифікат"/>
    <hyperlink ref="F3202" r:id="rId3190" tooltip="Завантажити сертифікат" display="Завантажити сертифікат"/>
    <hyperlink ref="F3203" r:id="rId3191" tooltip="Завантажити сертифікат" display="Завантажити сертифікат"/>
    <hyperlink ref="F3204" r:id="rId3192" tooltip="Завантажити сертифікат" display="Завантажити сертифікат"/>
    <hyperlink ref="F3205" r:id="rId3193" tooltip="Завантажити сертифікат" display="Завантажити сертифікат"/>
    <hyperlink ref="F3206" r:id="rId3194" tooltip="Завантажити сертифікат" display="Завантажити сертифікат"/>
    <hyperlink ref="F3207" r:id="rId3195" tooltip="Завантажити сертифікат" display="Завантажити сертифікат"/>
    <hyperlink ref="F3208" r:id="rId3196" tooltip="Завантажити сертифікат" display="Завантажити сертифікат"/>
    <hyperlink ref="F3209" r:id="rId3197" tooltip="Завантажити сертифікат" display="Завантажити сертифікат"/>
    <hyperlink ref="F3210" r:id="rId3198" tooltip="Завантажити сертифікат" display="Завантажити сертифікат"/>
    <hyperlink ref="F3211" r:id="rId3199" tooltip="Завантажити сертифікат" display="Завантажити сертифікат"/>
    <hyperlink ref="F3212" r:id="rId3200" tooltip="Завантажити сертифікат" display="Завантажити сертифікат"/>
    <hyperlink ref="F3213" r:id="rId3201" tooltip="Завантажити сертифікат" display="Завантажити сертифікат"/>
    <hyperlink ref="F3214" r:id="rId3202" tooltip="Завантажити сертифікат" display="Завантажити сертифікат"/>
    <hyperlink ref="F3215" r:id="rId3203" tooltip="Завантажити сертифікат" display="Завантажити сертифікат"/>
    <hyperlink ref="F3216" r:id="rId3204" tooltip="Завантажити сертифікат" display="Завантажити сертифікат"/>
    <hyperlink ref="F3217" r:id="rId3205" tooltip="Завантажити сертифікат" display="Завантажити сертифікат"/>
    <hyperlink ref="F3218" r:id="rId3206" tooltip="Завантажити сертифікат" display="Завантажити сертифікат"/>
    <hyperlink ref="F3219" r:id="rId3207" tooltip="Завантажити сертифікат" display="Завантажити сертифікат"/>
    <hyperlink ref="F3220" r:id="rId3208" tooltip="Завантажити сертифікат" display="Завантажити сертифікат"/>
    <hyperlink ref="F3221" r:id="rId3209" tooltip="Завантажити сертифікат" display="Завантажити сертифікат"/>
    <hyperlink ref="F3222" r:id="rId3210" tooltip="Завантажити сертифікат" display="Завантажити сертифікат"/>
    <hyperlink ref="F3223" r:id="rId3211" tooltip="Завантажити сертифікат" display="Завантажити сертифікат"/>
    <hyperlink ref="F3224" r:id="rId3212" tooltip="Завантажити сертифікат" display="Завантажити сертифікат"/>
    <hyperlink ref="F3225" r:id="rId3213" tooltip="Завантажити сертифікат" display="Завантажити сертифікат"/>
    <hyperlink ref="F3226" r:id="rId3214" tooltip="Завантажити сертифікат" display="Завантажити сертифікат"/>
    <hyperlink ref="F3227" r:id="rId3215" tooltip="Завантажити сертифікат" display="Завантажити сертифікат"/>
    <hyperlink ref="F3228" r:id="rId3216" tooltip="Завантажити сертифікат" display="Завантажити сертифікат"/>
    <hyperlink ref="F3229" r:id="rId3217" tooltip="Завантажити сертифікат" display="Завантажити сертифікат"/>
    <hyperlink ref="F3230" r:id="rId3218" tooltip="Завантажити сертифікат" display="Завантажити сертифікат"/>
    <hyperlink ref="F3231" r:id="rId3219" tooltip="Завантажити сертифікат" display="Завантажити сертифікат"/>
    <hyperlink ref="F3232" r:id="rId3220" tooltip="Завантажити сертифікат" display="Завантажити сертифікат"/>
    <hyperlink ref="F3233" r:id="rId3221" tooltip="Завантажити сертифікат" display="Завантажити сертифікат"/>
    <hyperlink ref="F3234" r:id="rId3222" tooltip="Завантажити сертифікат" display="Завантажити сертифікат"/>
    <hyperlink ref="F3235" r:id="rId3223" tooltip="Завантажити сертифікат" display="Завантажити сертифікат"/>
    <hyperlink ref="F3236" r:id="rId3224" tooltip="Завантажити сертифікат" display="Завантажити сертифікат"/>
    <hyperlink ref="F3237" r:id="rId3225" tooltip="Завантажити сертифікат" display="Завантажити сертифікат"/>
    <hyperlink ref="F3238" r:id="rId3226" tooltip="Завантажити сертифікат" display="Завантажити сертифікат"/>
    <hyperlink ref="F3239" r:id="rId3227" tooltip="Завантажити сертифікат" display="Завантажити сертифікат"/>
    <hyperlink ref="F3240" r:id="rId3228" tooltip="Завантажити сертифікат" display="Завантажити сертифікат"/>
    <hyperlink ref="F3241" r:id="rId3229" tooltip="Завантажити сертифікат" display="Завантажити сертифікат"/>
    <hyperlink ref="F3242" r:id="rId3230" tooltip="Завантажити сертифікат" display="Завантажити сертифікат"/>
    <hyperlink ref="F3243" r:id="rId3231" tooltip="Завантажити сертифікат" display="Завантажити сертифікат"/>
    <hyperlink ref="F3244" r:id="rId3232" tooltip="Завантажити сертифікат" display="Завантажити сертифікат"/>
    <hyperlink ref="F3245" r:id="rId3233" tooltip="Завантажити сертифікат" display="Завантажити сертифікат"/>
    <hyperlink ref="F3246" r:id="rId3234" tooltip="Завантажити сертифікат" display="Завантажити сертифікат"/>
    <hyperlink ref="F3247" r:id="rId3235" tooltip="Завантажити сертифікат" display="Завантажити сертифікат"/>
    <hyperlink ref="F3248" r:id="rId3236" tooltip="Завантажити сертифікат" display="Завантажити сертифікат"/>
    <hyperlink ref="F3249" r:id="rId3237" tooltip="Завантажити сертифікат" display="Завантажити сертифікат"/>
    <hyperlink ref="F3250" r:id="rId3238" tooltip="Завантажити сертифікат" display="Завантажити сертифікат"/>
    <hyperlink ref="F3251" r:id="rId3239" tooltip="Завантажити сертифікат" display="Завантажити сертифікат"/>
    <hyperlink ref="F3252" r:id="rId3240" tooltip="Завантажити сертифікат" display="Завантажити сертифікат"/>
    <hyperlink ref="F3253" r:id="rId3241" tooltip="Завантажити сертифікат" display="Завантажити сертифікат"/>
    <hyperlink ref="F3254" r:id="rId3242" tooltip="Завантажити сертифікат" display="Завантажити сертифікат"/>
    <hyperlink ref="F3255" r:id="rId3243" tooltip="Завантажити сертифікат" display="Завантажити сертифікат"/>
    <hyperlink ref="F3256" r:id="rId3244" tooltip="Завантажити сертифікат" display="Завантажити сертифікат"/>
    <hyperlink ref="F3257" r:id="rId3245" tooltip="Завантажити сертифікат" display="Завантажити сертифікат"/>
    <hyperlink ref="F3258" r:id="rId3246" tooltip="Завантажити сертифікат" display="Завантажити сертифікат"/>
    <hyperlink ref="F3259" r:id="rId3247" tooltip="Завантажити сертифікат" display="Завантажити сертифікат"/>
    <hyperlink ref="F3260" r:id="rId3248" tooltip="Завантажити сертифікат" display="Завантажити сертифікат"/>
    <hyperlink ref="F3261" r:id="rId3249" tooltip="Завантажити сертифікат" display="Завантажити сертифікат"/>
    <hyperlink ref="F3262" r:id="rId3250" tooltip="Завантажити сертифікат" display="Завантажити сертифікат"/>
    <hyperlink ref="F3263" r:id="rId3251" tooltip="Завантажити сертифікат" display="Завантажити сертифікат"/>
    <hyperlink ref="F3264" r:id="rId3252" tooltip="Завантажити сертифікат" display="Завантажити сертифікат"/>
    <hyperlink ref="F3265" r:id="rId3253" tooltip="Завантажити сертифікат" display="Завантажити сертифікат"/>
    <hyperlink ref="F3266" r:id="rId3254" tooltip="Завантажити сертифікат" display="Завантажити сертифікат"/>
    <hyperlink ref="F3267" r:id="rId3255" tooltip="Завантажити сертифікат" display="Завантажити сертифікат"/>
    <hyperlink ref="F3268" r:id="rId3256" tooltip="Завантажити сертифікат" display="Завантажити сертифікат"/>
    <hyperlink ref="F3269" r:id="rId3257" tooltip="Завантажити сертифікат" display="Завантажити сертифікат"/>
    <hyperlink ref="F3270" r:id="rId3258" tooltip="Завантажити сертифікат" display="Завантажити сертифікат"/>
    <hyperlink ref="F3271" r:id="rId3259" tooltip="Завантажити сертифікат" display="Завантажити сертифікат"/>
    <hyperlink ref="F3272" r:id="rId3260" tooltip="Завантажити сертифікат" display="Завантажити сертифікат"/>
    <hyperlink ref="F3273" r:id="rId3261" tooltip="Завантажити сертифікат" display="Завантажити сертифікат"/>
    <hyperlink ref="F3274" r:id="rId3262" tooltip="Завантажити сертифікат" display="Завантажити сертифікат"/>
    <hyperlink ref="F3275" r:id="rId3263" tooltip="Завантажити сертифікат" display="Завантажити сертифікат"/>
    <hyperlink ref="F3276" r:id="rId3264" tooltip="Завантажити сертифікат" display="Завантажити сертифікат"/>
    <hyperlink ref="F3277" r:id="rId3265" tooltip="Завантажити сертифікат" display="Завантажити сертифікат"/>
    <hyperlink ref="F3278" r:id="rId3266" tooltip="Завантажити сертифікат" display="Завантажити сертифікат"/>
    <hyperlink ref="F3279" r:id="rId3267" tooltip="Завантажити сертифікат" display="Завантажити сертифікат"/>
    <hyperlink ref="F3280" r:id="rId3268" tooltip="Завантажити сертифікат" display="Завантажити сертифікат"/>
    <hyperlink ref="F3281" r:id="rId3269" tooltip="Завантажити сертифікат" display="Завантажити сертифікат"/>
    <hyperlink ref="F3282" r:id="rId3270" tooltip="Завантажити сертифікат" display="Завантажити сертифікат"/>
    <hyperlink ref="F3283" r:id="rId3271" tooltip="Завантажити сертифікат" display="Завантажити сертифікат"/>
    <hyperlink ref="F3284" r:id="rId3272" tooltip="Завантажити сертифікат" display="Завантажити сертифікат"/>
    <hyperlink ref="F3285" r:id="rId3273" tooltip="Завантажити сертифікат" display="Завантажити сертифікат"/>
    <hyperlink ref="F3286" r:id="rId3274" tooltip="Завантажити сертифікат" display="Завантажити сертифікат"/>
    <hyperlink ref="F3287" r:id="rId3275" tooltip="Завантажити сертифікат" display="Завантажити сертифікат"/>
    <hyperlink ref="F3288" r:id="rId3276" tooltip="Завантажити сертифікат" display="Завантажити сертифікат"/>
    <hyperlink ref="F3289" r:id="rId3277" tooltip="Завантажити сертифікат" display="Завантажити сертифікат"/>
    <hyperlink ref="F3290" r:id="rId3278" tooltip="Завантажити сертифікат" display="Завантажити сертифікат"/>
    <hyperlink ref="F3291" r:id="rId3279" tooltip="Завантажити сертифікат" display="Завантажити сертифікат"/>
    <hyperlink ref="F3292" r:id="rId3280" tooltip="Завантажити сертифікат" display="Завантажити сертифікат"/>
    <hyperlink ref="F3293" r:id="rId3281" tooltip="Завантажити сертифікат" display="Завантажити сертифікат"/>
    <hyperlink ref="F3294" r:id="rId3282" tooltip="Завантажити сертифікат" display="Завантажити сертифікат"/>
    <hyperlink ref="F3295" r:id="rId3283" tooltip="Завантажити сертифікат" display="Завантажити сертифікат"/>
    <hyperlink ref="F3296" r:id="rId3284" tooltip="Завантажити сертифікат" display="Завантажити сертифікат"/>
    <hyperlink ref="F3297" r:id="rId3285" tooltip="Завантажити сертифікат" display="Завантажити сертифікат"/>
    <hyperlink ref="F3298" r:id="rId3286" tooltip="Завантажити сертифікат" display="Завантажити сертифікат"/>
    <hyperlink ref="F3299" r:id="rId3287" tooltip="Завантажити сертифікат" display="Завантажити сертифікат"/>
    <hyperlink ref="F3300" r:id="rId3288" tooltip="Завантажити сертифікат" display="Завантажити сертифікат"/>
    <hyperlink ref="F3301" r:id="rId3289" tooltip="Завантажити сертифікат" display="Завантажити сертифікат"/>
    <hyperlink ref="F3302" r:id="rId3290" tooltip="Завантажити сертифікат" display="Завантажити сертифікат"/>
    <hyperlink ref="F3303" r:id="rId3291" tooltip="Завантажити сертифікат" display="Завантажити сертифікат"/>
    <hyperlink ref="F3304" r:id="rId3292" tooltip="Завантажити сертифікат" display="Завантажити сертифікат"/>
    <hyperlink ref="F3305" r:id="rId3293" tooltip="Завантажити сертифікат" display="Завантажити сертифікат"/>
    <hyperlink ref="F3306" r:id="rId3294" tooltip="Завантажити сертифікат" display="Завантажити сертифікат"/>
    <hyperlink ref="F3307" r:id="rId3295" tooltip="Завантажити сертифікат" display="Завантажити сертифікат"/>
    <hyperlink ref="F3308" r:id="rId3296" tooltip="Завантажити сертифікат" display="Завантажити сертифікат"/>
    <hyperlink ref="F3309" r:id="rId3297" tooltip="Завантажити сертифікат" display="Завантажити сертифікат"/>
    <hyperlink ref="F3310" r:id="rId3298" tooltip="Завантажити сертифікат" display="Завантажити сертифікат"/>
    <hyperlink ref="F3311" r:id="rId3299" tooltip="Завантажити сертифікат" display="Завантажити сертифікат"/>
    <hyperlink ref="F3312" r:id="rId3300" tooltip="Завантажити сертифікат" display="Завантажити сертифікат"/>
    <hyperlink ref="F3313" r:id="rId3301" tooltip="Завантажити сертифікат" display="Завантажити сертифікат"/>
    <hyperlink ref="F3314" r:id="rId3302" tooltip="Завантажити сертифікат" display="Завантажити сертифікат"/>
    <hyperlink ref="F3315" r:id="rId3303" tooltip="Завантажити сертифікат" display="Завантажити сертифікат"/>
    <hyperlink ref="F3316" r:id="rId3304" tooltip="Завантажити сертифікат" display="Завантажити сертифікат"/>
    <hyperlink ref="F3317" r:id="rId3305" tooltip="Завантажити сертифікат" display="Завантажити сертифікат"/>
    <hyperlink ref="F3318" r:id="rId3306" tooltip="Завантажити сертифікат" display="Завантажити сертифікат"/>
    <hyperlink ref="F3319" r:id="rId3307" tooltip="Завантажити сертифікат" display="Завантажити сертифікат"/>
    <hyperlink ref="F3320" r:id="rId3308" tooltip="Завантажити сертифікат" display="Завантажити сертифікат"/>
    <hyperlink ref="F3321" r:id="rId3309" tooltip="Завантажити сертифікат" display="Завантажити сертифікат"/>
    <hyperlink ref="F3322" r:id="rId3310" tooltip="Завантажити сертифікат" display="Завантажити сертифікат"/>
    <hyperlink ref="F3323" r:id="rId3311" tooltip="Завантажити сертифікат" display="Завантажити сертифікат"/>
    <hyperlink ref="F3324" r:id="rId3312" tooltip="Завантажити сертифікат" display="Завантажити сертифікат"/>
    <hyperlink ref="F3325" r:id="rId3313" tooltip="Завантажити сертифікат" display="Завантажити сертифікат"/>
    <hyperlink ref="F3326" r:id="rId3314" tooltip="Завантажити сертифікат" display="Завантажити сертифікат"/>
    <hyperlink ref="F3327" r:id="rId3315" tooltip="Завантажити сертифікат" display="Завантажити сертифікат"/>
    <hyperlink ref="F3328" r:id="rId3316" tooltip="Завантажити сертифікат" display="Завантажити сертифікат"/>
    <hyperlink ref="F3329" r:id="rId3317" tooltip="Завантажити сертифікат" display="Завантажити сертифікат"/>
    <hyperlink ref="F3330" r:id="rId3318" tooltip="Завантажити сертифікат" display="Завантажити сертифікат"/>
    <hyperlink ref="F3331" r:id="rId3319" tooltip="Завантажити сертифікат" display="Завантажити сертифікат"/>
    <hyperlink ref="F3332" r:id="rId3320" tooltip="Завантажити сертифікат" display="Завантажити сертифікат"/>
    <hyperlink ref="F3333" r:id="rId3321" tooltip="Завантажити сертифікат" display="Завантажити сертифікат"/>
    <hyperlink ref="F3334" r:id="rId3322" tooltip="Завантажити сертифікат" display="Завантажити сертифікат"/>
    <hyperlink ref="F3335" r:id="rId3323" tooltip="Завантажити сертифікат" display="Завантажити сертифікат"/>
    <hyperlink ref="F3336" r:id="rId3324" tooltip="Завантажити сертифікат" display="Завантажити сертифікат"/>
    <hyperlink ref="F3337" r:id="rId3325" tooltip="Завантажити сертифікат" display="Завантажити сертифікат"/>
    <hyperlink ref="F3338" r:id="rId3326" tooltip="Завантажити сертифікат" display="Завантажити сертифікат"/>
    <hyperlink ref="F3339" r:id="rId3327" tooltip="Завантажити сертифікат" display="Завантажити сертифікат"/>
    <hyperlink ref="F3340" r:id="rId3328" tooltip="Завантажити сертифікат" display="Завантажити сертифікат"/>
    <hyperlink ref="F3341" r:id="rId3329" tooltip="Завантажити сертифікат" display="Завантажити сертифікат"/>
    <hyperlink ref="F3342" r:id="rId3330" tooltip="Завантажити сертифікат" display="Завантажити сертифікат"/>
    <hyperlink ref="F3343" r:id="rId3331" tooltip="Завантажити сертифікат" display="Завантажити сертифікат"/>
    <hyperlink ref="F3344" r:id="rId3332" tooltip="Завантажити сертифікат" display="Завантажити сертифікат"/>
    <hyperlink ref="F3345" r:id="rId3333" tooltip="Завантажити сертифікат" display="Завантажити сертифікат"/>
    <hyperlink ref="F3346" r:id="rId3334" tooltip="Завантажити сертифікат" display="Завантажити сертифікат"/>
    <hyperlink ref="F3347" r:id="rId3335" tooltip="Завантажити сертифікат" display="Завантажити сертифікат"/>
    <hyperlink ref="F3348" r:id="rId3336" tooltip="Завантажити сертифікат" display="Завантажити сертифікат"/>
    <hyperlink ref="F3349" r:id="rId3337" tooltip="Завантажити сертифікат" display="Завантажити сертифікат"/>
    <hyperlink ref="F3350" r:id="rId3338" tooltip="Завантажити сертифікат" display="Завантажити сертифікат"/>
    <hyperlink ref="F3351" r:id="rId3339" tooltip="Завантажити сертифікат" display="Завантажити сертифікат"/>
    <hyperlink ref="F3352" r:id="rId3340" tooltip="Завантажити сертифікат" display="Завантажити сертифікат"/>
    <hyperlink ref="F3353" r:id="rId3341" tooltip="Завантажити сертифікат" display="Завантажити сертифікат"/>
    <hyperlink ref="F3354" r:id="rId3342" tooltip="Завантажити сертифікат" display="Завантажити сертифікат"/>
    <hyperlink ref="F3355" r:id="rId3343" tooltip="Завантажити сертифікат" display="Завантажити сертифікат"/>
    <hyperlink ref="F3356" r:id="rId3344" tooltip="Завантажити сертифікат" display="Завантажити сертифікат"/>
    <hyperlink ref="F3357" r:id="rId3345" tooltip="Завантажити сертифікат" display="Завантажити сертифікат"/>
    <hyperlink ref="F3358" r:id="rId3346" tooltip="Завантажити сертифікат" display="Завантажити сертифікат"/>
    <hyperlink ref="F3359" r:id="rId3347" tooltip="Завантажити сертифікат" display="Завантажити сертифікат"/>
    <hyperlink ref="F3360" r:id="rId3348" tooltip="Завантажити сертифікат" display="Завантажити сертифікат"/>
    <hyperlink ref="F3361" r:id="rId3349" tooltip="Завантажити сертифікат" display="Завантажити сертифікат"/>
    <hyperlink ref="F3362" r:id="rId3350" tooltip="Завантажити сертифікат" display="Завантажити сертифікат"/>
    <hyperlink ref="F3363" r:id="rId3351" tooltip="Завантажити сертифікат" display="Завантажити сертифікат"/>
    <hyperlink ref="F3364" r:id="rId3352" tooltip="Завантажити сертифікат" display="Завантажити сертифікат"/>
    <hyperlink ref="F3365" r:id="rId3353" tooltip="Завантажити сертифікат" display="Завантажити сертифікат"/>
    <hyperlink ref="F3366" r:id="rId3354" tooltip="Завантажити сертифікат" display="Завантажити сертифікат"/>
    <hyperlink ref="F3367" r:id="rId3355" tooltip="Завантажити сертифікат" display="Завантажити сертифікат"/>
    <hyperlink ref="F3368" r:id="rId3356" tooltip="Завантажити сертифікат" display="Завантажити сертифікат"/>
    <hyperlink ref="F3369" r:id="rId3357" tooltip="Завантажити сертифікат" display="Завантажити сертифікат"/>
    <hyperlink ref="F3370" r:id="rId3358" tooltip="Завантажити сертифікат" display="Завантажити сертифікат"/>
    <hyperlink ref="F3371" r:id="rId3359" tooltip="Завантажити сертифікат" display="Завантажити сертифікат"/>
    <hyperlink ref="F3372" r:id="rId3360" tooltip="Завантажити сертифікат" display="Завантажити сертифікат"/>
    <hyperlink ref="F3373" r:id="rId3361" tooltip="Завантажити сертифікат" display="Завантажити сертифікат"/>
    <hyperlink ref="F3374" r:id="rId3362" tooltip="Завантажити сертифікат" display="Завантажити сертифікат"/>
    <hyperlink ref="F3375" r:id="rId3363" tooltip="Завантажити сертифікат" display="Завантажити сертифікат"/>
    <hyperlink ref="F3376" r:id="rId3364" tooltip="Завантажити сертифікат" display="Завантажити сертифікат"/>
    <hyperlink ref="F3377" r:id="rId3365" tooltip="Завантажити сертифікат" display="Завантажити сертифікат"/>
    <hyperlink ref="F3378" r:id="rId3366" tooltip="Завантажити сертифікат" display="Завантажити сертифікат"/>
    <hyperlink ref="F3379" r:id="rId3367" tooltip="Завантажити сертифікат" display="Завантажити сертифікат"/>
    <hyperlink ref="F3380" r:id="rId3368" tooltip="Завантажити сертифікат" display="Завантажити сертифікат"/>
    <hyperlink ref="F3381" r:id="rId3369" tooltip="Завантажити сертифікат" display="Завантажити сертифікат"/>
    <hyperlink ref="F3382" r:id="rId3370" tooltip="Завантажити сертифікат" display="Завантажити сертифікат"/>
    <hyperlink ref="F3383" r:id="rId3371" tooltip="Завантажити сертифікат" display="Завантажити сертифікат"/>
    <hyperlink ref="F3384" r:id="rId3372" tooltip="Завантажити сертифікат" display="Завантажити сертифікат"/>
    <hyperlink ref="F3385" r:id="rId3373" tooltip="Завантажити сертифікат" display="Завантажити сертифікат"/>
    <hyperlink ref="F3386" r:id="rId3374" tooltip="Завантажити сертифікат" display="Завантажити сертифікат"/>
    <hyperlink ref="F3387" r:id="rId3375" tooltip="Завантажити сертифікат" display="Завантажити сертифікат"/>
    <hyperlink ref="F3388" r:id="rId3376" tooltip="Завантажити сертифікат" display="Завантажити сертифікат"/>
    <hyperlink ref="F3389" r:id="rId3377" tooltip="Завантажити сертифікат" display="Завантажити сертифікат"/>
    <hyperlink ref="F3390" r:id="rId3378" tooltip="Завантажити сертифікат" display="Завантажити сертифікат"/>
    <hyperlink ref="F3391" r:id="rId3379" tooltip="Завантажити сертифікат" display="Завантажити сертифікат"/>
    <hyperlink ref="F3392" r:id="rId3380" tooltip="Завантажити сертифікат" display="Завантажити сертифікат"/>
    <hyperlink ref="F3393" r:id="rId3381" tooltip="Завантажити сертифікат" display="Завантажити сертифікат"/>
    <hyperlink ref="F3394" r:id="rId3382" tooltip="Завантажити сертифікат" display="Завантажити сертифікат"/>
    <hyperlink ref="F3395" r:id="rId3383" tooltip="Завантажити сертифікат" display="Завантажити сертифікат"/>
    <hyperlink ref="F3396" r:id="rId3384" tooltip="Завантажити сертифікат" display="Завантажити сертифікат"/>
    <hyperlink ref="F3397" r:id="rId3385" tooltip="Завантажити сертифікат" display="Завантажити сертифікат"/>
    <hyperlink ref="F3398" r:id="rId3386" tooltip="Завантажити сертифікат" display="Завантажити сертифікат"/>
    <hyperlink ref="F3399" r:id="rId3387" tooltip="Завантажити сертифікат" display="Завантажити сертифікат"/>
    <hyperlink ref="F3400" r:id="rId3388" tooltip="Завантажити сертифікат" display="Завантажити сертифікат"/>
    <hyperlink ref="F3401" r:id="rId3389" tooltip="Завантажити сертифікат" display="Завантажити сертифікат"/>
    <hyperlink ref="F3402" r:id="rId3390" tooltip="Завантажити сертифікат" display="Завантажити сертифікат"/>
    <hyperlink ref="F3403" r:id="rId3391" tooltip="Завантажити сертифікат" display="Завантажити сертифікат"/>
    <hyperlink ref="F3404" r:id="rId3392" tooltip="Завантажити сертифікат" display="Завантажити сертифікат"/>
    <hyperlink ref="F3405" r:id="rId3393" tooltip="Завантажити сертифікат" display="Завантажити сертифікат"/>
    <hyperlink ref="F3406" r:id="rId3394" tooltip="Завантажити сертифікат" display="Завантажити сертифікат"/>
    <hyperlink ref="F3407" r:id="rId3395" tooltip="Завантажити сертифікат" display="Завантажити сертифікат"/>
    <hyperlink ref="F3408" r:id="rId3396" tooltip="Завантажити сертифікат" display="Завантажити сертифікат"/>
    <hyperlink ref="F3409" r:id="rId3397" tooltip="Завантажити сертифікат" display="Завантажити сертифікат"/>
    <hyperlink ref="F3410" r:id="rId3398" tooltip="Завантажити сертифікат" display="Завантажити сертифікат"/>
    <hyperlink ref="F3411" r:id="rId3399" tooltip="Завантажити сертифікат" display="Завантажити сертифікат"/>
    <hyperlink ref="F3412" r:id="rId3400" tooltip="Завантажити сертифікат" display="Завантажити сертифікат"/>
    <hyperlink ref="F3413" r:id="rId3401" tooltip="Завантажити сертифікат" display="Завантажити сертифікат"/>
    <hyperlink ref="F3414" r:id="rId3402" tooltip="Завантажити сертифікат" display="Завантажити сертифікат"/>
    <hyperlink ref="F3415" r:id="rId3403" tooltip="Завантажити сертифікат" display="Завантажити сертифікат"/>
    <hyperlink ref="F3416" r:id="rId3404" tooltip="Завантажити сертифікат" display="Завантажити сертифікат"/>
    <hyperlink ref="F3417" r:id="rId3405" tooltip="Завантажити сертифікат" display="Завантажити сертифікат"/>
    <hyperlink ref="F3418" r:id="rId3406" tooltip="Завантажити сертифікат" display="Завантажити сертифікат"/>
    <hyperlink ref="F3419" r:id="rId3407" tooltip="Завантажити сертифікат" display="Завантажити сертифікат"/>
    <hyperlink ref="F3420" r:id="rId3408" tooltip="Завантажити сертифікат" display="Завантажити сертифікат"/>
    <hyperlink ref="F3421" r:id="rId3409" tooltip="Завантажити сертифікат" display="Завантажити сертифікат"/>
    <hyperlink ref="F3422" r:id="rId3410" tooltip="Завантажити сертифікат" display="Завантажити сертифікат"/>
    <hyperlink ref="F3423" r:id="rId3411" tooltip="Завантажити сертифікат" display="Завантажити сертифікат"/>
    <hyperlink ref="F3424" r:id="rId3412" tooltip="Завантажити сертифікат" display="Завантажити сертифікат"/>
    <hyperlink ref="F3425" r:id="rId3413" tooltip="Завантажити сертифікат" display="Завантажити сертифікат"/>
    <hyperlink ref="F3426" r:id="rId3414" tooltip="Завантажити сертифікат" display="Завантажити сертифікат"/>
    <hyperlink ref="F3427" r:id="rId3415" tooltip="Завантажити сертифікат" display="Завантажити сертифікат"/>
    <hyperlink ref="F3428" r:id="rId3416" tooltip="Завантажити сертифікат" display="Завантажити сертифікат"/>
    <hyperlink ref="F3429" r:id="rId3417" tooltip="Завантажити сертифікат" display="Завантажити сертифікат"/>
    <hyperlink ref="F3430" r:id="rId3418" tooltip="Завантажити сертифікат" display="Завантажити сертифікат"/>
    <hyperlink ref="F3431" r:id="rId3419" tooltip="Завантажити сертифікат" display="Завантажити сертифікат"/>
    <hyperlink ref="F3432" r:id="rId3420" tooltip="Завантажити сертифікат" display="Завантажити сертифікат"/>
    <hyperlink ref="F3433" r:id="rId3421" tooltip="Завантажити сертифікат" display="Завантажити сертифікат"/>
    <hyperlink ref="F3434" r:id="rId3422" tooltip="Завантажити сертифікат" display="Завантажити сертифікат"/>
    <hyperlink ref="F3435" r:id="rId3423" tooltip="Завантажити сертифікат" display="Завантажити сертифікат"/>
    <hyperlink ref="F3436" r:id="rId3424" tooltip="Завантажити сертифікат" display="Завантажити сертифікат"/>
    <hyperlink ref="F3437" r:id="rId3425" tooltip="Завантажити сертифікат" display="Завантажити сертифікат"/>
    <hyperlink ref="F3438" r:id="rId3426" tooltip="Завантажити сертифікат" display="Завантажити сертифікат"/>
    <hyperlink ref="F3439" r:id="rId3427" tooltip="Завантажити сертифікат" display="Завантажити сертифікат"/>
    <hyperlink ref="F3440" r:id="rId3428" tooltip="Завантажити сертифікат" display="Завантажити сертифікат"/>
    <hyperlink ref="F3441" r:id="rId3429" tooltip="Завантажити сертифікат" display="Завантажити сертифікат"/>
    <hyperlink ref="F3442" r:id="rId3430" tooltip="Завантажити сертифікат" display="Завантажити сертифікат"/>
    <hyperlink ref="F3443" r:id="rId3431" tooltip="Завантажити сертифікат" display="Завантажити сертифікат"/>
    <hyperlink ref="F3444" r:id="rId3432" tooltip="Завантажити сертифікат" display="Завантажити сертифікат"/>
    <hyperlink ref="F3445" r:id="rId3433" tooltip="Завантажити сертифікат" display="Завантажити сертифікат"/>
    <hyperlink ref="F3446" r:id="rId3434" tooltip="Завантажити сертифікат" display="Завантажити сертифікат"/>
    <hyperlink ref="F3447" r:id="rId3435" tooltip="Завантажити сертифікат" display="Завантажити сертифікат"/>
    <hyperlink ref="F3448" r:id="rId3436" tooltip="Завантажити сертифікат" display="Завантажити сертифікат"/>
    <hyperlink ref="F3449" r:id="rId3437" tooltip="Завантажити сертифікат" display="Завантажити сертифікат"/>
    <hyperlink ref="F3450" r:id="rId3438" tooltip="Завантажити сертифікат" display="Завантажити сертифікат"/>
    <hyperlink ref="F3451" r:id="rId3439" tooltip="Завантажити сертифікат" display="Завантажити сертифікат"/>
    <hyperlink ref="F3452" r:id="rId3440" tooltip="Завантажити сертифікат" display="Завантажити сертифікат"/>
    <hyperlink ref="F3453" r:id="rId3441" tooltip="Завантажити сертифікат" display="Завантажити сертифікат"/>
    <hyperlink ref="F3454" r:id="rId3442" tooltip="Завантажити сертифікат" display="Завантажити сертифікат"/>
    <hyperlink ref="F3455" r:id="rId3443" tooltip="Завантажити сертифікат" display="Завантажити сертифікат"/>
    <hyperlink ref="F3456" r:id="rId3444" tooltip="Завантажити сертифікат" display="Завантажити сертифікат"/>
    <hyperlink ref="F3457" r:id="rId3445" tooltip="Завантажити сертифікат" display="Завантажити сертифікат"/>
    <hyperlink ref="F3458" r:id="rId3446" tooltip="Завантажити сертифікат" display="Завантажити сертифікат"/>
    <hyperlink ref="F3459" r:id="rId3447" tooltip="Завантажити сертифікат" display="Завантажити сертифікат"/>
    <hyperlink ref="F3460" r:id="rId3448" tooltip="Завантажити сертифікат" display="Завантажити сертифікат"/>
    <hyperlink ref="F3461" r:id="rId3449" tooltip="Завантажити сертифікат" display="Завантажити сертифікат"/>
    <hyperlink ref="F3462" r:id="rId3450" tooltip="Завантажити сертифікат" display="Завантажити сертифікат"/>
    <hyperlink ref="F3463" r:id="rId3451" tooltip="Завантажити сертифікат" display="Завантажити сертифікат"/>
    <hyperlink ref="F3464" r:id="rId3452" tooltip="Завантажити сертифікат" display="Завантажити сертифікат"/>
    <hyperlink ref="F3465" r:id="rId3453" tooltip="Завантажити сертифікат" display="Завантажити сертифікат"/>
    <hyperlink ref="F3466" r:id="rId3454" tooltip="Завантажити сертифікат" display="Завантажити сертифікат"/>
    <hyperlink ref="F3467" r:id="rId3455" tooltip="Завантажити сертифікат" display="Завантажити сертифікат"/>
    <hyperlink ref="F3468" r:id="rId3456" tooltip="Завантажити сертифікат" display="Завантажити сертифікат"/>
    <hyperlink ref="F3469" r:id="rId3457" tooltip="Завантажити сертифікат" display="Завантажити сертифікат"/>
    <hyperlink ref="F3470" r:id="rId3458" tooltip="Завантажити сертифікат" display="Завантажити сертифікат"/>
    <hyperlink ref="F3471" r:id="rId3459" tooltip="Завантажити сертифікат" display="Завантажити сертифікат"/>
    <hyperlink ref="F3472" r:id="rId3460" tooltip="Завантажити сертифікат" display="Завантажити сертифікат"/>
    <hyperlink ref="F3473" r:id="rId3461" tooltip="Завантажити сертифікат" display="Завантажити сертифікат"/>
    <hyperlink ref="F3474" r:id="rId3462" tooltip="Завантажити сертифікат" display="Завантажити сертифікат"/>
    <hyperlink ref="F3475" r:id="rId3463" tooltip="Завантажити сертифікат" display="Завантажити сертифікат"/>
    <hyperlink ref="F3476" r:id="rId3464" tooltip="Завантажити сертифікат" display="Завантажити сертифікат"/>
    <hyperlink ref="F3477" r:id="rId3465" tooltip="Завантажити сертифікат" display="Завантажити сертифікат"/>
    <hyperlink ref="F3478" r:id="rId3466" tooltip="Завантажити сертифікат" display="Завантажити сертифікат"/>
    <hyperlink ref="F3479" r:id="rId3467" tooltip="Завантажити сертифікат" display="Завантажити сертифікат"/>
    <hyperlink ref="F3480" r:id="rId3468" tooltip="Завантажити сертифікат" display="Завантажити сертифікат"/>
    <hyperlink ref="F3481" r:id="rId3469" tooltip="Завантажити сертифікат" display="Завантажити сертифікат"/>
    <hyperlink ref="F3482" r:id="rId3470" tooltip="Завантажити сертифікат" display="Завантажити сертифікат"/>
    <hyperlink ref="F3483" r:id="rId3471" tooltip="Завантажити сертифікат" display="Завантажити сертифікат"/>
    <hyperlink ref="F3484" r:id="rId3472" tooltip="Завантажити сертифікат" display="Завантажити сертифікат"/>
    <hyperlink ref="F3485" r:id="rId3473" tooltip="Завантажити сертифікат" display="Завантажити сертифікат"/>
    <hyperlink ref="F3486" r:id="rId3474" tooltip="Завантажити сертифікат" display="Завантажити сертифікат"/>
    <hyperlink ref="F3487" r:id="rId3475" tooltip="Завантажити сертифікат" display="Завантажити сертифікат"/>
    <hyperlink ref="F3488" r:id="rId3476" tooltip="Завантажити сертифікат" display="Завантажити сертифікат"/>
    <hyperlink ref="F3489" r:id="rId3477" tooltip="Завантажити сертифікат" display="Завантажити сертифікат"/>
    <hyperlink ref="F3490" r:id="rId3478" tooltip="Завантажити сертифікат" display="Завантажити сертифікат"/>
    <hyperlink ref="F3491" r:id="rId3479" tooltip="Завантажити сертифікат" display="Завантажити сертифікат"/>
    <hyperlink ref="F3492" r:id="rId3480" tooltip="Завантажити сертифікат" display="Завантажити сертифікат"/>
    <hyperlink ref="F3493" r:id="rId3481" tooltip="Завантажити сертифікат" display="Завантажити сертифікат"/>
    <hyperlink ref="F3494" r:id="rId3482" tooltip="Завантажити сертифікат" display="Завантажити сертифікат"/>
    <hyperlink ref="F3495" r:id="rId3483" tooltip="Завантажити сертифікат" display="Завантажити сертифікат"/>
    <hyperlink ref="F3496" r:id="rId3484" tooltip="Завантажити сертифікат" display="Завантажити сертифікат"/>
    <hyperlink ref="F3497" r:id="rId3485" tooltip="Завантажити сертифікат" display="Завантажити сертифікат"/>
    <hyperlink ref="F3498" r:id="rId3486" tooltip="Завантажити сертифікат" display="Завантажити сертифікат"/>
    <hyperlink ref="F3499" r:id="rId3487" tooltip="Завантажити сертифікат" display="Завантажити сертифікат"/>
    <hyperlink ref="F3500" r:id="rId3488" tooltip="Завантажити сертифікат" display="Завантажити сертифікат"/>
    <hyperlink ref="F3501" r:id="rId3489" tooltip="Завантажити сертифікат" display="Завантажити сертифікат"/>
    <hyperlink ref="F3502" r:id="rId3490" tooltip="Завантажити сертифікат" display="Завантажити сертифікат"/>
    <hyperlink ref="F3503" r:id="rId3491" tooltip="Завантажити сертифікат" display="Завантажити сертифікат"/>
    <hyperlink ref="F3504" r:id="rId3492" tooltip="Завантажити сертифікат" display="Завантажити сертифікат"/>
    <hyperlink ref="F3505" r:id="rId3493" tooltip="Завантажити сертифікат" display="Завантажити сертифікат"/>
    <hyperlink ref="F3506" r:id="rId3494" tooltip="Завантажити сертифікат" display="Завантажити сертифікат"/>
    <hyperlink ref="F3507" r:id="rId3495" tooltip="Завантажити сертифікат" display="Завантажити сертифікат"/>
    <hyperlink ref="F3508" r:id="rId3496" tooltip="Завантажити сертифікат" display="Завантажити сертифікат"/>
    <hyperlink ref="F3509" r:id="rId3497" tooltip="Завантажити сертифікат" display="Завантажити сертифікат"/>
    <hyperlink ref="F3510" r:id="rId3498" tooltip="Завантажити сертифікат" display="Завантажити сертифікат"/>
    <hyperlink ref="F3511" r:id="rId3499" tooltip="Завантажити сертифікат" display="Завантажити сертифікат"/>
    <hyperlink ref="F3512" r:id="rId3500" tooltip="Завантажити сертифікат" display="Завантажити сертифікат"/>
    <hyperlink ref="F3513" r:id="rId3501" tooltip="Завантажити сертифікат" display="Завантажити сертифікат"/>
    <hyperlink ref="F3514" r:id="rId3502" tooltip="Завантажити сертифікат" display="Завантажити сертифікат"/>
    <hyperlink ref="F3515" r:id="rId3503" tooltip="Завантажити сертифікат" display="Завантажити сертифікат"/>
    <hyperlink ref="F3516" r:id="rId3504" tooltip="Завантажити сертифікат" display="Завантажити сертифікат"/>
    <hyperlink ref="F3517" r:id="rId3505" tooltip="Завантажити сертифікат" display="Завантажити сертифікат"/>
    <hyperlink ref="F3518" r:id="rId3506" tooltip="Завантажити сертифікат" display="Завантажити сертифікат"/>
    <hyperlink ref="F3519" r:id="rId3507" tooltip="Завантажити сертифікат" display="Завантажити сертифікат"/>
    <hyperlink ref="F3520" r:id="rId3508" tooltip="Завантажити сертифікат" display="Завантажити сертифікат"/>
    <hyperlink ref="F3521" r:id="rId3509" tooltip="Завантажити сертифікат" display="Завантажити сертифікат"/>
    <hyperlink ref="F3522" r:id="rId3510" tooltip="Завантажити сертифікат" display="Завантажити сертифікат"/>
    <hyperlink ref="F3523" r:id="rId3511" tooltip="Завантажити сертифікат" display="Завантажити сертифікат"/>
    <hyperlink ref="F3524" r:id="rId3512" tooltip="Завантажити сертифікат" display="Завантажити сертифікат"/>
    <hyperlink ref="F3525" r:id="rId3513" tooltip="Завантажити сертифікат" display="Завантажити сертифікат"/>
    <hyperlink ref="F3526" r:id="rId3514" tooltip="Завантажити сертифікат" display="Завантажити сертифікат"/>
    <hyperlink ref="F3527" r:id="rId3515" tooltip="Завантажити сертифікат" display="Завантажити сертифікат"/>
    <hyperlink ref="F3528" r:id="rId3516" tooltip="Завантажити сертифікат" display="Завантажити сертифікат"/>
    <hyperlink ref="F3529" r:id="rId3517" tooltip="Завантажити сертифікат" display="Завантажити сертифікат"/>
    <hyperlink ref="F3530" r:id="rId3518" tooltip="Завантажити сертифікат" display="Завантажити сертифікат"/>
    <hyperlink ref="F3531" r:id="rId3519" tooltip="Завантажити сертифікат" display="Завантажити сертифікат"/>
    <hyperlink ref="F3532" r:id="rId3520" tooltip="Завантажити сертифікат" display="Завантажити сертифікат"/>
    <hyperlink ref="F3533" r:id="rId3521" tooltip="Завантажити сертифікат" display="Завантажити сертифікат"/>
    <hyperlink ref="F3534" r:id="rId3522" tooltip="Завантажити сертифікат" display="Завантажити сертифікат"/>
    <hyperlink ref="F3535" r:id="rId3523" tooltip="Завантажити сертифікат" display="Завантажити сертифікат"/>
    <hyperlink ref="F3536" r:id="rId3524" tooltip="Завантажити сертифікат" display="Завантажити сертифікат"/>
    <hyperlink ref="F3537" r:id="rId3525" tooltip="Завантажити сертифікат" display="Завантажити сертифікат"/>
    <hyperlink ref="F3538" r:id="rId3526" tooltip="Завантажити сертифікат" display="Завантажити сертифікат"/>
    <hyperlink ref="F3539" r:id="rId3527" tooltip="Завантажити сертифікат" display="Завантажити сертифікат"/>
    <hyperlink ref="F3540" r:id="rId3528" tooltip="Завантажити сертифікат" display="Завантажити сертифікат"/>
    <hyperlink ref="F3541" r:id="rId3529" tooltip="Завантажити сертифікат" display="Завантажити сертифікат"/>
    <hyperlink ref="F3542" r:id="rId3530" tooltip="Завантажити сертифікат" display="Завантажити сертифікат"/>
    <hyperlink ref="F3543" r:id="rId3531" tooltip="Завантажити сертифікат" display="Завантажити сертифікат"/>
    <hyperlink ref="F3544" r:id="rId3532" tooltip="Завантажити сертифікат" display="Завантажити сертифікат"/>
    <hyperlink ref="F3545" r:id="rId3533" tooltip="Завантажити сертифікат" display="Завантажити сертифікат"/>
    <hyperlink ref="F3546" r:id="rId3534" tooltip="Завантажити сертифікат" display="Завантажити сертифікат"/>
    <hyperlink ref="F3547" r:id="rId3535" tooltip="Завантажити сертифікат" display="Завантажити сертифікат"/>
    <hyperlink ref="F3548" r:id="rId3536" tooltip="Завантажити сертифікат" display="Завантажити сертифікат"/>
    <hyperlink ref="F3549" r:id="rId3537" tooltip="Завантажити сертифікат" display="Завантажити сертифікат"/>
    <hyperlink ref="F3550" r:id="rId3538" tooltip="Завантажити сертифікат" display="Завантажити сертифікат"/>
    <hyperlink ref="F3551" r:id="rId3539" tooltip="Завантажити сертифікат" display="Завантажити сертифікат"/>
    <hyperlink ref="F3552" r:id="rId3540" tooltip="Завантажити сертифікат" display="Завантажити сертифікат"/>
    <hyperlink ref="F3553" r:id="rId3541" tooltip="Завантажити сертифікат" display="Завантажити сертифікат"/>
    <hyperlink ref="F3554" r:id="rId3542" tooltip="Завантажити сертифікат" display="Завантажити сертифікат"/>
    <hyperlink ref="F3555" r:id="rId3543" tooltip="Завантажити сертифікат" display="Завантажити сертифікат"/>
    <hyperlink ref="F3556" r:id="rId3544" tooltip="Завантажити сертифікат" display="Завантажити сертифікат"/>
    <hyperlink ref="F3557" r:id="rId3545" tooltip="Завантажити сертифікат" display="Завантажити сертифікат"/>
    <hyperlink ref="F3558" r:id="rId3546" tooltip="Завантажити сертифікат" display="Завантажити сертифікат"/>
    <hyperlink ref="F3559" r:id="rId3547" tooltip="Завантажити сертифікат" display="Завантажити сертифікат"/>
    <hyperlink ref="F3560" r:id="rId3548" tooltip="Завантажити сертифікат" display="Завантажити сертифікат"/>
    <hyperlink ref="F3561" r:id="rId3549" tooltip="Завантажити сертифікат" display="Завантажити сертифікат"/>
    <hyperlink ref="F3562" r:id="rId3550" tooltip="Завантажити сертифікат" display="Завантажити сертифікат"/>
    <hyperlink ref="F3563" r:id="rId3551" tooltip="Завантажити сертифікат" display="Завантажити сертифікат"/>
    <hyperlink ref="F3564" r:id="rId3552" tooltip="Завантажити сертифікат" display="Завантажити сертифікат"/>
    <hyperlink ref="F3565" r:id="rId3553" tooltip="Завантажити сертифікат" display="Завантажити сертифікат"/>
    <hyperlink ref="F3566" r:id="rId3554" tooltip="Завантажити сертифікат" display="Завантажити сертифікат"/>
    <hyperlink ref="F3567" r:id="rId3555" tooltip="Завантажити сертифікат" display="Завантажити сертифікат"/>
    <hyperlink ref="F3568" r:id="rId3556" tooltip="Завантажити сертифікат" display="Завантажити сертифікат"/>
    <hyperlink ref="F3569" r:id="rId3557" tooltip="Завантажити сертифікат" display="Завантажити сертифікат"/>
    <hyperlink ref="F3570" r:id="rId3558" tooltip="Завантажити сертифікат" display="Завантажити сертифікат"/>
    <hyperlink ref="F3571" r:id="rId3559" tooltip="Завантажити сертифікат" display="Завантажити сертифікат"/>
    <hyperlink ref="F3572" r:id="rId3560" tooltip="Завантажити сертифікат" display="Завантажити сертифікат"/>
    <hyperlink ref="F3573" r:id="rId3561" tooltip="Завантажити сертифікат" display="Завантажити сертифікат"/>
    <hyperlink ref="F3574" r:id="rId3562" tooltip="Завантажити сертифікат" display="Завантажити сертифікат"/>
    <hyperlink ref="F3575" r:id="rId3563" tooltip="Завантажити сертифікат" display="Завантажити сертифікат"/>
    <hyperlink ref="F3576" r:id="rId3564" tooltip="Завантажити сертифікат" display="Завантажити сертифікат"/>
    <hyperlink ref="F3577" r:id="rId3565" tooltip="Завантажити сертифікат" display="Завантажити сертифікат"/>
    <hyperlink ref="F3578" r:id="rId3566" tooltip="Завантажити сертифікат" display="Завантажити сертифікат"/>
    <hyperlink ref="F3579" r:id="rId3567" tooltip="Завантажити сертифікат" display="Завантажити сертифікат"/>
    <hyperlink ref="F3580" r:id="rId3568" tooltip="Завантажити сертифікат" display="Завантажити сертифікат"/>
    <hyperlink ref="F3581" r:id="rId3569" tooltip="Завантажити сертифікат" display="Завантажити сертифікат"/>
    <hyperlink ref="F3582" r:id="rId3570" tooltip="Завантажити сертифікат" display="Завантажити сертифікат"/>
    <hyperlink ref="F3583" r:id="rId3571" tooltip="Завантажити сертифікат" display="Завантажити сертифікат"/>
    <hyperlink ref="F3584" r:id="rId3572" tooltip="Завантажити сертифікат" display="Завантажити сертифікат"/>
    <hyperlink ref="F3585" r:id="rId3573" tooltip="Завантажити сертифікат" display="Завантажити сертифікат"/>
    <hyperlink ref="F3586" r:id="rId3574" tooltip="Завантажити сертифікат" display="Завантажити сертифікат"/>
    <hyperlink ref="F3587" r:id="rId3575" tooltip="Завантажити сертифікат" display="Завантажити сертифікат"/>
    <hyperlink ref="F3588" r:id="rId3576" tooltip="Завантажити сертифікат" display="Завантажити сертифікат"/>
    <hyperlink ref="F3589" r:id="rId3577" tooltip="Завантажити сертифікат" display="Завантажити сертифікат"/>
    <hyperlink ref="F3590" r:id="rId3578" tooltip="Завантажити сертифікат" display="Завантажити сертифікат"/>
    <hyperlink ref="F3591" r:id="rId3579" tooltip="Завантажити сертифікат" display="Завантажити сертифікат"/>
    <hyperlink ref="F3592" r:id="rId3580" tooltip="Завантажити сертифікат" display="Завантажити сертифікат"/>
    <hyperlink ref="F3593" r:id="rId3581" tooltip="Завантажити сертифікат" display="Завантажити сертифікат"/>
    <hyperlink ref="F3594" r:id="rId3582" tooltip="Завантажити сертифікат" display="Завантажити сертифікат"/>
    <hyperlink ref="F3595" r:id="rId3583" tooltip="Завантажити сертифікат" display="Завантажити сертифікат"/>
    <hyperlink ref="F3596" r:id="rId3584" tooltip="Завантажити сертифікат" display="Завантажити сертифікат"/>
    <hyperlink ref="F3597" r:id="rId3585" tooltip="Завантажити сертифікат" display="Завантажити сертифікат"/>
    <hyperlink ref="F3598" r:id="rId3586" tooltip="Завантажити сертифікат" display="Завантажити сертифікат"/>
    <hyperlink ref="F3599" r:id="rId3587" tooltip="Завантажити сертифікат" display="Завантажити сертифікат"/>
    <hyperlink ref="F3600" r:id="rId3588" tooltip="Завантажити сертифікат" display="Завантажити сертифікат"/>
    <hyperlink ref="F3601" r:id="rId3589" tooltip="Завантажити сертифікат" display="Завантажити сертифікат"/>
    <hyperlink ref="F3602" r:id="rId3590" tooltip="Завантажити сертифікат" display="Завантажити сертифікат"/>
    <hyperlink ref="F3603" r:id="rId3591" tooltip="Завантажити сертифікат" display="Завантажити сертифікат"/>
    <hyperlink ref="F3604" r:id="rId3592" tooltip="Завантажити сертифікат" display="Завантажити сертифікат"/>
    <hyperlink ref="F3605" r:id="rId3593" tooltip="Завантажити сертифікат" display="Завантажити сертифікат"/>
    <hyperlink ref="F3606" r:id="rId3594" tooltip="Завантажити сертифікат" display="Завантажити сертифікат"/>
    <hyperlink ref="F3607" r:id="rId3595" tooltip="Завантажити сертифікат" display="Завантажити сертифікат"/>
    <hyperlink ref="F3608" r:id="rId3596" tooltip="Завантажити сертифікат" display="Завантажити сертифікат"/>
    <hyperlink ref="F3609" r:id="rId3597" tooltip="Завантажити сертифікат" display="Завантажити сертифікат"/>
    <hyperlink ref="F3610" r:id="rId3598" tooltip="Завантажити сертифікат" display="Завантажити сертифікат"/>
    <hyperlink ref="F3611" r:id="rId3599" tooltip="Завантажити сертифікат" display="Завантажити сертифікат"/>
    <hyperlink ref="F3612" r:id="rId3600" tooltip="Завантажити сертифікат" display="Завантажити сертифікат"/>
    <hyperlink ref="F3613" r:id="rId3601" tooltip="Завантажити сертифікат" display="Завантажити сертифікат"/>
    <hyperlink ref="F3614" r:id="rId3602" tooltip="Завантажити сертифікат" display="Завантажити сертифікат"/>
    <hyperlink ref="F3615" r:id="rId3603" tooltip="Завантажити сертифікат" display="Завантажити сертифікат"/>
    <hyperlink ref="F3616" r:id="rId3604" tooltip="Завантажити сертифікат" display="Завантажити сертифікат"/>
    <hyperlink ref="F3617" r:id="rId3605" tooltip="Завантажити сертифікат" display="Завантажити сертифікат"/>
    <hyperlink ref="F3618" r:id="rId3606" tooltip="Завантажити сертифікат" display="Завантажити сертифікат"/>
    <hyperlink ref="F3619" r:id="rId3607" tooltip="Завантажити сертифікат" display="Завантажити сертифікат"/>
    <hyperlink ref="F3620" r:id="rId3608" tooltip="Завантажити сертифікат" display="Завантажити сертифікат"/>
    <hyperlink ref="F3621" r:id="rId3609" tooltip="Завантажити сертифікат" display="Завантажити сертифікат"/>
    <hyperlink ref="F3622" r:id="rId3610" tooltip="Завантажити сертифікат" display="Завантажити сертифікат"/>
    <hyperlink ref="F3623" r:id="rId3611" tooltip="Завантажити сертифікат" display="Завантажити сертифікат"/>
    <hyperlink ref="F3624" r:id="rId3612" tooltip="Завантажити сертифікат" display="Завантажити сертифікат"/>
    <hyperlink ref="F3625" r:id="rId3613" tooltip="Завантажити сертифікат" display="Завантажити сертифікат"/>
    <hyperlink ref="F3626" r:id="rId3614" tooltip="Завантажити сертифікат" display="Завантажити сертифікат"/>
    <hyperlink ref="F3627" r:id="rId3615" tooltip="Завантажити сертифікат" display="Завантажити сертифікат"/>
    <hyperlink ref="F3628" r:id="rId3616" tooltip="Завантажити сертифікат" display="Завантажити сертифікат"/>
    <hyperlink ref="F3629" r:id="rId3617" tooltip="Завантажити сертифікат" display="Завантажити сертифікат"/>
    <hyperlink ref="F3630" r:id="rId3618" tooltip="Завантажити сертифікат" display="Завантажити сертифікат"/>
    <hyperlink ref="F3631" r:id="rId3619" tooltip="Завантажити сертифікат" display="Завантажити сертифікат"/>
    <hyperlink ref="F3632" r:id="rId3620" tooltip="Завантажити сертифікат" display="Завантажити сертифікат"/>
    <hyperlink ref="F3633" r:id="rId3621" tooltip="Завантажити сертифікат" display="Завантажити сертифікат"/>
    <hyperlink ref="F3634" r:id="rId3622" tooltip="Завантажити сертифікат" display="Завантажити сертифікат"/>
    <hyperlink ref="F3635" r:id="rId3623" tooltip="Завантажити сертифікат" display="Завантажити сертифікат"/>
    <hyperlink ref="F3636" r:id="rId3624" tooltip="Завантажити сертифікат" display="Завантажити сертифікат"/>
    <hyperlink ref="F3637" r:id="rId3625" tooltip="Завантажити сертифікат" display="Завантажити сертифікат"/>
    <hyperlink ref="F3638" r:id="rId3626" tooltip="Завантажити сертифікат" display="Завантажити сертифікат"/>
    <hyperlink ref="F3639" r:id="rId3627" tooltip="Завантажити сертифікат" display="Завантажити сертифікат"/>
    <hyperlink ref="F3640" r:id="rId3628" tooltip="Завантажити сертифікат" display="Завантажити сертифікат"/>
    <hyperlink ref="F3641" r:id="rId3629" tooltip="Завантажити сертифікат" display="Завантажити сертифікат"/>
    <hyperlink ref="F3642" r:id="rId3630" tooltip="Завантажити сертифікат" display="Завантажити сертифікат"/>
    <hyperlink ref="F3643" r:id="rId3631" tooltip="Завантажити сертифікат" display="Завантажити сертифікат"/>
    <hyperlink ref="F3644" r:id="rId3632" tooltip="Завантажити сертифікат" display="Завантажити сертифікат"/>
    <hyperlink ref="F3645" r:id="rId3633" tooltip="Завантажити сертифікат" display="Завантажити сертифікат"/>
    <hyperlink ref="F3646" r:id="rId3634" tooltip="Завантажити сертифікат" display="Завантажити сертифікат"/>
    <hyperlink ref="F3647" r:id="rId3635" tooltip="Завантажити сертифікат" display="Завантажити сертифікат"/>
    <hyperlink ref="F3648" r:id="rId3636" tooltip="Завантажити сертифікат" display="Завантажити сертифікат"/>
    <hyperlink ref="F3649" r:id="rId3637" tooltip="Завантажити сертифікат" display="Завантажити сертифікат"/>
    <hyperlink ref="F3650" r:id="rId3638" tooltip="Завантажити сертифікат" display="Завантажити сертифікат"/>
    <hyperlink ref="F3651" r:id="rId3639" tooltip="Завантажити сертифікат" display="Завантажити сертифікат"/>
    <hyperlink ref="F3652" r:id="rId3640" tooltip="Завантажити сертифікат" display="Завантажити сертифікат"/>
    <hyperlink ref="F3653" r:id="rId3641" tooltip="Завантажити сертифікат" display="Завантажити сертифікат"/>
    <hyperlink ref="F3654" r:id="rId3642" tooltip="Завантажити сертифікат" display="Завантажити сертифікат"/>
    <hyperlink ref="F3655" r:id="rId3643" tooltip="Завантажити сертифікат" display="Завантажити сертифікат"/>
    <hyperlink ref="F3656" r:id="rId3644" tooltip="Завантажити сертифікат" display="Завантажити сертифікат"/>
    <hyperlink ref="F3657" r:id="rId3645" tooltip="Завантажити сертифікат" display="Завантажити сертифікат"/>
    <hyperlink ref="F3658" r:id="rId3646" tooltip="Завантажити сертифікат" display="Завантажити сертифікат"/>
    <hyperlink ref="F3659" r:id="rId3647" tooltip="Завантажити сертифікат" display="Завантажити сертифікат"/>
    <hyperlink ref="F3660" r:id="rId3648" tooltip="Завантажити сертифікат" display="Завантажити сертифікат"/>
    <hyperlink ref="F3661" r:id="rId3649" tooltip="Завантажити сертифікат" display="Завантажити сертифікат"/>
    <hyperlink ref="F3662" r:id="rId3650" tooltip="Завантажити сертифікат" display="Завантажити сертифікат"/>
    <hyperlink ref="F3663" r:id="rId3651" tooltip="Завантажити сертифікат" display="Завантажити сертифікат"/>
    <hyperlink ref="F3664" r:id="rId3652" tooltip="Завантажити сертифікат" display="Завантажити сертифікат"/>
    <hyperlink ref="F3665" r:id="rId3653" tooltip="Завантажити сертифікат" display="Завантажити сертифікат"/>
    <hyperlink ref="F3666" r:id="rId3654" tooltip="Завантажити сертифікат" display="Завантажити сертифікат"/>
    <hyperlink ref="F3667" r:id="rId3655" tooltip="Завантажити сертифікат" display="Завантажити сертифікат"/>
    <hyperlink ref="F3668" r:id="rId3656" tooltip="Завантажити сертифікат" display="Завантажити сертифікат"/>
    <hyperlink ref="F3669" r:id="rId3657" tooltip="Завантажити сертифікат" display="Завантажити сертифікат"/>
    <hyperlink ref="F3670" r:id="rId3658" tooltip="Завантажити сертифікат" display="Завантажити сертифікат"/>
    <hyperlink ref="F3671" r:id="rId3659" tooltip="Завантажити сертифікат" display="Завантажити сертифікат"/>
    <hyperlink ref="F3672" r:id="rId3660" tooltip="Завантажити сертифікат" display="Завантажити сертифікат"/>
    <hyperlink ref="F3673" r:id="rId3661" tooltip="Завантажити сертифікат" display="Завантажити сертифікат"/>
    <hyperlink ref="F3674" r:id="rId3662" tooltip="Завантажити сертифікат" display="Завантажити сертифікат"/>
    <hyperlink ref="F3675" r:id="rId3663" tooltip="Завантажити сертифікат" display="Завантажити сертифікат"/>
    <hyperlink ref="F3676" r:id="rId3664" tooltip="Завантажити сертифікат" display="Завантажити сертифікат"/>
    <hyperlink ref="F3677" r:id="rId3665" tooltip="Завантажити сертифікат" display="Завантажити сертифікат"/>
    <hyperlink ref="F3678" r:id="rId3666" tooltip="Завантажити сертифікат" display="Завантажити сертифікат"/>
    <hyperlink ref="F3679" r:id="rId3667" tooltip="Завантажити сертифікат" display="Завантажити сертифікат"/>
    <hyperlink ref="F3680" r:id="rId3668" tooltip="Завантажити сертифікат" display="Завантажити сертифікат"/>
    <hyperlink ref="F3681" r:id="rId3669" tooltip="Завантажити сертифікат" display="Завантажити сертифікат"/>
    <hyperlink ref="F3682" r:id="rId3670" tooltip="Завантажити сертифікат" display="Завантажити сертифікат"/>
    <hyperlink ref="F3683" r:id="rId3671" tooltip="Завантажити сертифікат" display="Завантажити сертифікат"/>
    <hyperlink ref="F3684" r:id="rId3672" tooltip="Завантажити сертифікат" display="Завантажити сертифікат"/>
    <hyperlink ref="F3685" r:id="rId3673" tooltip="Завантажити сертифікат" display="Завантажити сертифікат"/>
    <hyperlink ref="F3686" r:id="rId3674" tooltip="Завантажити сертифікат" display="Завантажити сертифікат"/>
    <hyperlink ref="F3687" r:id="rId3675" tooltip="Завантажити сертифікат" display="Завантажити сертифікат"/>
    <hyperlink ref="F3688" r:id="rId3676" tooltip="Завантажити сертифікат" display="Завантажити сертифікат"/>
    <hyperlink ref="F3689" r:id="rId3677" tooltip="Завантажити сертифікат" display="Завантажити сертифікат"/>
    <hyperlink ref="F3690" r:id="rId3678" tooltip="Завантажити сертифікат" display="Завантажити сертифікат"/>
    <hyperlink ref="F3691" r:id="rId3679" tooltip="Завантажити сертифікат" display="Завантажити сертифікат"/>
    <hyperlink ref="F3692" r:id="rId3680" tooltip="Завантажити сертифікат" display="Завантажити сертифікат"/>
    <hyperlink ref="F3693" r:id="rId3681" tooltip="Завантажити сертифікат" display="Завантажити сертифікат"/>
    <hyperlink ref="F3694" r:id="rId3682" tooltip="Завантажити сертифікат" display="Завантажити сертифікат"/>
    <hyperlink ref="F3695" r:id="rId3683" tooltip="Завантажити сертифікат" display="Завантажити сертифікат"/>
    <hyperlink ref="F3696" r:id="rId3684" tooltip="Завантажити сертифікат" display="Завантажити сертифікат"/>
    <hyperlink ref="F3697" r:id="rId3685" tooltip="Завантажити сертифікат" display="Завантажити сертифікат"/>
    <hyperlink ref="F3698" r:id="rId3686" tooltip="Завантажити сертифікат" display="Завантажити сертифікат"/>
    <hyperlink ref="F3699" r:id="rId3687" tooltip="Завантажити сертифікат" display="Завантажити сертифікат"/>
    <hyperlink ref="F3700" r:id="rId3688" tooltip="Завантажити сертифікат" display="Завантажити сертифікат"/>
    <hyperlink ref="F3701" r:id="rId3689" tooltip="Завантажити сертифікат" display="Завантажити сертифікат"/>
    <hyperlink ref="F3702" r:id="rId3690" tooltip="Завантажити сертифікат" display="Завантажити сертифікат"/>
    <hyperlink ref="F3703" r:id="rId3691" tooltip="Завантажити сертифікат" display="Завантажити сертифікат"/>
    <hyperlink ref="F3704" r:id="rId3692" tooltip="Завантажити сертифікат" display="Завантажити сертифікат"/>
    <hyperlink ref="F3705" r:id="rId3693" tooltip="Завантажити сертифікат" display="Завантажити сертифікат"/>
    <hyperlink ref="F3706" r:id="rId3694" tooltip="Завантажити сертифікат" display="Завантажити сертифікат"/>
    <hyperlink ref="F3707" r:id="rId3695" tooltip="Завантажити сертифікат" display="Завантажити сертифікат"/>
    <hyperlink ref="F3708" r:id="rId3696" tooltip="Завантажити сертифікат" display="Завантажити сертифікат"/>
    <hyperlink ref="F3709" r:id="rId3697" tooltip="Завантажити сертифікат" display="Завантажити сертифікат"/>
    <hyperlink ref="F3710" r:id="rId3698" tooltip="Завантажити сертифікат" display="Завантажити сертифікат"/>
    <hyperlink ref="F3711" r:id="rId3699" tooltip="Завантажити сертифікат" display="Завантажити сертифікат"/>
    <hyperlink ref="F3712" r:id="rId3700" tooltip="Завантажити сертифікат" display="Завантажити сертифікат"/>
    <hyperlink ref="F3713" r:id="rId3701" tooltip="Завантажити сертифікат" display="Завантажити сертифікат"/>
    <hyperlink ref="F3714" r:id="rId3702" tooltip="Завантажити сертифікат" display="Завантажити сертифікат"/>
    <hyperlink ref="F3715" r:id="rId3703" tooltip="Завантажити сертифікат" display="Завантажити сертифікат"/>
    <hyperlink ref="F3716" r:id="rId3704" tooltip="Завантажити сертифікат" display="Завантажити сертифікат"/>
    <hyperlink ref="F3717" r:id="rId3705" tooltip="Завантажити сертифікат" display="Завантажити сертифікат"/>
    <hyperlink ref="F3718" r:id="rId3706" tooltip="Завантажити сертифікат" display="Завантажити сертифікат"/>
    <hyperlink ref="F3719" r:id="rId3707" tooltip="Завантажити сертифікат" display="Завантажити сертифікат"/>
    <hyperlink ref="F3720" r:id="rId3708" tooltip="Завантажити сертифікат" display="Завантажити сертифікат"/>
    <hyperlink ref="F3721" r:id="rId3709" tooltip="Завантажити сертифікат" display="Завантажити сертифікат"/>
    <hyperlink ref="F3722" r:id="rId3710" tooltip="Завантажити сертифікат" display="Завантажити сертифікат"/>
    <hyperlink ref="F3723" r:id="rId3711" tooltip="Завантажити сертифікат" display="Завантажити сертифікат"/>
    <hyperlink ref="F3724" r:id="rId3712" tooltip="Завантажити сертифікат" display="Завантажити сертифікат"/>
    <hyperlink ref="F3725" r:id="rId3713" tooltip="Завантажити сертифікат" display="Завантажити сертифікат"/>
    <hyperlink ref="F3726" r:id="rId3714" tooltip="Завантажити сертифікат" display="Завантажити сертифікат"/>
    <hyperlink ref="F3727" r:id="rId3715" tooltip="Завантажити сертифікат" display="Завантажити сертифікат"/>
    <hyperlink ref="F3728" r:id="rId3716" tooltip="Завантажити сертифікат" display="Завантажити сертифікат"/>
    <hyperlink ref="F3729" r:id="rId3717" tooltip="Завантажити сертифікат" display="Завантажити сертифікат"/>
    <hyperlink ref="F3730" r:id="rId3718" tooltip="Завантажити сертифікат" display="Завантажити сертифікат"/>
    <hyperlink ref="F3731" r:id="rId3719" tooltip="Завантажити сертифікат" display="Завантажити сертифікат"/>
    <hyperlink ref="F3732" r:id="rId3720" tooltip="Завантажити сертифікат" display="Завантажити сертифікат"/>
    <hyperlink ref="F3733" r:id="rId3721" tooltip="Завантажити сертифікат" display="Завантажити сертифікат"/>
    <hyperlink ref="F3734" r:id="rId3722" tooltip="Завантажити сертифікат" display="Завантажити сертифікат"/>
    <hyperlink ref="F3735" r:id="rId3723" tooltip="Завантажити сертифікат" display="Завантажити сертифікат"/>
    <hyperlink ref="F3736" r:id="rId3724" tooltip="Завантажити сертифікат" display="Завантажити сертифікат"/>
    <hyperlink ref="F3737" r:id="rId3725" tooltip="Завантажити сертифікат" display="Завантажити сертифікат"/>
    <hyperlink ref="F3738" r:id="rId3726" tooltip="Завантажити сертифікат" display="Завантажити сертифікат"/>
    <hyperlink ref="F3739" r:id="rId3727" tooltip="Завантажити сертифікат" display="Завантажити сертифікат"/>
    <hyperlink ref="F3740" r:id="rId3728" tooltip="Завантажити сертифікат" display="Завантажити сертифікат"/>
    <hyperlink ref="F3741" r:id="rId3729" tooltip="Завантажити сертифікат" display="Завантажити сертифікат"/>
    <hyperlink ref="F3742" r:id="rId3730" tooltip="Завантажити сертифікат" display="Завантажити сертифікат"/>
    <hyperlink ref="F3743" r:id="rId3731" tooltip="Завантажити сертифікат" display="Завантажити сертифікат"/>
    <hyperlink ref="F3744" r:id="rId3732" tooltip="Завантажити сертифікат" display="Завантажити сертифікат"/>
    <hyperlink ref="F3745" r:id="rId3733" tooltip="Завантажити сертифікат" display="Завантажити сертифікат"/>
    <hyperlink ref="F3746" r:id="rId3734" tooltip="Завантажити сертифікат" display="Завантажити сертифікат"/>
    <hyperlink ref="F3747" r:id="rId3735" tooltip="Завантажити сертифікат" display="Завантажити сертифікат"/>
    <hyperlink ref="F3748" r:id="rId3736" tooltip="Завантажити сертифікат" display="Завантажити сертифікат"/>
    <hyperlink ref="F3749" r:id="rId3737" tooltip="Завантажити сертифікат" display="Завантажити сертифікат"/>
    <hyperlink ref="F3750" r:id="rId3738" tooltip="Завантажити сертифікат" display="Завантажити сертифікат"/>
    <hyperlink ref="F3751" r:id="rId3739" tooltip="Завантажити сертифікат" display="Завантажити сертифікат"/>
    <hyperlink ref="F3752" r:id="rId3740" tooltip="Завантажити сертифікат" display="Завантажити сертифікат"/>
    <hyperlink ref="F3753" r:id="rId3741" tooltip="Завантажити сертифікат" display="Завантажити сертифікат"/>
    <hyperlink ref="F3754" r:id="rId3742" tooltip="Завантажити сертифікат" display="Завантажити сертифікат"/>
    <hyperlink ref="F3755" r:id="rId3743" tooltip="Завантажити сертифікат" display="Завантажити сертифікат"/>
    <hyperlink ref="F3756" r:id="rId3744" tooltip="Завантажити сертифікат" display="Завантажити сертифікат"/>
    <hyperlink ref="F3757" r:id="rId3745" tooltip="Завантажити сертифікат" display="Завантажити сертифікат"/>
    <hyperlink ref="F3758" r:id="rId3746" tooltip="Завантажити сертифікат" display="Завантажити сертифікат"/>
    <hyperlink ref="F3759" r:id="rId3747" tooltip="Завантажити сертифікат" display="Завантажити сертифікат"/>
    <hyperlink ref="F3760" r:id="rId3748" tooltip="Завантажити сертифікат" display="Завантажити сертифікат"/>
    <hyperlink ref="F3761" r:id="rId3749" tooltip="Завантажити сертифікат" display="Завантажити сертифікат"/>
    <hyperlink ref="F3762" r:id="rId3750" tooltip="Завантажити сертифікат" display="Завантажити сертифікат"/>
    <hyperlink ref="F3763" r:id="rId3751" tooltip="Завантажити сертифікат" display="Завантажити сертифікат"/>
    <hyperlink ref="F3764" r:id="rId3752" tooltip="Завантажити сертифікат" display="Завантажити сертифікат"/>
    <hyperlink ref="F3765" r:id="rId3753" tooltip="Завантажити сертифікат" display="Завантажити сертифікат"/>
    <hyperlink ref="F3766" r:id="rId3754" tooltip="Завантажити сертифікат" display="Завантажити сертифікат"/>
    <hyperlink ref="F3767" r:id="rId3755" tooltip="Завантажити сертифікат" display="Завантажити сертифікат"/>
    <hyperlink ref="F3768" r:id="rId3756" tooltip="Завантажити сертифікат" display="Завантажити сертифікат"/>
    <hyperlink ref="F3769" r:id="rId3757" tooltip="Завантажити сертифікат" display="Завантажити сертифікат"/>
    <hyperlink ref="F3770" r:id="rId3758" tooltip="Завантажити сертифікат" display="Завантажити сертифікат"/>
    <hyperlink ref="F3771" r:id="rId3759" tooltip="Завантажити сертифікат" display="Завантажити сертифікат"/>
    <hyperlink ref="F3772" r:id="rId3760" tooltip="Завантажити сертифікат" display="Завантажити сертифікат"/>
    <hyperlink ref="F3773" r:id="rId3761" tooltip="Завантажити сертифікат" display="Завантажити сертифікат"/>
    <hyperlink ref="F3774" r:id="rId3762" tooltip="Завантажити сертифікат" display="Завантажити сертифікат"/>
    <hyperlink ref="F3775" r:id="rId3763" tooltip="Завантажити сертифікат" display="Завантажити сертифікат"/>
    <hyperlink ref="F3776" r:id="rId3764" tooltip="Завантажити сертифікат" display="Завантажити сертифікат"/>
    <hyperlink ref="F3777" r:id="rId3765" tooltip="Завантажити сертифікат" display="Завантажити сертифікат"/>
    <hyperlink ref="F3778" r:id="rId3766" tooltip="Завантажити сертифікат" display="Завантажити сертифікат"/>
    <hyperlink ref="F3779" r:id="rId3767" tooltip="Завантажити сертифікат" display="Завантажити сертифікат"/>
    <hyperlink ref="F3780" r:id="rId3768" tooltip="Завантажити сертифікат" display="Завантажити сертифікат"/>
    <hyperlink ref="F3781" r:id="rId3769" tooltip="Завантажити сертифікат" display="Завантажити сертифікат"/>
    <hyperlink ref="F3782" r:id="rId3770" tooltip="Завантажити сертифікат" display="Завантажити сертифікат"/>
    <hyperlink ref="F3783" r:id="rId3771" tooltip="Завантажити сертифікат" display="Завантажити сертифікат"/>
    <hyperlink ref="F3784" r:id="rId3772" tooltip="Завантажити сертифікат" display="Завантажити сертифікат"/>
    <hyperlink ref="F3785" r:id="rId3773" tooltip="Завантажити сертифікат" display="Завантажити сертифікат"/>
    <hyperlink ref="F3786" r:id="rId3774" tooltip="Завантажити сертифікат" display="Завантажити сертифікат"/>
    <hyperlink ref="F3787" r:id="rId3775" tooltip="Завантажити сертифікат" display="Завантажити сертифікат"/>
    <hyperlink ref="F3788" r:id="rId3776" tooltip="Завантажити сертифікат" display="Завантажити сертифікат"/>
    <hyperlink ref="F3789" r:id="rId3777" tooltip="Завантажити сертифікат" display="Завантажити сертифікат"/>
    <hyperlink ref="F3790" r:id="rId3778" tooltip="Завантажити сертифікат" display="Завантажити сертифікат"/>
    <hyperlink ref="F3791" r:id="rId3779" tooltip="Завантажити сертифікат" display="Завантажити сертифікат"/>
    <hyperlink ref="F3792" r:id="rId3780" tooltip="Завантажити сертифікат" display="Завантажити сертифікат"/>
    <hyperlink ref="F3793" r:id="rId3781" tooltip="Завантажити сертифікат" display="Завантажити сертифікат"/>
    <hyperlink ref="F3794" r:id="rId3782" tooltip="Завантажити сертифікат" display="Завантажити сертифікат"/>
    <hyperlink ref="F3795" r:id="rId3783" tooltip="Завантажити сертифікат" display="Завантажити сертифікат"/>
    <hyperlink ref="F3796" r:id="rId3784" tooltip="Завантажити сертифікат" display="Завантажити сертифікат"/>
    <hyperlink ref="F3797" r:id="rId3785" tooltip="Завантажити сертифікат" display="Завантажити сертифікат"/>
    <hyperlink ref="F3798" r:id="rId3786" tooltip="Завантажити сертифікат" display="Завантажити сертифікат"/>
    <hyperlink ref="F3799" r:id="rId3787" tooltip="Завантажити сертифікат" display="Завантажити сертифікат"/>
    <hyperlink ref="F3800" r:id="rId3788" tooltip="Завантажити сертифікат" display="Завантажити сертифікат"/>
    <hyperlink ref="F3801" r:id="rId3789" tooltip="Завантажити сертифікат" display="Завантажити сертифікат"/>
    <hyperlink ref="F3802" r:id="rId3790" tooltip="Завантажити сертифікат" display="Завантажити сертифікат"/>
    <hyperlink ref="F3803" r:id="rId3791" tooltip="Завантажити сертифікат" display="Завантажити сертифікат"/>
    <hyperlink ref="F3804" r:id="rId3792" tooltip="Завантажити сертифікат" display="Завантажити сертифікат"/>
    <hyperlink ref="F3805" r:id="rId3793" tooltip="Завантажити сертифікат" display="Завантажити сертифікат"/>
    <hyperlink ref="F3806" r:id="rId3794" tooltip="Завантажити сертифікат" display="Завантажити сертифікат"/>
    <hyperlink ref="F3807" r:id="rId3795" tooltip="Завантажити сертифікат" display="Завантажити сертифікат"/>
    <hyperlink ref="F3808" r:id="rId3796" tooltip="Завантажити сертифікат" display="Завантажити сертифікат"/>
    <hyperlink ref="F3809" r:id="rId3797" tooltip="Завантажити сертифікат" display="Завантажити сертифікат"/>
    <hyperlink ref="F3810" r:id="rId3798" tooltip="Завантажити сертифікат" display="Завантажити сертифікат"/>
    <hyperlink ref="F3811" r:id="rId3799" tooltip="Завантажити сертифікат" display="Завантажити сертифікат"/>
    <hyperlink ref="F3812" r:id="rId3800" tooltip="Завантажити сертифікат" display="Завантажити сертифікат"/>
    <hyperlink ref="F3813" r:id="rId3801" tooltip="Завантажити сертифікат" display="Завантажити сертифікат"/>
    <hyperlink ref="F3814" r:id="rId3802" tooltip="Завантажити сертифікат" display="Завантажити сертифікат"/>
    <hyperlink ref="F3815" r:id="rId3803" tooltip="Завантажити сертифікат" display="Завантажити сертифікат"/>
    <hyperlink ref="F3816" r:id="rId3804" tooltip="Завантажити сертифікат" display="Завантажити сертифікат"/>
    <hyperlink ref="F3817" r:id="rId3805" tooltip="Завантажити сертифікат" display="Завантажити сертифікат"/>
    <hyperlink ref="F3818" r:id="rId3806" tooltip="Завантажити сертифікат" display="Завантажити сертифікат"/>
    <hyperlink ref="F3819" r:id="rId3807" tooltip="Завантажити сертифікат" display="Завантажити сертифікат"/>
    <hyperlink ref="F3820" r:id="rId3808" tooltip="Завантажити сертифікат" display="Завантажити сертифікат"/>
    <hyperlink ref="F3821" r:id="rId3809" tooltip="Завантажити сертифікат" display="Завантажити сертифікат"/>
    <hyperlink ref="F3822" r:id="rId3810" tooltip="Завантажити сертифікат" display="Завантажити сертифікат"/>
    <hyperlink ref="F3823" r:id="rId3811" tooltip="Завантажити сертифікат" display="Завантажити сертифікат"/>
    <hyperlink ref="F3824" r:id="rId3812" tooltip="Завантажити сертифікат" display="Завантажити сертифікат"/>
    <hyperlink ref="F3825" r:id="rId3813" tooltip="Завантажити сертифікат" display="Завантажити сертифікат"/>
    <hyperlink ref="F3826" r:id="rId3814" tooltip="Завантажити сертифікат" display="Завантажити сертифікат"/>
    <hyperlink ref="F3827" r:id="rId3815" tooltip="Завантажити сертифікат" display="Завантажити сертифікат"/>
    <hyperlink ref="F3828" r:id="rId3816" tooltip="Завантажити сертифікат" display="Завантажити сертифікат"/>
    <hyperlink ref="F3829" r:id="rId3817" tooltip="Завантажити сертифікат" display="Завантажити сертифікат"/>
    <hyperlink ref="F3830" r:id="rId3818" tooltip="Завантажити сертифікат" display="Завантажити сертифікат"/>
    <hyperlink ref="F3831" r:id="rId3819" tooltip="Завантажити сертифікат" display="Завантажити сертифікат"/>
    <hyperlink ref="F3832" r:id="rId3820" tooltip="Завантажити сертифікат" display="Завантажити сертифікат"/>
    <hyperlink ref="F3833" r:id="rId3821" tooltip="Завантажити сертифікат" display="Завантажити сертифікат"/>
    <hyperlink ref="F3834" r:id="rId3822" tooltip="Завантажити сертифікат" display="Завантажити сертифікат"/>
    <hyperlink ref="F3835" r:id="rId3823" tooltip="Завантажити сертифікат" display="Завантажити сертифікат"/>
    <hyperlink ref="F3836" r:id="rId3824" tooltip="Завантажити сертифікат" display="Завантажити сертифікат"/>
    <hyperlink ref="F3837" r:id="rId3825" tooltip="Завантажити сертифікат" display="Завантажити сертифікат"/>
    <hyperlink ref="F3838" r:id="rId3826" tooltip="Завантажити сертифікат" display="Завантажити сертифікат"/>
    <hyperlink ref="F3839" r:id="rId3827" tooltip="Завантажити сертифікат" display="Завантажити сертифікат"/>
    <hyperlink ref="F3840" r:id="rId3828" tooltip="Завантажити сертифікат" display="Завантажити сертифікат"/>
    <hyperlink ref="F3841" r:id="rId3829" tooltip="Завантажити сертифікат" display="Завантажити сертифікат"/>
    <hyperlink ref="F3842" r:id="rId3830" tooltip="Завантажити сертифікат" display="Завантажити сертифікат"/>
    <hyperlink ref="F3843" r:id="rId3831" tooltip="Завантажити сертифікат" display="Завантажити сертифікат"/>
    <hyperlink ref="F3844" r:id="rId3832" tooltip="Завантажити сертифікат" display="Завантажити сертифікат"/>
    <hyperlink ref="F3845" r:id="rId3833" tooltip="Завантажити сертифікат" display="Завантажити сертифікат"/>
    <hyperlink ref="F3846" r:id="rId3834" tooltip="Завантажити сертифікат" display="Завантажити сертифікат"/>
    <hyperlink ref="F3847" r:id="rId3835" tooltip="Завантажити сертифікат" display="Завантажити сертифікат"/>
    <hyperlink ref="F3848" r:id="rId3836" tooltip="Завантажити сертифікат" display="Завантажити сертифікат"/>
    <hyperlink ref="F3849" r:id="rId3837" tooltip="Завантажити сертифікат" display="Завантажити сертифікат"/>
    <hyperlink ref="F3850" r:id="rId3838" tooltip="Завантажити сертифікат" display="Завантажити сертифікат"/>
    <hyperlink ref="F3851" r:id="rId3839" tooltip="Завантажити сертифікат" display="Завантажити сертифікат"/>
    <hyperlink ref="F3852" r:id="rId3840" tooltip="Завантажити сертифікат" display="Завантажити сертифікат"/>
    <hyperlink ref="F3853" r:id="rId3841" tooltip="Завантажити сертифікат" display="Завантажити сертифікат"/>
    <hyperlink ref="F3854" r:id="rId3842" tooltip="Завантажити сертифікат" display="Завантажити сертифікат"/>
    <hyperlink ref="F3855" r:id="rId3843" tooltip="Завантажити сертифікат" display="Завантажити сертифікат"/>
    <hyperlink ref="F3856" r:id="rId3844" tooltip="Завантажити сертифікат" display="Завантажити сертифікат"/>
    <hyperlink ref="F3857" r:id="rId3845" tooltip="Завантажити сертифікат" display="Завантажити сертифікат"/>
    <hyperlink ref="F3858" r:id="rId3846" tooltip="Завантажити сертифікат" display="Завантажити сертифікат"/>
    <hyperlink ref="F3859" r:id="rId3847" tooltip="Завантажити сертифікат" display="Завантажити сертифікат"/>
    <hyperlink ref="F3860" r:id="rId3848" tooltip="Завантажити сертифікат" display="Завантажити сертифікат"/>
    <hyperlink ref="F3861" r:id="rId3849" tooltip="Завантажити сертифікат" display="Завантажити сертифікат"/>
    <hyperlink ref="F3862" r:id="rId3850" tooltip="Завантажити сертифікат" display="Завантажити сертифікат"/>
    <hyperlink ref="F3863" r:id="rId3851" tooltip="Завантажити сертифікат" display="Завантажити сертифікат"/>
    <hyperlink ref="F3864" r:id="rId3852" tooltip="Завантажити сертифікат" display="Завантажити сертифікат"/>
    <hyperlink ref="F3865" r:id="rId3853" tooltip="Завантажити сертифікат" display="Завантажити сертифікат"/>
    <hyperlink ref="F3866" r:id="rId3854" tooltip="Завантажити сертифікат" display="Завантажити сертифікат"/>
    <hyperlink ref="F3867" r:id="rId3855" tooltip="Завантажити сертифікат" display="Завантажити сертифікат"/>
    <hyperlink ref="F3868" r:id="rId3856" tooltip="Завантажити сертифікат" display="Завантажити сертифікат"/>
    <hyperlink ref="F3869" r:id="rId3857" tooltip="Завантажити сертифікат" display="Завантажити сертифікат"/>
    <hyperlink ref="F3870" r:id="rId3858" tooltip="Завантажити сертифікат" display="Завантажити сертифікат"/>
    <hyperlink ref="F3871" r:id="rId3859" tooltip="Завантажити сертифікат" display="Завантажити сертифікат"/>
    <hyperlink ref="F3872" r:id="rId3860" tooltip="Завантажити сертифікат" display="Завантажити сертифікат"/>
    <hyperlink ref="F3873" r:id="rId3861" tooltip="Завантажити сертифікат" display="Завантажити сертифікат"/>
    <hyperlink ref="F3874" r:id="rId3862" tooltip="Завантажити сертифікат" display="Завантажити сертифікат"/>
    <hyperlink ref="F3875" r:id="rId3863" tooltip="Завантажити сертифікат" display="Завантажити сертифікат"/>
    <hyperlink ref="F3876" r:id="rId3864" tooltip="Завантажити сертифікат" display="Завантажити сертифікат"/>
    <hyperlink ref="F3877" r:id="rId3865" tooltip="Завантажити сертифікат" display="Завантажити сертифікат"/>
    <hyperlink ref="F3878" r:id="rId3866" tooltip="Завантажити сертифікат" display="Завантажити сертифікат"/>
    <hyperlink ref="F3879" r:id="rId3867" tooltip="Завантажити сертифікат" display="Завантажити сертифікат"/>
    <hyperlink ref="F3880" r:id="rId3868" tooltip="Завантажити сертифікат" display="Завантажити сертифікат"/>
    <hyperlink ref="F3881" r:id="rId3869" tooltip="Завантажити сертифікат" display="Завантажити сертифікат"/>
    <hyperlink ref="F3882" r:id="rId3870" tooltip="Завантажити сертифікат" display="Завантажити сертифікат"/>
    <hyperlink ref="F3883" r:id="rId3871" tooltip="Завантажити сертифікат" display="Завантажити сертифікат"/>
    <hyperlink ref="F3884" r:id="rId3872" tooltip="Завантажити сертифікат" display="Завантажити сертифікат"/>
    <hyperlink ref="F3885" r:id="rId3873" tooltip="Завантажити сертифікат" display="Завантажити сертифікат"/>
    <hyperlink ref="F3886" r:id="rId3874" tooltip="Завантажити сертифікат" display="Завантажити сертифікат"/>
    <hyperlink ref="F3887" r:id="rId3875" tooltip="Завантажити сертифікат" display="Завантажити сертифікат"/>
    <hyperlink ref="F3888" r:id="rId3876" tooltip="Завантажити сертифікат" display="Завантажити сертифікат"/>
    <hyperlink ref="F3889" r:id="rId3877" tooltip="Завантажити сертифікат" display="Завантажити сертифікат"/>
    <hyperlink ref="F3890" r:id="rId3878" tooltip="Завантажити сертифікат" display="Завантажити сертифікат"/>
    <hyperlink ref="F3891" r:id="rId3879" tooltip="Завантажити сертифікат" display="Завантажити сертифікат"/>
    <hyperlink ref="F3892" r:id="rId3880" tooltip="Завантажити сертифікат" display="Завантажити сертифікат"/>
    <hyperlink ref="F3893" r:id="rId3881" tooltip="Завантажити сертифікат" display="Завантажити сертифікат"/>
    <hyperlink ref="F3894" r:id="rId3882" tooltip="Завантажити сертифікат" display="Завантажити сертифікат"/>
    <hyperlink ref="F3895" r:id="rId3883" tooltip="Завантажити сертифікат" display="Завантажити сертифікат"/>
    <hyperlink ref="F3896" r:id="rId3884" tooltip="Завантажити сертифікат" display="Завантажити сертифікат"/>
    <hyperlink ref="F3897" r:id="rId3885" tooltip="Завантажити сертифікат" display="Завантажити сертифікат"/>
    <hyperlink ref="F3898" r:id="rId3886" tooltip="Завантажити сертифікат" display="Завантажити сертифікат"/>
    <hyperlink ref="F3899" r:id="rId3887" tooltip="Завантажити сертифікат" display="Завантажити сертифікат"/>
    <hyperlink ref="F3900" r:id="rId3888" tooltip="Завантажити сертифікат" display="Завантажити сертифікат"/>
    <hyperlink ref="F3901" r:id="rId3889" tooltip="Завантажити сертифікат" display="Завантажити сертифікат"/>
    <hyperlink ref="F3902" r:id="rId3890" tooltip="Завантажити сертифікат" display="Завантажити сертифікат"/>
    <hyperlink ref="F3903" r:id="rId3891" tooltip="Завантажити сертифікат" display="Завантажити сертифікат"/>
    <hyperlink ref="F3904" r:id="rId3892" tooltip="Завантажити сертифікат" display="Завантажити сертифікат"/>
    <hyperlink ref="F3905" r:id="rId3893" tooltip="Завантажити сертифікат" display="Завантажити сертифікат"/>
    <hyperlink ref="F3906" r:id="rId3894" tooltip="Завантажити сертифікат" display="Завантажити сертифікат"/>
    <hyperlink ref="F3907" r:id="rId3895" tooltip="Завантажити сертифікат" display="Завантажити сертифікат"/>
    <hyperlink ref="F3908" r:id="rId3896" tooltip="Завантажити сертифікат" display="Завантажити сертифікат"/>
    <hyperlink ref="F3909" r:id="rId3897" tooltip="Завантажити сертифікат" display="Завантажити сертифікат"/>
    <hyperlink ref="F3910" r:id="rId3898" tooltip="Завантажити сертифікат" display="Завантажити сертифікат"/>
    <hyperlink ref="F3911" r:id="rId3899" tooltip="Завантажити сертифікат" display="Завантажити сертифікат"/>
    <hyperlink ref="F3912" r:id="rId3900" tooltip="Завантажити сертифікат" display="Завантажити сертифікат"/>
    <hyperlink ref="F3913" r:id="rId3901" tooltip="Завантажити сертифікат" display="Завантажити сертифікат"/>
    <hyperlink ref="F3914" r:id="rId3902" tooltip="Завантажити сертифікат" display="Завантажити сертифікат"/>
    <hyperlink ref="F3915" r:id="rId3903" tooltip="Завантажити сертифікат" display="Завантажити сертифікат"/>
    <hyperlink ref="F3916" r:id="rId3904" tooltip="Завантажити сертифікат" display="Завантажити сертифікат"/>
    <hyperlink ref="F3917" r:id="rId3905" tooltip="Завантажити сертифікат" display="Завантажити сертифікат"/>
    <hyperlink ref="F3918" r:id="rId3906" tooltip="Завантажити сертифікат" display="Завантажити сертифікат"/>
    <hyperlink ref="F3919" r:id="rId3907" tooltip="Завантажити сертифікат" display="Завантажити сертифікат"/>
    <hyperlink ref="F3920" r:id="rId3908" tooltip="Завантажити сертифікат" display="Завантажити сертифікат"/>
    <hyperlink ref="F3921" r:id="rId3909" tooltip="Завантажити сертифікат" display="Завантажити сертифікат"/>
    <hyperlink ref="F3922" r:id="rId3910" tooltip="Завантажити сертифікат" display="Завантажити сертифікат"/>
    <hyperlink ref="F3923" r:id="rId3911" tooltip="Завантажити сертифікат" display="Завантажити сертифікат"/>
    <hyperlink ref="F3924" r:id="rId3912" tooltip="Завантажити сертифікат" display="Завантажити сертифікат"/>
    <hyperlink ref="F3925" r:id="rId3913" tooltip="Завантажити сертифікат" display="Завантажити сертифікат"/>
    <hyperlink ref="F3926" r:id="rId3914" tooltip="Завантажити сертифікат" display="Завантажити сертифікат"/>
    <hyperlink ref="F3927" r:id="rId3915" tooltip="Завантажити сертифікат" display="Завантажити сертифікат"/>
    <hyperlink ref="F3928" r:id="rId3916" tooltip="Завантажити сертифікат" display="Завантажити сертифікат"/>
    <hyperlink ref="F3929" r:id="rId3917" tooltip="Завантажити сертифікат" display="Завантажити сертифікат"/>
    <hyperlink ref="F3930" r:id="rId3918" tooltip="Завантажити сертифікат" display="Завантажити сертифікат"/>
    <hyperlink ref="F3931" r:id="rId3919" tooltip="Завантажити сертифікат" display="Завантажити сертифікат"/>
    <hyperlink ref="F3932" r:id="rId3920" tooltip="Завантажити сертифікат" display="Завантажити сертифікат"/>
    <hyperlink ref="F3933" r:id="rId3921" tooltip="Завантажити сертифікат" display="Завантажити сертифікат"/>
    <hyperlink ref="F3934" r:id="rId3922" tooltip="Завантажити сертифікат" display="Завантажити сертифікат"/>
    <hyperlink ref="F3935" r:id="rId3923" tooltip="Завантажити сертифікат" display="Завантажити сертифікат"/>
    <hyperlink ref="F3936" r:id="rId3924" tooltip="Завантажити сертифікат" display="Завантажити сертифікат"/>
    <hyperlink ref="F3937" r:id="rId3925" tooltip="Завантажити сертифікат" display="Завантажити сертифікат"/>
    <hyperlink ref="F3938" r:id="rId3926" tooltip="Завантажити сертифікат" display="Завантажити сертифікат"/>
    <hyperlink ref="F3939" r:id="rId3927" tooltip="Завантажити сертифікат" display="Завантажити сертифікат"/>
    <hyperlink ref="F3940" r:id="rId3928" tooltip="Завантажити сертифікат" display="Завантажити сертифікат"/>
    <hyperlink ref="F3941" r:id="rId3929" tooltip="Завантажити сертифікат" display="Завантажити сертифікат"/>
    <hyperlink ref="F3942" r:id="rId3930" tooltip="Завантажити сертифікат" display="Завантажити сертифікат"/>
    <hyperlink ref="F3943" r:id="rId3931" tooltip="Завантажити сертифікат" display="Завантажити сертифікат"/>
    <hyperlink ref="F3944" r:id="rId3932" tooltip="Завантажити сертифікат" display="Завантажити сертифікат"/>
    <hyperlink ref="F3945" r:id="rId3933" tooltip="Завантажити сертифікат" display="Завантажити сертифікат"/>
    <hyperlink ref="F3946" r:id="rId3934" tooltip="Завантажити сертифікат" display="Завантажити сертифікат"/>
    <hyperlink ref="F3947" r:id="rId3935" tooltip="Завантажити сертифікат" display="Завантажити сертифікат"/>
    <hyperlink ref="F3948" r:id="rId3936" tooltip="Завантажити сертифікат" display="Завантажити сертифікат"/>
    <hyperlink ref="F3949" r:id="rId3937" tooltip="Завантажити сертифікат" display="Завантажити сертифікат"/>
    <hyperlink ref="F3950" r:id="rId3938" tooltip="Завантажити сертифікат" display="Завантажити сертифікат"/>
    <hyperlink ref="F3951" r:id="rId3939" tooltip="Завантажити сертифікат" display="Завантажити сертифікат"/>
    <hyperlink ref="F3952" r:id="rId3940" tooltip="Завантажити сертифікат" display="Завантажити сертифікат"/>
    <hyperlink ref="F3953" r:id="rId3941" tooltip="Завантажити сертифікат" display="Завантажити сертифікат"/>
    <hyperlink ref="F3954" r:id="rId3942" tooltip="Завантажити сертифікат" display="Завантажити сертифікат"/>
    <hyperlink ref="F3955" r:id="rId3943" tooltip="Завантажити сертифікат" display="Завантажити сертифікат"/>
    <hyperlink ref="F3956" r:id="rId3944" tooltip="Завантажити сертифікат" display="Завантажити сертифікат"/>
    <hyperlink ref="F3957" r:id="rId3945" tooltip="Завантажити сертифікат" display="Завантажити сертифікат"/>
    <hyperlink ref="F3958" r:id="rId3946" tooltip="Завантажити сертифікат" display="Завантажити сертифікат"/>
    <hyperlink ref="F3959" r:id="rId3947" tooltip="Завантажити сертифікат" display="Завантажити сертифікат"/>
    <hyperlink ref="F3960" r:id="rId3948" tooltip="Завантажити сертифікат" display="Завантажити сертифікат"/>
    <hyperlink ref="F3961" r:id="rId3949" tooltip="Завантажити сертифікат" display="Завантажити сертифікат"/>
    <hyperlink ref="F3962" r:id="rId3950" tooltip="Завантажити сертифікат" display="Завантажити сертифікат"/>
    <hyperlink ref="F3963" r:id="rId3951" tooltip="Завантажити сертифікат" display="Завантажити сертифікат"/>
    <hyperlink ref="F3964" r:id="rId3952" tooltip="Завантажити сертифікат" display="Завантажити сертифікат"/>
    <hyperlink ref="F3965" r:id="rId3953" tooltip="Завантажити сертифікат" display="Завантажити сертифікат"/>
    <hyperlink ref="F3966" r:id="rId3954" tooltip="Завантажити сертифікат" display="Завантажити сертифікат"/>
    <hyperlink ref="F3967" r:id="rId3955" tooltip="Завантажити сертифікат" display="Завантажити сертифікат"/>
    <hyperlink ref="F3968" r:id="rId3956" tooltip="Завантажити сертифікат" display="Завантажити сертифікат"/>
    <hyperlink ref="F3969" r:id="rId3957" tooltip="Завантажити сертифікат" display="Завантажити сертифікат"/>
    <hyperlink ref="F3970" r:id="rId3958" tooltip="Завантажити сертифікат" display="Завантажити сертифікат"/>
    <hyperlink ref="F3971" r:id="rId3959" tooltip="Завантажити сертифікат" display="Завантажити сертифікат"/>
    <hyperlink ref="F3972" r:id="rId3960" tooltip="Завантажити сертифікат" display="Завантажити сертифікат"/>
    <hyperlink ref="F3973" r:id="rId3961" tooltip="Завантажити сертифікат" display="Завантажити сертифікат"/>
    <hyperlink ref="F3974" r:id="rId3962" tooltip="Завантажити сертифікат" display="Завантажити сертифікат"/>
    <hyperlink ref="F3975" r:id="rId3963" tooltip="Завантажити сертифікат" display="Завантажити сертифікат"/>
    <hyperlink ref="F3976" r:id="rId3964" tooltip="Завантажити сертифікат" display="Завантажити сертифікат"/>
    <hyperlink ref="F3977" r:id="rId3965" tooltip="Завантажити сертифікат" display="Завантажити сертифікат"/>
    <hyperlink ref="F3978" r:id="rId3966" tooltip="Завантажити сертифікат" display="Завантажити сертифікат"/>
    <hyperlink ref="F3979" r:id="rId3967" tooltip="Завантажити сертифікат" display="Завантажити сертифікат"/>
    <hyperlink ref="F3980" r:id="rId3968" tooltip="Завантажити сертифікат" display="Завантажити сертифікат"/>
    <hyperlink ref="F3981" r:id="rId3969" tooltip="Завантажити сертифікат" display="Завантажити сертифікат"/>
    <hyperlink ref="F3982" r:id="rId3970" tooltip="Завантажити сертифікат" display="Завантажити сертифікат"/>
    <hyperlink ref="F3983" r:id="rId3971" tooltip="Завантажити сертифікат" display="Завантажити сертифікат"/>
    <hyperlink ref="F3984" r:id="rId3972" tooltip="Завантажити сертифікат" display="Завантажити сертифікат"/>
    <hyperlink ref="F3985" r:id="rId3973" tooltip="Завантажити сертифікат" display="Завантажити сертифікат"/>
    <hyperlink ref="F3986" r:id="rId3974" tooltip="Завантажити сертифікат" display="Завантажити сертифікат"/>
    <hyperlink ref="F3987" r:id="rId3975" tooltip="Завантажити сертифікат" display="Завантажити сертифікат"/>
    <hyperlink ref="F3988" r:id="rId3976" tooltip="Завантажити сертифікат" display="Завантажити сертифікат"/>
    <hyperlink ref="F3989" r:id="rId3977" tooltip="Завантажити сертифікат" display="Завантажити сертифікат"/>
    <hyperlink ref="F3990" r:id="rId3978" tooltip="Завантажити сертифікат" display="Завантажити сертифікат"/>
    <hyperlink ref="F3991" r:id="rId3979" tooltip="Завантажити сертифікат" display="Завантажити сертифікат"/>
    <hyperlink ref="F3992" r:id="rId3980" tooltip="Завантажити сертифікат" display="Завантажити сертифікат"/>
    <hyperlink ref="F3993" r:id="rId3981" tooltip="Завантажити сертифікат" display="Завантажити сертифікат"/>
    <hyperlink ref="F3994" r:id="rId3982" tooltip="Завантажити сертифікат" display="Завантажити сертифікат"/>
    <hyperlink ref="F3995" r:id="rId3983" tooltip="Завантажити сертифікат" display="Завантажити сертифікат"/>
    <hyperlink ref="F3996" r:id="rId3984" tooltip="Завантажити сертифікат" display="Завантажити сертифікат"/>
    <hyperlink ref="F3997" r:id="rId3985" tooltip="Завантажити сертифікат" display="Завантажити сертифікат"/>
    <hyperlink ref="F3998" r:id="rId3986" tooltip="Завантажити сертифікат" display="Завантажити сертифікат"/>
    <hyperlink ref="F3999" r:id="rId3987" tooltip="Завантажити сертифікат" display="Завантажити сертифікат"/>
    <hyperlink ref="F4000" r:id="rId3988" tooltip="Завантажити сертифікат" display="Завантажити сертифікат"/>
    <hyperlink ref="F4001" r:id="rId3989" tooltip="Завантажити сертифікат" display="Завантажити сертифікат"/>
    <hyperlink ref="F4002" r:id="rId3990" tooltip="Завантажити сертифікат" display="Завантажити сертифікат"/>
    <hyperlink ref="F4003" r:id="rId3991" tooltip="Завантажити сертифікат" display="Завантажити сертифікат"/>
    <hyperlink ref="F4004" r:id="rId3992" tooltip="Завантажити сертифікат" display="Завантажити сертифікат"/>
    <hyperlink ref="F4005" r:id="rId3993" tooltip="Завантажити сертифікат" display="Завантажити сертифікат"/>
    <hyperlink ref="F4006" r:id="rId3994" tooltip="Завантажити сертифікат" display="Завантажити сертифікат"/>
    <hyperlink ref="F4007" r:id="rId3995" tooltip="Завантажити сертифікат" display="Завантажити сертифікат"/>
    <hyperlink ref="F4008" r:id="rId3996" tooltip="Завантажити сертифікат" display="Завантажити сертифікат"/>
    <hyperlink ref="F4009" r:id="rId3997" tooltip="Завантажити сертифікат" display="Завантажити сертифікат"/>
    <hyperlink ref="F4010" r:id="rId3998" tooltip="Завантажити сертифікат" display="Завантажити сертифікат"/>
    <hyperlink ref="F4011" r:id="rId3999" tooltip="Завантажити сертифікат" display="Завантажити сертифікат"/>
    <hyperlink ref="F4012" r:id="rId4000" tooltip="Завантажити сертифікат" display="Завантажити сертифікат"/>
    <hyperlink ref="F4013" r:id="rId4001" tooltip="Завантажити сертифікат" display="Завантажити сертифікат"/>
    <hyperlink ref="F4014" r:id="rId4002" tooltip="Завантажити сертифікат" display="Завантажити сертифікат"/>
    <hyperlink ref="F4015" r:id="rId4003" tooltip="Завантажити сертифікат" display="Завантажити сертифікат"/>
    <hyperlink ref="F4016" r:id="rId4004" tooltip="Завантажити сертифікат" display="Завантажити сертифікат"/>
    <hyperlink ref="F4017" r:id="rId4005" tooltip="Завантажити сертифікат" display="Завантажити сертифікат"/>
    <hyperlink ref="F4018" r:id="rId4006" tooltip="Завантажити сертифікат" display="Завантажити сертифікат"/>
    <hyperlink ref="F4019" r:id="rId4007" tooltip="Завантажити сертифікат" display="Завантажити сертифікат"/>
    <hyperlink ref="F4020" r:id="rId4008" tooltip="Завантажити сертифікат" display="Завантажити сертифікат"/>
    <hyperlink ref="F4021" r:id="rId4009" tooltip="Завантажити сертифікат" display="Завантажити сертифікат"/>
    <hyperlink ref="F4022" r:id="rId4010" tooltip="Завантажити сертифікат" display="Завантажити сертифікат"/>
    <hyperlink ref="F4023" r:id="rId4011" tooltip="Завантажити сертифікат" display="Завантажити сертифікат"/>
    <hyperlink ref="F4024" r:id="rId4012" tooltip="Завантажити сертифікат" display="Завантажити сертифікат"/>
    <hyperlink ref="F4025" r:id="rId4013" tooltip="Завантажити сертифікат" display="Завантажити сертифікат"/>
    <hyperlink ref="F4026" r:id="rId4014" tooltip="Завантажити сертифікат" display="Завантажити сертифікат"/>
    <hyperlink ref="F4027" r:id="rId4015" tooltip="Завантажити сертифікат" display="Завантажити сертифікат"/>
    <hyperlink ref="F4028" r:id="rId4016" tooltip="Завантажити сертифікат" display="Завантажити сертифікат"/>
    <hyperlink ref="F4029" r:id="rId4017" tooltip="Завантажити сертифікат" display="Завантажити сертифікат"/>
    <hyperlink ref="F4030" r:id="rId4018" tooltip="Завантажити сертифікат" display="Завантажити сертифікат"/>
    <hyperlink ref="F4031" r:id="rId4019" tooltip="Завантажити сертифікат" display="Завантажити сертифікат"/>
    <hyperlink ref="F4032" r:id="rId4020" tooltip="Завантажити сертифікат" display="Завантажити сертифікат"/>
    <hyperlink ref="F4033" r:id="rId4021" tooltip="Завантажити сертифікат" display="Завантажити сертифікат"/>
    <hyperlink ref="F4034" r:id="rId4022" tooltip="Завантажити сертифікат" display="Завантажити сертифікат"/>
    <hyperlink ref="F4035" r:id="rId4023" tooltip="Завантажити сертифікат" display="Завантажити сертифікат"/>
    <hyperlink ref="F4036" r:id="rId4024" tooltip="Завантажити сертифікат" display="Завантажити сертифікат"/>
    <hyperlink ref="F4037" r:id="rId4025" tooltip="Завантажити сертифікат" display="Завантажити сертифікат"/>
    <hyperlink ref="F4038" r:id="rId4026" tooltip="Завантажити сертифікат" display="Завантажити сертифікат"/>
    <hyperlink ref="F4039" r:id="rId4027" tooltip="Завантажити сертифікат" display="Завантажити сертифікат"/>
    <hyperlink ref="F4040" r:id="rId4028" tooltip="Завантажити сертифікат" display="Завантажити сертифікат"/>
    <hyperlink ref="F4041" r:id="rId4029" tooltip="Завантажити сертифікат" display="Завантажити сертифікат"/>
    <hyperlink ref="F4042" r:id="rId4030" tooltip="Завантажити сертифікат" display="Завантажити сертифікат"/>
    <hyperlink ref="F4043" r:id="rId4031" tooltip="Завантажити сертифікат" display="Завантажити сертифікат"/>
    <hyperlink ref="F4044" r:id="rId4032" tooltip="Завантажити сертифікат" display="Завантажити сертифікат"/>
    <hyperlink ref="F4045" r:id="rId4033" tooltip="Завантажити сертифікат" display="Завантажити сертифікат"/>
    <hyperlink ref="F4046" r:id="rId4034" tooltip="Завантажити сертифікат" display="Завантажити сертифікат"/>
    <hyperlink ref="F4047" r:id="rId4035" tooltip="Завантажити сертифікат" display="Завантажити сертифікат"/>
    <hyperlink ref="F4048" r:id="rId4036" tooltip="Завантажити сертифікат" display="Завантажити сертифікат"/>
    <hyperlink ref="F4049" r:id="rId4037" tooltip="Завантажити сертифікат" display="Завантажити сертифікат"/>
    <hyperlink ref="F4050" r:id="rId4038" tooltip="Завантажити сертифікат" display="Завантажити сертифікат"/>
    <hyperlink ref="F4051" r:id="rId4039" tooltip="Завантажити сертифікат" display="Завантажити сертифікат"/>
    <hyperlink ref="F4052" r:id="rId4040" tooltip="Завантажити сертифікат" display="Завантажити сертифікат"/>
    <hyperlink ref="F4053" r:id="rId4041" tooltip="Завантажити сертифікат" display="Завантажити сертифікат"/>
    <hyperlink ref="F4054" r:id="rId4042" tooltip="Завантажити сертифікат" display="Завантажити сертифікат"/>
    <hyperlink ref="F4055" r:id="rId4043" tooltip="Завантажити сертифікат" display="Завантажити сертифікат"/>
    <hyperlink ref="F4056" r:id="rId4044" tooltip="Завантажити сертифікат" display="Завантажити сертифікат"/>
    <hyperlink ref="F4057" r:id="rId4045" tooltip="Завантажити сертифікат" display="Завантажити сертифікат"/>
    <hyperlink ref="F4058" r:id="rId4046" tooltip="Завантажити сертифікат" display="Завантажити сертифікат"/>
    <hyperlink ref="F4059" r:id="rId4047" tooltip="Завантажити сертифікат" display="Завантажити сертифікат"/>
    <hyperlink ref="F4060" r:id="rId4048" tooltip="Завантажити сертифікат" display="Завантажити сертифікат"/>
    <hyperlink ref="F4061" r:id="rId4049" tooltip="Завантажити сертифікат" display="Завантажити сертифікат"/>
    <hyperlink ref="F4062" r:id="rId4050" tooltip="Завантажити сертифікат" display="Завантажити сертифікат"/>
    <hyperlink ref="F4063" r:id="rId4051" tooltip="Завантажити сертифікат" display="Завантажити сертифікат"/>
    <hyperlink ref="F4064" r:id="rId4052" tooltip="Завантажити сертифікат" display="Завантажити сертифікат"/>
    <hyperlink ref="F4065" r:id="rId4053" tooltip="Завантажити сертифікат" display="Завантажити сертифікат"/>
    <hyperlink ref="F4066" r:id="rId4054" tooltip="Завантажити сертифікат" display="Завантажити сертифікат"/>
    <hyperlink ref="F4067" r:id="rId4055" tooltip="Завантажити сертифікат" display="Завантажити сертифікат"/>
    <hyperlink ref="F4068" r:id="rId4056" tooltip="Завантажити сертифікат" display="Завантажити сертифікат"/>
    <hyperlink ref="F4069" r:id="rId4057" tooltip="Завантажити сертифікат" display="Завантажити сертифікат"/>
    <hyperlink ref="F4070" r:id="rId4058" tooltip="Завантажити сертифікат" display="Завантажити сертифікат"/>
    <hyperlink ref="F4071" r:id="rId4059" tooltip="Завантажити сертифікат" display="Завантажити сертифікат"/>
    <hyperlink ref="F4072" r:id="rId4060" tooltip="Завантажити сертифікат" display="Завантажити сертифікат"/>
    <hyperlink ref="F4073" r:id="rId4061" tooltip="Завантажити сертифікат" display="Завантажити сертифікат"/>
    <hyperlink ref="F4074" r:id="rId4062" tooltip="Завантажити сертифікат" display="Завантажити сертифікат"/>
    <hyperlink ref="F4075" r:id="rId4063" tooltip="Завантажити сертифікат" display="Завантажити сертифікат"/>
    <hyperlink ref="F4076" r:id="rId4064" tooltip="Завантажити сертифікат" display="Завантажити сертифікат"/>
    <hyperlink ref="F4077" r:id="rId4065" tooltip="Завантажити сертифікат" display="Завантажити сертифікат"/>
    <hyperlink ref="F4078" r:id="rId4066" tooltip="Завантажити сертифікат" display="Завантажити сертифікат"/>
    <hyperlink ref="F4079" r:id="rId4067" tooltip="Завантажити сертифікат" display="Завантажити сертифікат"/>
    <hyperlink ref="F4080" r:id="rId4068" tooltip="Завантажити сертифікат" display="Завантажити сертифікат"/>
    <hyperlink ref="F4081" r:id="rId4069" tooltip="Завантажити сертифікат" display="Завантажити сертифікат"/>
    <hyperlink ref="F4082" r:id="rId4070" tooltip="Завантажити сертифікат" display="Завантажити сертифікат"/>
    <hyperlink ref="F4083" r:id="rId4071" tooltip="Завантажити сертифікат" display="Завантажити сертифікат"/>
    <hyperlink ref="F4084" r:id="rId4072" tooltip="Завантажити сертифікат" display="Завантажити сертифікат"/>
    <hyperlink ref="F4085" r:id="rId4073" tooltip="Завантажити сертифікат" display="Завантажити сертифікат"/>
    <hyperlink ref="F4086" r:id="rId4074" tooltip="Завантажити сертифікат" display="Завантажити сертифікат"/>
    <hyperlink ref="F4087" r:id="rId4075" tooltip="Завантажити сертифікат" display="Завантажити сертифікат"/>
    <hyperlink ref="F4088" r:id="rId4076" tooltip="Завантажити сертифікат" display="Завантажити сертифікат"/>
    <hyperlink ref="F4089" r:id="rId4077" tooltip="Завантажити сертифікат" display="Завантажити сертифікат"/>
    <hyperlink ref="F4090" r:id="rId4078" tooltip="Завантажити сертифікат" display="Завантажити сертифікат"/>
    <hyperlink ref="F4091" r:id="rId4079" tooltip="Завантажити сертифікат" display="Завантажити сертифікат"/>
    <hyperlink ref="F4092" r:id="rId4080" tooltip="Завантажити сертифікат" display="Завантажити сертифікат"/>
    <hyperlink ref="F4093" r:id="rId4081" tooltip="Завантажити сертифікат" display="Завантажити сертифікат"/>
    <hyperlink ref="F4094" r:id="rId4082" tooltip="Завантажити сертифікат" display="Завантажити сертифікат"/>
    <hyperlink ref="F4095" r:id="rId4083" tooltip="Завантажити сертифікат" display="Завантажити сертифікат"/>
    <hyperlink ref="F4096" r:id="rId4084" tooltip="Завантажити сертифікат" display="Завантажити сертифікат"/>
    <hyperlink ref="F4097" r:id="rId4085" tooltip="Завантажити сертифікат" display="Завантажити сертифікат"/>
    <hyperlink ref="F4098" r:id="rId4086" tooltip="Завантажити сертифікат" display="Завантажити сертифікат"/>
    <hyperlink ref="F4099" r:id="rId4087" tooltip="Завантажити сертифікат" display="Завантажити сертифікат"/>
    <hyperlink ref="F4100" r:id="rId4088" tooltip="Завантажити сертифікат" display="Завантажити сертифікат"/>
    <hyperlink ref="F4101" r:id="rId4089" tooltip="Завантажити сертифікат" display="Завантажити сертифікат"/>
    <hyperlink ref="F4102" r:id="rId4090" tooltip="Завантажити сертифікат" display="Завантажити сертифікат"/>
    <hyperlink ref="F4103" r:id="rId4091" tooltip="Завантажити сертифікат" display="Завантажити сертифікат"/>
    <hyperlink ref="F4104" r:id="rId4092" tooltip="Завантажити сертифікат" display="Завантажити сертифікат"/>
    <hyperlink ref="F4105" r:id="rId4093" tooltip="Завантажити сертифікат" display="Завантажити сертифікат"/>
    <hyperlink ref="F4106" r:id="rId4094" tooltip="Завантажити сертифікат" display="Завантажити сертифікат"/>
    <hyperlink ref="F4107" r:id="rId4095" tooltip="Завантажити сертифікат" display="Завантажити сертифікат"/>
    <hyperlink ref="F4108" r:id="rId4096" tooltip="Завантажити сертифікат" display="Завантажити сертифікат"/>
    <hyperlink ref="F4109" r:id="rId4097" tooltip="Завантажити сертифікат" display="Завантажити сертифікат"/>
    <hyperlink ref="F4110" r:id="rId4098" tooltip="Завантажити сертифікат" display="Завантажити сертифікат"/>
    <hyperlink ref="F4111" r:id="rId4099" tooltip="Завантажити сертифікат" display="Завантажити сертифікат"/>
    <hyperlink ref="F4112" r:id="rId4100" tooltip="Завантажити сертифікат" display="Завантажити сертифікат"/>
    <hyperlink ref="F4113" r:id="rId4101" tooltip="Завантажити сертифікат" display="Завантажити сертифікат"/>
    <hyperlink ref="F4114" r:id="rId4102" tooltip="Завантажити сертифікат" display="Завантажити сертифікат"/>
    <hyperlink ref="F4115" r:id="rId4103" tooltip="Завантажити сертифікат" display="Завантажити сертифікат"/>
    <hyperlink ref="F4116" r:id="rId4104" tooltip="Завантажити сертифікат" display="Завантажити сертифікат"/>
    <hyperlink ref="F4117" r:id="rId4105" tooltip="Завантажити сертифікат" display="Завантажити сертифікат"/>
    <hyperlink ref="F4118" r:id="rId4106" tooltip="Завантажити сертифікат" display="Завантажити сертифікат"/>
    <hyperlink ref="F4119" r:id="rId4107" tooltip="Завантажити сертифікат" display="Завантажити сертифікат"/>
    <hyperlink ref="F4120" r:id="rId4108" tooltip="Завантажити сертифікат" display="Завантажити сертифікат"/>
    <hyperlink ref="F4121" r:id="rId4109" tooltip="Завантажити сертифікат" display="Завантажити сертифікат"/>
    <hyperlink ref="F4122" r:id="rId4110" tooltip="Завантажити сертифікат" display="Завантажити сертифікат"/>
    <hyperlink ref="F4123" r:id="rId4111" tooltip="Завантажити сертифікат" display="Завантажити сертифікат"/>
    <hyperlink ref="F4124" r:id="rId4112" tooltip="Завантажити сертифікат" display="Завантажити сертифікат"/>
    <hyperlink ref="F4125" r:id="rId4113" tooltip="Завантажити сертифікат" display="Завантажити сертифікат"/>
    <hyperlink ref="F4126" r:id="rId4114" tooltip="Завантажити сертифікат" display="Завантажити сертифікат"/>
    <hyperlink ref="F4127" r:id="rId4115" tooltip="Завантажити сертифікат" display="Завантажити сертифікат"/>
    <hyperlink ref="F4128" r:id="rId4116" tooltip="Завантажити сертифікат" display="Завантажити сертифікат"/>
    <hyperlink ref="F4129" r:id="rId4117" tooltip="Завантажити сертифікат" display="Завантажити сертифікат"/>
    <hyperlink ref="F4130" r:id="rId4118" tooltip="Завантажити сертифікат" display="Завантажити сертифікат"/>
    <hyperlink ref="F4131" r:id="rId4119" tooltip="Завантажити сертифікат" display="Завантажити сертифікат"/>
    <hyperlink ref="F4132" r:id="rId4120" tooltip="Завантажити сертифікат" display="Завантажити сертифікат"/>
    <hyperlink ref="F4133" r:id="rId4121" tooltip="Завантажити сертифікат" display="Завантажити сертифікат"/>
    <hyperlink ref="F4134" r:id="rId4122" tooltip="Завантажити сертифікат" display="Завантажити сертифікат"/>
    <hyperlink ref="F4135" r:id="rId4123" tooltip="Завантажити сертифікат" display="Завантажити сертифікат"/>
    <hyperlink ref="F4136" r:id="rId4124" tooltip="Завантажити сертифікат" display="Завантажити сертифікат"/>
    <hyperlink ref="F4137" r:id="rId4125" tooltip="Завантажити сертифікат" display="Завантажити сертифікат"/>
    <hyperlink ref="F4138" r:id="rId4126" tooltip="Завантажити сертифікат" display="Завантажити сертифікат"/>
    <hyperlink ref="F4139" r:id="rId4127" tooltip="Завантажити сертифікат" display="Завантажити сертифікат"/>
    <hyperlink ref="F4140" r:id="rId4128" tooltip="Завантажити сертифікат" display="Завантажити сертифікат"/>
    <hyperlink ref="F4141" r:id="rId4129" tooltip="Завантажити сертифікат" display="Завантажити сертифікат"/>
    <hyperlink ref="F4142" r:id="rId4130" tooltip="Завантажити сертифікат" display="Завантажити сертифікат"/>
    <hyperlink ref="F4143" r:id="rId4131" tooltip="Завантажити сертифікат" display="Завантажити сертифікат"/>
    <hyperlink ref="F4144" r:id="rId4132" tooltip="Завантажити сертифікат" display="Завантажити сертифікат"/>
    <hyperlink ref="F4145" r:id="rId4133" tooltip="Завантажити сертифікат" display="Завантажити сертифікат"/>
    <hyperlink ref="F4146" r:id="rId4134" tooltip="Завантажити сертифікат" display="Завантажити сертифікат"/>
    <hyperlink ref="F4147" r:id="rId4135" tooltip="Завантажити сертифікат" display="Завантажити сертифікат"/>
    <hyperlink ref="F4148" r:id="rId4136" tooltip="Завантажити сертифікат" display="Завантажити сертифікат"/>
    <hyperlink ref="F4149" r:id="rId4137" tooltip="Завантажити сертифікат" display="Завантажити сертифікат"/>
    <hyperlink ref="F4150" r:id="rId4138" tooltip="Завантажити сертифікат" display="Завантажити сертифікат"/>
    <hyperlink ref="F4151" r:id="rId4139" tooltip="Завантажити сертифікат" display="Завантажити сертифікат"/>
    <hyperlink ref="F4152" r:id="rId4140" tooltip="Завантажити сертифікат" display="Завантажити сертифікат"/>
    <hyperlink ref="F4153" r:id="rId4141" tooltip="Завантажити сертифікат" display="Завантажити сертифікат"/>
    <hyperlink ref="F4154" r:id="rId4142" tooltip="Завантажити сертифікат" display="Завантажити сертифікат"/>
    <hyperlink ref="F4155" r:id="rId4143" tooltip="Завантажити сертифікат" display="Завантажити сертифікат"/>
    <hyperlink ref="F4156" r:id="rId4144" tooltip="Завантажити сертифікат" display="Завантажити сертифікат"/>
    <hyperlink ref="F4157" r:id="rId4145" tooltip="Завантажити сертифікат" display="Завантажити сертифікат"/>
    <hyperlink ref="F4158" r:id="rId4146" tooltip="Завантажити сертифікат" display="Завантажити сертифікат"/>
    <hyperlink ref="F4159" r:id="rId4147" tooltip="Завантажити сертифікат" display="Завантажити сертифікат"/>
    <hyperlink ref="F4160" r:id="rId4148" tooltip="Завантажити сертифікат" display="Завантажити сертифікат"/>
    <hyperlink ref="F4161" r:id="rId4149" tooltip="Завантажити сертифікат" display="Завантажити сертифікат"/>
    <hyperlink ref="F4162" r:id="rId4150" tooltip="Завантажити сертифікат" display="Завантажити сертифікат"/>
    <hyperlink ref="F4163" r:id="rId4151" tooltip="Завантажити сертифікат" display="Завантажити сертифікат"/>
    <hyperlink ref="F4164" r:id="rId4152" tooltip="Завантажити сертифікат" display="Завантажити сертифікат"/>
    <hyperlink ref="F4165" r:id="rId4153" tooltip="Завантажити сертифікат" display="Завантажити сертифікат"/>
    <hyperlink ref="F4166" r:id="rId4154" tooltip="Завантажити сертифікат" display="Завантажити сертифікат"/>
    <hyperlink ref="F4167" r:id="rId4155" tooltip="Завантажити сертифікат" display="Завантажити сертифікат"/>
    <hyperlink ref="F4168" r:id="rId4156" tooltip="Завантажити сертифікат" display="Завантажити сертифікат"/>
    <hyperlink ref="F4169" r:id="rId4157" tooltip="Завантажити сертифікат" display="Завантажити сертифікат"/>
    <hyperlink ref="F4170" r:id="rId4158" tooltip="Завантажити сертифікат" display="Завантажити сертифікат"/>
    <hyperlink ref="F4171" r:id="rId4159" tooltip="Завантажити сертифікат" display="Завантажити сертифікат"/>
    <hyperlink ref="F4172" r:id="rId4160" tooltip="Завантажити сертифікат" display="Завантажити сертифікат"/>
    <hyperlink ref="F4173" r:id="rId4161" tooltip="Завантажити сертифікат" display="Завантажити сертифікат"/>
    <hyperlink ref="F4174" r:id="rId4162" tooltip="Завантажити сертифікат" display="Завантажити сертифікат"/>
    <hyperlink ref="F4175" r:id="rId4163" tooltip="Завантажити сертифікат" display="Завантажити сертифікат"/>
    <hyperlink ref="F4176" r:id="rId4164" tooltip="Завантажити сертифікат" display="Завантажити сертифікат"/>
    <hyperlink ref="F4177" r:id="rId4165" tooltip="Завантажити сертифікат" display="Завантажити сертифікат"/>
    <hyperlink ref="F4178" r:id="rId4166" tooltip="Завантажити сертифікат" display="Завантажити сертифікат"/>
    <hyperlink ref="F4179" r:id="rId4167" tooltip="Завантажити сертифікат" display="Завантажити сертифікат"/>
    <hyperlink ref="F4180" r:id="rId4168" tooltip="Завантажити сертифікат" display="Завантажити сертифікат"/>
    <hyperlink ref="F4181" r:id="rId4169" tooltip="Завантажити сертифікат" display="Завантажити сертифікат"/>
    <hyperlink ref="F4182" r:id="rId4170" tooltip="Завантажити сертифікат" display="Завантажити сертифікат"/>
    <hyperlink ref="F4183" r:id="rId4171" tooltip="Завантажити сертифікат" display="Завантажити сертифікат"/>
    <hyperlink ref="F4184" r:id="rId4172" tooltip="Завантажити сертифікат" display="Завантажити сертифікат"/>
    <hyperlink ref="F4185" r:id="rId4173" tooltip="Завантажити сертифікат" display="Завантажити сертифікат"/>
    <hyperlink ref="F4186" r:id="rId4174" tooltip="Завантажити сертифікат" display="Завантажити сертифікат"/>
    <hyperlink ref="F4187" r:id="rId4175" tooltip="Завантажити сертифікат" display="Завантажити сертифікат"/>
    <hyperlink ref="F4188" r:id="rId4176" tooltip="Завантажити сертифікат" display="Завантажити сертифікат"/>
    <hyperlink ref="F4189" r:id="rId4177" tooltip="Завантажити сертифікат" display="Завантажити сертифікат"/>
    <hyperlink ref="F4190" r:id="rId4178" tooltip="Завантажити сертифікат" display="Завантажити сертифікат"/>
    <hyperlink ref="F4191" r:id="rId4179" tooltip="Завантажити сертифікат" display="Завантажити сертифікат"/>
    <hyperlink ref="F4192" r:id="rId4180" tooltip="Завантажити сертифікат" display="Завантажити сертифікат"/>
    <hyperlink ref="F4193" r:id="rId4181" tooltip="Завантажити сертифікат" display="Завантажити сертифікат"/>
    <hyperlink ref="F4194" r:id="rId4182" tooltip="Завантажити сертифікат" display="Завантажити сертифікат"/>
    <hyperlink ref="F4195" r:id="rId4183" tooltip="Завантажити сертифікат" display="Завантажити сертифікат"/>
    <hyperlink ref="F4196" r:id="rId4184" tooltip="Завантажити сертифікат" display="Завантажити сертифікат"/>
    <hyperlink ref="F4197" r:id="rId4185" tooltip="Завантажити сертифікат" display="Завантажити сертифікат"/>
    <hyperlink ref="F4198" r:id="rId4186" tooltip="Завантажити сертифікат" display="Завантажити сертифікат"/>
    <hyperlink ref="F4199" r:id="rId4187" tooltip="Завантажити сертифікат" display="Завантажити сертифікат"/>
    <hyperlink ref="F4200" r:id="rId4188" tooltip="Завантажити сертифікат" display="Завантажити сертифікат"/>
    <hyperlink ref="F4201" r:id="rId4189" tooltip="Завантажити сертифікат" display="Завантажити сертифікат"/>
    <hyperlink ref="F4202" r:id="rId4190" tooltip="Завантажити сертифікат" display="Завантажити сертифікат"/>
    <hyperlink ref="F4203" r:id="rId4191" tooltip="Завантажити сертифікат" display="Завантажити сертифікат"/>
    <hyperlink ref="F4204" r:id="rId4192" tooltip="Завантажити сертифікат" display="Завантажити сертифікат"/>
    <hyperlink ref="F4205" r:id="rId4193" tooltip="Завантажити сертифікат" display="Завантажити сертифікат"/>
    <hyperlink ref="F4206" r:id="rId4194" tooltip="Завантажити сертифікат" display="Завантажити сертифікат"/>
    <hyperlink ref="F4207" r:id="rId4195" tooltip="Завантажити сертифікат" display="Завантажити сертифікат"/>
    <hyperlink ref="F4208" r:id="rId4196" tooltip="Завантажити сертифікат" display="Завантажити сертифікат"/>
    <hyperlink ref="F4209" r:id="rId4197" tooltip="Завантажити сертифікат" display="Завантажити сертифікат"/>
    <hyperlink ref="F4210" r:id="rId4198" tooltip="Завантажити сертифікат" display="Завантажити сертифікат"/>
    <hyperlink ref="F4211" r:id="rId4199" tooltip="Завантажити сертифікат" display="Завантажити сертифікат"/>
    <hyperlink ref="F4212" r:id="rId4200" tooltip="Завантажити сертифікат" display="Завантажити сертифікат"/>
    <hyperlink ref="F4213" r:id="rId4201" tooltip="Завантажити сертифікат" display="Завантажити сертифікат"/>
    <hyperlink ref="F4214" r:id="rId4202" tooltip="Завантажити сертифікат" display="Завантажити сертифікат"/>
    <hyperlink ref="F4215" r:id="rId4203" tooltip="Завантажити сертифікат" display="Завантажити сертифікат"/>
    <hyperlink ref="F4216" r:id="rId4204" tooltip="Завантажити сертифікат" display="Завантажити сертифікат"/>
    <hyperlink ref="F4217" r:id="rId4205" tooltip="Завантажити сертифікат" display="Завантажити сертифікат"/>
    <hyperlink ref="F4218" r:id="rId4206" tooltip="Завантажити сертифікат" display="Завантажити сертифікат"/>
    <hyperlink ref="F4219" r:id="rId4207" tooltip="Завантажити сертифікат" display="Завантажити сертифікат"/>
    <hyperlink ref="F4220" r:id="rId4208" tooltip="Завантажити сертифікат" display="Завантажити сертифікат"/>
    <hyperlink ref="F4221" r:id="rId4209" tooltip="Завантажити сертифікат" display="Завантажити сертифікат"/>
    <hyperlink ref="F4222" r:id="rId4210" tooltip="Завантажити сертифікат" display="Завантажити сертифікат"/>
    <hyperlink ref="F4223" r:id="rId4211" tooltip="Завантажити сертифікат" display="Завантажити сертифікат"/>
    <hyperlink ref="F4224" r:id="rId4212" tooltip="Завантажити сертифікат" display="Завантажити сертифікат"/>
    <hyperlink ref="F4225" r:id="rId4213" tooltip="Завантажити сертифікат" display="Завантажити сертифікат"/>
    <hyperlink ref="F4226" r:id="rId4214" tooltip="Завантажити сертифікат" display="Завантажити сертифікат"/>
    <hyperlink ref="F4227" r:id="rId4215" tooltip="Завантажити сертифікат" display="Завантажити сертифікат"/>
    <hyperlink ref="F4228" r:id="rId4216" tooltip="Завантажити сертифікат" display="Завантажити сертифікат"/>
    <hyperlink ref="F4229" r:id="rId4217" tooltip="Завантажити сертифікат" display="Завантажити сертифікат"/>
    <hyperlink ref="F4230" r:id="rId4218" tooltip="Завантажити сертифікат" display="Завантажити сертифікат"/>
    <hyperlink ref="F4231" r:id="rId4219" tooltip="Завантажити сертифікат" display="Завантажити сертифікат"/>
    <hyperlink ref="F4232" r:id="rId4220" tooltip="Завантажити сертифікат" display="Завантажити сертифікат"/>
    <hyperlink ref="F4233" r:id="rId4221" tooltip="Завантажити сертифікат" display="Завантажити сертифікат"/>
    <hyperlink ref="F4234" r:id="rId4222" tooltip="Завантажити сертифікат" display="Завантажити сертифікат"/>
    <hyperlink ref="F4235" r:id="rId4223" tooltip="Завантажити сертифікат" display="Завантажити сертифікат"/>
    <hyperlink ref="F4236" r:id="rId4224" tooltip="Завантажити сертифікат" display="Завантажити сертифікат"/>
    <hyperlink ref="F4237" r:id="rId4225" tooltip="Завантажити сертифікат" display="Завантажити сертифікат"/>
    <hyperlink ref="F4238" r:id="rId4226" tooltip="Завантажити сертифікат" display="Завантажити сертифікат"/>
    <hyperlink ref="F4239" r:id="rId4227" tooltip="Завантажити сертифікат" display="Завантажити сертифікат"/>
    <hyperlink ref="F4240" r:id="rId4228" tooltip="Завантажити сертифікат" display="Завантажити сертифікат"/>
    <hyperlink ref="F4241" r:id="rId4229" tooltip="Завантажити сертифікат" display="Завантажити сертифікат"/>
    <hyperlink ref="F4242" r:id="rId4230" tooltip="Завантажити сертифікат" display="Завантажити сертифікат"/>
    <hyperlink ref="F4243" r:id="rId4231" tooltip="Завантажити сертифікат" display="Завантажити сертифікат"/>
    <hyperlink ref="F4244" r:id="rId4232" tooltip="Завантажити сертифікат" display="Завантажити сертифікат"/>
    <hyperlink ref="F4245" r:id="rId4233" tooltip="Завантажити сертифікат" display="Завантажити сертифікат"/>
    <hyperlink ref="F4246" r:id="rId4234" tooltip="Завантажити сертифікат" display="Завантажити сертифікат"/>
    <hyperlink ref="F4247" r:id="rId4235" tooltip="Завантажити сертифікат" display="Завантажити сертифікат"/>
    <hyperlink ref="F4248" r:id="rId4236" tooltip="Завантажити сертифікат" display="Завантажити сертифікат"/>
    <hyperlink ref="F4249" r:id="rId4237" tooltip="Завантажити сертифікат" display="Завантажити сертифікат"/>
    <hyperlink ref="F4250" r:id="rId4238" tooltip="Завантажити сертифікат" display="Завантажити сертифікат"/>
    <hyperlink ref="F4251" r:id="rId4239" tooltip="Завантажити сертифікат" display="Завантажити сертифікат"/>
    <hyperlink ref="F4252" r:id="rId4240" tooltip="Завантажити сертифікат" display="Завантажити сертифікат"/>
    <hyperlink ref="F4253" r:id="rId4241" tooltip="Завантажити сертифікат" display="Завантажити сертифікат"/>
    <hyperlink ref="F4254" r:id="rId4242" tooltip="Завантажити сертифікат" display="Завантажити сертифікат"/>
    <hyperlink ref="F4255" r:id="rId4243" tooltip="Завантажити сертифікат" display="Завантажити сертифікат"/>
    <hyperlink ref="F4256" r:id="rId4244" tooltip="Завантажити сертифікат" display="Завантажити сертифікат"/>
    <hyperlink ref="F4257" r:id="rId4245" tooltip="Завантажити сертифікат" display="Завантажити сертифікат"/>
    <hyperlink ref="F4258" r:id="rId4246" tooltip="Завантажити сертифікат" display="Завантажити сертифікат"/>
    <hyperlink ref="F4259" r:id="rId4247" tooltip="Завантажити сертифікат" display="Завантажити сертифікат"/>
    <hyperlink ref="F4260" r:id="rId4248" tooltip="Завантажити сертифікат" display="Завантажити сертифікат"/>
    <hyperlink ref="F4261" r:id="rId4249" tooltip="Завантажити сертифікат" display="Завантажити сертифікат"/>
    <hyperlink ref="F4262" r:id="rId4250" tooltip="Завантажити сертифікат" display="Завантажити сертифікат"/>
    <hyperlink ref="F4263" r:id="rId4251" tooltip="Завантажити сертифікат" display="Завантажити сертифікат"/>
    <hyperlink ref="F4264" r:id="rId4252" tooltip="Завантажити сертифікат" display="Завантажити сертифікат"/>
    <hyperlink ref="F4265" r:id="rId4253" tooltip="Завантажити сертифікат" display="Завантажити сертифікат"/>
    <hyperlink ref="F4266" r:id="rId4254" tooltip="Завантажити сертифікат" display="Завантажити сертифікат"/>
    <hyperlink ref="F4267" r:id="rId4255" tooltip="Завантажити сертифікат" display="Завантажити сертифікат"/>
    <hyperlink ref="F4268" r:id="rId4256" tooltip="Завантажити сертифікат" display="Завантажити сертифікат"/>
    <hyperlink ref="F4269" r:id="rId4257" tooltip="Завантажити сертифікат" display="Завантажити сертифікат"/>
    <hyperlink ref="F4270" r:id="rId4258" tooltip="Завантажити сертифікат" display="Завантажити сертифікат"/>
    <hyperlink ref="F4271" r:id="rId4259" tooltip="Завантажити сертифікат" display="Завантажити сертифікат"/>
    <hyperlink ref="F4272" r:id="rId4260" tooltip="Завантажити сертифікат" display="Завантажити сертифікат"/>
    <hyperlink ref="F4273" r:id="rId4261" tooltip="Завантажити сертифікат" display="Завантажити сертифікат"/>
    <hyperlink ref="F4274" r:id="rId4262" tooltip="Завантажити сертифікат" display="Завантажити сертифікат"/>
    <hyperlink ref="F4275" r:id="rId4263" tooltip="Завантажити сертифікат" display="Завантажити сертифікат"/>
    <hyperlink ref="F4276" r:id="rId4264" tooltip="Завантажити сертифікат" display="Завантажити сертифікат"/>
    <hyperlink ref="F4277" r:id="rId4265" tooltip="Завантажити сертифікат" display="Завантажити сертифікат"/>
    <hyperlink ref="F4278" r:id="rId4266" tooltip="Завантажити сертифікат" display="Завантажити сертифікат"/>
    <hyperlink ref="F4279" r:id="rId4267" tooltip="Завантажити сертифікат" display="Завантажити сертифікат"/>
    <hyperlink ref="F4280" r:id="rId4268" tooltip="Завантажити сертифікат" display="Завантажити сертифікат"/>
    <hyperlink ref="F4281" r:id="rId4269" tooltip="Завантажити сертифікат" display="Завантажити сертифікат"/>
    <hyperlink ref="F4282" r:id="rId4270" tooltip="Завантажити сертифікат" display="Завантажити сертифікат"/>
    <hyperlink ref="F4283" r:id="rId4271" tooltip="Завантажити сертифікат" display="Завантажити сертифікат"/>
    <hyperlink ref="F4284" r:id="rId4272" tooltip="Завантажити сертифікат" display="Завантажити сертифікат"/>
    <hyperlink ref="F4285" r:id="rId4273" tooltip="Завантажити сертифікат" display="Завантажити сертифікат"/>
    <hyperlink ref="F4286" r:id="rId4274" tooltip="Завантажити сертифікат" display="Завантажити сертифікат"/>
    <hyperlink ref="F4287" r:id="rId4275" tooltip="Завантажити сертифікат" display="Завантажити сертифікат"/>
    <hyperlink ref="F4288" r:id="rId4276" tooltip="Завантажити сертифікат" display="Завантажити сертифікат"/>
    <hyperlink ref="F4289" r:id="rId4277" tooltip="Завантажити сертифікат" display="Завантажити сертифікат"/>
    <hyperlink ref="F4290" r:id="rId4278" tooltip="Завантажити сертифікат" display="Завантажити сертифікат"/>
    <hyperlink ref="F4291" r:id="rId4279" tooltip="Завантажити сертифікат" display="Завантажити сертифікат"/>
    <hyperlink ref="F4292" r:id="rId4280" tooltip="Завантажити сертифікат" display="Завантажити сертифікат"/>
    <hyperlink ref="F4293" r:id="rId4281" tooltip="Завантажити сертифікат" display="Завантажити сертифікат"/>
    <hyperlink ref="F4294" r:id="rId4282" tooltip="Завантажити сертифікат" display="Завантажити сертифікат"/>
    <hyperlink ref="F4295" r:id="rId4283" tooltip="Завантажити сертифікат" display="Завантажити сертифікат"/>
    <hyperlink ref="F4296" r:id="rId4284" tooltip="Завантажити сертифікат" display="Завантажити сертифікат"/>
    <hyperlink ref="F4297" r:id="rId4285" tooltip="Завантажити сертифікат" display="Завантажити сертифікат"/>
    <hyperlink ref="F4298" r:id="rId4286" tooltip="Завантажити сертифікат" display="Завантажити сертифікат"/>
    <hyperlink ref="F4299" r:id="rId4287" tooltip="Завантажити сертифікат" display="Завантажити сертифікат"/>
    <hyperlink ref="F4300" r:id="rId4288" tooltip="Завантажити сертифікат" display="Завантажити сертифікат"/>
    <hyperlink ref="F4301" r:id="rId4289" tooltip="Завантажити сертифікат" display="Завантажити сертифікат"/>
    <hyperlink ref="F4302" r:id="rId4290" tooltip="Завантажити сертифікат" display="Завантажити сертифікат"/>
    <hyperlink ref="F4303" r:id="rId4291" tooltip="Завантажити сертифікат" display="Завантажити сертифікат"/>
    <hyperlink ref="F4304" r:id="rId4292" tooltip="Завантажити сертифікат" display="Завантажити сертифікат"/>
    <hyperlink ref="F4305" r:id="rId4293" tooltip="Завантажити сертифікат" display="Завантажити сертифікат"/>
    <hyperlink ref="F4306" r:id="rId4294" tooltip="Завантажити сертифікат" display="Завантажити сертифікат"/>
    <hyperlink ref="F4307" r:id="rId4295" tooltip="Завантажити сертифікат" display="Завантажити сертифікат"/>
    <hyperlink ref="F4308" r:id="rId4296" tooltip="Завантажити сертифікат" display="Завантажити сертифікат"/>
    <hyperlink ref="F4309" r:id="rId4297" tooltip="Завантажити сертифікат" display="Завантажити сертифікат"/>
    <hyperlink ref="F4310" r:id="rId4298" tooltip="Завантажити сертифікат" display="Завантажити сертифікат"/>
    <hyperlink ref="F4311" r:id="rId4299" tooltip="Завантажити сертифікат" display="Завантажити сертифікат"/>
    <hyperlink ref="F4312" r:id="rId4300" tooltip="Завантажити сертифікат" display="Завантажити сертифікат"/>
    <hyperlink ref="F4313" r:id="rId4301" tooltip="Завантажити сертифікат" display="Завантажити сертифікат"/>
    <hyperlink ref="F4314" r:id="rId4302" tooltip="Завантажити сертифікат" display="Завантажити сертифікат"/>
    <hyperlink ref="F4315" r:id="rId4303" tooltip="Завантажити сертифікат" display="Завантажити сертифікат"/>
    <hyperlink ref="F4316" r:id="rId4304" tooltip="Завантажити сертифікат" display="Завантажити сертифікат"/>
    <hyperlink ref="F4317" r:id="rId4305" tooltip="Завантажити сертифікат" display="Завантажити сертифікат"/>
    <hyperlink ref="F4318" r:id="rId4306" tooltip="Завантажити сертифікат" display="Завантажити сертифікат"/>
    <hyperlink ref="F4319" r:id="rId4307" tooltip="Завантажити сертифікат" display="Завантажити сертифікат"/>
    <hyperlink ref="F4320" r:id="rId4308" tooltip="Завантажити сертифікат" display="Завантажити сертифікат"/>
    <hyperlink ref="F4321" r:id="rId4309" tooltip="Завантажити сертифікат" display="Завантажити сертифікат"/>
    <hyperlink ref="F4322" r:id="rId4310" tooltip="Завантажити сертифікат" display="Завантажити сертифікат"/>
    <hyperlink ref="F4323" r:id="rId4311" tooltip="Завантажити сертифікат" display="Завантажити сертифікат"/>
    <hyperlink ref="F4324" r:id="rId4312" tooltip="Завантажити сертифікат" display="Завантажити сертифікат"/>
    <hyperlink ref="F4325" r:id="rId4313" tooltip="Завантажити сертифікат" display="Завантажити сертифікат"/>
    <hyperlink ref="F4326" r:id="rId4314" tooltip="Завантажити сертифікат" display="Завантажити сертифікат"/>
    <hyperlink ref="F4327" r:id="rId4315" tooltip="Завантажити сертифікат" display="Завантажити сертифікат"/>
    <hyperlink ref="F4328" r:id="rId4316" tooltip="Завантажити сертифікат" display="Завантажити сертифікат"/>
    <hyperlink ref="F4329" r:id="rId4317" tooltip="Завантажити сертифікат" display="Завантажити сертифікат"/>
    <hyperlink ref="F4330" r:id="rId4318" tooltip="Завантажити сертифікат" display="Завантажити сертифікат"/>
    <hyperlink ref="F4331" r:id="rId4319" tooltip="Завантажити сертифікат" display="Завантажити сертифікат"/>
    <hyperlink ref="F4332" r:id="rId4320" tooltip="Завантажити сертифікат" display="Завантажити сертифікат"/>
    <hyperlink ref="F4333" r:id="rId4321" tooltip="Завантажити сертифікат" display="Завантажити сертифікат"/>
    <hyperlink ref="F4334" r:id="rId4322" tooltip="Завантажити сертифікат" display="Завантажити сертифікат"/>
    <hyperlink ref="F4335" r:id="rId4323" tooltip="Завантажити сертифікат" display="Завантажити сертифікат"/>
    <hyperlink ref="F4336" r:id="rId4324" tooltip="Завантажити сертифікат" display="Завантажити сертифікат"/>
    <hyperlink ref="F4337" r:id="rId4325" tooltip="Завантажити сертифікат" display="Завантажити сертифікат"/>
    <hyperlink ref="F4338" r:id="rId4326" tooltip="Завантажити сертифікат" display="Завантажити сертифікат"/>
    <hyperlink ref="F4339" r:id="rId4327" tooltip="Завантажити сертифікат" display="Завантажити сертифікат"/>
    <hyperlink ref="F4340" r:id="rId4328" tooltip="Завантажити сертифікат" display="Завантажити сертифікат"/>
    <hyperlink ref="F4341" r:id="rId4329" tooltip="Завантажити сертифікат" display="Завантажити сертифікат"/>
    <hyperlink ref="F4342" r:id="rId4330" tooltip="Завантажити сертифікат" display="Завантажити сертифікат"/>
    <hyperlink ref="F4343" r:id="rId4331" tooltip="Завантажити сертифікат" display="Завантажити сертифікат"/>
    <hyperlink ref="F4344" r:id="rId4332" tooltip="Завантажити сертифікат" display="Завантажити сертифікат"/>
    <hyperlink ref="F4345" r:id="rId4333" tooltip="Завантажити сертифікат" display="Завантажити сертифікат"/>
    <hyperlink ref="F4346" r:id="rId4334" tooltip="Завантажити сертифікат" display="Завантажити сертифікат"/>
    <hyperlink ref="F4347" r:id="rId4335" tooltip="Завантажити сертифікат" display="Завантажити сертифікат"/>
    <hyperlink ref="F4348" r:id="rId4336" tooltip="Завантажити сертифікат" display="Завантажити сертифікат"/>
    <hyperlink ref="F4349" r:id="rId4337" tooltip="Завантажити сертифікат" display="Завантажити сертифікат"/>
    <hyperlink ref="F4350" r:id="rId4338" tooltip="Завантажити сертифікат" display="Завантажити сертифікат"/>
    <hyperlink ref="F4351" r:id="rId4339" tooltip="Завантажити сертифікат" display="Завантажити сертифікат"/>
    <hyperlink ref="F4352" r:id="rId4340" tooltip="Завантажити сертифікат" display="Завантажити сертифікат"/>
    <hyperlink ref="F4353" r:id="rId4341" tooltip="Завантажити сертифікат" display="Завантажити сертифікат"/>
    <hyperlink ref="F4354" r:id="rId4342" tooltip="Завантажити сертифікат" display="Завантажити сертифікат"/>
    <hyperlink ref="F4355" r:id="rId4343" tooltip="Завантажити сертифікат" display="Завантажити сертифікат"/>
    <hyperlink ref="F4356" r:id="rId4344" tooltip="Завантажити сертифікат" display="Завантажити сертифікат"/>
    <hyperlink ref="F4357" r:id="rId4345" tooltip="Завантажити сертифікат" display="Завантажити сертифікат"/>
    <hyperlink ref="F4358" r:id="rId4346" tooltip="Завантажити сертифікат" display="Завантажити сертифікат"/>
    <hyperlink ref="F4359" r:id="rId4347" tooltip="Завантажити сертифікат" display="Завантажити сертифікат"/>
    <hyperlink ref="F4360" r:id="rId4348" tooltip="Завантажити сертифікат" display="Завантажити сертифікат"/>
    <hyperlink ref="F4361" r:id="rId4349" tooltip="Завантажити сертифікат" display="Завантажити сертифікат"/>
    <hyperlink ref="F4362" r:id="rId4350" tooltip="Завантажити сертифікат" display="Завантажити сертифікат"/>
    <hyperlink ref="F4363" r:id="rId4351" tooltip="Завантажити сертифікат" display="Завантажити сертифікат"/>
    <hyperlink ref="F4364" r:id="rId4352" tooltip="Завантажити сертифікат" display="Завантажити сертифікат"/>
    <hyperlink ref="F4365" r:id="rId4353" tooltip="Завантажити сертифікат" display="Завантажити сертифікат"/>
    <hyperlink ref="F4366" r:id="rId4354" tooltip="Завантажити сертифікат" display="Завантажити сертифікат"/>
    <hyperlink ref="F4367" r:id="rId4355" tooltip="Завантажити сертифікат" display="Завантажити сертифікат"/>
    <hyperlink ref="F4368" r:id="rId4356" tooltip="Завантажити сертифікат" display="Завантажити сертифікат"/>
    <hyperlink ref="F4369" r:id="rId4357" tooltip="Завантажити сертифікат" display="Завантажити сертифікат"/>
    <hyperlink ref="F4370" r:id="rId4358" tooltip="Завантажити сертифікат" display="Завантажити сертифікат"/>
    <hyperlink ref="F4371" r:id="rId4359" tooltip="Завантажити сертифікат" display="Завантажити сертифікат"/>
    <hyperlink ref="F4372" r:id="rId4360" tooltip="Завантажити сертифікат" display="Завантажити сертифікат"/>
    <hyperlink ref="F4373" r:id="rId4361" tooltip="Завантажити сертифікат" display="Завантажити сертифікат"/>
    <hyperlink ref="F4374" r:id="rId4362" tooltip="Завантажити сертифікат" display="Завантажити сертифікат"/>
    <hyperlink ref="F4375" r:id="rId4363" tooltip="Завантажити сертифікат" display="Завантажити сертифікат"/>
    <hyperlink ref="F4376" r:id="rId4364" tooltip="Завантажити сертифікат" display="Завантажити сертифікат"/>
    <hyperlink ref="F4377" r:id="rId4365" tooltip="Завантажити сертифікат" display="Завантажити сертифікат"/>
    <hyperlink ref="F4378" r:id="rId4366" tooltip="Завантажити сертифікат" display="Завантажити сертифікат"/>
    <hyperlink ref="F4379" r:id="rId4367" tooltip="Завантажити сертифікат" display="Завантажити сертифікат"/>
    <hyperlink ref="F4380" r:id="rId4368" tooltip="Завантажити сертифікат" display="Завантажити сертифікат"/>
    <hyperlink ref="F4381" r:id="rId4369" tooltip="Завантажити сертифікат" display="Завантажити сертифікат"/>
    <hyperlink ref="F4382" r:id="rId4370" tooltip="Завантажити сертифікат" display="Завантажити сертифікат"/>
    <hyperlink ref="F4383" r:id="rId4371" tooltip="Завантажити сертифікат" display="Завантажити сертифікат"/>
    <hyperlink ref="F4384" r:id="rId4372" tooltip="Завантажити сертифікат" display="Завантажити сертифікат"/>
    <hyperlink ref="F4385" r:id="rId4373" tooltip="Завантажити сертифікат" display="Завантажити сертифікат"/>
    <hyperlink ref="F4386" r:id="rId4374" tooltip="Завантажити сертифікат" display="Завантажити сертифікат"/>
    <hyperlink ref="F4387" r:id="rId4375" tooltip="Завантажити сертифікат" display="Завантажити сертифікат"/>
    <hyperlink ref="F4388" r:id="rId4376" tooltip="Завантажити сертифікат" display="Завантажити сертифікат"/>
    <hyperlink ref="F4389" r:id="rId4377" tooltip="Завантажити сертифікат" display="Завантажити сертифікат"/>
    <hyperlink ref="F4390" r:id="rId4378" tooltip="Завантажити сертифікат" display="Завантажити сертифікат"/>
    <hyperlink ref="F4391" r:id="rId4379" tooltip="Завантажити сертифікат" display="Завантажити сертифікат"/>
    <hyperlink ref="F4392" r:id="rId4380" tooltip="Завантажити сертифікат" display="Завантажити сертифікат"/>
    <hyperlink ref="F4393" r:id="rId4381" tooltip="Завантажити сертифікат" display="Завантажити сертифікат"/>
    <hyperlink ref="F4394" r:id="rId4382" tooltip="Завантажити сертифікат" display="Завантажити сертифікат"/>
    <hyperlink ref="F4395" r:id="rId4383" tooltip="Завантажити сертифікат" display="Завантажити сертифікат"/>
    <hyperlink ref="F4396" r:id="rId4384" tooltip="Завантажити сертифікат" display="Завантажити сертифікат"/>
    <hyperlink ref="F4397" r:id="rId4385" tooltip="Завантажити сертифікат" display="Завантажити сертифікат"/>
    <hyperlink ref="F4398" r:id="rId4386" tooltip="Завантажити сертифікат" display="Завантажити сертифікат"/>
    <hyperlink ref="F4399" r:id="rId4387" tooltip="Завантажити сертифікат" display="Завантажити сертифікат"/>
    <hyperlink ref="F4400" r:id="rId4388" tooltip="Завантажити сертифікат" display="Завантажити сертифікат"/>
    <hyperlink ref="F4401" r:id="rId4389" tooltip="Завантажити сертифікат" display="Завантажити сертифікат"/>
    <hyperlink ref="F4402" r:id="rId4390" tooltip="Завантажити сертифікат" display="Завантажити сертифікат"/>
    <hyperlink ref="F4403" r:id="rId4391" tooltip="Завантажити сертифікат" display="Завантажити сертифікат"/>
    <hyperlink ref="F4404" r:id="rId4392" tooltip="Завантажити сертифікат" display="Завантажити сертифікат"/>
    <hyperlink ref="F4405" r:id="rId4393" tooltip="Завантажити сертифікат" display="Завантажити сертифікат"/>
    <hyperlink ref="F4406" r:id="rId4394" tooltip="Завантажити сертифікат" display="Завантажити сертифікат"/>
    <hyperlink ref="F4407" r:id="rId4395" tooltip="Завантажити сертифікат" display="Завантажити сертифікат"/>
    <hyperlink ref="F4408" r:id="rId4396" tooltip="Завантажити сертифікат" display="Завантажити сертифікат"/>
    <hyperlink ref="F4409" r:id="rId4397" tooltip="Завантажити сертифікат" display="Завантажити сертифікат"/>
    <hyperlink ref="F4410" r:id="rId4398" tooltip="Завантажити сертифікат" display="Завантажити сертифікат"/>
    <hyperlink ref="F4411" r:id="rId4399" tooltip="Завантажити сертифікат" display="Завантажити сертифікат"/>
    <hyperlink ref="F4412" r:id="rId4400" tooltip="Завантажити сертифікат" display="Завантажити сертифікат"/>
    <hyperlink ref="F4413" r:id="rId4401" tooltip="Завантажити сертифікат" display="Завантажити сертифікат"/>
    <hyperlink ref="F4414" r:id="rId4402" tooltip="Завантажити сертифікат" display="Завантажити сертифікат"/>
    <hyperlink ref="F4415" r:id="rId4403" tooltip="Завантажити сертифікат" display="Завантажити сертифікат"/>
    <hyperlink ref="F4416" r:id="rId4404" tooltip="Завантажити сертифікат" display="Завантажити сертифікат"/>
    <hyperlink ref="F4417" r:id="rId4405" tooltip="Завантажити сертифікат" display="Завантажити сертифікат"/>
    <hyperlink ref="F4418" r:id="rId4406" tooltip="Завантажити сертифікат" display="Завантажити сертифікат"/>
    <hyperlink ref="F4419" r:id="rId4407" tooltip="Завантажити сертифікат" display="Завантажити сертифікат"/>
    <hyperlink ref="F4420" r:id="rId4408" tooltip="Завантажити сертифікат" display="Завантажити сертифікат"/>
    <hyperlink ref="F4421" r:id="rId4409" tooltip="Завантажити сертифікат" display="Завантажити сертифікат"/>
    <hyperlink ref="F4422" r:id="rId4410" tooltip="Завантажити сертифікат" display="Завантажити сертифікат"/>
    <hyperlink ref="F4423" r:id="rId4411" tooltip="Завантажити сертифікат" display="Завантажити сертифікат"/>
    <hyperlink ref="F4424" r:id="rId4412" tooltip="Завантажити сертифікат" display="Завантажити сертифікат"/>
    <hyperlink ref="F4425" r:id="rId4413" tooltip="Завантажити сертифікат" display="Завантажити сертифікат"/>
    <hyperlink ref="F4426" r:id="rId4414" tooltip="Завантажити сертифікат" display="Завантажити сертифікат"/>
    <hyperlink ref="F4427" r:id="rId4415" tooltip="Завантажити сертифікат" display="Завантажити сертифікат"/>
    <hyperlink ref="F4428" r:id="rId4416" tooltip="Завантажити сертифікат" display="Завантажити сертифікат"/>
    <hyperlink ref="F4429" r:id="rId4417" tooltip="Завантажити сертифікат" display="Завантажити сертифікат"/>
    <hyperlink ref="F4430" r:id="rId4418" tooltip="Завантажити сертифікат" display="Завантажити сертифікат"/>
    <hyperlink ref="F4431" r:id="rId4419" tooltip="Завантажити сертифікат" display="Завантажити сертифікат"/>
    <hyperlink ref="F4432" r:id="rId4420" tooltip="Завантажити сертифікат" display="Завантажити сертифікат"/>
    <hyperlink ref="F4433" r:id="rId4421" tooltip="Завантажити сертифікат" display="Завантажити сертифікат"/>
    <hyperlink ref="F4434" r:id="rId4422" tooltip="Завантажити сертифікат" display="Завантажити сертифікат"/>
    <hyperlink ref="F4435" r:id="rId4423" tooltip="Завантажити сертифікат" display="Завантажити сертифікат"/>
    <hyperlink ref="F4436" r:id="rId4424" tooltip="Завантажити сертифікат" display="Завантажити сертифікат"/>
    <hyperlink ref="F4437" r:id="rId4425" tooltip="Завантажити сертифікат" display="Завантажити сертифікат"/>
    <hyperlink ref="F4438" r:id="rId4426" tooltip="Завантажити сертифікат" display="Завантажити сертифікат"/>
    <hyperlink ref="F4439" r:id="rId4427" tooltip="Завантажити сертифікат" display="Завантажити сертифікат"/>
    <hyperlink ref="F4440" r:id="rId4428" tooltip="Завантажити сертифікат" display="Завантажити сертифікат"/>
    <hyperlink ref="F4441" r:id="rId4429" tooltip="Завантажити сертифікат" display="Завантажити сертифікат"/>
    <hyperlink ref="F4442" r:id="rId4430" tooltip="Завантажити сертифікат" display="Завантажити сертифікат"/>
    <hyperlink ref="F4443" r:id="rId4431" tooltip="Завантажити сертифікат" display="Завантажити сертифікат"/>
    <hyperlink ref="F4444" r:id="rId4432" tooltip="Завантажити сертифікат" display="Завантажити сертифікат"/>
    <hyperlink ref="F4445" r:id="rId4433" tooltip="Завантажити сертифікат" display="Завантажити сертифікат"/>
    <hyperlink ref="F4446" r:id="rId4434" tooltip="Завантажити сертифікат" display="Завантажити сертифікат"/>
    <hyperlink ref="F4447" r:id="rId4435" tooltip="Завантажити сертифікат" display="Завантажити сертифікат"/>
    <hyperlink ref="F4448" r:id="rId4436" tooltip="Завантажити сертифікат" display="Завантажити сертифікат"/>
    <hyperlink ref="F4449" r:id="rId4437" tooltip="Завантажити сертифікат" display="Завантажити сертифікат"/>
    <hyperlink ref="F4450" r:id="rId4438" tooltip="Завантажити сертифікат" display="Завантажити сертифікат"/>
    <hyperlink ref="F4451" r:id="rId4439" tooltip="Завантажити сертифікат" display="Завантажити сертифікат"/>
    <hyperlink ref="F4452" r:id="rId4440" tooltip="Завантажити сертифікат" display="Завантажити сертифікат"/>
    <hyperlink ref="F4453" r:id="rId4441" tooltip="Завантажити сертифікат" display="Завантажити сертифікат"/>
    <hyperlink ref="F4454" r:id="rId4442" tooltip="Завантажити сертифікат" display="Завантажити сертифікат"/>
    <hyperlink ref="F4455" r:id="rId4443" tooltip="Завантажити сертифікат" display="Завантажити сертифікат"/>
    <hyperlink ref="F4456" r:id="rId4444" tooltip="Завантажити сертифікат" display="Завантажити сертифікат"/>
    <hyperlink ref="F4457" r:id="rId4445" tooltip="Завантажити сертифікат" display="Завантажити сертифікат"/>
    <hyperlink ref="F4458" r:id="rId4446" tooltip="Завантажити сертифікат" display="Завантажити сертифікат"/>
    <hyperlink ref="F4459" r:id="rId4447" tooltip="Завантажити сертифікат" display="Завантажити сертифікат"/>
    <hyperlink ref="F4460" r:id="rId4448" tooltip="Завантажити сертифікат" display="Завантажити сертифікат"/>
    <hyperlink ref="F4461" r:id="rId4449" tooltip="Завантажити сертифікат" display="Завантажити сертифікат"/>
    <hyperlink ref="F4462" r:id="rId4450" tooltip="Завантажити сертифікат" display="Завантажити сертифікат"/>
    <hyperlink ref="F4463" r:id="rId4451" tooltip="Завантажити сертифікат" display="Завантажити сертифікат"/>
    <hyperlink ref="F4464" r:id="rId4452" tooltip="Завантажити сертифікат" display="Завантажити сертифікат"/>
    <hyperlink ref="F4465" r:id="rId4453" tooltip="Завантажити сертифікат" display="Завантажити сертифікат"/>
    <hyperlink ref="F4466" r:id="rId4454" tooltip="Завантажити сертифікат" display="Завантажити сертифікат"/>
    <hyperlink ref="F4467" r:id="rId4455" tooltip="Завантажити сертифікат" display="Завантажити сертифікат"/>
    <hyperlink ref="F4468" r:id="rId4456" tooltip="Завантажити сертифікат" display="Завантажити сертифікат"/>
    <hyperlink ref="F4469" r:id="rId4457" tooltip="Завантажити сертифікат" display="Завантажити сертифікат"/>
    <hyperlink ref="F4470" r:id="rId4458" tooltip="Завантажити сертифікат" display="Завантажити сертифікат"/>
    <hyperlink ref="F4471" r:id="rId4459" tooltip="Завантажити сертифікат" display="Завантажити сертифікат"/>
    <hyperlink ref="F4472" r:id="rId4460" tooltip="Завантажити сертифікат" display="Завантажити сертифікат"/>
    <hyperlink ref="F4473" r:id="rId4461" tooltip="Завантажити сертифікат" display="Завантажити сертифікат"/>
    <hyperlink ref="F4474" r:id="rId4462" tooltip="Завантажити сертифікат" display="Завантажити сертифікат"/>
    <hyperlink ref="F4475" r:id="rId4463" tooltip="Завантажити сертифікат" display="Завантажити сертифікат"/>
    <hyperlink ref="F4476" r:id="rId4464" tooltip="Завантажити сертифікат" display="Завантажити сертифікат"/>
    <hyperlink ref="F4477" r:id="rId4465" tooltip="Завантажити сертифікат" display="Завантажити сертифікат"/>
    <hyperlink ref="F4478" r:id="rId4466" tooltip="Завантажити сертифікат" display="Завантажити сертифікат"/>
    <hyperlink ref="F4479" r:id="rId4467" tooltip="Завантажити сертифікат" display="Завантажити сертифікат"/>
    <hyperlink ref="F4480" r:id="rId4468" tooltip="Завантажити сертифікат" display="Завантажити сертифікат"/>
    <hyperlink ref="F4481" r:id="rId4469" tooltip="Завантажити сертифікат" display="Завантажити сертифікат"/>
    <hyperlink ref="F4482" r:id="rId4470" tooltip="Завантажити сертифікат" display="Завантажити сертифікат"/>
    <hyperlink ref="F4483" r:id="rId4471" tooltip="Завантажити сертифікат" display="Завантажити сертифікат"/>
    <hyperlink ref="F4484" r:id="rId4472" tooltip="Завантажити сертифікат" display="Завантажити сертифікат"/>
    <hyperlink ref="F4485" r:id="rId4473" tooltip="Завантажити сертифікат" display="Завантажити сертифікат"/>
    <hyperlink ref="F4486" r:id="rId4474" tooltip="Завантажити сертифікат" display="Завантажити сертифікат"/>
    <hyperlink ref="F4487" r:id="rId4475" tooltip="Завантажити сертифікат" display="Завантажити сертифікат"/>
    <hyperlink ref="F4488" r:id="rId4476" tooltip="Завантажити сертифікат" display="Завантажити сертифікат"/>
    <hyperlink ref="F4489" r:id="rId4477" tooltip="Завантажити сертифікат" display="Завантажити сертифікат"/>
    <hyperlink ref="F4490" r:id="rId4478" tooltip="Завантажити сертифікат" display="Завантажити сертифікат"/>
    <hyperlink ref="F4491" r:id="rId4479" tooltip="Завантажити сертифікат" display="Завантажити сертифікат"/>
    <hyperlink ref="F4492" r:id="rId4480" tooltip="Завантажити сертифікат" display="Завантажити сертифікат"/>
    <hyperlink ref="F4493" r:id="rId4481" tooltip="Завантажити сертифікат" display="Завантажити сертифікат"/>
    <hyperlink ref="F4494" r:id="rId4482" tooltip="Завантажити сертифікат" display="Завантажити сертифікат"/>
    <hyperlink ref="F4495" r:id="rId4483" tooltip="Завантажити сертифікат" display="Завантажити сертифікат"/>
    <hyperlink ref="F4496" r:id="rId4484" tooltip="Завантажити сертифікат" display="Завантажити сертифікат"/>
    <hyperlink ref="F4497" r:id="rId4485" tooltip="Завантажити сертифікат" display="Завантажити сертифікат"/>
    <hyperlink ref="F4498" r:id="rId4486" tooltip="Завантажити сертифікат" display="Завантажити сертифікат"/>
    <hyperlink ref="F4499" r:id="rId4487" tooltip="Завантажити сертифікат" display="Завантажити сертифікат"/>
    <hyperlink ref="F4500" r:id="rId4488" tooltip="Завантажити сертифікат" display="Завантажити сертифікат"/>
    <hyperlink ref="F4501" r:id="rId4489" tooltip="Завантажити сертифікат" display="Завантажити сертифікат"/>
    <hyperlink ref="F4502" r:id="rId4490" tooltip="Завантажити сертифікат" display="Завантажити сертифікат"/>
    <hyperlink ref="F4503" r:id="rId4491" tooltip="Завантажити сертифікат" display="Завантажити сертифікат"/>
    <hyperlink ref="F4504" r:id="rId4492" tooltip="Завантажити сертифікат" display="Завантажити сертифікат"/>
    <hyperlink ref="F4505" r:id="rId4493" tooltip="Завантажити сертифікат" display="Завантажити сертифікат"/>
    <hyperlink ref="F4506" r:id="rId4494" tooltip="Завантажити сертифікат" display="Завантажити сертифікат"/>
    <hyperlink ref="F4507" r:id="rId4495" tooltip="Завантажити сертифікат" display="Завантажити сертифікат"/>
    <hyperlink ref="F4508" r:id="rId4496" tooltip="Завантажити сертифікат" display="Завантажити сертифікат"/>
    <hyperlink ref="F4509" r:id="rId4497" tooltip="Завантажити сертифікат" display="Завантажити сертифікат"/>
    <hyperlink ref="F4510" r:id="rId4498" tooltip="Завантажити сертифікат" display="Завантажити сертифікат"/>
    <hyperlink ref="F4511" r:id="rId4499" tooltip="Завантажити сертифікат" display="Завантажити сертифікат"/>
    <hyperlink ref="F4512" r:id="rId4500" tooltip="Завантажити сертифікат" display="Завантажити сертифікат"/>
    <hyperlink ref="F4513" r:id="rId4501" tooltip="Завантажити сертифікат" display="Завантажити сертифікат"/>
    <hyperlink ref="F4514" r:id="rId4502" tooltip="Завантажити сертифікат" display="Завантажити сертифікат"/>
    <hyperlink ref="F4515" r:id="rId4503" tooltip="Завантажити сертифікат" display="Завантажити сертифікат"/>
    <hyperlink ref="F4516" r:id="rId4504" tooltip="Завантажити сертифікат" display="Завантажити сертифікат"/>
    <hyperlink ref="F4517" r:id="rId4505" tooltip="Завантажити сертифікат" display="Завантажити сертифікат"/>
    <hyperlink ref="F4518" r:id="rId4506" tooltip="Завантажити сертифікат" display="Завантажити сертифікат"/>
    <hyperlink ref="F4519" r:id="rId4507" tooltip="Завантажити сертифікат" display="Завантажити сертифікат"/>
    <hyperlink ref="F4520" r:id="rId4508" tooltip="Завантажити сертифікат" display="Завантажити сертифікат"/>
    <hyperlink ref="F4521" r:id="rId4509" tooltip="Завантажити сертифікат" display="Завантажити сертифікат"/>
    <hyperlink ref="F4522" r:id="rId4510" tooltip="Завантажити сертифікат" display="Завантажити сертифікат"/>
    <hyperlink ref="F4523" r:id="rId4511" tooltip="Завантажити сертифікат" display="Завантажити сертифікат"/>
    <hyperlink ref="F4524" r:id="rId4512" tooltip="Завантажити сертифікат" display="Завантажити сертифікат"/>
    <hyperlink ref="F4525" r:id="rId4513" tooltip="Завантажити сертифікат" display="Завантажити сертифікат"/>
    <hyperlink ref="F4526" r:id="rId4514" tooltip="Завантажити сертифікат" display="Завантажити сертифікат"/>
    <hyperlink ref="F4527" r:id="rId4515" tooltip="Завантажити сертифікат" display="Завантажити сертифікат"/>
    <hyperlink ref="F4528" r:id="rId4516" tooltip="Завантажити сертифікат" display="Завантажити сертифікат"/>
    <hyperlink ref="F4529" r:id="rId4517" tooltip="Завантажити сертифікат" display="Завантажити сертифікат"/>
    <hyperlink ref="F4530" r:id="rId4518" tooltip="Завантажити сертифікат" display="Завантажити сертифікат"/>
    <hyperlink ref="F4531" r:id="rId4519" tooltip="Завантажити сертифікат" display="Завантажити сертифікат"/>
    <hyperlink ref="F4532" r:id="rId4520" tooltip="Завантажити сертифікат" display="Завантажити сертифікат"/>
    <hyperlink ref="F4533" r:id="rId4521" tooltip="Завантажити сертифікат" display="Завантажити сертифікат"/>
    <hyperlink ref="F4534" r:id="rId4522" tooltip="Завантажити сертифікат" display="Завантажити сертифікат"/>
    <hyperlink ref="F4535" r:id="rId4523" tooltip="Завантажити сертифікат" display="Завантажити сертифікат"/>
    <hyperlink ref="F4536" r:id="rId4524" tooltip="Завантажити сертифікат" display="Завантажити сертифікат"/>
    <hyperlink ref="F4537" r:id="rId4525" tooltip="Завантажити сертифікат" display="Завантажити сертифікат"/>
    <hyperlink ref="F4538" r:id="rId4526" tooltip="Завантажити сертифікат" display="Завантажити сертифікат"/>
    <hyperlink ref="F4539" r:id="rId4527" tooltip="Завантажити сертифікат" display="Завантажити сертифікат"/>
    <hyperlink ref="F4540" r:id="rId4528" tooltip="Завантажити сертифікат" display="Завантажити сертифікат"/>
    <hyperlink ref="F4541" r:id="rId4529" tooltip="Завантажити сертифікат" display="Завантажити сертифікат"/>
    <hyperlink ref="F4542" r:id="rId4530" tooltip="Завантажити сертифікат" display="Завантажити сертифікат"/>
    <hyperlink ref="F4543" r:id="rId4531" tooltip="Завантажити сертифікат" display="Завантажити сертифікат"/>
    <hyperlink ref="F4544" r:id="rId4532" tooltip="Завантажити сертифікат" display="Завантажити сертифікат"/>
    <hyperlink ref="F4545" r:id="rId4533" tooltip="Завантажити сертифікат" display="Завантажити сертифікат"/>
    <hyperlink ref="F4546" r:id="rId4534" tooltip="Завантажити сертифікат" display="Завантажити сертифікат"/>
    <hyperlink ref="F4547" r:id="rId4535" tooltip="Завантажити сертифікат" display="Завантажити сертифікат"/>
    <hyperlink ref="F4548" r:id="rId4536" tooltip="Завантажити сертифікат" display="Завантажити сертифікат"/>
    <hyperlink ref="F4549" r:id="rId4537" tooltip="Завантажити сертифікат" display="Завантажити сертифікат"/>
    <hyperlink ref="F4550" r:id="rId4538" tooltip="Завантажити сертифікат" display="Завантажити сертифікат"/>
    <hyperlink ref="F4551" r:id="rId4539" tooltip="Завантажити сертифікат" display="Завантажити сертифікат"/>
    <hyperlink ref="F4552" r:id="rId4540" tooltip="Завантажити сертифікат" display="Завантажити сертифікат"/>
    <hyperlink ref="F4553" r:id="rId4541" tooltip="Завантажити сертифікат" display="Завантажити сертифікат"/>
    <hyperlink ref="F4554" r:id="rId4542" tooltip="Завантажити сертифікат" display="Завантажити сертифікат"/>
    <hyperlink ref="F4555" r:id="rId4543" tooltip="Завантажити сертифікат" display="Завантажити сертифікат"/>
    <hyperlink ref="F4556" r:id="rId4544" tooltip="Завантажити сертифікат" display="Завантажити сертифікат"/>
    <hyperlink ref="F4557" r:id="rId4545" tooltip="Завантажити сертифікат" display="Завантажити сертифікат"/>
    <hyperlink ref="F4558" r:id="rId4546" tooltip="Завантажити сертифікат" display="Завантажити сертифікат"/>
    <hyperlink ref="F4559" r:id="rId4547" tooltip="Завантажити сертифікат" display="Завантажити сертифікат"/>
    <hyperlink ref="F4560" r:id="rId4548" tooltip="Завантажити сертифікат" display="Завантажити сертифікат"/>
    <hyperlink ref="F4561" r:id="rId4549" tooltip="Завантажити сертифікат" display="Завантажити сертифікат"/>
    <hyperlink ref="F4562" r:id="rId4550" tooltip="Завантажити сертифікат" display="Завантажити сертифікат"/>
    <hyperlink ref="F4563" r:id="rId4551" tooltip="Завантажити сертифікат" display="Завантажити сертифікат"/>
    <hyperlink ref="F4564" r:id="rId4552" tooltip="Завантажити сертифікат" display="Завантажити сертифікат"/>
    <hyperlink ref="F4565" r:id="rId4553" tooltip="Завантажити сертифікат" display="Завантажити сертифікат"/>
    <hyperlink ref="F4566" r:id="rId4554" tooltip="Завантажити сертифікат" display="Завантажити сертифікат"/>
    <hyperlink ref="F4567" r:id="rId4555" tooltip="Завантажити сертифікат" display="Завантажити сертифікат"/>
    <hyperlink ref="F4568" r:id="rId4556" tooltip="Завантажити сертифікат" display="Завантажити сертифікат"/>
    <hyperlink ref="F4569" r:id="rId4557" tooltip="Завантажити сертифікат" display="Завантажити сертифікат"/>
    <hyperlink ref="F4570" r:id="rId4558" tooltip="Завантажити сертифікат" display="Завантажити сертифікат"/>
    <hyperlink ref="F4571" r:id="rId4559" tooltip="Завантажити сертифікат" display="Завантажити сертифікат"/>
    <hyperlink ref="F4572" r:id="rId4560" tooltip="Завантажити сертифікат" display="Завантажити сертифікат"/>
    <hyperlink ref="F4573" r:id="rId4561" tooltip="Завантажити сертифікат" display="Завантажити сертифікат"/>
    <hyperlink ref="F4574" r:id="rId4562" tooltip="Завантажити сертифікат" display="Завантажити сертифікат"/>
    <hyperlink ref="F4575" r:id="rId4563" tooltip="Завантажити сертифікат" display="Завантажити сертифікат"/>
    <hyperlink ref="F4576" r:id="rId4564" tooltip="Завантажити сертифікат" display="Завантажити сертифікат"/>
    <hyperlink ref="F4577" r:id="rId4565" tooltip="Завантажити сертифікат" display="Завантажити сертифікат"/>
    <hyperlink ref="F4578" r:id="rId4566" tooltip="Завантажити сертифікат" display="Завантажити сертифікат"/>
    <hyperlink ref="F4579" r:id="rId4567" tooltip="Завантажити сертифікат" display="Завантажити сертифікат"/>
    <hyperlink ref="F4580" r:id="rId4568" tooltip="Завантажити сертифікат" display="Завантажити сертифікат"/>
    <hyperlink ref="F4581" r:id="rId4569" tooltip="Завантажити сертифікат" display="Завантажити сертифікат"/>
    <hyperlink ref="F4582" r:id="rId4570" tooltip="Завантажити сертифікат" display="Завантажити сертифікат"/>
    <hyperlink ref="F4583" r:id="rId4571" tooltip="Завантажити сертифікат" display="Завантажити сертифікат"/>
    <hyperlink ref="F4584" r:id="rId4572" tooltip="Завантажити сертифікат" display="Завантажити сертифікат"/>
    <hyperlink ref="F4585" r:id="rId4573" tooltip="Завантажити сертифікат" display="Завантажити сертифікат"/>
    <hyperlink ref="F4586" r:id="rId4574" tooltip="Завантажити сертифікат" display="Завантажити сертифікат"/>
    <hyperlink ref="F4587" r:id="rId4575" tooltip="Завантажити сертифікат" display="Завантажити сертифікат"/>
    <hyperlink ref="F4588" r:id="rId4576" tooltip="Завантажити сертифікат" display="Завантажити сертифікат"/>
    <hyperlink ref="F4589" r:id="rId4577" tooltip="Завантажити сертифікат" display="Завантажити сертифікат"/>
    <hyperlink ref="F4590" r:id="rId4578" tooltip="Завантажити сертифікат" display="Завантажити сертифікат"/>
    <hyperlink ref="F4591" r:id="rId4579" tooltip="Завантажити сертифікат" display="Завантажити сертифікат"/>
    <hyperlink ref="F4592" r:id="rId4580" tooltip="Завантажити сертифікат" display="Завантажити сертифікат"/>
    <hyperlink ref="F4593" r:id="rId4581" tooltip="Завантажити сертифікат" display="Завантажити сертифікат"/>
    <hyperlink ref="F4594" r:id="rId4582" tooltip="Завантажити сертифікат" display="Завантажити сертифікат"/>
    <hyperlink ref="F4595" r:id="rId4583" tooltip="Завантажити сертифікат" display="Завантажити сертифікат"/>
    <hyperlink ref="F4596" r:id="rId4584" tooltip="Завантажити сертифікат" display="Завантажити сертифікат"/>
    <hyperlink ref="F4597" r:id="rId4585" tooltip="Завантажити сертифікат" display="Завантажити сертифікат"/>
    <hyperlink ref="F4598" r:id="rId4586" tooltip="Завантажити сертифікат" display="Завантажити сертифікат"/>
    <hyperlink ref="F4599" r:id="rId4587" tooltip="Завантажити сертифікат" display="Завантажити сертифікат"/>
    <hyperlink ref="F4600" r:id="rId4588" tooltip="Завантажити сертифікат" display="Завантажити сертифікат"/>
    <hyperlink ref="F4601" r:id="rId4589" tooltip="Завантажити сертифікат" display="Завантажити сертифікат"/>
    <hyperlink ref="F4602" r:id="rId4590" tooltip="Завантажити сертифікат" display="Завантажити сертифікат"/>
    <hyperlink ref="F4603" r:id="rId4591" tooltip="Завантажити сертифікат" display="Завантажити сертифікат"/>
    <hyperlink ref="F4604" r:id="rId4592" tooltip="Завантажити сертифікат" display="Завантажити сертифікат"/>
    <hyperlink ref="F4605" r:id="rId4593" tooltip="Завантажити сертифікат" display="Завантажити сертифікат"/>
    <hyperlink ref="F4606" r:id="rId4594" tooltip="Завантажити сертифікат" display="Завантажити сертифікат"/>
    <hyperlink ref="F4607" r:id="rId4595" tooltip="Завантажити сертифікат" display="Завантажити сертифікат"/>
    <hyperlink ref="F4608" r:id="rId4596" tooltip="Завантажити сертифікат" display="Завантажити сертифікат"/>
    <hyperlink ref="F4609" r:id="rId4597" tooltip="Завантажити сертифікат" display="Завантажити сертифікат"/>
    <hyperlink ref="F4610" r:id="rId4598" tooltip="Завантажити сертифікат" display="Завантажити сертифікат"/>
    <hyperlink ref="F4611" r:id="rId4599" tooltip="Завантажити сертифікат" display="Завантажити сертифікат"/>
    <hyperlink ref="F4612" r:id="rId4600" tooltip="Завантажити сертифікат" display="Завантажити сертифікат"/>
    <hyperlink ref="F4613" r:id="rId4601" tooltip="Завантажити сертифікат" display="Завантажити сертифікат"/>
    <hyperlink ref="F4614" r:id="rId4602" tooltip="Завантажити сертифікат" display="Завантажити сертифікат"/>
    <hyperlink ref="F4615" r:id="rId4603" tooltip="Завантажити сертифікат" display="Завантажити сертифікат"/>
    <hyperlink ref="F4616" r:id="rId4604" tooltip="Завантажити сертифікат" display="Завантажити сертифікат"/>
    <hyperlink ref="F4617" r:id="rId4605" tooltip="Завантажити сертифікат" display="Завантажити сертифікат"/>
    <hyperlink ref="F4618" r:id="rId4606" tooltip="Завантажити сертифікат" display="Завантажити сертифікат"/>
    <hyperlink ref="F4619" r:id="rId4607" tooltip="Завантажити сертифікат" display="Завантажити сертифікат"/>
    <hyperlink ref="F4620" r:id="rId4608" tooltip="Завантажити сертифікат" display="Завантажити сертифікат"/>
    <hyperlink ref="F4621" r:id="rId4609" tooltip="Завантажити сертифікат" display="Завантажити сертифікат"/>
    <hyperlink ref="F4622" r:id="rId4610" tooltip="Завантажити сертифікат" display="Завантажити сертифікат"/>
    <hyperlink ref="F4623" r:id="rId4611" tooltip="Завантажити сертифікат" display="Завантажити сертифікат"/>
    <hyperlink ref="F4624" r:id="rId4612" tooltip="Завантажити сертифікат" display="Завантажити сертифікат"/>
    <hyperlink ref="F4625" r:id="rId4613" tooltip="Завантажити сертифікат" display="Завантажити сертифікат"/>
    <hyperlink ref="F4626" r:id="rId4614" tooltip="Завантажити сертифікат" display="Завантажити сертифікат"/>
    <hyperlink ref="F4627" r:id="rId4615" tooltip="Завантажити сертифікат" display="Завантажити сертифікат"/>
    <hyperlink ref="F4628" r:id="rId4616" tooltip="Завантажити сертифікат" display="Завантажити сертифікат"/>
    <hyperlink ref="F4629" r:id="rId4617" tooltip="Завантажити сертифікат" display="Завантажити сертифікат"/>
    <hyperlink ref="F4630" r:id="rId4618" tooltip="Завантажити сертифікат" display="Завантажити сертифікат"/>
    <hyperlink ref="F4631" r:id="rId4619" tooltip="Завантажити сертифікат" display="Завантажити сертифікат"/>
    <hyperlink ref="F4632" r:id="rId4620" tooltip="Завантажити сертифікат" display="Завантажити сертифікат"/>
    <hyperlink ref="F4633" r:id="rId4621" tooltip="Завантажити сертифікат" display="Завантажити сертифікат"/>
    <hyperlink ref="F4634" r:id="rId4622" tooltip="Завантажити сертифікат" display="Завантажити сертифікат"/>
    <hyperlink ref="F4635" r:id="rId4623" tooltip="Завантажити сертифікат" display="Завантажити сертифікат"/>
    <hyperlink ref="F4636" r:id="rId4624" tooltip="Завантажити сертифікат" display="Завантажити сертифікат"/>
    <hyperlink ref="F4637" r:id="rId4625" tooltip="Завантажити сертифікат" display="Завантажити сертифікат"/>
    <hyperlink ref="F4638" r:id="rId4626" tooltip="Завантажити сертифікат" display="Завантажити сертифікат"/>
    <hyperlink ref="F4639" r:id="rId4627" tooltip="Завантажити сертифікат" display="Завантажити сертифікат"/>
    <hyperlink ref="F4640" r:id="rId4628" tooltip="Завантажити сертифікат" display="Завантажити сертифікат"/>
    <hyperlink ref="F4641" r:id="rId4629" tooltip="Завантажити сертифікат" display="Завантажити сертифікат"/>
    <hyperlink ref="F4642" r:id="rId4630" tooltip="Завантажити сертифікат" display="Завантажити сертифікат"/>
    <hyperlink ref="F4643" r:id="rId4631" tooltip="Завантажити сертифікат" display="Завантажити сертифікат"/>
    <hyperlink ref="F4644" r:id="rId4632" tooltip="Завантажити сертифікат" display="Завантажити сертифікат"/>
    <hyperlink ref="F4645" r:id="rId4633" tooltip="Завантажити сертифікат" display="Завантажити сертифікат"/>
    <hyperlink ref="F4646" r:id="rId4634" tooltip="Завантажити сертифікат" display="Завантажити сертифікат"/>
    <hyperlink ref="F4647" r:id="rId4635" tooltip="Завантажити сертифікат" display="Завантажити сертифікат"/>
    <hyperlink ref="F4648" r:id="rId4636" tooltip="Завантажити сертифікат" display="Завантажити сертифікат"/>
    <hyperlink ref="F4649" r:id="rId4637" tooltip="Завантажити сертифікат" display="Завантажити сертифікат"/>
    <hyperlink ref="F4650" r:id="rId4638" tooltip="Завантажити сертифікат" display="Завантажити сертифікат"/>
    <hyperlink ref="F4651" r:id="rId4639" tooltip="Завантажити сертифікат" display="Завантажити сертифікат"/>
    <hyperlink ref="F4652" r:id="rId4640" tooltip="Завантажити сертифікат" display="Завантажити сертифікат"/>
    <hyperlink ref="F4653" r:id="rId4641" tooltip="Завантажити сертифікат" display="Завантажити сертифікат"/>
    <hyperlink ref="F4654" r:id="rId4642" tooltip="Завантажити сертифікат" display="Завантажити сертифікат"/>
    <hyperlink ref="F4655" r:id="rId4643" tooltip="Завантажити сертифікат" display="Завантажити сертифікат"/>
    <hyperlink ref="F4656" r:id="rId4644" tooltip="Завантажити сертифікат" display="Завантажити сертифікат"/>
    <hyperlink ref="F4657" r:id="rId4645" tooltip="Завантажити сертифікат" display="Завантажити сертифікат"/>
    <hyperlink ref="F4658" r:id="rId4646" tooltip="Завантажити сертифікат" display="Завантажити сертифікат"/>
    <hyperlink ref="F4659" r:id="rId4647" tooltip="Завантажити сертифікат" display="Завантажити сертифікат"/>
    <hyperlink ref="F4660" r:id="rId4648" tooltip="Завантажити сертифікат" display="Завантажити сертифікат"/>
    <hyperlink ref="F4661" r:id="rId4649" tooltip="Завантажити сертифікат" display="Завантажити сертифікат"/>
    <hyperlink ref="F4662" r:id="rId4650" tooltip="Завантажити сертифікат" display="Завантажити сертифікат"/>
    <hyperlink ref="F4663" r:id="rId4651" tooltip="Завантажити сертифікат" display="Завантажити сертифікат"/>
    <hyperlink ref="F4664" r:id="rId4652" tooltip="Завантажити сертифікат" display="Завантажити сертифікат"/>
    <hyperlink ref="F4665" r:id="rId4653" tooltip="Завантажити сертифікат" display="Завантажити сертифікат"/>
    <hyperlink ref="F4666" r:id="rId4654" tooltip="Завантажити сертифікат" display="Завантажити сертифікат"/>
    <hyperlink ref="F4667" r:id="rId4655" tooltip="Завантажити сертифікат" display="Завантажити сертифікат"/>
    <hyperlink ref="F4668" r:id="rId4656" tooltip="Завантажити сертифікат" display="Завантажити сертифікат"/>
    <hyperlink ref="F4669" r:id="rId4657" tooltip="Завантажити сертифікат" display="Завантажити сертифікат"/>
    <hyperlink ref="F4670" r:id="rId4658" tooltip="Завантажити сертифікат" display="Завантажити сертифікат"/>
    <hyperlink ref="F4671" r:id="rId4659" tooltip="Завантажити сертифікат" display="Завантажити сертифікат"/>
    <hyperlink ref="F4672" r:id="rId4660" tooltip="Завантажити сертифікат" display="Завантажити сертифікат"/>
    <hyperlink ref="F4673" r:id="rId4661" tooltip="Завантажити сертифікат" display="Завантажити сертифікат"/>
    <hyperlink ref="F4674" r:id="rId4662" tooltip="Завантажити сертифікат" display="Завантажити сертифікат"/>
    <hyperlink ref="F4675" r:id="rId4663" tooltip="Завантажити сертифікат" display="Завантажити сертифікат"/>
    <hyperlink ref="F4676" r:id="rId4664" tooltip="Завантажити сертифікат" display="Завантажити сертифікат"/>
    <hyperlink ref="F4677" r:id="rId4665" tooltip="Завантажити сертифікат" display="Завантажити сертифікат"/>
    <hyperlink ref="F4678" r:id="rId4666" tooltip="Завантажити сертифікат" display="Завантажити сертифікат"/>
    <hyperlink ref="F4679" r:id="rId4667" tooltip="Завантажити сертифікат" display="Завантажити сертифікат"/>
    <hyperlink ref="F4680" r:id="rId4668" tooltip="Завантажити сертифікат" display="Завантажити сертифікат"/>
    <hyperlink ref="F4681" r:id="rId4669" tooltip="Завантажити сертифікат" display="Завантажити сертифікат"/>
    <hyperlink ref="F4682" r:id="rId4670" tooltip="Завантажити сертифікат" display="Завантажити сертифікат"/>
    <hyperlink ref="F4683" r:id="rId4671" tooltip="Завантажити сертифікат" display="Завантажити сертифікат"/>
    <hyperlink ref="F4684" r:id="rId4672" tooltip="Завантажити сертифікат" display="Завантажити сертифікат"/>
    <hyperlink ref="F4685" r:id="rId4673" tooltip="Завантажити сертифікат" display="Завантажити сертифікат"/>
    <hyperlink ref="F4686" r:id="rId4674" tooltip="Завантажити сертифікат" display="Завантажити сертифікат"/>
    <hyperlink ref="F4687" r:id="rId4675" tooltip="Завантажити сертифікат" display="Завантажити сертифікат"/>
    <hyperlink ref="F4688" r:id="rId4676" tooltip="Завантажити сертифікат" display="Завантажити сертифікат"/>
    <hyperlink ref="F4689" r:id="rId4677" tooltip="Завантажити сертифікат" display="Завантажити сертифікат"/>
    <hyperlink ref="F4690" r:id="rId4678" tooltip="Завантажити сертифікат" display="Завантажити сертифікат"/>
    <hyperlink ref="F4691" r:id="rId4679" tooltip="Завантажити сертифікат" display="Завантажити сертифікат"/>
    <hyperlink ref="F4692" r:id="rId4680" tooltip="Завантажити сертифікат" display="Завантажити сертифікат"/>
    <hyperlink ref="F4693" r:id="rId4681" tooltip="Завантажити сертифікат" display="Завантажити сертифікат"/>
    <hyperlink ref="F4694" r:id="rId4682" tooltip="Завантажити сертифікат" display="Завантажити сертифікат"/>
    <hyperlink ref="F4695" r:id="rId4683" tooltip="Завантажити сертифікат" display="Завантажити сертифікат"/>
    <hyperlink ref="F4696" r:id="rId4684" tooltip="Завантажити сертифікат" display="Завантажити сертифікат"/>
    <hyperlink ref="F4697" r:id="rId4685" tooltip="Завантажити сертифікат" display="Завантажити сертифікат"/>
    <hyperlink ref="F4698" r:id="rId4686" tooltip="Завантажити сертифікат" display="Завантажити сертифікат"/>
    <hyperlink ref="F4699" r:id="rId4687" tooltip="Завантажити сертифікат" display="Завантажити сертифікат"/>
    <hyperlink ref="F4700" r:id="rId4688" tooltip="Завантажити сертифікат" display="Завантажити сертифікат"/>
    <hyperlink ref="F4701" r:id="rId4689" tooltip="Завантажити сертифікат" display="Завантажити сертифікат"/>
    <hyperlink ref="F4702" r:id="rId4690" tooltip="Завантажити сертифікат" display="Завантажити сертифікат"/>
    <hyperlink ref="F4703" r:id="rId4691" tooltip="Завантажити сертифікат" display="Завантажити сертифікат"/>
    <hyperlink ref="F4704" r:id="rId4692" tooltip="Завантажити сертифікат" display="Завантажити сертифікат"/>
    <hyperlink ref="F4705" r:id="rId4693" tooltip="Завантажити сертифікат" display="Завантажити сертифікат"/>
    <hyperlink ref="F4706" r:id="rId4694" tooltip="Завантажити сертифікат" display="Завантажити сертифікат"/>
    <hyperlink ref="F4707" r:id="rId4695" tooltip="Завантажити сертифікат" display="Завантажити сертифікат"/>
    <hyperlink ref="F4708" r:id="rId4696" tooltip="Завантажити сертифікат" display="Завантажити сертифікат"/>
    <hyperlink ref="F4709" r:id="rId4697" tooltip="Завантажити сертифікат" display="Завантажити сертифікат"/>
    <hyperlink ref="F4710" r:id="rId4698" tooltip="Завантажити сертифікат" display="Завантажити сертифікат"/>
    <hyperlink ref="F4711" r:id="rId4699" tooltip="Завантажити сертифікат" display="Завантажити сертифікат"/>
    <hyperlink ref="F4712" r:id="rId4700" tooltip="Завантажити сертифікат" display="Завантажити сертифікат"/>
    <hyperlink ref="F4713" r:id="rId4701" tooltip="Завантажити сертифікат" display="Завантажити сертифікат"/>
    <hyperlink ref="F4714" r:id="rId4702" tooltip="Завантажити сертифікат" display="Завантажити сертифікат"/>
    <hyperlink ref="F4715" r:id="rId4703" tooltip="Завантажити сертифікат" display="Завантажити сертифікат"/>
    <hyperlink ref="F4716" r:id="rId4704" tooltip="Завантажити сертифікат" display="Завантажити сертифікат"/>
    <hyperlink ref="F4717" r:id="rId4705" tooltip="Завантажити сертифікат" display="Завантажити сертифікат"/>
    <hyperlink ref="F4718" r:id="rId4706" tooltip="Завантажити сертифікат" display="Завантажити сертифікат"/>
    <hyperlink ref="F4719" r:id="rId4707" tooltip="Завантажити сертифікат" display="Завантажити сертифікат"/>
    <hyperlink ref="F4720" r:id="rId4708" tooltip="Завантажити сертифікат" display="Завантажити сертифікат"/>
    <hyperlink ref="F4721" r:id="rId4709" tooltip="Завантажити сертифікат" display="Завантажити сертифікат"/>
    <hyperlink ref="F4722" r:id="rId4710" tooltip="Завантажити сертифікат" display="Завантажити сертифікат"/>
    <hyperlink ref="F4723" r:id="rId4711" tooltip="Завантажити сертифікат" display="Завантажити сертифікат"/>
    <hyperlink ref="F4724" r:id="rId4712" tooltip="Завантажити сертифікат" display="Завантажити сертифікат"/>
    <hyperlink ref="F4725" r:id="rId4713" tooltip="Завантажити сертифікат" display="Завантажити сертифікат"/>
    <hyperlink ref="F4726" r:id="rId4714" tooltip="Завантажити сертифікат" display="Завантажити сертифікат"/>
    <hyperlink ref="F4727" r:id="rId4715" tooltip="Завантажити сертифікат" display="Завантажити сертифікат"/>
    <hyperlink ref="F4728" r:id="rId4716" tooltip="Завантажити сертифікат" display="Завантажити сертифікат"/>
    <hyperlink ref="F4729" r:id="rId4717" tooltip="Завантажити сертифікат" display="Завантажити сертифікат"/>
    <hyperlink ref="F4730" r:id="rId4718" tooltip="Завантажити сертифікат" display="Завантажити сертифікат"/>
    <hyperlink ref="F4731" r:id="rId4719" tooltip="Завантажити сертифікат" display="Завантажити сертифікат"/>
    <hyperlink ref="F4732" r:id="rId4720" tooltip="Завантажити сертифікат" display="Завантажити сертифікат"/>
    <hyperlink ref="F4733" r:id="rId4721" tooltip="Завантажити сертифікат" display="Завантажити сертифікат"/>
    <hyperlink ref="F4734" r:id="rId4722" tooltip="Завантажити сертифікат" display="Завантажити сертифікат"/>
    <hyperlink ref="F4735" r:id="rId4723" tooltip="Завантажити сертифікат" display="Завантажити сертифікат"/>
    <hyperlink ref="F4736" r:id="rId4724" tooltip="Завантажити сертифікат" display="Завантажити сертифікат"/>
    <hyperlink ref="F4737" r:id="rId4725" tooltip="Завантажити сертифікат" display="Завантажити сертифікат"/>
    <hyperlink ref="F4738" r:id="rId4726" tooltip="Завантажити сертифікат" display="Завантажити сертифікат"/>
    <hyperlink ref="F4739" r:id="rId4727" tooltip="Завантажити сертифікат" display="Завантажити сертифікат"/>
    <hyperlink ref="F4740" r:id="rId4728" tooltip="Завантажити сертифікат" display="Завантажити сертифікат"/>
    <hyperlink ref="F4741" r:id="rId4729" tooltip="Завантажити сертифікат" display="Завантажити сертифікат"/>
    <hyperlink ref="F4742" r:id="rId4730" tooltip="Завантажити сертифікат" display="Завантажити сертифікат"/>
    <hyperlink ref="F4743" r:id="rId4731" tooltip="Завантажити сертифікат" display="Завантажити сертифікат"/>
    <hyperlink ref="F4744" r:id="rId4732" tooltip="Завантажити сертифікат" display="Завантажити сертифікат"/>
    <hyperlink ref="F4745" r:id="rId4733" tooltip="Завантажити сертифікат" display="Завантажити сертифікат"/>
    <hyperlink ref="F4746" r:id="rId4734" tooltip="Завантажити сертифікат" display="Завантажити сертифікат"/>
    <hyperlink ref="F4747" r:id="rId4735" tooltip="Завантажити сертифікат" display="Завантажити сертифікат"/>
    <hyperlink ref="F4748" r:id="rId4736" tooltip="Завантажити сертифікат" display="Завантажити сертифікат"/>
    <hyperlink ref="F4749" r:id="rId4737" tooltip="Завантажити сертифікат" display="Завантажити сертифікат"/>
    <hyperlink ref="F4750" r:id="rId4738" tooltip="Завантажити сертифікат" display="Завантажити сертифікат"/>
    <hyperlink ref="F4751" r:id="rId4739" tooltip="Завантажити сертифікат" display="Завантажити сертифікат"/>
    <hyperlink ref="F4752" r:id="rId4740" tooltip="Завантажити сертифікат" display="Завантажити сертифікат"/>
    <hyperlink ref="F4753" r:id="rId4741" tooltip="Завантажити сертифікат" display="Завантажити сертифікат"/>
    <hyperlink ref="F4754" r:id="rId4742" tooltip="Завантажити сертифікат" display="Завантажити сертифікат"/>
    <hyperlink ref="F4755" r:id="rId4743" tooltip="Завантажити сертифікат" display="Завантажити сертифікат"/>
    <hyperlink ref="F4756" r:id="rId4744" tooltip="Завантажити сертифікат" display="Завантажити сертифікат"/>
    <hyperlink ref="F4757" r:id="rId4745" tooltip="Завантажити сертифікат" display="Завантажити сертифікат"/>
    <hyperlink ref="F4758" r:id="rId4746" tooltip="Завантажити сертифікат" display="Завантажити сертифікат"/>
    <hyperlink ref="F4759" r:id="rId4747" tooltip="Завантажити сертифікат" display="Завантажити сертифікат"/>
    <hyperlink ref="F4760" r:id="rId4748" tooltip="Завантажити сертифікат" display="Завантажити сертифікат"/>
    <hyperlink ref="F4761" r:id="rId4749" tooltip="Завантажити сертифікат" display="Завантажити сертифікат"/>
    <hyperlink ref="F4762" r:id="rId4750" tooltip="Завантажити сертифікат" display="Завантажити сертифікат"/>
    <hyperlink ref="F4763" r:id="rId4751" tooltip="Завантажити сертифікат" display="Завантажити сертифікат"/>
    <hyperlink ref="F4764" r:id="rId4752" tooltip="Завантажити сертифікат" display="Завантажити сертифікат"/>
    <hyperlink ref="F4765" r:id="rId4753" tooltip="Завантажити сертифікат" display="Завантажити сертифікат"/>
    <hyperlink ref="F4766" r:id="rId4754" tooltip="Завантажити сертифікат" display="Завантажити сертифікат"/>
    <hyperlink ref="F4767" r:id="rId4755" tooltip="Завантажити сертифікат" display="Завантажити сертифікат"/>
    <hyperlink ref="F4768" r:id="rId4756" tooltip="Завантажити сертифікат" display="Завантажити сертифікат"/>
    <hyperlink ref="F4769" r:id="rId4757" tooltip="Завантажити сертифікат" display="Завантажити сертифікат"/>
    <hyperlink ref="F4770" r:id="rId4758" tooltip="Завантажити сертифікат" display="Завантажити сертифікат"/>
    <hyperlink ref="F4771" r:id="rId4759" tooltip="Завантажити сертифікат" display="Завантажити сертифікат"/>
    <hyperlink ref="F4772" r:id="rId4760" tooltip="Завантажити сертифікат" display="Завантажити сертифікат"/>
    <hyperlink ref="F4773" r:id="rId4761" tooltip="Завантажити сертифікат" display="Завантажити сертифікат"/>
    <hyperlink ref="F4774" r:id="rId4762" tooltip="Завантажити сертифікат" display="Завантажити сертифікат"/>
    <hyperlink ref="F4775" r:id="rId4763" tooltip="Завантажити сертифікат" display="Завантажити сертифікат"/>
    <hyperlink ref="F4776" r:id="rId4764" tooltip="Завантажити сертифікат" display="Завантажити сертифікат"/>
    <hyperlink ref="F4777" r:id="rId4765" tooltip="Завантажити сертифікат" display="Завантажити сертифікат"/>
    <hyperlink ref="F4778" r:id="rId4766" tooltip="Завантажити сертифікат" display="Завантажити сертифікат"/>
    <hyperlink ref="F4779" r:id="rId4767" tooltip="Завантажити сертифікат" display="Завантажити сертифікат"/>
    <hyperlink ref="F4780" r:id="rId4768" tooltip="Завантажити сертифікат" display="Завантажити сертифікат"/>
    <hyperlink ref="F4781" r:id="rId4769" tooltip="Завантажити сертифікат" display="Завантажити сертифікат"/>
    <hyperlink ref="F4782" r:id="rId4770" tooltip="Завантажити сертифікат" display="Завантажити сертифікат"/>
    <hyperlink ref="F4783" r:id="rId4771" tooltip="Завантажити сертифікат" display="Завантажити сертифікат"/>
    <hyperlink ref="F4784" r:id="rId4772" tooltip="Завантажити сертифікат" display="Завантажити сертифікат"/>
    <hyperlink ref="F4785" r:id="rId4773" tooltip="Завантажити сертифікат" display="Завантажити сертифікат"/>
    <hyperlink ref="F4786" r:id="rId4774" tooltip="Завантажити сертифікат" display="Завантажити сертифікат"/>
    <hyperlink ref="F4787" r:id="rId4775" tooltip="Завантажити сертифікат" display="Завантажити сертифікат"/>
    <hyperlink ref="F4788" r:id="rId4776" tooltip="Завантажити сертифікат" display="Завантажити сертифікат"/>
    <hyperlink ref="F4789" r:id="rId4777" tooltip="Завантажити сертифікат" display="Завантажити сертифікат"/>
    <hyperlink ref="F4790" r:id="rId4778" tooltip="Завантажити сертифікат" display="Завантажити сертифікат"/>
    <hyperlink ref="F4791" r:id="rId4779" tooltip="Завантажити сертифікат" display="Завантажити сертифікат"/>
    <hyperlink ref="F4792" r:id="rId4780" tooltip="Завантажити сертифікат" display="Завантажити сертифікат"/>
    <hyperlink ref="F4793" r:id="rId4781" tooltip="Завантажити сертифікат" display="Завантажити сертифікат"/>
    <hyperlink ref="F4794" r:id="rId4782" tooltip="Завантажити сертифікат" display="Завантажити сертифікат"/>
    <hyperlink ref="F4795" r:id="rId4783" tooltip="Завантажити сертифікат" display="Завантажити сертифікат"/>
    <hyperlink ref="F4796" r:id="rId4784" tooltip="Завантажити сертифікат" display="Завантажити сертифікат"/>
    <hyperlink ref="F4797" r:id="rId4785" tooltip="Завантажити сертифікат" display="Завантажити сертифікат"/>
    <hyperlink ref="F4798" r:id="rId4786" tooltip="Завантажити сертифікат" display="Завантажити сертифікат"/>
    <hyperlink ref="F4799" r:id="rId4787" tooltip="Завантажити сертифікат" display="Завантажити сертифікат"/>
    <hyperlink ref="F4800" r:id="rId4788" tooltip="Завантажити сертифікат" display="Завантажити сертифікат"/>
    <hyperlink ref="F4801" r:id="rId4789" tooltip="Завантажити сертифікат" display="Завантажити сертифікат"/>
    <hyperlink ref="F4802" r:id="rId4790" tooltip="Завантажити сертифікат" display="Завантажити сертифікат"/>
    <hyperlink ref="F4803" r:id="rId4791" tooltip="Завантажити сертифікат" display="Завантажити сертифікат"/>
    <hyperlink ref="F4804" r:id="rId4792" tooltip="Завантажити сертифікат" display="Завантажити сертифікат"/>
    <hyperlink ref="F4805" r:id="rId4793" tooltip="Завантажити сертифікат" display="Завантажити сертифікат"/>
    <hyperlink ref="F4806" r:id="rId4794" tooltip="Завантажити сертифікат" display="Завантажити сертифікат"/>
    <hyperlink ref="F4807" r:id="rId4795" tooltip="Завантажити сертифікат" display="Завантажити сертифікат"/>
    <hyperlink ref="F4808" r:id="rId4796" tooltip="Завантажити сертифікат" display="Завантажити сертифікат"/>
    <hyperlink ref="F4809" r:id="rId4797" tooltip="Завантажити сертифікат" display="Завантажити сертифікат"/>
    <hyperlink ref="F4810" r:id="rId4798" tooltip="Завантажити сертифікат" display="Завантажити сертифікат"/>
    <hyperlink ref="F4811" r:id="rId4799" tooltip="Завантажити сертифікат" display="Завантажити сертифікат"/>
    <hyperlink ref="F4812" r:id="rId4800" tooltip="Завантажити сертифікат" display="Завантажити сертифікат"/>
    <hyperlink ref="F4813" r:id="rId4801" tooltip="Завантажити сертифікат" display="Завантажити сертифікат"/>
    <hyperlink ref="F4814" r:id="rId4802" tooltip="Завантажити сертифікат" display="Завантажити сертифікат"/>
    <hyperlink ref="F4815" r:id="rId4803" tooltip="Завантажити сертифікат" display="Завантажити сертифікат"/>
    <hyperlink ref="F4816" r:id="rId4804" tooltip="Завантажити сертифікат" display="Завантажити сертифікат"/>
    <hyperlink ref="F4817" r:id="rId4805" tooltip="Завантажити сертифікат" display="Завантажити сертифікат"/>
    <hyperlink ref="F4818" r:id="rId4806" tooltip="Завантажити сертифікат" display="Завантажити сертифікат"/>
    <hyperlink ref="F4819" r:id="rId4807" tooltip="Завантажити сертифікат" display="Завантажити сертифікат"/>
    <hyperlink ref="F4820" r:id="rId4808" tooltip="Завантажити сертифікат" display="Завантажити сертифікат"/>
    <hyperlink ref="F4821" r:id="rId4809" tooltip="Завантажити сертифікат" display="Завантажити сертифікат"/>
    <hyperlink ref="F4822" r:id="rId4810" tooltip="Завантажити сертифікат" display="Завантажити сертифікат"/>
    <hyperlink ref="F4823" r:id="rId4811" tooltip="Завантажити сертифікат" display="Завантажити сертифікат"/>
    <hyperlink ref="F4824" r:id="rId4812" tooltip="Завантажити сертифікат" display="Завантажити сертифікат"/>
    <hyperlink ref="F4825" r:id="rId4813" tooltip="Завантажити сертифікат" display="Завантажити сертифікат"/>
    <hyperlink ref="F4826" r:id="rId4814" tooltip="Завантажити сертифікат" display="Завантажити сертифікат"/>
    <hyperlink ref="F4827" r:id="rId4815" tooltip="Завантажити сертифікат" display="Завантажити сертифікат"/>
    <hyperlink ref="F4828" r:id="rId4816" tooltip="Завантажити сертифікат" display="Завантажити сертифікат"/>
    <hyperlink ref="F4829" r:id="rId4817" tooltip="Завантажити сертифікат" display="Завантажити сертифікат"/>
    <hyperlink ref="F4830" r:id="rId4818" tooltip="Завантажити сертифікат" display="Завантажити сертифікат"/>
    <hyperlink ref="F4831" r:id="rId4819" tooltip="Завантажити сертифікат" display="Завантажити сертифікат"/>
    <hyperlink ref="F4832" r:id="rId4820" tooltip="Завантажити сертифікат" display="Завантажити сертифікат"/>
    <hyperlink ref="F4833" r:id="rId4821" tooltip="Завантажити сертифікат" display="Завантажити сертифікат"/>
    <hyperlink ref="F4834" r:id="rId4822" tooltip="Завантажити сертифікат" display="Завантажити сертифікат"/>
    <hyperlink ref="F4835" r:id="rId4823" tooltip="Завантажити сертифікат" display="Завантажити сертифікат"/>
    <hyperlink ref="F4836" r:id="rId4824" tooltip="Завантажити сертифікат" display="Завантажити сертифікат"/>
    <hyperlink ref="F4837" r:id="rId4825" tooltip="Завантажити сертифікат" display="Завантажити сертифікат"/>
    <hyperlink ref="F4838" r:id="rId4826" tooltip="Завантажити сертифікат" display="Завантажити сертифікат"/>
    <hyperlink ref="F4839" r:id="rId4827" tooltip="Завантажити сертифікат" display="Завантажити сертифікат"/>
    <hyperlink ref="F4840" r:id="rId4828" tooltip="Завантажити сертифікат" display="Завантажити сертифікат"/>
    <hyperlink ref="F4841" r:id="rId4829" tooltip="Завантажити сертифікат" display="Завантажити сертифікат"/>
    <hyperlink ref="F4842" r:id="rId4830" tooltip="Завантажити сертифікат" display="Завантажити сертифікат"/>
    <hyperlink ref="F4843" r:id="rId4831" tooltip="Завантажити сертифікат" display="Завантажити сертифікат"/>
    <hyperlink ref="F4844" r:id="rId4832" tooltip="Завантажити сертифікат" display="Завантажити сертифікат"/>
    <hyperlink ref="F4845" r:id="rId4833" tooltip="Завантажити сертифікат" display="Завантажити сертифікат"/>
    <hyperlink ref="F4846" r:id="rId4834" tooltip="Завантажити сертифікат" display="Завантажити сертифікат"/>
    <hyperlink ref="F4847" r:id="rId4835" tooltip="Завантажити сертифікат" display="Завантажити сертифікат"/>
    <hyperlink ref="F4848" r:id="rId4836" tooltip="Завантажити сертифікат" display="Завантажити сертифікат"/>
    <hyperlink ref="F4849" r:id="rId4837" tooltip="Завантажити сертифікат" display="Завантажити сертифікат"/>
    <hyperlink ref="F4850" r:id="rId4838" tooltip="Завантажити сертифікат" display="Завантажити сертифікат"/>
    <hyperlink ref="F4851" r:id="rId4839" tooltip="Завантажити сертифікат" display="Завантажити сертифікат"/>
    <hyperlink ref="F4852" r:id="rId4840" tooltip="Завантажити сертифікат" display="Завантажити сертифікат"/>
    <hyperlink ref="F4853" r:id="rId4841" tooltip="Завантажити сертифікат" display="Завантажити сертифікат"/>
    <hyperlink ref="F4854" r:id="rId4842" tooltip="Завантажити сертифікат" display="Завантажити сертифікат"/>
    <hyperlink ref="F4855" r:id="rId4843" tooltip="Завантажити сертифікат" display="Завантажити сертифікат"/>
    <hyperlink ref="F4856" r:id="rId4844" tooltip="Завантажити сертифікат" display="Завантажити сертифікат"/>
    <hyperlink ref="F4857" r:id="rId4845" tooltip="Завантажити сертифікат" display="Завантажити сертифікат"/>
    <hyperlink ref="F4858" r:id="rId4846" tooltip="Завантажити сертифікат" display="Завантажити сертифікат"/>
    <hyperlink ref="F4859" r:id="rId4847" tooltip="Завантажити сертифікат" display="Завантажити сертифікат"/>
    <hyperlink ref="F4860" r:id="rId4848" tooltip="Завантажити сертифікат" display="Завантажити сертифікат"/>
    <hyperlink ref="F4861" r:id="rId4849" tooltip="Завантажити сертифікат" display="Завантажити сертифікат"/>
    <hyperlink ref="F4862" r:id="rId4850" tooltip="Завантажити сертифікат" display="Завантажити сертифікат"/>
    <hyperlink ref="F4863" r:id="rId4851" tooltip="Завантажити сертифікат" display="Завантажити сертифікат"/>
    <hyperlink ref="F4864" r:id="rId4852" tooltip="Завантажити сертифікат" display="Завантажити сертифікат"/>
    <hyperlink ref="F4865" r:id="rId4853" tooltip="Завантажити сертифікат" display="Завантажити сертифікат"/>
    <hyperlink ref="F4866" r:id="rId4854" tooltip="Завантажити сертифікат" display="Завантажити сертифікат"/>
    <hyperlink ref="F4867" r:id="rId4855" tooltip="Завантажити сертифікат" display="Завантажити сертифікат"/>
    <hyperlink ref="F4868" r:id="rId4856" tooltip="Завантажити сертифікат" display="Завантажити сертифікат"/>
    <hyperlink ref="F4869" r:id="rId4857" tooltip="Завантажити сертифікат" display="Завантажити сертифікат"/>
    <hyperlink ref="F4870" r:id="rId4858" tooltip="Завантажити сертифікат" display="Завантажити сертифікат"/>
    <hyperlink ref="F4871" r:id="rId4859" tooltip="Завантажити сертифікат" display="Завантажити сертифікат"/>
    <hyperlink ref="F4872" r:id="rId4860" tooltip="Завантажити сертифікат" display="Завантажити сертифікат"/>
    <hyperlink ref="F4873" r:id="rId4861" tooltip="Завантажити сертифікат" display="Завантажити сертифікат"/>
    <hyperlink ref="F4874" r:id="rId4862" tooltip="Завантажити сертифікат" display="Завантажити сертифікат"/>
    <hyperlink ref="F4875" r:id="rId4863" tooltip="Завантажити сертифікат" display="Завантажити сертифікат"/>
    <hyperlink ref="F4876" r:id="rId4864" tooltip="Завантажити сертифікат" display="Завантажити сертифікат"/>
    <hyperlink ref="F4877" r:id="rId4865" tooltip="Завантажити сертифікат" display="Завантажити сертифікат"/>
    <hyperlink ref="F4878" r:id="rId4866" tooltip="Завантажити сертифікат" display="Завантажити сертифікат"/>
    <hyperlink ref="F4879" r:id="rId4867" tooltip="Завантажити сертифікат" display="Завантажити сертифікат"/>
    <hyperlink ref="F4880" r:id="rId4868" tooltip="Завантажити сертифікат" display="Завантажити сертифікат"/>
    <hyperlink ref="F4881" r:id="rId4869" tooltip="Завантажити сертифікат" display="Завантажити сертифікат"/>
    <hyperlink ref="F4882" r:id="rId4870" tooltip="Завантажити сертифікат" display="Завантажити сертифікат"/>
    <hyperlink ref="F4883" r:id="rId4871" tooltip="Завантажити сертифікат" display="Завантажити сертифікат"/>
    <hyperlink ref="F4884" r:id="rId4872" tooltip="Завантажити сертифікат" display="Завантажити сертифікат"/>
    <hyperlink ref="F4885" r:id="rId4873" tooltip="Завантажити сертифікат" display="Завантажити сертифікат"/>
    <hyperlink ref="F4886" r:id="rId4874" tooltip="Завантажити сертифікат" display="Завантажити сертифікат"/>
    <hyperlink ref="F4887" r:id="rId4875" tooltip="Завантажити сертифікат" display="Завантажити сертифікат"/>
    <hyperlink ref="F4888" r:id="rId4876" tooltip="Завантажити сертифікат" display="Завантажити сертифікат"/>
    <hyperlink ref="F4889" r:id="rId4877" tooltip="Завантажити сертифікат" display="Завантажити сертифікат"/>
    <hyperlink ref="F4890" r:id="rId4878" tooltip="Завантажити сертифікат" display="Завантажити сертифікат"/>
    <hyperlink ref="F4891" r:id="rId4879" tooltip="Завантажити сертифікат" display="Завантажити сертифікат"/>
    <hyperlink ref="F4892" r:id="rId4880" tooltip="Завантажити сертифікат" display="Завантажити сертифікат"/>
    <hyperlink ref="F4893" r:id="rId4881" tooltip="Завантажити сертифікат" display="Завантажити сертифікат"/>
    <hyperlink ref="F4894" r:id="rId4882" tooltip="Завантажити сертифікат" display="Завантажити сертифікат"/>
    <hyperlink ref="F4895" r:id="rId4883" tooltip="Завантажити сертифікат" display="Завантажити сертифікат"/>
    <hyperlink ref="F4896" r:id="rId4884" tooltip="Завантажити сертифікат" display="Завантажити сертифікат"/>
    <hyperlink ref="F4897" r:id="rId4885" tooltip="Завантажити сертифікат" display="Завантажити сертифікат"/>
    <hyperlink ref="F4898" r:id="rId4886" tooltip="Завантажити сертифікат" display="Завантажити сертифікат"/>
    <hyperlink ref="F4899" r:id="rId4887" tooltip="Завантажити сертифікат" display="Завантажити сертифікат"/>
    <hyperlink ref="F4900" r:id="rId4888" tooltip="Завантажити сертифікат" display="Завантажити сертифікат"/>
    <hyperlink ref="F4901" r:id="rId4889" tooltip="Завантажити сертифікат" display="Завантажити сертифікат"/>
    <hyperlink ref="F4902" r:id="rId4890" tooltip="Завантажити сертифікат" display="Завантажити сертифікат"/>
    <hyperlink ref="F4903" r:id="rId4891" tooltip="Завантажити сертифікат" display="Завантажити сертифікат"/>
    <hyperlink ref="F4904" r:id="rId4892" tooltip="Завантажити сертифікат" display="Завантажити сертифікат"/>
    <hyperlink ref="F4905" r:id="rId4893" tooltip="Завантажити сертифікат" display="Завантажити сертифікат"/>
    <hyperlink ref="F4906" r:id="rId4894" tooltip="Завантажити сертифікат" display="Завантажити сертифікат"/>
    <hyperlink ref="F4907" r:id="rId4895" tooltip="Завантажити сертифікат" display="Завантажити сертифікат"/>
    <hyperlink ref="F4908" r:id="rId4896" tooltip="Завантажити сертифікат" display="Завантажити сертифікат"/>
    <hyperlink ref="F4909" r:id="rId4897" tooltip="Завантажити сертифікат" display="Завантажити сертифікат"/>
    <hyperlink ref="F4910" r:id="rId4898" tooltip="Завантажити сертифікат" display="Завантажити сертифікат"/>
    <hyperlink ref="F4911" r:id="rId4899" tooltip="Завантажити сертифікат" display="Завантажити сертифікат"/>
    <hyperlink ref="F4912" r:id="rId4900" tooltip="Завантажити сертифікат" display="Завантажити сертифікат"/>
    <hyperlink ref="F4913" r:id="rId4901" tooltip="Завантажити сертифікат" display="Завантажити сертифікат"/>
    <hyperlink ref="F4914" r:id="rId4902" tooltip="Завантажити сертифікат" display="Завантажити сертифікат"/>
    <hyperlink ref="F4915" r:id="rId4903" tooltip="Завантажити сертифікат" display="Завантажити сертифікат"/>
    <hyperlink ref="F4916" r:id="rId4904" tooltip="Завантажити сертифікат" display="Завантажити сертифікат"/>
    <hyperlink ref="F4917" r:id="rId4905" tooltip="Завантажити сертифікат" display="Завантажити сертифікат"/>
    <hyperlink ref="F4918" r:id="rId4906" tooltip="Завантажити сертифікат" display="Завантажити сертифікат"/>
    <hyperlink ref="F4919" r:id="rId4907" tooltip="Завантажити сертифікат" display="Завантажити сертифікат"/>
    <hyperlink ref="F4920" r:id="rId4908" tooltip="Завантажити сертифікат" display="Завантажити сертифікат"/>
    <hyperlink ref="F4921" r:id="rId4909" tooltip="Завантажити сертифікат" display="Завантажити сертифікат"/>
    <hyperlink ref="F4922" r:id="rId4910" tooltip="Завантажити сертифікат" display="Завантажити сертифікат"/>
    <hyperlink ref="F4923" r:id="rId4911" tooltip="Завантажити сертифікат" display="Завантажити сертифікат"/>
    <hyperlink ref="F4924" r:id="rId4912" tooltip="Завантажити сертифікат" display="Завантажити сертифікат"/>
    <hyperlink ref="F4925" r:id="rId4913" tooltip="Завантажити сертифікат" display="Завантажити сертифікат"/>
    <hyperlink ref="F4926" r:id="rId4914" tooltip="Завантажити сертифікат" display="Завантажити сертифікат"/>
    <hyperlink ref="F4927" r:id="rId4915" tooltip="Завантажити сертифікат" display="Завантажити сертифікат"/>
    <hyperlink ref="F4928" r:id="rId4916" tooltip="Завантажити сертифікат" display="Завантажити сертифікат"/>
    <hyperlink ref="F4929" r:id="rId4917" tooltip="Завантажити сертифікат" display="Завантажити сертифікат"/>
    <hyperlink ref="F4930" r:id="rId4918" tooltip="Завантажити сертифікат" display="Завантажити сертифікат"/>
    <hyperlink ref="F4931" r:id="rId4919" tooltip="Завантажити сертифікат" display="Завантажити сертифікат"/>
    <hyperlink ref="F4932" r:id="rId4920" tooltip="Завантажити сертифікат" display="Завантажити сертифікат"/>
    <hyperlink ref="F4933" r:id="rId4921" tooltip="Завантажити сертифікат" display="Завантажити сертифікат"/>
    <hyperlink ref="F4934" r:id="rId4922" tooltip="Завантажити сертифікат" display="Завантажити сертифікат"/>
    <hyperlink ref="F4935" r:id="rId4923" tooltip="Завантажити сертифікат" display="Завантажити сертифікат"/>
    <hyperlink ref="F4936" r:id="rId4924" tooltip="Завантажити сертифікат" display="Завантажити сертифікат"/>
    <hyperlink ref="F4937" r:id="rId4925" tooltip="Завантажити сертифікат" display="Завантажити сертифікат"/>
    <hyperlink ref="F4938" r:id="rId4926" tooltip="Завантажити сертифікат" display="Завантажити сертифікат"/>
    <hyperlink ref="F4939" r:id="rId4927" tooltip="Завантажити сертифікат" display="Завантажити сертифікат"/>
    <hyperlink ref="F4940" r:id="rId4928" tooltip="Завантажити сертифікат" display="Завантажити сертифікат"/>
    <hyperlink ref="F4941" r:id="rId4929" tooltip="Завантажити сертифікат" display="Завантажити сертифікат"/>
    <hyperlink ref="F4942" r:id="rId4930" tooltip="Завантажити сертифікат" display="Завантажити сертифікат"/>
    <hyperlink ref="F4943" r:id="rId4931" tooltip="Завантажити сертифікат" display="Завантажити сертифікат"/>
    <hyperlink ref="F4944" r:id="rId4932" tooltip="Завантажити сертифікат" display="Завантажити сертифікат"/>
    <hyperlink ref="F4945" r:id="rId4933" tooltip="Завантажити сертифікат" display="Завантажити сертифікат"/>
    <hyperlink ref="F4946" r:id="rId4934" tooltip="Завантажити сертифікат" display="Завантажити сертифікат"/>
    <hyperlink ref="F4947" r:id="rId4935" tooltip="Завантажити сертифікат" display="Завантажити сертифікат"/>
    <hyperlink ref="F4948" r:id="rId4936" tooltip="Завантажити сертифікат" display="Завантажити сертифікат"/>
    <hyperlink ref="F4949" r:id="rId4937" tooltip="Завантажити сертифікат" display="Завантажити сертифікат"/>
    <hyperlink ref="F4950" r:id="rId4938" tooltip="Завантажити сертифікат" display="Завантажити сертифікат"/>
    <hyperlink ref="F4951" r:id="rId4939" tooltip="Завантажити сертифікат" display="Завантажити сертифікат"/>
    <hyperlink ref="F4952" r:id="rId4940" tooltip="Завантажити сертифікат" display="Завантажити сертифікат"/>
    <hyperlink ref="F4953" r:id="rId4941" tooltip="Завантажити сертифікат" display="Завантажити сертифікат"/>
    <hyperlink ref="F4954" r:id="rId4942" tooltip="Завантажити сертифікат" display="Завантажити сертифікат"/>
    <hyperlink ref="F4955" r:id="rId4943" tooltip="Завантажити сертифікат" display="Завантажити сертифікат"/>
    <hyperlink ref="F4956" r:id="rId4944" tooltip="Завантажити сертифікат" display="Завантажити сертифікат"/>
    <hyperlink ref="F4957" r:id="rId4945" tooltip="Завантажити сертифікат" display="Завантажити сертифікат"/>
    <hyperlink ref="F4958" r:id="rId4946" tooltip="Завантажити сертифікат" display="Завантажити сертифікат"/>
    <hyperlink ref="F4959" r:id="rId4947" tooltip="Завантажити сертифікат" display="Завантажити сертифікат"/>
    <hyperlink ref="F4960" r:id="rId4948" tooltip="Завантажити сертифікат" display="Завантажити сертифікат"/>
    <hyperlink ref="F4961" r:id="rId4949" tooltip="Завантажити сертифікат" display="Завантажити сертифікат"/>
    <hyperlink ref="F4962" r:id="rId4950" tooltip="Завантажити сертифікат" display="Завантажити сертифікат"/>
    <hyperlink ref="F4963" r:id="rId4951" tooltip="Завантажити сертифікат" display="Завантажити сертифікат"/>
    <hyperlink ref="F4964" r:id="rId4952" tooltip="Завантажити сертифікат" display="Завантажити сертифікат"/>
    <hyperlink ref="F4965" r:id="rId4953" tooltip="Завантажити сертифікат" display="Завантажити сертифікат"/>
    <hyperlink ref="F4966" r:id="rId4954" tooltip="Завантажити сертифікат" display="Завантажити сертифікат"/>
    <hyperlink ref="F4967" r:id="rId4955" tooltip="Завантажити сертифікат" display="Завантажити сертифікат"/>
    <hyperlink ref="F4968" r:id="rId4956" tooltip="Завантажити сертифікат" display="Завантажити сертифікат"/>
    <hyperlink ref="F4969" r:id="rId4957" tooltip="Завантажити сертифікат" display="Завантажити сертифікат"/>
    <hyperlink ref="F4970" r:id="rId4958" tooltip="Завантажити сертифікат" display="Завантажити сертифікат"/>
    <hyperlink ref="F4971" r:id="rId4959" tooltip="Завантажити сертифікат" display="Завантажити сертифікат"/>
    <hyperlink ref="F4972" r:id="rId4960" tooltip="Завантажити сертифікат" display="Завантажити сертифікат"/>
    <hyperlink ref="F4973" r:id="rId4961" tooltip="Завантажити сертифікат" display="Завантажити сертифікат"/>
    <hyperlink ref="F4974" r:id="rId4962" tooltip="Завантажити сертифікат" display="Завантажити сертифікат"/>
    <hyperlink ref="F4975" r:id="rId4963" tooltip="Завантажити сертифікат" display="Завантажити сертифікат"/>
    <hyperlink ref="F4976" r:id="rId4964" tooltip="Завантажити сертифікат" display="Завантажити сертифікат"/>
    <hyperlink ref="F4977" r:id="rId4965" tooltip="Завантажити сертифікат" display="Завантажити сертифікат"/>
    <hyperlink ref="F4978" r:id="rId4966" tooltip="Завантажити сертифікат" display="Завантажити сертифікат"/>
    <hyperlink ref="F4979" r:id="rId4967" tooltip="Завантажити сертифікат" display="Завантажити сертифікат"/>
    <hyperlink ref="F4980" r:id="rId4968" tooltip="Завантажити сертифікат" display="Завантажити сертифікат"/>
    <hyperlink ref="F4981" r:id="rId4969" tooltip="Завантажити сертифікат" display="Завантажити сертифікат"/>
    <hyperlink ref="F4982" r:id="rId4970" tooltip="Завантажити сертифікат" display="Завантажити сертифікат"/>
    <hyperlink ref="F4983" r:id="rId4971" tooltip="Завантажити сертифікат" display="Завантажити сертифікат"/>
    <hyperlink ref="F4984" r:id="rId4972" tooltip="Завантажити сертифікат" display="Завантажити сертифікат"/>
    <hyperlink ref="F4985" r:id="rId4973" tooltip="Завантажити сертифікат" display="Завантажити сертифікат"/>
    <hyperlink ref="F4986" r:id="rId4974" tooltip="Завантажити сертифікат" display="Завантажити сертифікат"/>
    <hyperlink ref="F4987" r:id="rId4975" tooltip="Завантажити сертифікат" display="Завантажити сертифікат"/>
    <hyperlink ref="F4988" r:id="rId4976" tooltip="Завантажити сертифікат" display="Завантажити сертифікат"/>
    <hyperlink ref="F4989" r:id="rId4977" tooltip="Завантажити сертифікат" display="Завантажити сертифікат"/>
    <hyperlink ref="F4990" r:id="rId4978" tooltip="Завантажити сертифікат" display="Завантажити сертифікат"/>
    <hyperlink ref="F4991" r:id="rId4979" tooltip="Завантажити сертифікат" display="Завантажити сертифікат"/>
    <hyperlink ref="F4992" r:id="rId4980" tooltip="Завантажити сертифікат" display="Завантажити сертифікат"/>
    <hyperlink ref="F567" r:id="rId4981" tooltip="Завантажити сертифікат" display="Завантажити сертифікат"/>
    <hyperlink ref="F568" r:id="rId4982" tooltip="Завантажити сертифікат" display="Завантажити сертифікат"/>
    <hyperlink ref="F569" r:id="rId4983" tooltip="Завантажити сертифікат" display="Завантажити сертифікат"/>
    <hyperlink ref="F570" r:id="rId4984" tooltip="Завантажити сертифікат" display="Завантажити сертифікат"/>
    <hyperlink ref="F571" r:id="rId4985" tooltip="Завантажити сертифікат" display="Завантажити сертифікат"/>
    <hyperlink ref="F572" r:id="rId4986" tooltip="Завантажити сертифікат" display="Завантажити сертифікат"/>
    <hyperlink ref="F573" r:id="rId4987" tooltip="Завантажити сертифікат" display="Завантажити сертифікат"/>
    <hyperlink ref="F574" r:id="rId4988" tooltip="Завантажити сертифікат" display="Завантажити сертифікат"/>
    <hyperlink ref="F575" r:id="rId4989" tooltip="Завантажити сертифікат" display="Завантажити сертифікат"/>
    <hyperlink ref="F576" r:id="rId4990" tooltip="Завантажити сертифікат" display="Завантажити сертифікат"/>
    <hyperlink ref="F577" r:id="rId4991" tooltip="Завантажити сертифікат" display="Завантажити сертифікат"/>
    <hyperlink ref="F4993" r:id="rId4992" tooltip="Завантажити сертифікат" display="Завантажити сертифікат"/>
    <hyperlink ref="F4994" r:id="rId4993" tooltip="Завантажити сертифікат" display="Завантажити сертифікат"/>
    <hyperlink ref="F4995" r:id="rId4994" tooltip="Завантажити сертифікат" display="Завантажити сертифікат"/>
    <hyperlink ref="F4996" r:id="rId4995" tooltip="Завантажити сертифікат" display="Завантажити сертифікат"/>
    <hyperlink ref="F4997" r:id="rId4996" tooltip="Завантажити сертифікат" display="Завантажити сертифікат"/>
    <hyperlink ref="F4998" r:id="rId4997" tooltip="Завантажити сертифікат" display="Завантажити сертифікат"/>
    <hyperlink ref="F4999" r:id="rId4998" tooltip="Завантажити сертифікат" display="Завантажити сертифікат"/>
    <hyperlink ref="F5000" r:id="rId4999" tooltip="Завантажити сертифікат" display="Завантажити сертифікат"/>
    <hyperlink ref="F5001" r:id="rId5000" tooltip="Завантажити сертифікат" display="Завантажити сертифікат"/>
    <hyperlink ref="F5002" r:id="rId5001" tooltip="Завантажити сертифікат" display="Завантажити сертифікат"/>
    <hyperlink ref="F5003" r:id="rId5002" tooltip="Завантажити сертифікат" display="Завантажити сертифікат"/>
    <hyperlink ref="F5004" r:id="rId5003" tooltip="Завантажити сертифікат" display="Завантажити сертифікат"/>
    <hyperlink ref="F5005" r:id="rId5004" tooltip="Завантажити сертифікат" display="Завантажити сертифікат"/>
    <hyperlink ref="F5006" r:id="rId5005" tooltip="Завантажити сертифікат" display="Завантажити сертифікат"/>
    <hyperlink ref="F5007" r:id="rId5006" tooltip="Завантажити сертифікат" display="Завантажити сертифікат"/>
    <hyperlink ref="F5008" r:id="rId5007" tooltip="Завантажити сертифікат" display="Завантажити сертифікат"/>
    <hyperlink ref="F5009" r:id="rId5008" tooltip="Завантажити сертифікат" display="Завантажити сертифікат"/>
    <hyperlink ref="F5010" r:id="rId5009" tooltip="Завантажити сертифікат" display="Завантажити сертифікат"/>
    <hyperlink ref="F5011" r:id="rId5010" tooltip="Завантажити сертифікат" display="Завантажити сертифікат"/>
    <hyperlink ref="F5012" r:id="rId5011" tooltip="Завантажити сертифікат" display="Завантажити сертифікат"/>
    <hyperlink ref="F5013" r:id="rId5012" tooltip="Завантажити сертифікат" display="Завантажити сертифікат"/>
    <hyperlink ref="F5014" r:id="rId5013" tooltip="Завантажити сертифікат" display="Завантажити сертифікат"/>
    <hyperlink ref="F5015" r:id="rId5014" tooltip="Завантажити сертифікат" display="Завантажити сертифікат"/>
    <hyperlink ref="F5016" r:id="rId5015" tooltip="Завантажити сертифікат" display="Завантажити сертифікат"/>
    <hyperlink ref="F5017" r:id="rId5016" tooltip="Завантажити сертифікат" display="Завантажити сертифікат"/>
    <hyperlink ref="F5018" r:id="rId5017" tooltip="Завантажити сертифікат" display="Завантажити сертифікат"/>
    <hyperlink ref="F5019" r:id="rId5018" tooltip="Завантажити сертифікат" display="Завантажити сертифікат"/>
    <hyperlink ref="F5020" r:id="rId5019" tooltip="Завантажити сертифікат" display="Завантажити сертифікат"/>
    <hyperlink ref="F5021" r:id="rId5020" tooltip="Завантажити сертифікат" display="Завантажити сертифікат"/>
    <hyperlink ref="F5022" r:id="rId5021" tooltip="Завантажити сертифікат" display="Завантажити сертифікат"/>
    <hyperlink ref="F5023" r:id="rId5022" tooltip="Завантажити сертифікат" display="Завантажити сертифікат"/>
    <hyperlink ref="F5024" r:id="rId5023" tooltip="Завантажити сертифікат" display="Завантажити сертифікат"/>
    <hyperlink ref="F5025" r:id="rId5024" tooltip="Завантажити сертифікат" display="Завантажити сертифікат"/>
    <hyperlink ref="F5026" r:id="rId5025" tooltip="Завантажити сертифікат" display="Завантажити сертифікат"/>
  </hyperlinks>
  <pageMargins left="0.7" right="0.7" top="0.75" bottom="0.75" header="0.3" footer="0.3"/>
  <pageSetup orientation="portrait" r:id="rId50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2025-12-16T13:01:13Z</dcterms:created>
  <dcterms:modified xsi:type="dcterms:W3CDTF">2025-12-19T10:44:55Z</dcterms:modified>
  <cp:category/>
</cp:coreProperties>
</file>