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Тест Знаю все про гривню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748" i="1" l="1"/>
  <c r="E2033" i="1" l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 l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<sst xmlns="http://schemas.openxmlformats.org/spreadsheetml/2006/main" count="20105" uniqueCount="10263">
  <si>
    <t>номер</t>
  </si>
  <si>
    <t>дата</t>
  </si>
  <si>
    <t>ПІБ</t>
  </si>
  <si>
    <t>Посилання на сертифікат</t>
  </si>
  <si>
    <t>ZVPG_u_0001</t>
  </si>
  <si>
    <t>9 жовтня 2025 р.</t>
  </si>
  <si>
    <t>Коваленко Арсен</t>
  </si>
  <si>
    <t>Зорянський ЗЗСО I-III ступенів Мар'їнської міської військово-цивільної адміністрації Покровського району Донецької області</t>
  </si>
  <si>
    <t>ZVPG_u_0002</t>
  </si>
  <si>
    <t>Костенко Владислав</t>
  </si>
  <si>
    <t>ZVPG_u_0003</t>
  </si>
  <si>
    <t>Марушко Вікторія</t>
  </si>
  <si>
    <t>ZVPG_u_0004</t>
  </si>
  <si>
    <t xml:space="preserve">Марушко Дмитро </t>
  </si>
  <si>
    <t>ZVPG_u_0005</t>
  </si>
  <si>
    <t>Родзін Максим</t>
  </si>
  <si>
    <t>ZVPG_u_0006</t>
  </si>
  <si>
    <t>Удахін Богдан</t>
  </si>
  <si>
    <t>ZVPG_u_0007</t>
  </si>
  <si>
    <t>Федорова Софія</t>
  </si>
  <si>
    <t>ZVPG_u_0008</t>
  </si>
  <si>
    <t xml:space="preserve">Шалімов Дмитро </t>
  </si>
  <si>
    <t>ZVPG_u_0009</t>
  </si>
  <si>
    <t>Шипіцина Діана</t>
  </si>
  <si>
    <t>ZVPG_u_0010</t>
  </si>
  <si>
    <t>Білан Тетяна Ігорівна</t>
  </si>
  <si>
    <t>Долинський ліцей №1 Долинської міської ради Івано-Франківської області</t>
  </si>
  <si>
    <t>ZVPG_u_0011</t>
  </si>
  <si>
    <t>Войтович Дем'ян Олександрович</t>
  </si>
  <si>
    <t>ZVPG_u_0012</t>
  </si>
  <si>
    <t>Гірман Валерія Олександрівна</t>
  </si>
  <si>
    <t>ZVPG_u_0013</t>
  </si>
  <si>
    <t>Готліб Арсен Любомирович</t>
  </si>
  <si>
    <t>ZVPG_u_0014</t>
  </si>
  <si>
    <t>Грицьків Андрій Іванович</t>
  </si>
  <si>
    <t>ZVPG_u_0015</t>
  </si>
  <si>
    <t>Дзудзило Анна Анатоліївна</t>
  </si>
  <si>
    <t>ZVPG_u_0016</t>
  </si>
  <si>
    <t>Дида Софія Ярославівна</t>
  </si>
  <si>
    <t>ZVPG_u_0017</t>
  </si>
  <si>
    <t>Кіс Яна Романівна</t>
  </si>
  <si>
    <t>ZVPG_u_0018</t>
  </si>
  <si>
    <t>Маруняк Владислава Володимирівна</t>
  </si>
  <si>
    <t>ZVPG_u_0019</t>
  </si>
  <si>
    <t>Рудий Тарас Дмитрович</t>
  </si>
  <si>
    <t>ZVPG_u_0020</t>
  </si>
  <si>
    <t>Русняк Денис Сергійович</t>
  </si>
  <si>
    <t>ZVPG_u_0021</t>
  </si>
  <si>
    <t>Скорик Віолета Олегівна</t>
  </si>
  <si>
    <t>ZVPG_u_0022</t>
  </si>
  <si>
    <t>Тернавський Ілля Дмитрович</t>
  </si>
  <si>
    <t>ZVPG_u_0023</t>
  </si>
  <si>
    <t>Бібаєв Андрій Павлович</t>
  </si>
  <si>
    <t>ZVPG_u_0024</t>
  </si>
  <si>
    <t>Бойдуник Олександр Степанович</t>
  </si>
  <si>
    <t>ZVPG_u_0025</t>
  </si>
  <si>
    <t>Вовківський Матвій Андрійович</t>
  </si>
  <si>
    <t>ZVPG_u_0026</t>
  </si>
  <si>
    <t>Горбань Тадей Олександрович</t>
  </si>
  <si>
    <t>ZVPG_u_0027</t>
  </si>
  <si>
    <t>Григорський Дмитро Андрійович</t>
  </si>
  <si>
    <t>ZVPG_u_0028</t>
  </si>
  <si>
    <t>Душинська Ліля Олександрівна</t>
  </si>
  <si>
    <t>ZVPG_u_0029</t>
  </si>
  <si>
    <t>Жаб'як Христина Іванівна</t>
  </si>
  <si>
    <t>ZVPG_u_0030</t>
  </si>
  <si>
    <t>Карчак Павло Андрійович</t>
  </si>
  <si>
    <t>ZVPG_u_0031</t>
  </si>
  <si>
    <t>Кіндрат Марія-Мілана Андріївна</t>
  </si>
  <si>
    <t>ZVPG_u_0032</t>
  </si>
  <si>
    <t>Ковалевич Денис Васильович</t>
  </si>
  <si>
    <t>ZVPG_u_0033</t>
  </si>
  <si>
    <t>Левтюх Давид Денисович</t>
  </si>
  <si>
    <t>ZVPG_u_0034</t>
  </si>
  <si>
    <t>Лепецький Дмитро Васильович</t>
  </si>
  <si>
    <t>ZVPG_u_0035</t>
  </si>
  <si>
    <t>Лоневська Марія Миколаївна</t>
  </si>
  <si>
    <t>ZVPG_u_0036</t>
  </si>
  <si>
    <t>Огоновський Дмитро Ігорович</t>
  </si>
  <si>
    <t>ZVPG_u_0037</t>
  </si>
  <si>
    <t>Паркулаб Максим Русланович</t>
  </si>
  <si>
    <t>ZVPG_u_0038</t>
  </si>
  <si>
    <t>Пирка Яна Романівна</t>
  </si>
  <si>
    <t>ZVPG_u_0039</t>
  </si>
  <si>
    <t>Пукаляк Андріана Андріївна</t>
  </si>
  <si>
    <t>ZVPG_u_0040</t>
  </si>
  <si>
    <t>Угрин Вікторія Андріївна</t>
  </si>
  <si>
    <t>ZVPG_u_0041</t>
  </si>
  <si>
    <t>Азаров Кирило Андрійович</t>
  </si>
  <si>
    <t>Запорізька суспільно-гуманітарна гімназія № 27 Запорізької міської ради Запорізької області</t>
  </si>
  <si>
    <t>ZVPG_u_0042</t>
  </si>
  <si>
    <t>Боконова Ксенія Калназарівна</t>
  </si>
  <si>
    <t>ZVPG_u_0043</t>
  </si>
  <si>
    <t xml:space="preserve">Вечорко Артем Сергійович </t>
  </si>
  <si>
    <t>ZVPG_u_0044</t>
  </si>
  <si>
    <t>Гаврилюк Кира Кирилівна</t>
  </si>
  <si>
    <t>ZVPG_u_0045</t>
  </si>
  <si>
    <t xml:space="preserve">Голуб Софія Олександрівна </t>
  </si>
  <si>
    <t>ZVPG_u_0046</t>
  </si>
  <si>
    <t>Гринчук Максим Миколайович</t>
  </si>
  <si>
    <t>ZVPG_u_0047</t>
  </si>
  <si>
    <t xml:space="preserve">Желязкова Вероніка Максимівна </t>
  </si>
  <si>
    <t>ZVPG_u_0048</t>
  </si>
  <si>
    <t xml:space="preserve">Журавський Віктор Віталійович </t>
  </si>
  <si>
    <t>ZVPG_u_0049</t>
  </si>
  <si>
    <t>Закревський Іван Андрійович</t>
  </si>
  <si>
    <t>ZVPG_u_0050</t>
  </si>
  <si>
    <t xml:space="preserve">Козлов Артем Олегович </t>
  </si>
  <si>
    <t>ZVPG_u_0051</t>
  </si>
  <si>
    <t xml:space="preserve">Котова Ірина Володимирівна </t>
  </si>
  <si>
    <t>ZVPG_u_0052</t>
  </si>
  <si>
    <t>Кравцова Катерина Андріївна</t>
  </si>
  <si>
    <t>ZVPG_u_0053</t>
  </si>
  <si>
    <t xml:space="preserve">Макаренко Емма Павлівна </t>
  </si>
  <si>
    <t>ZVPG_u_0054</t>
  </si>
  <si>
    <t>Мацкевич Артем Євгенович</t>
  </si>
  <si>
    <t>ZVPG_u_0055</t>
  </si>
  <si>
    <t xml:space="preserve">Мишьяков Артемій Олександрович </t>
  </si>
  <si>
    <t>ZVPG_u_0056</t>
  </si>
  <si>
    <t xml:space="preserve">Сергеєва Римма Кирилівна </t>
  </si>
  <si>
    <t>ZVPG_u_0057</t>
  </si>
  <si>
    <t xml:space="preserve">Сонін Данило Станіславович </t>
  </si>
  <si>
    <t>ZVPG_u_0058</t>
  </si>
  <si>
    <t xml:space="preserve">Тихоновська Вікторія Сергіївна </t>
  </si>
  <si>
    <t>ZVPG_u_0059</t>
  </si>
  <si>
    <t xml:space="preserve">Урлов Єгор Олександрович </t>
  </si>
  <si>
    <t>ZVPG_u_0060</t>
  </si>
  <si>
    <t xml:space="preserve">Чорна Алла Ігорівна </t>
  </si>
  <si>
    <t>ZVPG_u_0061</t>
  </si>
  <si>
    <t>Шевчук Данило Артурович</t>
  </si>
  <si>
    <t>ZVPG_u_0062</t>
  </si>
  <si>
    <t>Широбоков Максим Ігорович</t>
  </si>
  <si>
    <t>ZVPG_u_0063</t>
  </si>
  <si>
    <t>Авсянська Дар'я В'ячеславівна</t>
  </si>
  <si>
    <t>Овруцький ліцей № 3 Овруцької міської ради</t>
  </si>
  <si>
    <t>ZVPG_u_0064</t>
  </si>
  <si>
    <t>Білоцька Вікторія Миколаївна</t>
  </si>
  <si>
    <t>ZVPG_u_0065</t>
  </si>
  <si>
    <t>Булгакова Карина В'ячеславівна</t>
  </si>
  <si>
    <t>ZVPG_u_0066</t>
  </si>
  <si>
    <t>Гвоздь Максим Володимирович</t>
  </si>
  <si>
    <t>ZVPG_u_0067</t>
  </si>
  <si>
    <t>Гусаревич Анна Василівна</t>
  </si>
  <si>
    <t>ZVPG_u_0068</t>
  </si>
  <si>
    <t>Дєдух Артем Олександрович</t>
  </si>
  <si>
    <t>ZVPG_u_0069</t>
  </si>
  <si>
    <t>Дзизенко Кароліна Андріївна</t>
  </si>
  <si>
    <t>ZVPG_u_0070</t>
  </si>
  <si>
    <t>Зайферт Марина Ярославівна</t>
  </si>
  <si>
    <t>ZVPG_u_0071</t>
  </si>
  <si>
    <t>Кобилинська Діана Михайлівна</t>
  </si>
  <si>
    <t>ZVPG_u_0072</t>
  </si>
  <si>
    <t>Комарчук Іван Михайлович</t>
  </si>
  <si>
    <t>ZVPG_u_0073</t>
  </si>
  <si>
    <t>Кураченко Тімофєй Геннадійович</t>
  </si>
  <si>
    <t>ZVPG_u_0074</t>
  </si>
  <si>
    <t>Лосенко Аліна Валентинівна</t>
  </si>
  <si>
    <t>ZVPG_u_0075</t>
  </si>
  <si>
    <t>Макарчук Христина Романівна</t>
  </si>
  <si>
    <t>ZVPG_u_0076</t>
  </si>
  <si>
    <t>Малярова Анастасія Миколаївна</t>
  </si>
  <si>
    <t>ZVPG_u_0077</t>
  </si>
  <si>
    <t>Мельник Катерина Петрівна</t>
  </si>
  <si>
    <t>ZVPG_u_0078</t>
  </si>
  <si>
    <t>Мельниченко Марія Миколаївна</t>
  </si>
  <si>
    <t>ZVPG_u_0079</t>
  </si>
  <si>
    <t>Пінчук Ілля Віталійович</t>
  </si>
  <si>
    <t>ZVPG_u_0080</t>
  </si>
  <si>
    <t>Савченко Анастасія Вікторівна</t>
  </si>
  <si>
    <t>ZVPG_u_0081</t>
  </si>
  <si>
    <t>Трохимчук Ярослав Ігорович</t>
  </si>
  <si>
    <t>ZVPG_u_0082</t>
  </si>
  <si>
    <t>Федорова Вероніка Олексіївна</t>
  </si>
  <si>
    <t>ZVPG_u_0083</t>
  </si>
  <si>
    <t>Хомич Тетяна Олександрівна</t>
  </si>
  <si>
    <t>ZVPG_u_0084</t>
  </si>
  <si>
    <t>Шваб Альона Андріївна</t>
  </si>
  <si>
    <t>ZVPG_u_0085</t>
  </si>
  <si>
    <t>Якимечко Дарина Віталіївна</t>
  </si>
  <si>
    <t>ZVPG_u_0086</t>
  </si>
  <si>
    <t>Петрій Дарина</t>
  </si>
  <si>
    <t>Малосмілянська початкова школа Тернівської сільської ради</t>
  </si>
  <si>
    <t>ZVPG_u_0087</t>
  </si>
  <si>
    <t>Котляров Євгеній</t>
  </si>
  <si>
    <t>ZVPG_u_0088</t>
  </si>
  <si>
    <t>Усенко Злата</t>
  </si>
  <si>
    <t>ZVPG_u_0089</t>
  </si>
  <si>
    <t>Правило Максим</t>
  </si>
  <si>
    <t>ZVPG_u_0090</t>
  </si>
  <si>
    <t>Слюсарчук Олег Іванович</t>
  </si>
  <si>
    <t>Прокуравська гімназія Космацької сільської ради Косівського району Івано-Франківської області</t>
  </si>
  <si>
    <t>ZVPG_u_0091</t>
  </si>
  <si>
    <t>Чекурак Яна Юріївна</t>
  </si>
  <si>
    <t>ZVPG_u_0092</t>
  </si>
  <si>
    <t>Шелюжак Марія Василівна</t>
  </si>
  <si>
    <t>ZVPG_u_0093</t>
  </si>
  <si>
    <t>Шелюжак Валентина Іванівна</t>
  </si>
  <si>
    <t>ZVPG_u_0094</t>
  </si>
  <si>
    <t>Петрів Валентина</t>
  </si>
  <si>
    <t>ZVPG_u_0095</t>
  </si>
  <si>
    <t>Березюк Маргарита Павлівна</t>
  </si>
  <si>
    <t>Криворізький ліцей академічного спрямування "Міжнародні перспективи" Криворізької міської ради</t>
  </si>
  <si>
    <t>ZVPG_u_0096</t>
  </si>
  <si>
    <t>Васютіна Софія Ігорівна</t>
  </si>
  <si>
    <t>ZVPG_u_0097</t>
  </si>
  <si>
    <t>Вакулік Єгор Олексійович</t>
  </si>
  <si>
    <t>ZVPG_u_0098</t>
  </si>
  <si>
    <t>Гардаш Максим Євгенович</t>
  </si>
  <si>
    <t>ZVPG_u_0099</t>
  </si>
  <si>
    <t>Джоджуа Дарія Давидівна</t>
  </si>
  <si>
    <t>ZVPG_u_0100</t>
  </si>
  <si>
    <t>Зарубіна Мирослава Сергіївна</t>
  </si>
  <si>
    <t>ZVPG_u_0101</t>
  </si>
  <si>
    <t>Кутіна Марія Сергіївна</t>
  </si>
  <si>
    <t>ZVPG_u_0102</t>
  </si>
  <si>
    <t>Петроченко Ольга Євгенівна</t>
  </si>
  <si>
    <t>ZVPG_u_0103</t>
  </si>
  <si>
    <t>Пузиня Вікторія Євгенівна</t>
  </si>
  <si>
    <t>ZVPG_u_0104</t>
  </si>
  <si>
    <t>Сизон Кароліна Петрівна</t>
  </si>
  <si>
    <t>ZVPG_u_0105</t>
  </si>
  <si>
    <t>Солохін Євген Денисович</t>
  </si>
  <si>
    <t>ZVPG_u_0106</t>
  </si>
  <si>
    <t>Білий Дмитро Олександрович</t>
  </si>
  <si>
    <t>Ліцей №9 Новокаховської міської ради</t>
  </si>
  <si>
    <t>ZVPG_u_0107</t>
  </si>
  <si>
    <t>Мельник Ксенія Вікторівна</t>
  </si>
  <si>
    <t>ZVPG_u_0108</t>
  </si>
  <si>
    <t>Ціон Владислав Олександрович</t>
  </si>
  <si>
    <t>ZVPG_u_0109</t>
  </si>
  <si>
    <t>Коняхін Тимур Васильович</t>
  </si>
  <si>
    <t>ZVPG_u_0110</t>
  </si>
  <si>
    <t>Чабан Михайло Вікторович</t>
  </si>
  <si>
    <t>ZVPG_u_0111</t>
  </si>
  <si>
    <t>Дарійчук Ауріка Іванівна</t>
  </si>
  <si>
    <t>Тюдівський ліцей Кутської селищної ради</t>
  </si>
  <si>
    <t>ZVPG_u_0112</t>
  </si>
  <si>
    <t>Дарійчук Борис Миколайович</t>
  </si>
  <si>
    <t>ZVPG_u_0113</t>
  </si>
  <si>
    <t>Дорош Евеліна Анатоліївна</t>
  </si>
  <si>
    <t>ZVPG_u_0114</t>
  </si>
  <si>
    <t>Прокоп'юк Станіслав Васильович</t>
  </si>
  <si>
    <t>ZVPG_u_0115</t>
  </si>
  <si>
    <t>Слижук Арсен Васильович</t>
  </si>
  <si>
    <t>ZVPG_u_0116</t>
  </si>
  <si>
    <t>Харитонова Валерія Павлівна</t>
  </si>
  <si>
    <t>ZVPG_u_0117</t>
  </si>
  <si>
    <t>Чоборяк Антоніна Дмитрівна</t>
  </si>
  <si>
    <t>ZVPG_u_0118</t>
  </si>
  <si>
    <t>Болдирєв Станіслав</t>
  </si>
  <si>
    <t>Роменська загальноосвітня школа І-ІІІ ступенів №7 Роменської міської ради</t>
  </si>
  <si>
    <t>ZVPG_u_0119</t>
  </si>
  <si>
    <t>Бриндіна Софія</t>
  </si>
  <si>
    <t>ZVPG_u_0120</t>
  </si>
  <si>
    <t>Даценко Вероніка</t>
  </si>
  <si>
    <t>ZVPG_u_0121</t>
  </si>
  <si>
    <t>Зубко Давид</t>
  </si>
  <si>
    <t>ZVPG_u_0122</t>
  </si>
  <si>
    <t>Качан Поліна</t>
  </si>
  <si>
    <t>ZVPG_u_0123</t>
  </si>
  <si>
    <t>Клименко Дар'я</t>
  </si>
  <si>
    <t>ZVPG_u_0124</t>
  </si>
  <si>
    <t>Ковальчук Юлія</t>
  </si>
  <si>
    <t>ZVPG_u_0125</t>
  </si>
  <si>
    <t>Колісник Юрій</t>
  </si>
  <si>
    <t>ZVPG_u_0126</t>
  </si>
  <si>
    <t>Кононенко Нікіта</t>
  </si>
  <si>
    <t>ZVPG_u_0127</t>
  </si>
  <si>
    <t>Бабич Вікторія</t>
  </si>
  <si>
    <t>ZVPG_u_0128</t>
  </si>
  <si>
    <t xml:space="preserve">Білоус Поліна </t>
  </si>
  <si>
    <t>ZVPG_u_0129</t>
  </si>
  <si>
    <t>Бойко Денис</t>
  </si>
  <si>
    <t>ZVPG_u_0130</t>
  </si>
  <si>
    <t>Борисюк Марк</t>
  </si>
  <si>
    <t>ZVPG_u_0131</t>
  </si>
  <si>
    <t>Вовченко Артем</t>
  </si>
  <si>
    <t>ZVPG_u_0132</t>
  </si>
  <si>
    <t>Демченко Вадим</t>
  </si>
  <si>
    <t>ZVPG_u_0133</t>
  </si>
  <si>
    <t>Діброва Ярина</t>
  </si>
  <si>
    <t>ZVPG_u_0134</t>
  </si>
  <si>
    <t>Іващенко Михайло</t>
  </si>
  <si>
    <t>ZVPG_u_0135</t>
  </si>
  <si>
    <t>Косенко Дмитро</t>
  </si>
  <si>
    <t>ZVPG_u_0136</t>
  </si>
  <si>
    <t>Куниця Олександр</t>
  </si>
  <si>
    <t>ZVPG_u_0137</t>
  </si>
  <si>
    <t>Оверченко Сабіна</t>
  </si>
  <si>
    <t>ZVPG_u_0138</t>
  </si>
  <si>
    <t>Ковтун Марія</t>
  </si>
  <si>
    <t>ZVPG_u_0139</t>
  </si>
  <si>
    <t>Півень Максим</t>
  </si>
  <si>
    <t>ZVPG_u_0140</t>
  </si>
  <si>
    <t>Беззубко Д.Ю.</t>
  </si>
  <si>
    <t>Ліцей №2 м. Копичинці Копичинецької міської ради Чортківського району Тернопільської області</t>
  </si>
  <si>
    <t>ZVPG_u_0141</t>
  </si>
  <si>
    <t>Гандзола Е.Т.</t>
  </si>
  <si>
    <t>ZVPG_u_0142</t>
  </si>
  <si>
    <t>Гондз В.А.</t>
  </si>
  <si>
    <t>ZVPG_u_0143</t>
  </si>
  <si>
    <t>Данилишин Д.В.</t>
  </si>
  <si>
    <t>ZVPG_u_0144</t>
  </si>
  <si>
    <t>Дитиняк В.Р.</t>
  </si>
  <si>
    <t>ZVPG_u_0145</t>
  </si>
  <si>
    <t>Дмитраш С.О.</t>
  </si>
  <si>
    <t>ZVPG_u_0146</t>
  </si>
  <si>
    <t>Когут Ю.М.</t>
  </si>
  <si>
    <t>ZVPG_u_0147</t>
  </si>
  <si>
    <t>Крива А.С.</t>
  </si>
  <si>
    <t>ZVPG_u_0148</t>
  </si>
  <si>
    <t>Лаврушко Є.Р.</t>
  </si>
  <si>
    <t>ZVPG_u_0149</t>
  </si>
  <si>
    <t>Литвинович Х.О.</t>
  </si>
  <si>
    <t>ZVPG_u_0150</t>
  </si>
  <si>
    <t>Марак В.Ю.</t>
  </si>
  <si>
    <t>ZVPG_u_0151</t>
  </si>
  <si>
    <t>Пендак Д.В.</t>
  </si>
  <si>
    <t>ZVPG_u_0152</t>
  </si>
  <si>
    <t>Пізьо Х.В.</t>
  </si>
  <si>
    <t>ZVPG_u_0153</t>
  </si>
  <si>
    <t>Погорецький В.Р.</t>
  </si>
  <si>
    <t>ZVPG_u_0154</t>
  </si>
  <si>
    <t>Процанін Д.Д.</t>
  </si>
  <si>
    <t>ZVPG_u_0155</t>
  </si>
  <si>
    <t>Стефанець С.А.</t>
  </si>
  <si>
    <t>ZVPG_u_0156</t>
  </si>
  <si>
    <t xml:space="preserve">Трас С.Р. </t>
  </si>
  <si>
    <t>ZVPG_u_0157</t>
  </si>
  <si>
    <t xml:space="preserve">Ярема М.Є. </t>
  </si>
  <si>
    <t>ZVPG_u_0158</t>
  </si>
  <si>
    <t>Дереворіз С.С.</t>
  </si>
  <si>
    <t>ZVPG_u_0159</t>
  </si>
  <si>
    <t>Дущніцька О.І.</t>
  </si>
  <si>
    <t>ZVPG_u_0160</t>
  </si>
  <si>
    <t>Козлов Д.Ю.</t>
  </si>
  <si>
    <t>ZVPG_u_0161</t>
  </si>
  <si>
    <t>Кріцький О.Д.</t>
  </si>
  <si>
    <t>ZVPG_u_0162</t>
  </si>
  <si>
    <t xml:space="preserve">Мігаль А.В. </t>
  </si>
  <si>
    <t>ZVPG_u_0163</t>
  </si>
  <si>
    <t xml:space="preserve">Плечінь А.В. </t>
  </si>
  <si>
    <t>ZVPG_u_0164</t>
  </si>
  <si>
    <t>Прудивус М.В.</t>
  </si>
  <si>
    <t>ZVPG_u_0165</t>
  </si>
  <si>
    <t>Рогатин О.В.</t>
  </si>
  <si>
    <t>ZVPG_u_0166</t>
  </si>
  <si>
    <t>Тарасюк В.В.</t>
  </si>
  <si>
    <t>ZVPG_u_0167</t>
  </si>
  <si>
    <t>Усцька В.О.</t>
  </si>
  <si>
    <t>ZVPG_u_0168</t>
  </si>
  <si>
    <t>Ухач О.І.</t>
  </si>
  <si>
    <t>ZVPG_u_0169</t>
  </si>
  <si>
    <t>Чернова С.Н.</t>
  </si>
  <si>
    <t>ZVPG_u_0170</t>
  </si>
  <si>
    <t>Шакланов Б.О.</t>
  </si>
  <si>
    <t>ZVPG_u_0171</t>
  </si>
  <si>
    <t>Шуріпа Р.В.</t>
  </si>
  <si>
    <t>ZVPG_u_0172</t>
  </si>
  <si>
    <t>Білоухий В.М.</t>
  </si>
  <si>
    <t>ZVPG_u_0173</t>
  </si>
  <si>
    <t>Бучняк О.А.</t>
  </si>
  <si>
    <t>ZVPG_u_0174</t>
  </si>
  <si>
    <t>Давидяк К.І.</t>
  </si>
  <si>
    <t>ZVPG_u_0175</t>
  </si>
  <si>
    <t>Диванюк Д.М.</t>
  </si>
  <si>
    <t>ZVPG_u_0176</t>
  </si>
  <si>
    <t>Дмитрів Д.В.</t>
  </si>
  <si>
    <t>ZVPG_u_0177</t>
  </si>
  <si>
    <t>Дуплавий О.І.</t>
  </si>
  <si>
    <t>ZVPG_u_0178</t>
  </si>
  <si>
    <t>Козлова В.Ю.</t>
  </si>
  <si>
    <t>ZVPG_u_0179</t>
  </si>
  <si>
    <t>Круць Г.І.</t>
  </si>
  <si>
    <t>ZVPG_u_0180</t>
  </si>
  <si>
    <t>Марак А.І.</t>
  </si>
  <si>
    <t>ZVPG_u_0181</t>
  </si>
  <si>
    <t>Марак Н.В.</t>
  </si>
  <si>
    <t>ZVPG_u_0182</t>
  </si>
  <si>
    <t>Оренчук М.С.</t>
  </si>
  <si>
    <t>ZVPG_u_0183</t>
  </si>
  <si>
    <t>Петльована А.А.</t>
  </si>
  <si>
    <t>ZVPG_u_0184</t>
  </si>
  <si>
    <t>Процишин А.І.</t>
  </si>
  <si>
    <t>ZVPG_u_0185</t>
  </si>
  <si>
    <t>Сагайдак С.В.</t>
  </si>
  <si>
    <t>ZVPG_u_0186</t>
  </si>
  <si>
    <t>Тхорик К.Р.</t>
  </si>
  <si>
    <t>ZVPG_u_0187</t>
  </si>
  <si>
    <t>Черниш А.А.</t>
  </si>
  <si>
    <t>ZVPG_u_0188</t>
  </si>
  <si>
    <t>Балега М.І.</t>
  </si>
  <si>
    <t>ZVPG_u_0189</t>
  </si>
  <si>
    <t>Бобин В.С.</t>
  </si>
  <si>
    <t>ZVPG_u_0190</t>
  </si>
  <si>
    <t>Вергун Ю.В.</t>
  </si>
  <si>
    <t>ZVPG_u_0191</t>
  </si>
  <si>
    <t>Гладиш Н.О.</t>
  </si>
  <si>
    <t>ZVPG_u_0192</t>
  </si>
  <si>
    <t>Доскоч С.П.</t>
  </si>
  <si>
    <t>ZVPG_u_0193</t>
  </si>
  <si>
    <t>Лемчик Д.Б.</t>
  </si>
  <si>
    <t>ZVPG_u_0194</t>
  </si>
  <si>
    <t>Курилик К.С.</t>
  </si>
  <si>
    <t>ZVPG_u_0195</t>
  </si>
  <si>
    <t>Мельник І. В.</t>
  </si>
  <si>
    <t>ZVPG_u_0196</t>
  </si>
  <si>
    <t>Печинська А.О.</t>
  </si>
  <si>
    <t>ZVPG_u_0197</t>
  </si>
  <si>
    <t>Сервас Д.Р.</t>
  </si>
  <si>
    <t>ZVPG_u_0198</t>
  </si>
  <si>
    <t>Сисоєв Д.О.</t>
  </si>
  <si>
    <t>ZVPG_u_0199</t>
  </si>
  <si>
    <t>Ухач А.І.</t>
  </si>
  <si>
    <t>ZVPG_u_0200</t>
  </si>
  <si>
    <t>Філь В.О.</t>
  </si>
  <si>
    <t>ZVPG_u_0201</t>
  </si>
  <si>
    <t>Ясиновський А.М.</t>
  </si>
  <si>
    <t>ZVPG_u_0202</t>
  </si>
  <si>
    <t>Король М.О.</t>
  </si>
  <si>
    <t>ZVPG_u_0203</t>
  </si>
  <si>
    <t>Бучацький Артем Борисович</t>
  </si>
  <si>
    <t>Ставрівський опорний ліцей з дошкільним відділеням, початковою школою та гімназією Окнянської селищної ради Подільського району Одеської області</t>
  </si>
  <si>
    <t>ZVPG_u_0204</t>
  </si>
  <si>
    <t>Григор'єва Ганна Віталіївна</t>
  </si>
  <si>
    <t>ZVPG_u_0205</t>
  </si>
  <si>
    <t>Дженкова Маргарита Василівна</t>
  </si>
  <si>
    <t>ZVPG_u_0206</t>
  </si>
  <si>
    <t>Зубицький Сергій Олександрович</t>
  </si>
  <si>
    <t>ZVPG_u_0207</t>
  </si>
  <si>
    <t>Карпов Мирон Віталійович</t>
  </si>
  <si>
    <t>ZVPG_u_0208</t>
  </si>
  <si>
    <t>Кушнір Єлизавета Петрівна</t>
  </si>
  <si>
    <t>ZVPG_u_0209</t>
  </si>
  <si>
    <t>Отяна Антон Анатолійович</t>
  </si>
  <si>
    <t>ZVPG_u_0210</t>
  </si>
  <si>
    <t>Потинга Артем Іванович</t>
  </si>
  <si>
    <t>ZVPG_u_0211</t>
  </si>
  <si>
    <t>Слядзь Софія Валеріївна</t>
  </si>
  <si>
    <t>ZVPG_u_0212</t>
  </si>
  <si>
    <t>Устименко Катерина Володимирівна</t>
  </si>
  <si>
    <t>ZVPG_u_0213</t>
  </si>
  <si>
    <t>Федорченко Яна Владиславівна</t>
  </si>
  <si>
    <t>ZVPG_u_0214</t>
  </si>
  <si>
    <t>Яглінський Владислав Миколайович</t>
  </si>
  <si>
    <t>ZVPG_u_0215</t>
  </si>
  <si>
    <t>Айвозян Володимир</t>
  </si>
  <si>
    <t>САРАТСЬКИЙ ЛІЦЕЙ САРАТСЬКОЇ СЕЛИЩНОЇ РАДИ БІЛГОРОД-ДНІСТРОВСЬКОГО РАЙОНУ ОДЕСЬКОЇ ОБЛАСТІ</t>
  </si>
  <si>
    <t>ZVPG_u_0216</t>
  </si>
  <si>
    <t>Царуш Микола</t>
  </si>
  <si>
    <t>ZVPG_u_0217</t>
  </si>
  <si>
    <t>Малоіван Олександра</t>
  </si>
  <si>
    <t>ZVPG_u_0218</t>
  </si>
  <si>
    <t>Стаматі Микита</t>
  </si>
  <si>
    <t>ZVPG_u_0219</t>
  </si>
  <si>
    <t>Кузнєцов Олександр</t>
  </si>
  <si>
    <t>ZVPG_u_0220</t>
  </si>
  <si>
    <t>Кобиленко Анна</t>
  </si>
  <si>
    <t>ZVPG_u_0221</t>
  </si>
  <si>
    <t>Кирилова Єва</t>
  </si>
  <si>
    <t>ZVPG_u_0222</t>
  </si>
  <si>
    <t>Ганган Олег</t>
  </si>
  <si>
    <t>ZVPG_u_0223</t>
  </si>
  <si>
    <t>Плахотнюк Кирило</t>
  </si>
  <si>
    <t>ZVPG_u_0224</t>
  </si>
  <si>
    <t>Котелевський Дмитро</t>
  </si>
  <si>
    <t>ZVPG_u_0225</t>
  </si>
  <si>
    <t>Рубаха Кіра</t>
  </si>
  <si>
    <t>ZVPG_u_0226</t>
  </si>
  <si>
    <t>Кологойда Айнур</t>
  </si>
  <si>
    <t>ZVPG_u_0227</t>
  </si>
  <si>
    <t>Волощук Карина Михайлівна</t>
  </si>
  <si>
    <t>Грозинський ліцей Коростенської міської ради</t>
  </si>
  <si>
    <t>ZVPG_u_0228</t>
  </si>
  <si>
    <t>Кудра Артем Антонович</t>
  </si>
  <si>
    <t>ZVPG_u_0229</t>
  </si>
  <si>
    <t>Кищук Дар'я Петрівна</t>
  </si>
  <si>
    <t>ZVPG_u_0230</t>
  </si>
  <si>
    <t>Романюк Таїсія Ярославівна</t>
  </si>
  <si>
    <t>ZVPG_u_0231</t>
  </si>
  <si>
    <t>Кривошеєва Оксана Олександрівна</t>
  </si>
  <si>
    <t>ZVPG_u_0232</t>
  </si>
  <si>
    <t>Дворак Анастасія Вячеславівна</t>
  </si>
  <si>
    <t>ZVPG_u_0233</t>
  </si>
  <si>
    <t>Клименко Марія Миколаївна</t>
  </si>
  <si>
    <t>ZVPG_u_0234</t>
  </si>
  <si>
    <t>Антонюк Станіслав Васильович</t>
  </si>
  <si>
    <t>ZVPG_u_0235</t>
  </si>
  <si>
    <t>Аравенко Софія Станіславівна</t>
  </si>
  <si>
    <t>ZVPG_u_0236</t>
  </si>
  <si>
    <t>Богородченко Крістіна Максимівна</t>
  </si>
  <si>
    <t>ZVPG_u_0237</t>
  </si>
  <si>
    <t>Матвієнко Віктор Вікторович</t>
  </si>
  <si>
    <t>ZVPG_u_0238</t>
  </si>
  <si>
    <t>Матвієнко Єгор Вікторович</t>
  </si>
  <si>
    <t>ZVPG_u_0239</t>
  </si>
  <si>
    <t>Мельниченко Ольга Анатоліївна</t>
  </si>
  <si>
    <t>ZVPG_u_0240</t>
  </si>
  <si>
    <t>Підгородинський Артем Анатолійович</t>
  </si>
  <si>
    <t>ZVPG_u_0241</t>
  </si>
  <si>
    <t>Рудий Назар Васильович</t>
  </si>
  <si>
    <t>ZVPG_u_0242</t>
  </si>
  <si>
    <t>Савущик Максим Петрович</t>
  </si>
  <si>
    <t>ZVPG_u_0243</t>
  </si>
  <si>
    <t>Терещук Альбіна Олександрівна</t>
  </si>
  <si>
    <t>ZVPG_u_0244</t>
  </si>
  <si>
    <t>Ткачук Аня Миколаївна</t>
  </si>
  <si>
    <t>ZVPG_u_0245</t>
  </si>
  <si>
    <t>Черняк Богдана Миколаївна</t>
  </si>
  <si>
    <t>ZVPG_u_0246</t>
  </si>
  <si>
    <t>Шахова Альона Дмитрівна</t>
  </si>
  <si>
    <t>ZVPG_u_0247</t>
  </si>
  <si>
    <t>Шемет Катерина Юріївна</t>
  </si>
  <si>
    <t>ZVPG_u_0248</t>
  </si>
  <si>
    <t>Ягодна Анна Олегівна</t>
  </si>
  <si>
    <t>ZVPG_u_0249</t>
  </si>
  <si>
    <t>Бончак Марта</t>
  </si>
  <si>
    <t>Середня загальноосвітня школа №72</t>
  </si>
  <si>
    <t>ZVPG_u_0250</t>
  </si>
  <si>
    <t>Вонс Вероніка</t>
  </si>
  <si>
    <t>ZVPG_u_0251</t>
  </si>
  <si>
    <t>Дармограй Роман</t>
  </si>
  <si>
    <t>ZVPG_u_0252</t>
  </si>
  <si>
    <t>Жидяк Дмитро</t>
  </si>
  <si>
    <t>ZVPG_u_0253</t>
  </si>
  <si>
    <t>Жидяк Олександр</t>
  </si>
  <si>
    <t>ZVPG_u_0254</t>
  </si>
  <si>
    <t>Жидяк Христина</t>
  </si>
  <si>
    <t>ZVPG_u_0255</t>
  </si>
  <si>
    <t>Ірза Софія</t>
  </si>
  <si>
    <t>ZVPG_u_0256</t>
  </si>
  <si>
    <t>Кравчишин Матвій</t>
  </si>
  <si>
    <t>ZVPG_u_0257</t>
  </si>
  <si>
    <t>Магеровська Надія</t>
  </si>
  <si>
    <t>ZVPG_u_0258</t>
  </si>
  <si>
    <t>Парамуд Ілля</t>
  </si>
  <si>
    <t>ZVPG_u_0259</t>
  </si>
  <si>
    <t>Петрик Таїсія</t>
  </si>
  <si>
    <t>ZVPG_u_0260</t>
  </si>
  <si>
    <t>Ростоцька Альбіна</t>
  </si>
  <si>
    <t>ZVPG_u_0261</t>
  </si>
  <si>
    <t>Слідзьона Максим</t>
  </si>
  <si>
    <t>ZVPG_u_0262</t>
  </si>
  <si>
    <t>Снігур Маркіян</t>
  </si>
  <si>
    <t>ZVPG_u_0263</t>
  </si>
  <si>
    <t>Согуйко Ростислав</t>
  </si>
  <si>
    <t>ZVPG_u_0264</t>
  </si>
  <si>
    <t>Феник Юлія</t>
  </si>
  <si>
    <t>ZVPG_u_0265</t>
  </si>
  <si>
    <t>Кандиба Єлизавета</t>
  </si>
  <si>
    <t>КЗ "Матвіївський академічний ліцей" Запорізької обласної ради</t>
  </si>
  <si>
    <t>ZVPG_u_0266</t>
  </si>
  <si>
    <t>Молдован Кіріл</t>
  </si>
  <si>
    <t>ZVPG_u_0267</t>
  </si>
  <si>
    <t>Улітенко Дар'я</t>
  </si>
  <si>
    <t>ZVPG_u_0268</t>
  </si>
  <si>
    <t>Басанько Валерій</t>
  </si>
  <si>
    <t>ZVPG_u_0269</t>
  </si>
  <si>
    <t>Тертичний Максим</t>
  </si>
  <si>
    <t>ZVPG_u_0270</t>
  </si>
  <si>
    <t>Саприкіна Софія</t>
  </si>
  <si>
    <t>ZVPG_u_0271</t>
  </si>
  <si>
    <t>Матренінська Вікторія</t>
  </si>
  <si>
    <t>ZVPG_u_0272</t>
  </si>
  <si>
    <t xml:space="preserve">Кочеткова Катерина </t>
  </si>
  <si>
    <t>ZVPG_u_0273</t>
  </si>
  <si>
    <t>Гридчина Анна</t>
  </si>
  <si>
    <t>ZVPG_u_0274</t>
  </si>
  <si>
    <t>Бордюг Данило</t>
  </si>
  <si>
    <t>ZVPG_u_0275</t>
  </si>
  <si>
    <t>Криворучко Ярослав</t>
  </si>
  <si>
    <t>ZVPG_u_0276</t>
  </si>
  <si>
    <t>Вельможко Андрій</t>
  </si>
  <si>
    <t>ZVPG_u_0277</t>
  </si>
  <si>
    <t>Шудрик Кирило</t>
  </si>
  <si>
    <t>ZVPG_u_0278</t>
  </si>
  <si>
    <t>Савчур Христина Миколаївна</t>
  </si>
  <si>
    <t>Сколівський заклад загальної середньої освіти І-ІІІ ступенів №2 імені Стефанії Вітрук</t>
  </si>
  <si>
    <t>ZVPG_u_0279</t>
  </si>
  <si>
    <t>Поясник Марія Олегівна</t>
  </si>
  <si>
    <t>ZVPG_u_0280</t>
  </si>
  <si>
    <t>Гринюк Денис Володимирович</t>
  </si>
  <si>
    <t>ZVPG_u_0281</t>
  </si>
  <si>
    <t>Щуревич Максим Володимирович</t>
  </si>
  <si>
    <t>ZVPG_u_0282</t>
  </si>
  <si>
    <t>Волос Михайло Юрійович</t>
  </si>
  <si>
    <t>ZVPG_u_0283</t>
  </si>
  <si>
    <t>Дем'ян Богдан Віталійович</t>
  </si>
  <si>
    <t>ZVPG_u_0284</t>
  </si>
  <si>
    <t>Марчук Дмитро Віталійович</t>
  </si>
  <si>
    <t>ZVPG_u_0285</t>
  </si>
  <si>
    <t>Литвинчук Володимир Андрійович</t>
  </si>
  <si>
    <t>ZVPG_u_0286</t>
  </si>
  <si>
    <t>Равлінко Юрій Тарасович</t>
  </si>
  <si>
    <t>ZVPG_u_0287</t>
  </si>
  <si>
    <t>Войтко Андрій Маркович</t>
  </si>
  <si>
    <t>ZVPG_u_0288</t>
  </si>
  <si>
    <t>Борис Ірина Петрівна</t>
  </si>
  <si>
    <t>ZVPG_u_0289</t>
  </si>
  <si>
    <t>Марковський Антон Володимирович</t>
  </si>
  <si>
    <t>ZVPG_u_0290</t>
  </si>
  <si>
    <t>Проць Арсен Ярославович</t>
  </si>
  <si>
    <t>ZVPG_u_0291</t>
  </si>
  <si>
    <t>Задільська Соломія Тарасівна</t>
  </si>
  <si>
    <t>ZVPG_u_0292</t>
  </si>
  <si>
    <t>Шекмар Артур Михайлович</t>
  </si>
  <si>
    <t>ZVPG_u_0293</t>
  </si>
  <si>
    <t>Зенинець Вікторія Олексіївна</t>
  </si>
  <si>
    <t>ZVPG_u_0294</t>
  </si>
  <si>
    <t>Матвіїшин Марта Олегівна</t>
  </si>
  <si>
    <t>ZVPG_u_0295</t>
  </si>
  <si>
    <t>Урбанська Ірина Романівна</t>
  </si>
  <si>
    <t>ZVPG_u_0296</t>
  </si>
  <si>
    <t>Стець Юрій Вікторович</t>
  </si>
  <si>
    <t>ZVPG_u_0297</t>
  </si>
  <si>
    <t>Явдик Тетяна Володимирівна</t>
  </si>
  <si>
    <t>ZVPG_u_0298</t>
  </si>
  <si>
    <t>Аракелян Дана Аркадівна</t>
  </si>
  <si>
    <t>Заклад загальної середньої освіти І-ІІІ ступенів №1 м. Гайсин Гайсинської міської ради</t>
  </si>
  <si>
    <t>ZVPG_u_0299</t>
  </si>
  <si>
    <t>Берьозін Данило Валерійович</t>
  </si>
  <si>
    <t>ZVPG_u_0300</t>
  </si>
  <si>
    <t>Дячина Софія Василівна</t>
  </si>
  <si>
    <t>ZVPG_u_0301</t>
  </si>
  <si>
    <t>Дячина Юлія Василівна</t>
  </si>
  <si>
    <t>ZVPG_u_0302</t>
  </si>
  <si>
    <t>Зозуляк Ярослав Андрійович</t>
  </si>
  <si>
    <t>ZVPG_u_0303</t>
  </si>
  <si>
    <t>Калтаєва Уляна Артурівна</t>
  </si>
  <si>
    <t>ZVPG_u_0304</t>
  </si>
  <si>
    <t>Кирилюк Аліна Олександрівна</t>
  </si>
  <si>
    <t>ZVPG_u_0305</t>
  </si>
  <si>
    <t>Кучер Софія Сергіївна</t>
  </si>
  <si>
    <t>ZVPG_u_0306</t>
  </si>
  <si>
    <t>Маслій Марія Миколаївна</t>
  </si>
  <si>
    <t>ZVPG_u_0307</t>
  </si>
  <si>
    <t>Парфенюк Макар Сергійович</t>
  </si>
  <si>
    <t>ZVPG_u_0308</t>
  </si>
  <si>
    <t>Печевиста Анастасія Олександрівна</t>
  </si>
  <si>
    <t>ZVPG_u_0309</t>
  </si>
  <si>
    <t>Прилипко Карина Вадимівна</t>
  </si>
  <si>
    <t>ZVPG_u_0310</t>
  </si>
  <si>
    <t>Римар Софія Сергіївна</t>
  </si>
  <si>
    <t>ZVPG_u_0311</t>
  </si>
  <si>
    <t>Таран Євангеліна Геннадіївна</t>
  </si>
  <si>
    <t>ZVPG_u_0312</t>
  </si>
  <si>
    <t>Щербін Марк Віталійович</t>
  </si>
  <si>
    <t>ZVPG_u_0313</t>
  </si>
  <si>
    <t>Балинець Софія Василівна</t>
  </si>
  <si>
    <t>ZVPG_u_0314</t>
  </si>
  <si>
    <t>Діхтяр Дарина Ростиславівна</t>
  </si>
  <si>
    <t>ZVPG_u_0315</t>
  </si>
  <si>
    <t>Кабанець Крістіна Віталіївна</t>
  </si>
  <si>
    <t>ZVPG_u_0316</t>
  </si>
  <si>
    <t>Коваль Артем Тарасович</t>
  </si>
  <si>
    <t>ZVPG_u_0317</t>
  </si>
  <si>
    <t>Лізавенко Марк Олександрович</t>
  </si>
  <si>
    <t>ZVPG_u_0318</t>
  </si>
  <si>
    <t>Лозовий Андрій Русланович</t>
  </si>
  <si>
    <t>ZVPG_u_0319</t>
  </si>
  <si>
    <t>Микитенко Крістіна Олександрівна</t>
  </si>
  <si>
    <t>ZVPG_u_0320</t>
  </si>
  <si>
    <t>Пашиста Марія Ігорівна</t>
  </si>
  <si>
    <t>ZVPG_u_0321</t>
  </si>
  <si>
    <t>Пересунько Іванна Іванівна</t>
  </si>
  <si>
    <t>ZVPG_u_0322</t>
  </si>
  <si>
    <t>Рой Ксенія Олександрівна</t>
  </si>
  <si>
    <t>ZVPG_u_0323</t>
  </si>
  <si>
    <t>Салій Ілля Олександрович</t>
  </si>
  <si>
    <t>ZVPG_u_0324</t>
  </si>
  <si>
    <t>Соболєва Діана Геннадіївна</t>
  </si>
  <si>
    <t>ZVPG_u_0325</t>
  </si>
  <si>
    <t>Солодка Дарія Степанівна</t>
  </si>
  <si>
    <t>ZVPG_u_0326</t>
  </si>
  <si>
    <t>Хохлюк Влада Сергіївна</t>
  </si>
  <si>
    <t>ZVPG_u_0327</t>
  </si>
  <si>
    <t>Волошанюк Владислав Олександрович</t>
  </si>
  <si>
    <t>ZVPG_u_0328</t>
  </si>
  <si>
    <t>Карагьозян Едгар Артурович</t>
  </si>
  <si>
    <t>ZVPG_u_0329</t>
  </si>
  <si>
    <t>Куліков Валерій Михайлович</t>
  </si>
  <si>
    <t>ZVPG_u_0330</t>
  </si>
  <si>
    <t>Кучеренко Дарина Михайлівна</t>
  </si>
  <si>
    <t>ZVPG_u_0331</t>
  </si>
  <si>
    <t>Невінський Назар Сергійович</t>
  </si>
  <si>
    <t>ZVPG_u_0332</t>
  </si>
  <si>
    <t>Омельчук Юрій Олександрович</t>
  </si>
  <si>
    <t>ZVPG_u_0333</t>
  </si>
  <si>
    <t>Палійчук Андрій Вікторович</t>
  </si>
  <si>
    <t>ZVPG_u_0334</t>
  </si>
  <si>
    <t>Поляновський Станіслав Максимович</t>
  </si>
  <si>
    <t>ZVPG_u_0335</t>
  </si>
  <si>
    <t>Поляновський Ярослав Максимович</t>
  </si>
  <si>
    <t>ZVPG_u_0336</t>
  </si>
  <si>
    <t>Руденкова Марина Максимівна</t>
  </si>
  <si>
    <t>ZVPG_u_0337</t>
  </si>
  <si>
    <t>Цитуля Назар Володимирович</t>
  </si>
  <si>
    <t>ZVPG_u_0338</t>
  </si>
  <si>
    <t>Чаленко Поліна Олександрівна</t>
  </si>
  <si>
    <t>ZVPG_u_0339</t>
  </si>
  <si>
    <t>Субоцька Катерина Дмитрівна</t>
  </si>
  <si>
    <t>Новенський заклад загальної середньої освіти Токмацької міської ради</t>
  </si>
  <si>
    <t>ZVPG_u_0340</t>
  </si>
  <si>
    <t>Євдокімова Валерія Сергіївна</t>
  </si>
  <si>
    <t>ZVPG_u_0341</t>
  </si>
  <si>
    <t>Євдокімова Віолета Сергіївна</t>
  </si>
  <si>
    <t>ZVPG_u_0342</t>
  </si>
  <si>
    <t>Самофалов Богдан Віталійович</t>
  </si>
  <si>
    <t>ZVPG_u_0343</t>
  </si>
  <si>
    <t>Субоцька Дарина Дмитрівна</t>
  </si>
  <si>
    <t>ZVPG_u_0344</t>
  </si>
  <si>
    <t>Власенко Софія</t>
  </si>
  <si>
    <t>ZVPG_u_0345</t>
  </si>
  <si>
    <t>Донченко Тимофій</t>
  </si>
  <si>
    <t>ZVPG_u_0346</t>
  </si>
  <si>
    <t>Драган Іван</t>
  </si>
  <si>
    <t>ZVPG_u_0347</t>
  </si>
  <si>
    <t>Іванов Євген</t>
  </si>
  <si>
    <t>ZVPG_u_0348</t>
  </si>
  <si>
    <t>Клочков Владислав</t>
  </si>
  <si>
    <t>ZVPG_u_0349</t>
  </si>
  <si>
    <t>Кльован Віктор</t>
  </si>
  <si>
    <t>ZVPG_u_0350</t>
  </si>
  <si>
    <t>Колишкін Сергій</t>
  </si>
  <si>
    <t>ZVPG_u_0351</t>
  </si>
  <si>
    <t>Поморцев Денис</t>
  </si>
  <si>
    <t>ZVPG_u_0352</t>
  </si>
  <si>
    <t>Томак Варвара</t>
  </si>
  <si>
    <t>ZVPG_u_0353</t>
  </si>
  <si>
    <t>Федорончук Єлізавета</t>
  </si>
  <si>
    <t>ZVPG_u_0354</t>
  </si>
  <si>
    <t>Федорчук Павло Васильович</t>
  </si>
  <si>
    <t>Гощанський ліцей Гощанської селищної ради Рівненської області</t>
  </si>
  <si>
    <t>ZVPG_u_0355</t>
  </si>
  <si>
    <t>Попчук Варвара Миколаївна</t>
  </si>
  <si>
    <t>ZVPG_u_0356</t>
  </si>
  <si>
    <t>Фаткуліна Валерія Андріївна</t>
  </si>
  <si>
    <t>ZVPG_u_0357</t>
  </si>
  <si>
    <t>Назарянський Давид Олександрович</t>
  </si>
  <si>
    <t>ZVPG_u_0358</t>
  </si>
  <si>
    <t>Мамончук Руслан Романович</t>
  </si>
  <si>
    <t>ZVPG_u_0359</t>
  </si>
  <si>
    <t>Сульжук Тимофій Сергійович</t>
  </si>
  <si>
    <t>ZVPG_u_0360</t>
  </si>
  <si>
    <t>Ярощук Артур Андрійович</t>
  </si>
  <si>
    <t>ZVPG_u_0361</t>
  </si>
  <si>
    <t>Пригодюк Дмитро Григорович</t>
  </si>
  <si>
    <t>ZVPG_u_0362</t>
  </si>
  <si>
    <t>Лукащук Іванна Романівна</t>
  </si>
  <si>
    <t>ZVPG_u_0363</t>
  </si>
  <si>
    <t>Хиноцький Владислав Юрійович</t>
  </si>
  <si>
    <t>ZVPG_u_0364</t>
  </si>
  <si>
    <t>Шналь Кирило Ярославович</t>
  </si>
  <si>
    <t>ZVPG_u_0365</t>
  </si>
  <si>
    <t>Штиба Вікторія Леонідівна</t>
  </si>
  <si>
    <t>ZVPG_u_0366</t>
  </si>
  <si>
    <t>Ханєєва Ельвіра Віталіївна</t>
  </si>
  <si>
    <t>ZVPG_u_0367</t>
  </si>
  <si>
    <t>Оніщук Єгор Олександрович</t>
  </si>
  <si>
    <t>ZVPG_u_0368</t>
  </si>
  <si>
    <t>Січкар Євгенія Ярославівна</t>
  </si>
  <si>
    <t>ZVPG_u_0369</t>
  </si>
  <si>
    <t>Потапчук Анна Сергіївна</t>
  </si>
  <si>
    <t>ZVPG_u_0370</t>
  </si>
  <si>
    <t>Мороз Софія Сергіївна</t>
  </si>
  <si>
    <t>ZVPG_u_0371</t>
  </si>
  <si>
    <t>Решетняк Вікторія Сергіївна</t>
  </si>
  <si>
    <t>ZVPG_u_0372</t>
  </si>
  <si>
    <t>Віюк Владислав Дмитрович</t>
  </si>
  <si>
    <t>ZVPG_u_0373</t>
  </si>
  <si>
    <t>Дема Дарина Олександрівна</t>
  </si>
  <si>
    <t>ZVPG_u_0374</t>
  </si>
  <si>
    <t>Горобець Вікторія Сергіївна</t>
  </si>
  <si>
    <t>ZVPG_u_0375</t>
  </si>
  <si>
    <t>Гордійчук Денис Орестович</t>
  </si>
  <si>
    <t>ZVPG_u_0376</t>
  </si>
  <si>
    <t>Марчук Максим Валентинович</t>
  </si>
  <si>
    <t>ZVPG_u_0377</t>
  </si>
  <si>
    <t>Калько Роман Сергійович</t>
  </si>
  <si>
    <t>ZVPG_u_0378</t>
  </si>
  <si>
    <t>Віюк Катерина Юріївна</t>
  </si>
  <si>
    <t>ZVPG_u_0379</t>
  </si>
  <si>
    <t>Маманович Катерина Юріївна</t>
  </si>
  <si>
    <t>ZVPG_u_0380</t>
  </si>
  <si>
    <t>Чупринюк Артем Олегович</t>
  </si>
  <si>
    <t>ZVPG_u_0381</t>
  </si>
  <si>
    <t>Радчук Захар Олександрович</t>
  </si>
  <si>
    <t>ZVPG_u_0382</t>
  </si>
  <si>
    <t>Харченко Юрій Миколайович</t>
  </si>
  <si>
    <t>ZVPG_u_0383</t>
  </si>
  <si>
    <t>Гуменюк Інна Сергіївна</t>
  </si>
  <si>
    <t>ZVPG_u_0384</t>
  </si>
  <si>
    <t>Василишина Вероніка</t>
  </si>
  <si>
    <t>Комунальний заклад ,,Жмеринський ліцей №1,,</t>
  </si>
  <si>
    <t>ZVPG_u_0385</t>
  </si>
  <si>
    <t>Ханкішієв Вадим</t>
  </si>
  <si>
    <t>ZVPG_u_0386</t>
  </si>
  <si>
    <t>Мадіянська Оксана</t>
  </si>
  <si>
    <t>ZVPG_u_0387</t>
  </si>
  <si>
    <t>Антонюк Мойсей</t>
  </si>
  <si>
    <t>ZVPG_u_0388</t>
  </si>
  <si>
    <t>Семенець Олександр</t>
  </si>
  <si>
    <t>ZVPG_u_0389</t>
  </si>
  <si>
    <t>Кочмарук Владислав</t>
  </si>
  <si>
    <t>ZVPG_u_0390</t>
  </si>
  <si>
    <t>Пустова Маргарита</t>
  </si>
  <si>
    <t>ZVPG_u_0391</t>
  </si>
  <si>
    <t>Підопригора Нікіта</t>
  </si>
  <si>
    <t>ZVPG_u_0392</t>
  </si>
  <si>
    <t>Рекало Олександр</t>
  </si>
  <si>
    <t>ZVPG_u_0393</t>
  </si>
  <si>
    <t>Завгородній Віталій</t>
  </si>
  <si>
    <t>ZVPG_u_0394</t>
  </si>
  <si>
    <t>Миколюк Дар'я</t>
  </si>
  <si>
    <t>ZVPG_u_0395</t>
  </si>
  <si>
    <t>Снігур Євген</t>
  </si>
  <si>
    <t>ZVPG_u_0396</t>
  </si>
  <si>
    <t>Вікулов Єгор</t>
  </si>
  <si>
    <t>ZVPG_u_0397</t>
  </si>
  <si>
    <t>Чичибаба Даніїл</t>
  </si>
  <si>
    <t>ZVPG_u_0398</t>
  </si>
  <si>
    <t>Яценюк Аліна</t>
  </si>
  <si>
    <t>ZVPG_u_0399</t>
  </si>
  <si>
    <t>Ткачевко Анастасія</t>
  </si>
  <si>
    <t>ZVPG_u_0400</t>
  </si>
  <si>
    <t>Довгоброд Дмитро</t>
  </si>
  <si>
    <t>Максимільянівський ЗЗСО І - ІІІ ступенів Мар'їнської міської військово-цивільної адміністрації Покровського району Донецької області</t>
  </si>
  <si>
    <t>ZVPG_u_0401</t>
  </si>
  <si>
    <t>Удинська Мирослава</t>
  </si>
  <si>
    <t>ZVPG_u_0402</t>
  </si>
  <si>
    <t>Кузьменко Михайло</t>
  </si>
  <si>
    <t>ZVPG_u_0403</t>
  </si>
  <si>
    <t>Борозенець Ангеліна</t>
  </si>
  <si>
    <t>ZVPG_u_0404</t>
  </si>
  <si>
    <t>Борозенець Альона</t>
  </si>
  <si>
    <t>ZVPG_u_0405</t>
  </si>
  <si>
    <t>Беспала Тетяна</t>
  </si>
  <si>
    <t>ZVPG_u_0406</t>
  </si>
  <si>
    <t>Дараган Андрій</t>
  </si>
  <si>
    <t>ZVPG_u_0407</t>
  </si>
  <si>
    <t>Жуков Артем</t>
  </si>
  <si>
    <t>ZVPG_u_0408</t>
  </si>
  <si>
    <t>Родіонова Аріна</t>
  </si>
  <si>
    <t>ZVPG_u_0409</t>
  </si>
  <si>
    <t>Кісіль Михайло</t>
  </si>
  <si>
    <t>ZVPG_u_0410</t>
  </si>
  <si>
    <t>Нечитайло Вероніка</t>
  </si>
  <si>
    <t>ZVPG_u_0411</t>
  </si>
  <si>
    <t>Рибальченко Софія</t>
  </si>
  <si>
    <t>ZVPG_u_0412</t>
  </si>
  <si>
    <t>Супенко Поліна</t>
  </si>
  <si>
    <t>ZVPG_u_0413</t>
  </si>
  <si>
    <t>Бондаренко Анна</t>
  </si>
  <si>
    <t>Яготинський ліцей № 1 Яготинської міської ради</t>
  </si>
  <si>
    <t>ZVPG_u_0414</t>
  </si>
  <si>
    <t>Безверхий Роман</t>
  </si>
  <si>
    <t>ZVPG_u_0415</t>
  </si>
  <si>
    <t>Бондар Поліна</t>
  </si>
  <si>
    <t>ZVPG_u_0416</t>
  </si>
  <si>
    <t>Дробот Вероніка</t>
  </si>
  <si>
    <t>ZVPG_u_0417</t>
  </si>
  <si>
    <t>Даницький Дмитро</t>
  </si>
  <si>
    <t>ZVPG_u_0418</t>
  </si>
  <si>
    <t>Дядіна Неля</t>
  </si>
  <si>
    <t>ZVPG_u_0419</t>
  </si>
  <si>
    <t>Жук Марина</t>
  </si>
  <si>
    <t>ZVPG_u_0420</t>
  </si>
  <si>
    <t>Зайченко Таїсія</t>
  </si>
  <si>
    <t>ZVPG_u_0421</t>
  </si>
  <si>
    <t>Івахно Владислав</t>
  </si>
  <si>
    <t>ZVPG_u_0422</t>
  </si>
  <si>
    <t>Калита Анастасія</t>
  </si>
  <si>
    <t>ZVPG_u_0423</t>
  </si>
  <si>
    <t>Кальчевська Вероніка</t>
  </si>
  <si>
    <t>ZVPG_u_0424</t>
  </si>
  <si>
    <t>Кальчевська Вікторія</t>
  </si>
  <si>
    <t>ZVPG_u_0425</t>
  </si>
  <si>
    <t>Козачок Іван</t>
  </si>
  <si>
    <t>ZVPG_u_0426</t>
  </si>
  <si>
    <t>Максименко Марія</t>
  </si>
  <si>
    <t>ZVPG_u_0427</t>
  </si>
  <si>
    <t>Малиновська Софія</t>
  </si>
  <si>
    <t>ZVPG_u_0428</t>
  </si>
  <si>
    <t>Меркулов Олексій</t>
  </si>
  <si>
    <t>ZVPG_u_0429</t>
  </si>
  <si>
    <t>Паламар Софія</t>
  </si>
  <si>
    <t>ZVPG_u_0430</t>
  </si>
  <si>
    <t>Правдивець Олександра</t>
  </si>
  <si>
    <t>ZVPG_u_0431</t>
  </si>
  <si>
    <t>Побрус Євгенія</t>
  </si>
  <si>
    <t>ZVPG_u_0432</t>
  </si>
  <si>
    <t>Судак Тимофій</t>
  </si>
  <si>
    <t>ZVPG_u_0433</t>
  </si>
  <si>
    <t>Сінчак Іван</t>
  </si>
  <si>
    <t>ZVPG_u_0434</t>
  </si>
  <si>
    <t>Соломка Денис</t>
  </si>
  <si>
    <t>ZVPG_u_0435</t>
  </si>
  <si>
    <t>Ткаченко Назар</t>
  </si>
  <si>
    <t>ZVPG_u_0436</t>
  </si>
  <si>
    <t>Ткаленко Артем</t>
  </si>
  <si>
    <t>ZVPG_u_0437</t>
  </si>
  <si>
    <t>Талунова Вікторія</t>
  </si>
  <si>
    <t>ZVPG_u_0438</t>
  </si>
  <si>
    <t>Хорошеська Дарина</t>
  </si>
  <si>
    <t>ZVPG_u_0439</t>
  </si>
  <si>
    <t>Шульга Юрій</t>
  </si>
  <si>
    <t>ZVPG_u_0440</t>
  </si>
  <si>
    <t>Білка Євгеній</t>
  </si>
  <si>
    <t>Прилуцький заклад загальної середньої освіти І-ІІІ ступенів №7(ліцей №7)</t>
  </si>
  <si>
    <t>ZVPG_u_0441</t>
  </si>
  <si>
    <t>Бойко Діана</t>
  </si>
  <si>
    <t>ZVPG_u_0442</t>
  </si>
  <si>
    <t>Василець Кирило</t>
  </si>
  <si>
    <t>ZVPG_u_0443</t>
  </si>
  <si>
    <t>Васильковський Данііл</t>
  </si>
  <si>
    <t>ZVPG_u_0444</t>
  </si>
  <si>
    <t>Гмиря Олена</t>
  </si>
  <si>
    <t>ZVPG_u_0445</t>
  </si>
  <si>
    <t>Іванченко Анна</t>
  </si>
  <si>
    <t>ZVPG_u_0446</t>
  </si>
  <si>
    <t>Казакова Катерина</t>
  </si>
  <si>
    <t>ZVPG_u_0447</t>
  </si>
  <si>
    <t>Кір'ян Микола</t>
  </si>
  <si>
    <t>ZVPG_u_0448</t>
  </si>
  <si>
    <t>Котеленець Олександра</t>
  </si>
  <si>
    <t>ZVPG_u_0449</t>
  </si>
  <si>
    <t>Кравченко Денис</t>
  </si>
  <si>
    <t>ZVPG_u_0450</t>
  </si>
  <si>
    <t>Кравчук Вікторія</t>
  </si>
  <si>
    <t>ZVPG_u_0451</t>
  </si>
  <si>
    <t>Леута Владислав</t>
  </si>
  <si>
    <t>ZVPG_u_0452</t>
  </si>
  <si>
    <t>Мартинець Олександра</t>
  </si>
  <si>
    <t>ZVPG_u_0453</t>
  </si>
  <si>
    <t>Марченко Ольга</t>
  </si>
  <si>
    <t>ZVPG_u_0454</t>
  </si>
  <si>
    <t>Месеча Денис</t>
  </si>
  <si>
    <t>ZVPG_u_0455</t>
  </si>
  <si>
    <t>Нероденко Артем</t>
  </si>
  <si>
    <t>ZVPG_u_0456</t>
  </si>
  <si>
    <t>Нестеренко Єлєна</t>
  </si>
  <si>
    <t>ZVPG_u_0457</t>
  </si>
  <si>
    <t>Озерський Микола</t>
  </si>
  <si>
    <t>ZVPG_u_0458</t>
  </si>
  <si>
    <t>Падалка Єгор</t>
  </si>
  <si>
    <t>ZVPG_u_0459</t>
  </si>
  <si>
    <t>Ратушняк Анастасія</t>
  </si>
  <si>
    <t>ZVPG_u_0460</t>
  </si>
  <si>
    <t>Церкуник Артем</t>
  </si>
  <si>
    <t>ZVPG_u_0461</t>
  </si>
  <si>
    <t>Яриш Наталія</t>
  </si>
  <si>
    <t>ZVPG_u_0462</t>
  </si>
  <si>
    <t>Ярмак Марія</t>
  </si>
  <si>
    <t>ZVPG_u_0463</t>
  </si>
  <si>
    <t>Александров Матвій</t>
  </si>
  <si>
    <t>Ліцей 53 Шевченківського райому м.Київ</t>
  </si>
  <si>
    <t>ZVPG_u_0464</t>
  </si>
  <si>
    <t>Барсук Аліса</t>
  </si>
  <si>
    <t>ZVPG_u_0465</t>
  </si>
  <si>
    <t>Безроднова Ксенія</t>
  </si>
  <si>
    <t>ZVPG_u_0466</t>
  </si>
  <si>
    <t>Заїка Гліб</t>
  </si>
  <si>
    <t>ZVPG_u_0467</t>
  </si>
  <si>
    <t>Дзенькевич Софія</t>
  </si>
  <si>
    <t>ZVPG_u_0468</t>
  </si>
  <si>
    <t>Жижко Артем</t>
  </si>
  <si>
    <t>ZVPG_u_0469</t>
  </si>
  <si>
    <t>Кислюк Костянтин</t>
  </si>
  <si>
    <t>ZVPG_u_0470</t>
  </si>
  <si>
    <t>Коханюк Антон</t>
  </si>
  <si>
    <t>ZVPG_u_0471</t>
  </si>
  <si>
    <t>Литвиненко Назар</t>
  </si>
  <si>
    <t>ZVPG_u_0472</t>
  </si>
  <si>
    <t>Стрикун Марія</t>
  </si>
  <si>
    <t>ZVPG_u_0473</t>
  </si>
  <si>
    <t>Фокова Анна</t>
  </si>
  <si>
    <t>ZVPG_u_0474</t>
  </si>
  <si>
    <t>Яворська Софія</t>
  </si>
  <si>
    <t>ZVPG_u_0475</t>
  </si>
  <si>
    <t>Наумов Володимир</t>
  </si>
  <si>
    <t>ZVPG_u_0476</t>
  </si>
  <si>
    <t>Олійник Максим</t>
  </si>
  <si>
    <t>ZVPG_u_0477</t>
  </si>
  <si>
    <t>Радванська Варвара</t>
  </si>
  <si>
    <t>ZVPG_u_0478</t>
  </si>
  <si>
    <t>Францішко Ольга</t>
  </si>
  <si>
    <t>ZVPG_u_0479</t>
  </si>
  <si>
    <t>Лесик Богдана</t>
  </si>
  <si>
    <t>ZVPG_u_0480</t>
  </si>
  <si>
    <t>Коваленко Єлизавета</t>
  </si>
  <si>
    <t>ZVPG_u_0481</t>
  </si>
  <si>
    <t>Андрієць Вікторія</t>
  </si>
  <si>
    <t>Чернівецька гімназія №7</t>
  </si>
  <si>
    <t>ZVPG_u_0482</t>
  </si>
  <si>
    <t>Биндю Владислав</t>
  </si>
  <si>
    <t>ZVPG_u_0483</t>
  </si>
  <si>
    <t>Волощук Вікторія</t>
  </si>
  <si>
    <t>ZVPG_u_0484</t>
  </si>
  <si>
    <t>Гіберт Нікіта</t>
  </si>
  <si>
    <t>ZVPG_u_0485</t>
  </si>
  <si>
    <t>Гідорва Анна-Марія</t>
  </si>
  <si>
    <t>ZVPG_u_0486</t>
  </si>
  <si>
    <t>Гідора Василь</t>
  </si>
  <si>
    <t>ZVPG_u_0487</t>
  </si>
  <si>
    <t>Зубов Максим</t>
  </si>
  <si>
    <t>ZVPG_u_0488</t>
  </si>
  <si>
    <t>Казюк Анастасія</t>
  </si>
  <si>
    <t>ZVPG_u_0489</t>
  </si>
  <si>
    <t>Кіндрачук Данієль</t>
  </si>
  <si>
    <t>ZVPG_u_0490</t>
  </si>
  <si>
    <t>Ковалюк Дмитро</t>
  </si>
  <si>
    <t>ZVPG_u_0491</t>
  </si>
  <si>
    <t>Корнівська Анна</t>
  </si>
  <si>
    <t>ZVPG_u_0492</t>
  </si>
  <si>
    <t>Корнієнко Георгій</t>
  </si>
  <si>
    <t>ZVPG_u_0493</t>
  </si>
  <si>
    <t>Оліник Евеліна</t>
  </si>
  <si>
    <t>ZVPG_u_0494</t>
  </si>
  <si>
    <t>Сербінський Максим</t>
  </si>
  <si>
    <t>ZVPG_u_0495</t>
  </si>
  <si>
    <t>Славніку Аріна</t>
  </si>
  <si>
    <t>ZVPG_u_0496</t>
  </si>
  <si>
    <t>Телецький Михайло</t>
  </si>
  <si>
    <t>ZVPG_u_0497</t>
  </si>
  <si>
    <t>Трубчак Володимир</t>
  </si>
  <si>
    <t>ZVPG_u_0498</t>
  </si>
  <si>
    <t>Чайка Данило</t>
  </si>
  <si>
    <t>ZVPG_u_0499</t>
  </si>
  <si>
    <t>Чернявська Марія</t>
  </si>
  <si>
    <t>ZVPG_u_0500</t>
  </si>
  <si>
    <t>Чорней Нікіта</t>
  </si>
  <si>
    <t>ZVPG_u_0501</t>
  </si>
  <si>
    <t>Чубак Вікторія</t>
  </si>
  <si>
    <t>ZVPG_u_0502</t>
  </si>
  <si>
    <t>Козакова Ангеліна Володимирівна</t>
  </si>
  <si>
    <t>Запорізька гімназія №51 Запорізької міської ради</t>
  </si>
  <si>
    <t>ZVPG_u_0503</t>
  </si>
  <si>
    <t>Линник Єгор Сергійович</t>
  </si>
  <si>
    <t>ZVPG_u_0504</t>
  </si>
  <si>
    <t>Мілежик Олександр Євгенович</t>
  </si>
  <si>
    <t>ZVPG_u_0505</t>
  </si>
  <si>
    <t>Найдьонова Кіра Олександрівна</t>
  </si>
  <si>
    <t>ZVPG_u_0506</t>
  </si>
  <si>
    <t>Ковальов Іван Андрійович</t>
  </si>
  <si>
    <t>Київська приватна гімназія "Спільношкола"</t>
  </si>
  <si>
    <t>ZVPG_u_0507</t>
  </si>
  <si>
    <t>Зінченко Мар'яна Віталіївна</t>
  </si>
  <si>
    <t>ZVPG_u_0508</t>
  </si>
  <si>
    <t>Жданов Тимур Артемович</t>
  </si>
  <si>
    <t>ZVPG_u_0509</t>
  </si>
  <si>
    <t>Патіс Мірра Дмитрівна</t>
  </si>
  <si>
    <t>ZVPG_u_0510</t>
  </si>
  <si>
    <t>Старенька Марія Андріївна</t>
  </si>
  <si>
    <t>ZVPG_u_0511</t>
  </si>
  <si>
    <t xml:space="preserve">Турло Максим Сергійович </t>
  </si>
  <si>
    <t>Опорний заклад освіти-Городищенський ЗЗСО I-III ступенів № 3 Городищенської міської ради Черкаської області</t>
  </si>
  <si>
    <t>ZVPG_u_0512</t>
  </si>
  <si>
    <t>Панасенко Микола Віталійович</t>
  </si>
  <si>
    <t>ZVPG_u_0513</t>
  </si>
  <si>
    <t>Шеман Нікіта Дмитрович</t>
  </si>
  <si>
    <t>ZVPG_u_0514</t>
  </si>
  <si>
    <t>Повзун Яна Олександрівна</t>
  </si>
  <si>
    <t>ZVPG_u_0515</t>
  </si>
  <si>
    <t>Цветков Богдан Сергійович</t>
  </si>
  <si>
    <t>ZVPG_u_0516</t>
  </si>
  <si>
    <t>Граділь Анна Олександрівна</t>
  </si>
  <si>
    <t>ZVPG_u_0517</t>
  </si>
  <si>
    <t>Гаврильчук Дмитро Васильович</t>
  </si>
  <si>
    <t>комунальний заклад "Харківська гімназія № 76 Харківської міської ради"</t>
  </si>
  <si>
    <t>ZVPG_u_0518</t>
  </si>
  <si>
    <t>Краснопольська Марія В`ячеславіана</t>
  </si>
  <si>
    <t>ZVPG_u_0519</t>
  </si>
  <si>
    <t>Баздирєва Уляна Ігорівна</t>
  </si>
  <si>
    <t>ZVPG_u_0520</t>
  </si>
  <si>
    <t>Репринцева Маргарита Юріївна</t>
  </si>
  <si>
    <t>ZVPG_u_0521</t>
  </si>
  <si>
    <t>Салтевський Ілля Сергійович</t>
  </si>
  <si>
    <t>ZVPG_u_0522</t>
  </si>
  <si>
    <t>Бондаренко Ніка Станіславівна</t>
  </si>
  <si>
    <t>Запорізька суспільно-гуманітарна гімназія 27 Запорізької міської ради Запорізької області</t>
  </si>
  <si>
    <t>ZVPG_u_0523</t>
  </si>
  <si>
    <t>Вітковська Альбіна Русланівна</t>
  </si>
  <si>
    <t>ZVPG_u_0524</t>
  </si>
  <si>
    <t>Дурнева Дар'я Євгенівна</t>
  </si>
  <si>
    <t>ZVPG_u_0525</t>
  </si>
  <si>
    <t>Ковальчук Анатолій Андрійович</t>
  </si>
  <si>
    <t>ZVPG_u_0526</t>
  </si>
  <si>
    <t>Корнієнко Поліна Дмитрівна</t>
  </si>
  <si>
    <t>ZVPG_u_0527</t>
  </si>
  <si>
    <t>Костюченко Дарина Павлівна</t>
  </si>
  <si>
    <t>ZVPG_u_0528</t>
  </si>
  <si>
    <t>Нуштаєв Артем Віталійович</t>
  </si>
  <si>
    <t>ZVPG_u_0529</t>
  </si>
  <si>
    <t>Плаксін Юрій Михайлович</t>
  </si>
  <si>
    <t>ZVPG_u_0530</t>
  </si>
  <si>
    <t>Пустова Софія Сергіївна</t>
  </si>
  <si>
    <t>ZVPG_u_0531</t>
  </si>
  <si>
    <t>Рагімова Аміна Рауфівна</t>
  </si>
  <si>
    <t>ZVPG_u_0532</t>
  </si>
  <si>
    <t>Савойський Артем Олександрович</t>
  </si>
  <si>
    <t>ZVPG_u_0533</t>
  </si>
  <si>
    <t>Сапунцов Микита Вадимович</t>
  </si>
  <si>
    <t>ZVPG_u_0534</t>
  </si>
  <si>
    <t>Сиромолотна Софія Юріївна</t>
  </si>
  <si>
    <t>ZVPG_u_0535</t>
  </si>
  <si>
    <t>Сокирка Дмитро Сергійович</t>
  </si>
  <si>
    <t>ZVPG_u_0536</t>
  </si>
  <si>
    <t>Шостак Вікторія Сергіївна</t>
  </si>
  <si>
    <t>ZVPG_u_0537</t>
  </si>
  <si>
    <t>Ковтун Владислав</t>
  </si>
  <si>
    <t>Комунальний заклад "Зміївський ліцей №2" Зміївської міської ради Чугуївського району Харківської області</t>
  </si>
  <si>
    <t>ZVPG_u_0538</t>
  </si>
  <si>
    <t>Крамаренко Христина</t>
  </si>
  <si>
    <t>ZVPG_u_0539</t>
  </si>
  <si>
    <t>Волошин Тарас</t>
  </si>
  <si>
    <t>ZVPG_u_0540</t>
  </si>
  <si>
    <t>М'ясник Софія</t>
  </si>
  <si>
    <t>ZVPG_u_0541</t>
  </si>
  <si>
    <t>Скоробагатов Богдан</t>
  </si>
  <si>
    <t>ZVPG_u_0542</t>
  </si>
  <si>
    <t>Носик Дмитро</t>
  </si>
  <si>
    <t>ZVPG_u_0543</t>
  </si>
  <si>
    <t>Фролова Ганна</t>
  </si>
  <si>
    <t>ZVPG_u_0544</t>
  </si>
  <si>
    <t>Фролова Людмила</t>
  </si>
  <si>
    <t>ZVPG_u_0545</t>
  </si>
  <si>
    <t>Микитюк Артем</t>
  </si>
  <si>
    <t>ZVPG_u_0546</t>
  </si>
  <si>
    <t>Доброскок Софія</t>
  </si>
  <si>
    <t>ZVPG_u_0547</t>
  </si>
  <si>
    <t>Доброскок Марія</t>
  </si>
  <si>
    <t>ZVPG_u_0548</t>
  </si>
  <si>
    <t>Дунай Нікіта</t>
  </si>
  <si>
    <t>ZVPG_u_0549</t>
  </si>
  <si>
    <t>Руденко Софія</t>
  </si>
  <si>
    <t>ZVPG_u_0550</t>
  </si>
  <si>
    <t>Майборода Ангеліна</t>
  </si>
  <si>
    <t>ZVPG_u_0551</t>
  </si>
  <si>
    <t>Бондарь Руслана</t>
  </si>
  <si>
    <t>ZVPG_u_0552</t>
  </si>
  <si>
    <t>Мосьпан Марія</t>
  </si>
  <si>
    <t>ZVPG_u_0553</t>
  </si>
  <si>
    <t>Нестерцова Софія</t>
  </si>
  <si>
    <t>ZVPG_u_0554</t>
  </si>
  <si>
    <t>Байрачний Данило</t>
  </si>
  <si>
    <t>ZVPG_u_0555</t>
  </si>
  <si>
    <t>Несміян Діана</t>
  </si>
  <si>
    <t>ZVPG_u_0556</t>
  </si>
  <si>
    <t>Тушевська Іванна</t>
  </si>
  <si>
    <t>ZVPG_u_0557</t>
  </si>
  <si>
    <t>Курочка Олександр</t>
  </si>
  <si>
    <t>ZVPG_u_0558</t>
  </si>
  <si>
    <t>Литвинов Гліб</t>
  </si>
  <si>
    <t>ZVPG_u_0559</t>
  </si>
  <si>
    <t>Черепаха Анжеліка</t>
  </si>
  <si>
    <t>ZVPG_u_0560</t>
  </si>
  <si>
    <t xml:space="preserve">Кускова Маргарита </t>
  </si>
  <si>
    <t>ZVPG_u_0561</t>
  </si>
  <si>
    <t>Борченко Матвій</t>
  </si>
  <si>
    <t>ZVPG_u_0562</t>
  </si>
  <si>
    <t>Дарієнко Анастасія</t>
  </si>
  <si>
    <t>ZVPG_u_0563</t>
  </si>
  <si>
    <t>Власов Сергій</t>
  </si>
  <si>
    <t>ZVPG_u_0564</t>
  </si>
  <si>
    <t>Лещенко Катерина</t>
  </si>
  <si>
    <t>ZVPG_u_0565</t>
  </si>
  <si>
    <t>Уразов Максим</t>
  </si>
  <si>
    <t>ZVPG_u_0566</t>
  </si>
  <si>
    <t>Левенець Ярослав</t>
  </si>
  <si>
    <t>ZVPG_u_0567</t>
  </si>
  <si>
    <t>Курявська Ольга</t>
  </si>
  <si>
    <t>ZVPG_u_0568</t>
  </si>
  <si>
    <t>Ткаченко Марія</t>
  </si>
  <si>
    <t>ZVPG_u_0569</t>
  </si>
  <si>
    <t>Нагорний Тимофій</t>
  </si>
  <si>
    <t>ZVPG_u_0570</t>
  </si>
  <si>
    <t>Михайліченко Кирило</t>
  </si>
  <si>
    <t>ZVPG_u_0571</t>
  </si>
  <si>
    <t>Барціцький Ігор</t>
  </si>
  <si>
    <t>Іллінецький ліцей №2 Іллінецької міської ради Вінницької області</t>
  </si>
  <si>
    <t>ZVPG_u_0572</t>
  </si>
  <si>
    <t>Волощук Святослав</t>
  </si>
  <si>
    <t>ZVPG_u_0573</t>
  </si>
  <si>
    <t>Волощук Ярослав</t>
  </si>
  <si>
    <t>ZVPG_u_0574</t>
  </si>
  <si>
    <t>Гнатюк Захар</t>
  </si>
  <si>
    <t>ZVPG_u_0575</t>
  </si>
  <si>
    <t>Гурський Денис</t>
  </si>
  <si>
    <t>ZVPG_u_0576</t>
  </si>
  <si>
    <t>Зубар Данило</t>
  </si>
  <si>
    <t>ZVPG_u_0577</t>
  </si>
  <si>
    <t>Кириця Ангеліна</t>
  </si>
  <si>
    <t>ZVPG_u_0578</t>
  </si>
  <si>
    <t>Колесник Арсеній</t>
  </si>
  <si>
    <t>ZVPG_u_0579</t>
  </si>
  <si>
    <t>Кучерук Микола</t>
  </si>
  <si>
    <t>ZVPG_u_0580</t>
  </si>
  <si>
    <t>Кучерук Назар</t>
  </si>
  <si>
    <t>ZVPG_u_0581</t>
  </si>
  <si>
    <t>Лезнівський Микола</t>
  </si>
  <si>
    <t>ZVPG_u_0582</t>
  </si>
  <si>
    <t>Младін Максим</t>
  </si>
  <si>
    <t>ZVPG_u_0583</t>
  </si>
  <si>
    <t>Огіренко Олексій</t>
  </si>
  <si>
    <t>ZVPG_u_0584</t>
  </si>
  <si>
    <t>Панін Микола</t>
  </si>
  <si>
    <t>ZVPG_u_0585</t>
  </si>
  <si>
    <t>Пастушенко Макар</t>
  </si>
  <si>
    <t>ZVPG_u_0586</t>
  </si>
  <si>
    <t>Северин Єлизавета</t>
  </si>
  <si>
    <t>ZVPG_u_0587</t>
  </si>
  <si>
    <t>Столяр Костянтин</t>
  </si>
  <si>
    <t>ZVPG_u_0588</t>
  </si>
  <si>
    <t>Шапшай Матвій</t>
  </si>
  <si>
    <t>ZVPG_u_0589</t>
  </si>
  <si>
    <t>Шимко Данило</t>
  </si>
  <si>
    <t>ZVPG_u_0590</t>
  </si>
  <si>
    <t>Шимко Олексій</t>
  </si>
  <si>
    <t>ZVPG_u_0591</t>
  </si>
  <si>
    <t>Яременко Анна</t>
  </si>
  <si>
    <t>ZVPG_u_0592</t>
  </si>
  <si>
    <t>Благовірний Максим</t>
  </si>
  <si>
    <t>КЗЗСО «Луцький ліцей №18 Луцької міської ради»</t>
  </si>
  <si>
    <t>ZVPG_u_0593</t>
  </si>
  <si>
    <t>Боярчук Северин</t>
  </si>
  <si>
    <t>ZVPG_u_0594</t>
  </si>
  <si>
    <t>Дмитрук Анна</t>
  </si>
  <si>
    <t>ZVPG_u_0595</t>
  </si>
  <si>
    <t>Зінчук Давид</t>
  </si>
  <si>
    <t>ZVPG_u_0596</t>
  </si>
  <si>
    <t>Катаман Роман</t>
  </si>
  <si>
    <t>ZVPG_u_0597</t>
  </si>
  <si>
    <t>Коренівська Анна</t>
  </si>
  <si>
    <t>ZVPG_u_0598</t>
  </si>
  <si>
    <t>Костюк Вікторія</t>
  </si>
  <si>
    <t>ZVPG_u_0599</t>
  </si>
  <si>
    <t>Кот Злата</t>
  </si>
  <si>
    <t>ZVPG_u_0600</t>
  </si>
  <si>
    <t>Кравчук Костянтин</t>
  </si>
  <si>
    <t>ZVPG_u_0601</t>
  </si>
  <si>
    <t>Дебіч Дмитро</t>
  </si>
  <si>
    <t>ZVPG_u_0602</t>
  </si>
  <si>
    <t>Лозова Дарʼя</t>
  </si>
  <si>
    <t>ZVPG_u_0603</t>
  </si>
  <si>
    <t>Нікітюк Вероніка</t>
  </si>
  <si>
    <t>ZVPG_u_0604</t>
  </si>
  <si>
    <t>Панасюк Максим</t>
  </si>
  <si>
    <t>ZVPG_u_0605</t>
  </si>
  <si>
    <t>Патіюк Тарас</t>
  </si>
  <si>
    <t>ZVPG_u_0606</t>
  </si>
  <si>
    <t>Рожанська Ірина</t>
  </si>
  <si>
    <t>ZVPG_u_0607</t>
  </si>
  <si>
    <t>Самсонюк Домініка</t>
  </si>
  <si>
    <t>ZVPG_u_0608</t>
  </si>
  <si>
    <t>Сіваш Матвій</t>
  </si>
  <si>
    <t>ZVPG_u_0609</t>
  </si>
  <si>
    <t>Склезь Єлізар</t>
  </si>
  <si>
    <t>ZVPG_u_0610</t>
  </si>
  <si>
    <t>Терещук Богдана</t>
  </si>
  <si>
    <t>ZVPG_u_0611</t>
  </si>
  <si>
    <t>Чепурка Кирил</t>
  </si>
  <si>
    <t>ZVPG_u_0612</t>
  </si>
  <si>
    <t>Яковлєв Назар</t>
  </si>
  <si>
    <t>ZVPG_u_0613</t>
  </si>
  <si>
    <t>Антонюк Назар</t>
  </si>
  <si>
    <t>ZVPG_u_0614</t>
  </si>
  <si>
    <t>Аршулік Соломія</t>
  </si>
  <si>
    <t>ZVPG_u_0615</t>
  </si>
  <si>
    <t>Барилко Анна</t>
  </si>
  <si>
    <t>ZVPG_u_0616</t>
  </si>
  <si>
    <t>Бугайова Владислава</t>
  </si>
  <si>
    <t>ZVPG_u_0617</t>
  </si>
  <si>
    <t>Власюк Данило</t>
  </si>
  <si>
    <t>ZVPG_u_0618</t>
  </si>
  <si>
    <t>Власюк Соломія</t>
  </si>
  <si>
    <t>ZVPG_u_0619</t>
  </si>
  <si>
    <t>Денисюк Наталія</t>
  </si>
  <si>
    <t>ZVPG_u_0620</t>
  </si>
  <si>
    <t>Деркач Поліна</t>
  </si>
  <si>
    <t>ZVPG_u_0621</t>
  </si>
  <si>
    <t>Дроздова Олександра</t>
  </si>
  <si>
    <t>ZVPG_u_0622</t>
  </si>
  <si>
    <t>Ємелін Олександр</t>
  </si>
  <si>
    <t>ZVPG_u_0623</t>
  </si>
  <si>
    <t>Зозуля Єва</t>
  </si>
  <si>
    <t>ZVPG_u_0624</t>
  </si>
  <si>
    <t>Ізвєкова Олександра</t>
  </si>
  <si>
    <t>ZVPG_u_0625</t>
  </si>
  <si>
    <t>Кватирко Тимофій</t>
  </si>
  <si>
    <t>ZVPG_u_0626</t>
  </si>
  <si>
    <t>Красневич Злата</t>
  </si>
  <si>
    <t>ZVPG_u_0627</t>
  </si>
  <si>
    <t>Матчук Дарія</t>
  </si>
  <si>
    <t>ZVPG_u_0628</t>
  </si>
  <si>
    <t>Митілка Арсеній</t>
  </si>
  <si>
    <t>ZVPG_u_0629</t>
  </si>
  <si>
    <t>Михайлюк Кароліна</t>
  </si>
  <si>
    <t>ZVPG_u_0630</t>
  </si>
  <si>
    <t>Перекора Анна</t>
  </si>
  <si>
    <t>ZVPG_u_0631</t>
  </si>
  <si>
    <t>Петрук Вероніка</t>
  </si>
  <si>
    <t>ZVPG_u_0632</t>
  </si>
  <si>
    <t>Погинець Христина</t>
  </si>
  <si>
    <t>ZVPG_u_0633</t>
  </si>
  <si>
    <t>Самчук Андрій</t>
  </si>
  <si>
    <t>ZVPG_u_0634</t>
  </si>
  <si>
    <t>Саприка Михайло</t>
  </si>
  <si>
    <t>ZVPG_u_0635</t>
  </si>
  <si>
    <t>Спященко Олександра</t>
  </si>
  <si>
    <t>ZVPG_u_0636</t>
  </si>
  <si>
    <t>Степанюк Роман</t>
  </si>
  <si>
    <t>ZVPG_u_0637</t>
  </si>
  <si>
    <t>Хоменко Святослав</t>
  </si>
  <si>
    <t>ZVPG_u_0638</t>
  </si>
  <si>
    <t>Чудовець Тарас</t>
  </si>
  <si>
    <t>ZVPG_u_0639</t>
  </si>
  <si>
    <t>Шевченко Арсеній</t>
  </si>
  <si>
    <t>ZVPG_u_0640</t>
  </si>
  <si>
    <t>Аверіна Каміла</t>
  </si>
  <si>
    <t>ZVPG_u_0641</t>
  </si>
  <si>
    <t>Артемук Емілія</t>
  </si>
  <si>
    <t>ZVPG_u_0642</t>
  </si>
  <si>
    <t>Гаврилюк Катерина</t>
  </si>
  <si>
    <t>ZVPG_u_0643</t>
  </si>
  <si>
    <t>Добровольський Владислав</t>
  </si>
  <si>
    <t>ZVPG_u_0644</t>
  </si>
  <si>
    <t>Капустіна Анна</t>
  </si>
  <si>
    <t>ZVPG_u_0645</t>
  </si>
  <si>
    <t>Ковальчук Вікторія</t>
  </si>
  <si>
    <t>ZVPG_u_0646</t>
  </si>
  <si>
    <t>Кухарук Марк</t>
  </si>
  <si>
    <t>ZVPG_u_0647</t>
  </si>
  <si>
    <t>Леськів Катерина</t>
  </si>
  <si>
    <t>ZVPG_u_0648</t>
  </si>
  <si>
    <t>Матат Артем</t>
  </si>
  <si>
    <t>ZVPG_u_0649</t>
  </si>
  <si>
    <t>Моголівець Марія</t>
  </si>
  <si>
    <t>ZVPG_u_0650</t>
  </si>
  <si>
    <t>Никитюк Марія</t>
  </si>
  <si>
    <t>ZVPG_u_0651</t>
  </si>
  <si>
    <t>Новосад Оксана</t>
  </si>
  <si>
    <t>ZVPG_u_0652</t>
  </si>
  <si>
    <t>Павлович Матвій</t>
  </si>
  <si>
    <t>ZVPG_u_0653</t>
  </si>
  <si>
    <t>Пазин Станіслав</t>
  </si>
  <si>
    <t>ZVPG_u_0654</t>
  </si>
  <si>
    <t>Полінкевич Володимир</t>
  </si>
  <si>
    <t>ZVPG_u_0655</t>
  </si>
  <si>
    <t>Пшонюк Микола</t>
  </si>
  <si>
    <t>ZVPG_u_0656</t>
  </si>
  <si>
    <t>Редько Анастасія</t>
  </si>
  <si>
    <t>ZVPG_u_0657</t>
  </si>
  <si>
    <t>Сацик Катерина</t>
  </si>
  <si>
    <t>ZVPG_u_0658</t>
  </si>
  <si>
    <t>Семенюк Роман</t>
  </si>
  <si>
    <t>ZVPG_u_0659</t>
  </si>
  <si>
    <t>Федорчук Єва</t>
  </si>
  <si>
    <t>ZVPG_u_0660</t>
  </si>
  <si>
    <t>Чечотка Богдана</t>
  </si>
  <si>
    <t>ZVPG_u_0661</t>
  </si>
  <si>
    <t>Шадрунова Валерія</t>
  </si>
  <si>
    <t>ZVPG_u_0662</t>
  </si>
  <si>
    <t>Блиндюк Анастасія</t>
  </si>
  <si>
    <t>ZVPG_u_0663</t>
  </si>
  <si>
    <t>Бойко Катерина</t>
  </si>
  <si>
    <t>ZVPG_u_0664</t>
  </si>
  <si>
    <t>Будницька Каріна</t>
  </si>
  <si>
    <t>ZVPG_u_0665</t>
  </si>
  <si>
    <t>Вікторенков Вадим</t>
  </si>
  <si>
    <t>ZVPG_u_0666</t>
  </si>
  <si>
    <t>Дедух Дарія</t>
  </si>
  <si>
    <t>ZVPG_u_0667</t>
  </si>
  <si>
    <t>Кривчук Анна</t>
  </si>
  <si>
    <t>ZVPG_u_0668</t>
  </si>
  <si>
    <t>Ліщук Вячеслав</t>
  </si>
  <si>
    <t>ZVPG_u_0669</t>
  </si>
  <si>
    <t>Мартинюк Уляна</t>
  </si>
  <si>
    <t>ZVPG_u_0670</t>
  </si>
  <si>
    <t>Мельник Богдан</t>
  </si>
  <si>
    <t>ZVPG_u_0671</t>
  </si>
  <si>
    <t>Огребчук Владислав</t>
  </si>
  <si>
    <t>ZVPG_u_0672</t>
  </si>
  <si>
    <t>Пєскова Аделіна</t>
  </si>
  <si>
    <t>ZVPG_u_0673</t>
  </si>
  <si>
    <t>Пильчук Назар</t>
  </si>
  <si>
    <t>ZVPG_u_0674</t>
  </si>
  <si>
    <t>Романова Варвара</t>
  </si>
  <si>
    <t>ZVPG_u_0675</t>
  </si>
  <si>
    <t>Снопко Денис</t>
  </si>
  <si>
    <t>ZVPG_u_0676</t>
  </si>
  <si>
    <t>Собковська Ангеліна</t>
  </si>
  <si>
    <t>ZVPG_u_0677</t>
  </si>
  <si>
    <t>Степанюк Анастасія</t>
  </si>
  <si>
    <t>ZVPG_u_0678</t>
  </si>
  <si>
    <t>Тимощук Арсеній</t>
  </si>
  <si>
    <t>ZVPG_u_0679</t>
  </si>
  <si>
    <t>Турчик Іван</t>
  </si>
  <si>
    <t>ZVPG_u_0680</t>
  </si>
  <si>
    <t>Федун Артем</t>
  </si>
  <si>
    <t>ZVPG_u_0681</t>
  </si>
  <si>
    <t>Фондова Софія</t>
  </si>
  <si>
    <t>ZVPG_u_0682</t>
  </si>
  <si>
    <t>Цвяк Дарина</t>
  </si>
  <si>
    <t>ZVPG_u_0683</t>
  </si>
  <si>
    <t>Шульга Денис</t>
  </si>
  <si>
    <t>ZVPG_u_0684</t>
  </si>
  <si>
    <t>Александров Євген Євгенович</t>
  </si>
  <si>
    <t>Заклад загальної середньої освіти І-ІІІ ступенів села Комар Волноваського району Донецької області</t>
  </si>
  <si>
    <t>ZVPG_u_0685</t>
  </si>
  <si>
    <t>Буртов Данило Олегович</t>
  </si>
  <si>
    <t>ZVPG_u_0686</t>
  </si>
  <si>
    <t>Дарда Дар'я Олексіївна</t>
  </si>
  <si>
    <t>ZVPG_u_0687</t>
  </si>
  <si>
    <t>Курінкова Анастасія Олексіївна</t>
  </si>
  <si>
    <t>ZVPG_u_0688</t>
  </si>
  <si>
    <t>Петрова Ніна Іванівна</t>
  </si>
  <si>
    <t>ZVPG_u_0689</t>
  </si>
  <si>
    <t>Тітов Єгор Миколайович</t>
  </si>
  <si>
    <t>ZVPG_u_0690</t>
  </si>
  <si>
    <t>Шаповалова Вероніка Артемівна</t>
  </si>
  <si>
    <t>ZVPG_u_0691</t>
  </si>
  <si>
    <t>Юр'єв Вячеслав Вячеславович</t>
  </si>
  <si>
    <t>ZVPG_u_0692</t>
  </si>
  <si>
    <t>Ярмоха Ярослав Олексійович</t>
  </si>
  <si>
    <t>ZVPG_u_0693</t>
  </si>
  <si>
    <t>Волкова Аліна</t>
  </si>
  <si>
    <t>Комунальний заклад загальної середньої освіти "Ліцей № 15 імені Олександра Співачука Хмельницької міської ради"</t>
  </si>
  <si>
    <t>ZVPG_u_0694</t>
  </si>
  <si>
    <t>Григорук Інна</t>
  </si>
  <si>
    <t>ZVPG_u_0695</t>
  </si>
  <si>
    <t>Губай Олександр</t>
  </si>
  <si>
    <t>ZVPG_u_0696</t>
  </si>
  <si>
    <t>Доманський Ілля</t>
  </si>
  <si>
    <t>ZVPG_u_0697</t>
  </si>
  <si>
    <t>Дутка Анастасія</t>
  </si>
  <si>
    <t>ZVPG_u_0698</t>
  </si>
  <si>
    <t>Кирилюк Анна</t>
  </si>
  <si>
    <t>ZVPG_u_0699</t>
  </si>
  <si>
    <t>Кок Діана</t>
  </si>
  <si>
    <t>ZVPG_u_0700</t>
  </si>
  <si>
    <t>Коханська Аліна</t>
  </si>
  <si>
    <t>ZVPG_u_0701</t>
  </si>
  <si>
    <t>Кривоносюк Олександра</t>
  </si>
  <si>
    <t>ZVPG_u_0702</t>
  </si>
  <si>
    <t>Купріян Олександр</t>
  </si>
  <si>
    <t>ZVPG_u_0703</t>
  </si>
  <si>
    <t>Ланчук Валерія</t>
  </si>
  <si>
    <t>ZVPG_u_0704</t>
  </si>
  <si>
    <t>Мартинов Богдан</t>
  </si>
  <si>
    <t>ZVPG_u_0705</t>
  </si>
  <si>
    <t>Марчук Марина</t>
  </si>
  <si>
    <t>ZVPG_u_0706</t>
  </si>
  <si>
    <t>Мовчан Дмитро</t>
  </si>
  <si>
    <t>ZVPG_u_0707</t>
  </si>
  <si>
    <t>Наумов Дмитро</t>
  </si>
  <si>
    <t>ZVPG_u_0708</t>
  </si>
  <si>
    <t>Нежевело Катерина</t>
  </si>
  <si>
    <t>ZVPG_u_0709</t>
  </si>
  <si>
    <t>Нища Уляна</t>
  </si>
  <si>
    <t>ZVPG_u_0710</t>
  </si>
  <si>
    <t>Олійник Ростислав</t>
  </si>
  <si>
    <t>ZVPG_u_0711</t>
  </si>
  <si>
    <t>Раделицька Марія</t>
  </si>
  <si>
    <t>ZVPG_u_0712</t>
  </si>
  <si>
    <t>Рева Ульяна</t>
  </si>
  <si>
    <t>ZVPG_u_0713</t>
  </si>
  <si>
    <t>Слаб'як Олександр</t>
  </si>
  <si>
    <t>ZVPG_u_0714</t>
  </si>
  <si>
    <t>Стокальська Владислав</t>
  </si>
  <si>
    <t>ZVPG_u_0715</t>
  </si>
  <si>
    <t>Тимкова Олександра</t>
  </si>
  <si>
    <t>ZVPG_u_0716</t>
  </si>
  <si>
    <t>Цвєлова Маргарита</t>
  </si>
  <si>
    <t>ZVPG_u_0717</t>
  </si>
  <si>
    <t>Яковлев Владислав</t>
  </si>
  <si>
    <t>ZVPG_u_0718</t>
  </si>
  <si>
    <t>Безнощенко Гліб Миколайович</t>
  </si>
  <si>
    <t>Ліцей №280 Дарницького району м.Києва</t>
  </si>
  <si>
    <t>ZVPG_u_0719</t>
  </si>
  <si>
    <t>Василенко Ігор Денисович</t>
  </si>
  <si>
    <t>ZVPG_u_0720</t>
  </si>
  <si>
    <t>Васильченко Кирил Геннадійович</t>
  </si>
  <si>
    <t>ZVPG_u_0721</t>
  </si>
  <si>
    <t>Грабовик Марія Вікторівна</t>
  </si>
  <si>
    <t>ZVPG_u_0722</t>
  </si>
  <si>
    <t>Даніренко Павло Іванович</t>
  </si>
  <si>
    <t>ZVPG_u_0723</t>
  </si>
  <si>
    <t>Демчукова Олександра Валентинівна</t>
  </si>
  <si>
    <t>ZVPG_u_0724</t>
  </si>
  <si>
    <t>Дергачова Анна Олександрівна</t>
  </si>
  <si>
    <t>ZVPG_u_0725</t>
  </si>
  <si>
    <t>Житник Соня Сергіївна</t>
  </si>
  <si>
    <t>ZVPG_u_0726</t>
  </si>
  <si>
    <t>Коваль ЄвАнгеліна Юріївна</t>
  </si>
  <si>
    <t>ZVPG_u_0727</t>
  </si>
  <si>
    <t>Корнієнко Даніїл Сергійович</t>
  </si>
  <si>
    <t>ZVPG_u_0728</t>
  </si>
  <si>
    <t>Ласкава Ангеліна Олександрівна</t>
  </si>
  <si>
    <t>ZVPG_u_0729</t>
  </si>
  <si>
    <t>Ласкава Евеліна Олександрівна</t>
  </si>
  <si>
    <t>ZVPG_u_0730</t>
  </si>
  <si>
    <t>Ліман Михайло Сергійович</t>
  </si>
  <si>
    <t>ZVPG_u_0731</t>
  </si>
  <si>
    <t>Мамзіна Діана Віталіївна</t>
  </si>
  <si>
    <t>ZVPG_u_0732</t>
  </si>
  <si>
    <t>Мартиненко Дмитро В’ячеславович</t>
  </si>
  <si>
    <t>ZVPG_u_0733</t>
  </si>
  <si>
    <t>Михальчишин Дмитро Євгенович</t>
  </si>
  <si>
    <t>ZVPG_u_0734</t>
  </si>
  <si>
    <t>Омельченко Артур Володимирович</t>
  </si>
  <si>
    <t>ZVPG_u_0735</t>
  </si>
  <si>
    <t>Садієва Гульчин</t>
  </si>
  <si>
    <t>ZVPG_u_0736</t>
  </si>
  <si>
    <t>Хилько Анастасія Віталіївна</t>
  </si>
  <si>
    <t>ZVPG_u_0737</t>
  </si>
  <si>
    <t>Шалюта Макар Сергійович</t>
  </si>
  <si>
    <t>ZVPG_u_0738</t>
  </si>
  <si>
    <t>Шевченко Марина Андріївна</t>
  </si>
  <si>
    <t>ZVPG_u_0739</t>
  </si>
  <si>
    <t>Шитенко Вероніка Сергіївна</t>
  </si>
  <si>
    <t>ZVPG_u_0740</t>
  </si>
  <si>
    <t>Якимчук Назар Ігорович</t>
  </si>
  <si>
    <t>ZVPG_u_0741</t>
  </si>
  <si>
    <t>Бахур Віталій</t>
  </si>
  <si>
    <t>Грушківська гімназія</t>
  </si>
  <si>
    <t>ZVPG_u_0742</t>
  </si>
  <si>
    <t>Тикуцька Людмила</t>
  </si>
  <si>
    <t>ZVPG_u_0743</t>
  </si>
  <si>
    <t>Волчев Нікіта</t>
  </si>
  <si>
    <t>ZVPG_u_0744</t>
  </si>
  <si>
    <t>Черниш Максим</t>
  </si>
  <si>
    <t>ZVPG_u_0745</t>
  </si>
  <si>
    <t>Козлова Марія</t>
  </si>
  <si>
    <t>ZVPG_u_0746</t>
  </si>
  <si>
    <t>Алєксєєнко Марія</t>
  </si>
  <si>
    <t>ZVPG_u_0747</t>
  </si>
  <si>
    <t>ZVPG_u_0748</t>
  </si>
  <si>
    <t>Гонгало Дмитро</t>
  </si>
  <si>
    <t>ZVPG_u_0749</t>
  </si>
  <si>
    <t>Ігнатенко Владислав</t>
  </si>
  <si>
    <t>ZVPG_u_0750</t>
  </si>
  <si>
    <t>Поліщук Віталій</t>
  </si>
  <si>
    <t>ZVPG_u_0751</t>
  </si>
  <si>
    <t>Поліщук Олександр</t>
  </si>
  <si>
    <t>ZVPG_u_0752</t>
  </si>
  <si>
    <t>Соловей Кирил</t>
  </si>
  <si>
    <t>ZVPG_u_0753</t>
  </si>
  <si>
    <t>Грибовський Віталій</t>
  </si>
  <si>
    <t>ZVPG_u_0754</t>
  </si>
  <si>
    <t>Ткаля Богдана</t>
  </si>
  <si>
    <t xml:space="preserve">Марганецький ліцей № 10 Марганецької міської ради Дніпропетровської області
</t>
  </si>
  <si>
    <t>ZVPG_u_0755</t>
  </si>
  <si>
    <t>Алєксєєв Данило</t>
  </si>
  <si>
    <t>ZVPG_u_0756</t>
  </si>
  <si>
    <t>Бабенко Валерія</t>
  </si>
  <si>
    <t>ZVPG_u_0757</t>
  </si>
  <si>
    <t>Волков Олександр</t>
  </si>
  <si>
    <t>ZVPG_u_0758</t>
  </si>
  <si>
    <t>Демків Назарій</t>
  </si>
  <si>
    <t>ZVPG_u_0759</t>
  </si>
  <si>
    <t>Котова Софія</t>
  </si>
  <si>
    <t>ZVPG_u_0760</t>
  </si>
  <si>
    <t>Новік Олена</t>
  </si>
  <si>
    <t>ZVPG_u_0761</t>
  </si>
  <si>
    <t>Комлик Назар</t>
  </si>
  <si>
    <t>ZVPG_u_0762</t>
  </si>
  <si>
    <t>Бас Анна</t>
  </si>
  <si>
    <t>Ліцей Новобузької міської ради</t>
  </si>
  <si>
    <t>ZVPG_u_0763</t>
  </si>
  <si>
    <t>Бенюх Матвій</t>
  </si>
  <si>
    <t>ZVPG_u_0764</t>
  </si>
  <si>
    <t>Білик Вероніка</t>
  </si>
  <si>
    <t>ZVPG_u_0765</t>
  </si>
  <si>
    <t>Богданов Ярослав</t>
  </si>
  <si>
    <t>ZVPG_u_0766</t>
  </si>
  <si>
    <t>Боровик Артем</t>
  </si>
  <si>
    <t>ZVPG_u_0767</t>
  </si>
  <si>
    <t>Бурій Катерина</t>
  </si>
  <si>
    <t>ZVPG_u_0768</t>
  </si>
  <si>
    <t>Вергунова Єлизавета</t>
  </si>
  <si>
    <t>ZVPG_u_0769</t>
  </si>
  <si>
    <t>Демиденко Аріана</t>
  </si>
  <si>
    <t>ZVPG_u_0770</t>
  </si>
  <si>
    <t>Єрьоменко Євген</t>
  </si>
  <si>
    <t>ZVPG_u_0771</t>
  </si>
  <si>
    <t>Кац Артем</t>
  </si>
  <si>
    <t>ZVPG_u_0772</t>
  </si>
  <si>
    <t>Келдерару Валерія</t>
  </si>
  <si>
    <t>ZVPG_u_0773</t>
  </si>
  <si>
    <t>Ковалик Оксана</t>
  </si>
  <si>
    <t>ZVPG_u_0774</t>
  </si>
  <si>
    <t>Лебідь Наталія</t>
  </si>
  <si>
    <t>ZVPG_u_0775</t>
  </si>
  <si>
    <t>Лущенко Маргарита</t>
  </si>
  <si>
    <t>ZVPG_u_0776</t>
  </si>
  <si>
    <t>Мандач Кіра</t>
  </si>
  <si>
    <t>ZVPG_u_0777</t>
  </si>
  <si>
    <t>Моспаненко Артем</t>
  </si>
  <si>
    <t>ZVPG_u_0778</t>
  </si>
  <si>
    <t>Настюшенко Уляна</t>
  </si>
  <si>
    <t>ZVPG_u_0779</t>
  </si>
  <si>
    <t>Нікулін Єгор</t>
  </si>
  <si>
    <t>ZVPG_u_0780</t>
  </si>
  <si>
    <t>Павленко Софія</t>
  </si>
  <si>
    <t>ZVPG_u_0781</t>
  </si>
  <si>
    <t>Паронян Арман</t>
  </si>
  <si>
    <t>ZVPG_u_0782</t>
  </si>
  <si>
    <t>Попач Матвій</t>
  </si>
  <si>
    <t>ZVPG_u_0783</t>
  </si>
  <si>
    <t>Потапенко Аліна</t>
  </si>
  <si>
    <t>ZVPG_u_0784</t>
  </si>
  <si>
    <t>Рурич Роман</t>
  </si>
  <si>
    <t>ZVPG_u_0785</t>
  </si>
  <si>
    <t>Савченко Дмитро</t>
  </si>
  <si>
    <t>ZVPG_u_0786</t>
  </si>
  <si>
    <t>Семенко Анастасія</t>
  </si>
  <si>
    <t>ZVPG_u_0787</t>
  </si>
  <si>
    <t>Смірнов Нікіта</t>
  </si>
  <si>
    <t>ZVPG_u_0788</t>
  </si>
  <si>
    <t>Стасевич Марина</t>
  </si>
  <si>
    <t>ZVPG_u_0789</t>
  </si>
  <si>
    <t>Форостенко Артем</t>
  </si>
  <si>
    <t>ZVPG_u_0790</t>
  </si>
  <si>
    <t>Хорошенька Владислава</t>
  </si>
  <si>
    <t>ZVPG_u_0791</t>
  </si>
  <si>
    <t>Черкасенко Денис</t>
  </si>
  <si>
    <t>ZVPG_u_0792</t>
  </si>
  <si>
    <t>Чумак Макар</t>
  </si>
  <si>
    <t>ZVPG_u_0793</t>
  </si>
  <si>
    <t>Шкробот Нікіта</t>
  </si>
  <si>
    <t>ZVPG_u_0794</t>
  </si>
  <si>
    <t>Корж Руслана</t>
  </si>
  <si>
    <t>ZVPG_u_0795</t>
  </si>
  <si>
    <t>Алєйнікова Анна</t>
  </si>
  <si>
    <t>ZVPG_u_0796</t>
  </si>
  <si>
    <t>Бабіна Мірра</t>
  </si>
  <si>
    <t>ZVPG_u_0797</t>
  </si>
  <si>
    <t>Гавриленко Сергій</t>
  </si>
  <si>
    <t>ZVPG_u_0798</t>
  </si>
  <si>
    <t>Галагуз Артем</t>
  </si>
  <si>
    <t>ZVPG_u_0799</t>
  </si>
  <si>
    <t>Дубіков Денис</t>
  </si>
  <si>
    <t>ZVPG_u_0800</t>
  </si>
  <si>
    <t>Дроздов Захар</t>
  </si>
  <si>
    <t>ZVPG_u_0801</t>
  </si>
  <si>
    <t>Кравченко Валерія</t>
  </si>
  <si>
    <t>ZVPG_u_0802</t>
  </si>
  <si>
    <t>Краснікова Крістіна</t>
  </si>
  <si>
    <t>ZVPG_u_0803</t>
  </si>
  <si>
    <t>Красов Олександр</t>
  </si>
  <si>
    <t>ZVPG_u_0804</t>
  </si>
  <si>
    <t>Луценко Вероніка</t>
  </si>
  <si>
    <t>ZVPG_u_0805</t>
  </si>
  <si>
    <t>Місів'янцева Дар'я</t>
  </si>
  <si>
    <t>ZVPG_u_0806</t>
  </si>
  <si>
    <t>Немченінова Аліна</t>
  </si>
  <si>
    <t>ZVPG_u_0807</t>
  </si>
  <si>
    <t>Огій Тетяна</t>
  </si>
  <si>
    <t>ZVPG_u_0808</t>
  </si>
  <si>
    <t>Орел Дмитро</t>
  </si>
  <si>
    <t>ZVPG_u_0809</t>
  </si>
  <si>
    <t>Осавчук Софія</t>
  </si>
  <si>
    <t>ZVPG_u_0810</t>
  </si>
  <si>
    <t>Остапенко Іван</t>
  </si>
  <si>
    <t>ZVPG_u_0811</t>
  </si>
  <si>
    <t>Остапюк Михайло</t>
  </si>
  <si>
    <t>ZVPG_u_0812</t>
  </si>
  <si>
    <t>Пасат Анна</t>
  </si>
  <si>
    <t>ZVPG_u_0813</t>
  </si>
  <si>
    <t>Пекур Заріна</t>
  </si>
  <si>
    <t>ZVPG_u_0814</t>
  </si>
  <si>
    <t>Підзирайло Віра</t>
  </si>
  <si>
    <t>ZVPG_u_0815</t>
  </si>
  <si>
    <t>Підлужна Дарина</t>
  </si>
  <si>
    <t>ZVPG_u_0816</t>
  </si>
  <si>
    <t>Сурженко Володимир</t>
  </si>
  <si>
    <t>ZVPG_u_0817</t>
  </si>
  <si>
    <t>Тараненко Маргарита</t>
  </si>
  <si>
    <t>ZVPG_u_0818</t>
  </si>
  <si>
    <t>Тимощенко Олександра</t>
  </si>
  <si>
    <t>ZVPG_u_0819</t>
  </si>
  <si>
    <t>Удовик Вероніка</t>
  </si>
  <si>
    <t>ZVPG_u_0820</t>
  </si>
  <si>
    <t>Фіщук Дмитро</t>
  </si>
  <si>
    <t>ZVPG_u_0821</t>
  </si>
  <si>
    <t>Хрипливий Максим</t>
  </si>
  <si>
    <t>ZVPG_u_0822</t>
  </si>
  <si>
    <t>Шинкаренко Данііл</t>
  </si>
  <si>
    <t>ZVPG_u_0823</t>
  </si>
  <si>
    <t>Гань Тимофій</t>
  </si>
  <si>
    <t>Херсонська загальноосвітня школа І-ІІІ ступенів №45 Херсонської міської ради</t>
  </si>
  <si>
    <t>ZVPG_u_0824</t>
  </si>
  <si>
    <t>Данилов Давид</t>
  </si>
  <si>
    <t>ZVPG_u_0825</t>
  </si>
  <si>
    <t>Зінченко Ніка</t>
  </si>
  <si>
    <t>ZVPG_u_0826</t>
  </si>
  <si>
    <t>Мілованов Михайло</t>
  </si>
  <si>
    <t>ZVPG_u_0827</t>
  </si>
  <si>
    <t>Оводовський Михайло</t>
  </si>
  <si>
    <t>ZVPG_u_0828</t>
  </si>
  <si>
    <t>Розамнюк Надія</t>
  </si>
  <si>
    <t>ZVPG_u_0829</t>
  </si>
  <si>
    <t>Ярібєкян Діана</t>
  </si>
  <si>
    <t>ZVPG_u_0830</t>
  </si>
  <si>
    <t>Ярібєкян Мілена</t>
  </si>
  <si>
    <t>ZVPG_u_0831</t>
  </si>
  <si>
    <t>Грінченко Ярослав</t>
  </si>
  <si>
    <t>Нікопольська гімназія №20 Нікопольської міської ріди</t>
  </si>
  <si>
    <t>ZVPG_u_0832</t>
  </si>
  <si>
    <t>Камишева Анастасія</t>
  </si>
  <si>
    <t>ZVPG_u_0833</t>
  </si>
  <si>
    <t>Когут Станіслав</t>
  </si>
  <si>
    <t>ZVPG_u_0834</t>
  </si>
  <si>
    <t>Козюра Артем</t>
  </si>
  <si>
    <t>ZVPG_u_0835</t>
  </si>
  <si>
    <t>Колеснік Валерія</t>
  </si>
  <si>
    <t>ZVPG_u_0836</t>
  </si>
  <si>
    <t>Мотов Кирило</t>
  </si>
  <si>
    <t>ZVPG_u_0837</t>
  </si>
  <si>
    <t>Пасько Софія</t>
  </si>
  <si>
    <t>ZVPG_u_0838</t>
  </si>
  <si>
    <t>Пухайло Ангеліна</t>
  </si>
  <si>
    <t>ZVPG_u_0839</t>
  </si>
  <si>
    <t>Воротницька Вікторія</t>
  </si>
  <si>
    <t>ZVPG_u_0840</t>
  </si>
  <si>
    <t>Гай Матвій</t>
  </si>
  <si>
    <t>ZVPG_u_0841</t>
  </si>
  <si>
    <t>Зеленько Софія</t>
  </si>
  <si>
    <t>ZVPG_u_0842</t>
  </si>
  <si>
    <t>Келембет Поліна</t>
  </si>
  <si>
    <t>ZVPG_u_0843</t>
  </si>
  <si>
    <t>Коновалов Віталій</t>
  </si>
  <si>
    <t>ZVPG_u_0844</t>
  </si>
  <si>
    <t>Мамаджанова Єва</t>
  </si>
  <si>
    <t>ZVPG_u_0845</t>
  </si>
  <si>
    <t>Михайлик Анастасія</t>
  </si>
  <si>
    <t>ZVPG_u_0846</t>
  </si>
  <si>
    <t>Рагуліна Юлія</t>
  </si>
  <si>
    <t>ZVPG_u_0847</t>
  </si>
  <si>
    <t>Резников Денис</t>
  </si>
  <si>
    <t>ZVPG_u_0848</t>
  </si>
  <si>
    <t xml:space="preserve">Рояка Кирило </t>
  </si>
  <si>
    <t>ZVPG_u_0849</t>
  </si>
  <si>
    <t>Яловий Іван</t>
  </si>
  <si>
    <t>ZVPG_u_0850</t>
  </si>
  <si>
    <t>Адамова Дар'я</t>
  </si>
  <si>
    <t>ZVPG_u_0851</t>
  </si>
  <si>
    <t>Дріль Софія</t>
  </si>
  <si>
    <t>ZVPG_u_0852</t>
  </si>
  <si>
    <t>Куліш Валерія</t>
  </si>
  <si>
    <t>ZVPG_u_0853</t>
  </si>
  <si>
    <t>Лісняк Марк</t>
  </si>
  <si>
    <t>ZVPG_u_0854</t>
  </si>
  <si>
    <t>Литвяк Кіра</t>
  </si>
  <si>
    <t>ZVPG_u_0855</t>
  </si>
  <si>
    <t>Романій Дар'я</t>
  </si>
  <si>
    <t>ZVPG_u_0856</t>
  </si>
  <si>
    <t>Виноградов Вадим</t>
  </si>
  <si>
    <t>Черкаський ліцей Черкаської селищної ради Самарівського району Дніпропетровської області</t>
  </si>
  <si>
    <t>ZVPG_u_0857</t>
  </si>
  <si>
    <t>Вовк Софія</t>
  </si>
  <si>
    <t>ZVPG_u_0858</t>
  </si>
  <si>
    <t>Гоша Ілля</t>
  </si>
  <si>
    <t>ZVPG_u_0859</t>
  </si>
  <si>
    <t>Григор'єва Соломія</t>
  </si>
  <si>
    <t>ZVPG_u_0860</t>
  </si>
  <si>
    <t>Гудков Богдан</t>
  </si>
  <si>
    <t>ZVPG_u_0861</t>
  </si>
  <si>
    <t>Гюрова Анастасія</t>
  </si>
  <si>
    <t>ZVPG_u_0862</t>
  </si>
  <si>
    <t>Довгань Поліна</t>
  </si>
  <si>
    <t>ZVPG_u_0863</t>
  </si>
  <si>
    <t>Колесник Микита</t>
  </si>
  <si>
    <t>ZVPG_u_0864</t>
  </si>
  <si>
    <t>Колісник Анастасія</t>
  </si>
  <si>
    <t>ZVPG_u_0865</t>
  </si>
  <si>
    <t>Корнійчук Євгенія</t>
  </si>
  <si>
    <t>ZVPG_u_0866</t>
  </si>
  <si>
    <t>Лабінець Марія</t>
  </si>
  <si>
    <t>ZVPG_u_0867</t>
  </si>
  <si>
    <t>Лисай Аріна</t>
  </si>
  <si>
    <t>ZVPG_u_0868</t>
  </si>
  <si>
    <t>Олійник Тимур</t>
  </si>
  <si>
    <t>ZVPG_u_0869</t>
  </si>
  <si>
    <t>Пістунова Орина</t>
  </si>
  <si>
    <t>ZVPG_u_0870</t>
  </si>
  <si>
    <t>Пухкий Володимир</t>
  </si>
  <si>
    <t>ZVPG_u_0871</t>
  </si>
  <si>
    <t>Ручка Микита</t>
  </si>
  <si>
    <t>ZVPG_u_0872</t>
  </si>
  <si>
    <t>Сальникова Анастасія</t>
  </si>
  <si>
    <t>ZVPG_u_0873</t>
  </si>
  <si>
    <t>Скороход Михайло</t>
  </si>
  <si>
    <t>ZVPG_u_0874</t>
  </si>
  <si>
    <t>Стрельцова Аліна</t>
  </si>
  <si>
    <t>ZVPG_u_0875</t>
  </si>
  <si>
    <t>Шевчук Анна</t>
  </si>
  <si>
    <t>ZVPG_u_0876</t>
  </si>
  <si>
    <t>Баландіна Марія</t>
  </si>
  <si>
    <t>ZVPG_u_0877</t>
  </si>
  <si>
    <t>Будько Максим</t>
  </si>
  <si>
    <t>ZVPG_u_0878</t>
  </si>
  <si>
    <t>Дергачов Олександр</t>
  </si>
  <si>
    <t>ZVPG_u_0879</t>
  </si>
  <si>
    <t>Драковцева Дар'я</t>
  </si>
  <si>
    <t>ZVPG_u_0880</t>
  </si>
  <si>
    <t>Згонник Анастасія</t>
  </si>
  <si>
    <t>ZVPG_u_0881</t>
  </si>
  <si>
    <t>Камінська Надія</t>
  </si>
  <si>
    <t>ZVPG_u_0882</t>
  </si>
  <si>
    <t>Касьян Ніка</t>
  </si>
  <si>
    <t>ZVPG_u_0883</t>
  </si>
  <si>
    <t>Корнілов Олексій</t>
  </si>
  <si>
    <t>ZVPG_u_0884</t>
  </si>
  <si>
    <t>Лігоцька Стефанія</t>
  </si>
  <si>
    <t>ZVPG_u_0885</t>
  </si>
  <si>
    <t>Постникова Поліна</t>
  </si>
  <si>
    <t>ZVPG_u_0886</t>
  </si>
  <si>
    <t>Прудченко Олександр</t>
  </si>
  <si>
    <t>ZVPG_u_0887</t>
  </si>
  <si>
    <t>Самцова Вікторія</t>
  </si>
  <si>
    <t>ZVPG_u_0888</t>
  </si>
  <si>
    <t>Сергієнко Тетяна</t>
  </si>
  <si>
    <t>ZVPG_u_0889</t>
  </si>
  <si>
    <t>Сологуб Марія</t>
  </si>
  <si>
    <t>ZVPG_u_0890</t>
  </si>
  <si>
    <t>Соляник Нікіта</t>
  </si>
  <si>
    <t>ZVPG_u_0891</t>
  </si>
  <si>
    <t>Старкова Юлія</t>
  </si>
  <si>
    <t>ZVPG_u_0892</t>
  </si>
  <si>
    <t>Талибов Самір</t>
  </si>
  <si>
    <t>ZVPG_u_0893</t>
  </si>
  <si>
    <t>Шара Тетяна</t>
  </si>
  <si>
    <t>ZVPG_u_0894</t>
  </si>
  <si>
    <t>Андрієць Андрій Артемович</t>
  </si>
  <si>
    <t>Херсонський багатопрофільний ліцей №20 Херсонської міської ради</t>
  </si>
  <si>
    <t>ZVPG_u_0895</t>
  </si>
  <si>
    <t>Баєв Георгій Святославович</t>
  </si>
  <si>
    <t>ZVPG_u_0896</t>
  </si>
  <si>
    <t>Власюк Влада Сергіївна</t>
  </si>
  <si>
    <t>ZVPG_u_0897</t>
  </si>
  <si>
    <t>Данелія Давид Резович</t>
  </si>
  <si>
    <t>ZVPG_u_0898</t>
  </si>
  <si>
    <t>Димаєв Михайло Сергійович</t>
  </si>
  <si>
    <t>ZVPG_u_0899</t>
  </si>
  <si>
    <t>Зубарева Крістіна Андріївна</t>
  </si>
  <si>
    <t>ZVPG_u_0900</t>
  </si>
  <si>
    <t>Шаріков Акім Віталійович</t>
  </si>
  <si>
    <t>ZVPG_u_0901</t>
  </si>
  <si>
    <t>Берегин Матвій Юрійович</t>
  </si>
  <si>
    <t>ZVPG_u_0902</t>
  </si>
  <si>
    <t>ВоронченкоМихайло Костянтинович</t>
  </si>
  <si>
    <t>ZVPG_u_0903</t>
  </si>
  <si>
    <t>Дениченко Олександр Валерійович</t>
  </si>
  <si>
    <t>ZVPG_u_0904</t>
  </si>
  <si>
    <t>Дятчин Ілля Петрович</t>
  </si>
  <si>
    <t>ZVPG_u_0905</t>
  </si>
  <si>
    <t>Задорожній Олександр євгенович</t>
  </si>
  <si>
    <t>ZVPG_u_0906</t>
  </si>
  <si>
    <t>Коваленко Іван Сергійович</t>
  </si>
  <si>
    <t>ZVPG_u_0907</t>
  </si>
  <si>
    <t>Корольов Кирил Андрійович</t>
  </si>
  <si>
    <t>ZVPG_u_0908</t>
  </si>
  <si>
    <t>Остапчук Іван Васильович</t>
  </si>
  <si>
    <t>ZVPG_u_0909</t>
  </si>
  <si>
    <t>Сайтєєва Маргарита Іванівна</t>
  </si>
  <si>
    <t>ZVPG_u_0910</t>
  </si>
  <si>
    <t>Саніна Аліна Олексіївна</t>
  </si>
  <si>
    <t>ZVPG_u_0911</t>
  </si>
  <si>
    <t>Стоянович Богдан Андрійович</t>
  </si>
  <si>
    <t>ZVPG_u_0912</t>
  </si>
  <si>
    <t>Тимошенко Яна Сергіївна</t>
  </si>
  <si>
    <t>ZVPG_u_0913</t>
  </si>
  <si>
    <t>Ткаченко Олександр Олексійович</t>
  </si>
  <si>
    <t>ZVPG_u_0914</t>
  </si>
  <si>
    <t>Якущенко Владислав Андрійович</t>
  </si>
  <si>
    <t>ZVPG_u_0915</t>
  </si>
  <si>
    <t>Ватолін Нікіта Вадимович</t>
  </si>
  <si>
    <t>ZVPG_u_0916</t>
  </si>
  <si>
    <t>Загоруйко Владислав Олексійович</t>
  </si>
  <si>
    <t>ZVPG_u_0917</t>
  </si>
  <si>
    <t>Купцов Микита Романович</t>
  </si>
  <si>
    <t>ZVPG_u_0918</t>
  </si>
  <si>
    <t>Лазник Андрій Віталійович</t>
  </si>
  <si>
    <t>ZVPG_u_0919</t>
  </si>
  <si>
    <t>Соловйов Єгор Олександрович</t>
  </si>
  <si>
    <t>ZVPG_u_0920</t>
  </si>
  <si>
    <t>Бондаренко Валерія Денисівна</t>
  </si>
  <si>
    <t>Смілянська загальноосвітня школа І - ІІІ ступенів №1 Смілянської міської ради Черкаської області</t>
  </si>
  <si>
    <t>ZVPG_u_0921</t>
  </si>
  <si>
    <t>Валебна Анастасія Олександрівна</t>
  </si>
  <si>
    <t>ZVPG_u_0922</t>
  </si>
  <si>
    <t>Вовк Дмитро В’ячеславович</t>
  </si>
  <si>
    <t>ZVPG_u_0923</t>
  </si>
  <si>
    <t>Говоріщев Артьом Олегович</t>
  </si>
  <si>
    <t>ZVPG_u_0924</t>
  </si>
  <si>
    <t>Заруба Адам Вячеславович</t>
  </si>
  <si>
    <t>ZVPG_u_0925</t>
  </si>
  <si>
    <t>Карпюк Нікіта Романович</t>
  </si>
  <si>
    <t>ZVPG_u_0926</t>
  </si>
  <si>
    <t>Кісіль Роман Валерійович</t>
  </si>
  <si>
    <t>ZVPG_u_0927</t>
  </si>
  <si>
    <t>Кучер Денис Євгенійович</t>
  </si>
  <si>
    <t>ZVPG_u_0928</t>
  </si>
  <si>
    <t>Павлюківський Денис Романович</t>
  </si>
  <si>
    <t>ZVPG_u_0929</t>
  </si>
  <si>
    <t>Плаксюк Ігор Ігорович</t>
  </si>
  <si>
    <t>ZVPG_u_0930</t>
  </si>
  <si>
    <t>Попова Анастасія Денисівна</t>
  </si>
  <si>
    <t>ZVPG_u_0931</t>
  </si>
  <si>
    <t>Сидоренко Софія Андріївна</t>
  </si>
  <si>
    <t>ZVPG_u_0932</t>
  </si>
  <si>
    <t>Синьогуб Софія Олександрівна</t>
  </si>
  <si>
    <t>ZVPG_u_0933</t>
  </si>
  <si>
    <t>Стоєцький Микола Дмитрович</t>
  </si>
  <si>
    <t>ZVPG_u_0934</t>
  </si>
  <si>
    <t>Тимошенко Вероніка Романівна</t>
  </si>
  <si>
    <t>ZVPG_u_0935</t>
  </si>
  <si>
    <t>Анастасія Чорна</t>
  </si>
  <si>
    <t>Чернігівська гімназія № 11 Чернігівської міської ради</t>
  </si>
  <si>
    <t>ZVPG_u_0936</t>
  </si>
  <si>
    <t>Артем Ященко</t>
  </si>
  <si>
    <t>ZVPG_u_0937</t>
  </si>
  <si>
    <t>Артур Грукач</t>
  </si>
  <si>
    <t>ZVPG_u_0938</t>
  </si>
  <si>
    <t>Вікторія Боярова</t>
  </si>
  <si>
    <t>ZVPG_u_0939</t>
  </si>
  <si>
    <t>Віталіна Волкова</t>
  </si>
  <si>
    <t>ZVPG_u_0940</t>
  </si>
  <si>
    <t>Єгор Воронецький</t>
  </si>
  <si>
    <t>ZVPG_u_0941</t>
  </si>
  <si>
    <t>Ксенія Дарда</t>
  </si>
  <si>
    <t>ZVPG_u_0942</t>
  </si>
  <si>
    <t>Маргарита Михайленко</t>
  </si>
  <si>
    <t>ZVPG_u_0943</t>
  </si>
  <si>
    <t>Марія Голубчанська</t>
  </si>
  <si>
    <t>ZVPG_u_0944</t>
  </si>
  <si>
    <t>Марія Шокіна</t>
  </si>
  <si>
    <t>ZVPG_u_0945</t>
  </si>
  <si>
    <t>Олена Міщенко</t>
  </si>
  <si>
    <t>ZVPG_u_0946</t>
  </si>
  <si>
    <t>Софія Михайленко</t>
  </si>
  <si>
    <t>ZVPG_u_0947</t>
  </si>
  <si>
    <t>Володимир Підлісний</t>
  </si>
  <si>
    <t>ZVPG_u_0948</t>
  </si>
  <si>
    <t>Даша Харлан</t>
  </si>
  <si>
    <t>ZVPG_u_0949</t>
  </si>
  <si>
    <t>Злата Осипенко</t>
  </si>
  <si>
    <t>ZVPG_u_0950</t>
  </si>
  <si>
    <t>Ірина Хвост</t>
  </si>
  <si>
    <t>ZVPG_u_0951</t>
  </si>
  <si>
    <t>Катерина Козлова</t>
  </si>
  <si>
    <t>ZVPG_u_0952</t>
  </si>
  <si>
    <t>Ліза Кириченко</t>
  </si>
  <si>
    <t>ZVPG_u_0953</t>
  </si>
  <si>
    <t>Роман Сіренко</t>
  </si>
  <si>
    <t>ZVPG_u_0954</t>
  </si>
  <si>
    <t>Софія Блинець</t>
  </si>
  <si>
    <t>ZVPG_u_0955</t>
  </si>
  <si>
    <t>Антон Медвідь</t>
  </si>
  <si>
    <t>ZVPG_u_0956</t>
  </si>
  <si>
    <t>Іванін Віталій</t>
  </si>
  <si>
    <t>ZVPG_u_0957</t>
  </si>
  <si>
    <t>Артем Савченко</t>
  </si>
  <si>
    <t>ZVPG_u_0958</t>
  </si>
  <si>
    <t>Артур Соломаха</t>
  </si>
  <si>
    <t>ZVPG_u_0959</t>
  </si>
  <si>
    <t>Володимир Шморгун</t>
  </si>
  <si>
    <t>ZVPG_u_0960</t>
  </si>
  <si>
    <t>Лев Хоменко-Сопінський</t>
  </si>
  <si>
    <t>ZVPG_u_0961</t>
  </si>
  <si>
    <t>Михайло Шульга</t>
  </si>
  <si>
    <t>ZVPG_u_0962</t>
  </si>
  <si>
    <t>Анастасія Шпеко</t>
  </si>
  <si>
    <t>ZVPG_u_0963</t>
  </si>
  <si>
    <t>Нікіта Євсеєнко</t>
  </si>
  <si>
    <t>ZVPG_u_0964</t>
  </si>
  <si>
    <t>Віталій Колесніченко</t>
  </si>
  <si>
    <t>ZVPG_u_0965</t>
  </si>
  <si>
    <t>Комлєв Ілля</t>
  </si>
  <si>
    <t>Черкаський ліцей з посиленою військово-фізичною підготовкою імені Захисників України</t>
  </si>
  <si>
    <t>ZVPG_u_0966</t>
  </si>
  <si>
    <t>Сіденко Маргарита</t>
  </si>
  <si>
    <t>ZVPG_u_0967</t>
  </si>
  <si>
    <t>Свідерська Софія</t>
  </si>
  <si>
    <t>ZVPG_u_0968</t>
  </si>
  <si>
    <t>Омелян Максим</t>
  </si>
  <si>
    <t>ZVPG_u_0969</t>
  </si>
  <si>
    <t>Зоря Марія</t>
  </si>
  <si>
    <t>ZVPG_u_0970</t>
  </si>
  <si>
    <t>Давлятов Максим</t>
  </si>
  <si>
    <t>ZVPG_u_0971</t>
  </si>
  <si>
    <t>Маліновська Діана</t>
  </si>
  <si>
    <t>ZVPG_u_0972</t>
  </si>
  <si>
    <t>Роговий Олексій</t>
  </si>
  <si>
    <t>ZVPG_u_0973</t>
  </si>
  <si>
    <t>Бараненко Єлизавета</t>
  </si>
  <si>
    <t>ZVPG_u_0974</t>
  </si>
  <si>
    <t>Бордюг Арсен</t>
  </si>
  <si>
    <t>ZVPG_u_0975</t>
  </si>
  <si>
    <t>Карасьов Марат</t>
  </si>
  <si>
    <t>ZVPG_u_0976</t>
  </si>
  <si>
    <t>Блощаневич Михайло</t>
  </si>
  <si>
    <t>ZVPG_u_0977</t>
  </si>
  <si>
    <t>Ступацький Владислав</t>
  </si>
  <si>
    <t>ZVPG_u_0978</t>
  </si>
  <si>
    <t>Мироненко Назар</t>
  </si>
  <si>
    <t>ZVPG_u_0979</t>
  </si>
  <si>
    <t>Юрченко Єлизавета</t>
  </si>
  <si>
    <t>ZVPG_u_0980</t>
  </si>
  <si>
    <t>Єрмакова Анастасія</t>
  </si>
  <si>
    <t>ZVPG_u_0981</t>
  </si>
  <si>
    <t>Крикля Богдан</t>
  </si>
  <si>
    <t>ZVPG_u_0982</t>
  </si>
  <si>
    <t>Плескань Денис</t>
  </si>
  <si>
    <t>ZVPG_u_0983</t>
  </si>
  <si>
    <t>Ладнюк Ростислав</t>
  </si>
  <si>
    <t>ZVPG_u_0984</t>
  </si>
  <si>
    <t>Гурін Матвій</t>
  </si>
  <si>
    <t>ZVPG_u_0985</t>
  </si>
  <si>
    <t>Полікаренко Каріна</t>
  </si>
  <si>
    <t>ZVPG_u_0986</t>
  </si>
  <si>
    <t>Шпара Поліна</t>
  </si>
  <si>
    <t>ZVPG_u_0987</t>
  </si>
  <si>
    <t>Комаров Захар</t>
  </si>
  <si>
    <t>ZVPG_u_0988</t>
  </si>
  <si>
    <t>Грекало Данііл</t>
  </si>
  <si>
    <t>ZVPG_u_0989</t>
  </si>
  <si>
    <t>Пивовар Артем</t>
  </si>
  <si>
    <t>ZVPG_u_0990</t>
  </si>
  <si>
    <t>Шевченко Марина</t>
  </si>
  <si>
    <t>ZVPG_u_0991</t>
  </si>
  <si>
    <t>Шпильовий Максим</t>
  </si>
  <si>
    <t>ZVPG_u_0992</t>
  </si>
  <si>
    <t>Лут Олександр</t>
  </si>
  <si>
    <t>ZVPG_u_0993</t>
  </si>
  <si>
    <t>Дьомін Артем</t>
  </si>
  <si>
    <t>ZVPG_u_0994</t>
  </si>
  <si>
    <t>Барінова Єлизавета</t>
  </si>
  <si>
    <t>ZVPG_u_0995</t>
  </si>
  <si>
    <t>Водолазський Ілля</t>
  </si>
  <si>
    <t>ZVPG_u_0996</t>
  </si>
  <si>
    <t>Щербатюк Олег</t>
  </si>
  <si>
    <t>ZVPG_u_0997</t>
  </si>
  <si>
    <t>Купрійчук Вікторія</t>
  </si>
  <si>
    <t>ZVPG_u_0998</t>
  </si>
  <si>
    <t>Кожа Вероніка</t>
  </si>
  <si>
    <t>ZVPG_u_0999</t>
  </si>
  <si>
    <t>Ощепков Кирил</t>
  </si>
  <si>
    <t>ZVPG_u_1000</t>
  </si>
  <si>
    <t>Власенко Мирослава</t>
  </si>
  <si>
    <t>ZVPG_u_1001</t>
  </si>
  <si>
    <t>Попов Максим</t>
  </si>
  <si>
    <t>ZVPG_u_1002</t>
  </si>
  <si>
    <t>Бондаренко Єва</t>
  </si>
  <si>
    <t>ZVPG_u_1003</t>
  </si>
  <si>
    <t>Міняйло Каріна</t>
  </si>
  <si>
    <t>ZVPG_u_1004</t>
  </si>
  <si>
    <t>Москаленко Кирило</t>
  </si>
  <si>
    <t>ZVPG_u_1005</t>
  </si>
  <si>
    <t>Дзис Дмитро</t>
  </si>
  <si>
    <t>ZVPG_u_1006</t>
  </si>
  <si>
    <t>Воліцький Ростислав</t>
  </si>
  <si>
    <t>ZVPG_u_1007</t>
  </si>
  <si>
    <t>Батюк Олександра</t>
  </si>
  <si>
    <t>ZVPG_u_1008</t>
  </si>
  <si>
    <t>Лущ Ірина</t>
  </si>
  <si>
    <t>ZVPG_u_1009</t>
  </si>
  <si>
    <t>Кружилін Давід</t>
  </si>
  <si>
    <t>ZVPG_u_1010</t>
  </si>
  <si>
    <t>Амінова Ясміна</t>
  </si>
  <si>
    <t>ZVPG_u_1011</t>
  </si>
  <si>
    <t>Андрєєв Артем</t>
  </si>
  <si>
    <t>ZVPG_u_1012</t>
  </si>
  <si>
    <t>Брегеда Марія</t>
  </si>
  <si>
    <t>ZVPG_u_1013</t>
  </si>
  <si>
    <t>Горбенко Миколай</t>
  </si>
  <si>
    <t>ZVPG_u_1014</t>
  </si>
  <si>
    <t>Кравченко Богдан</t>
  </si>
  <si>
    <t>ZVPG_u_1015</t>
  </si>
  <si>
    <t>Матеюк Олексій</t>
  </si>
  <si>
    <t>ZVPG_u_1016</t>
  </si>
  <si>
    <t>Приходько Анна</t>
  </si>
  <si>
    <t>ZVPG_u_1017</t>
  </si>
  <si>
    <t>Савченко Назар</t>
  </si>
  <si>
    <t>ZVPG_u_1018</t>
  </si>
  <si>
    <t>Сидоренко Тимур</t>
  </si>
  <si>
    <t>ZVPG_u_1019</t>
  </si>
  <si>
    <t>Сугак Максим</t>
  </si>
  <si>
    <t>ZVPG_u_1020</t>
  </si>
  <si>
    <t>Кадука Софія</t>
  </si>
  <si>
    <t>ZVPG_u_1021</t>
  </si>
  <si>
    <t>Гаркава Лариса</t>
  </si>
  <si>
    <t>ВСП «Аграрно-економічний фаховий коледж Полтавського державного аграрного університету»</t>
  </si>
  <si>
    <t>ZVPG_u_1022</t>
  </si>
  <si>
    <t>Барабаш Єлизавета</t>
  </si>
  <si>
    <t>ZVPG_u_1023</t>
  </si>
  <si>
    <t>Потребич Софія</t>
  </si>
  <si>
    <t>ZVPG_u_1024</t>
  </si>
  <si>
    <t>Андросова Тетяна</t>
  </si>
  <si>
    <t>ZVPG_u_1025</t>
  </si>
  <si>
    <t>Каряка Софія</t>
  </si>
  <si>
    <t>ZVPG_u_1026</t>
  </si>
  <si>
    <t>Лифар Дарія</t>
  </si>
  <si>
    <t>ZVPG_u_1027</t>
  </si>
  <si>
    <t>Сушко Олександра</t>
  </si>
  <si>
    <t>ZVPG_u_1028</t>
  </si>
  <si>
    <t>Усенко Анна</t>
  </si>
  <si>
    <t>ZVPG_u_1029</t>
  </si>
  <si>
    <t>Терешко Вікторія</t>
  </si>
  <si>
    <t>ZVPG_u_1030</t>
  </si>
  <si>
    <t>Купа Данило</t>
  </si>
  <si>
    <t>ZVPG_u_1031</t>
  </si>
  <si>
    <t>Косиця Єлизавета</t>
  </si>
  <si>
    <t>ZVPG_u_1032</t>
  </si>
  <si>
    <t>Боровко Владислав</t>
  </si>
  <si>
    <t>ZVPG_u_1033</t>
  </si>
  <si>
    <t>Бережна Вероніка</t>
  </si>
  <si>
    <t>ПРИВАТНИЙ ЗАКЛАД ЗАГАЛЬНОЇ СЕРЕДНЬОЇ ОСВІТИ "ХАРКІВСЬКИЙ ЛІЦЕЙ "ІТ СТЕП СКУЛ ХАРКІВ" ХАРКІВСЬКОЇ ОБЛАСТІ</t>
  </si>
  <si>
    <t>ZVPG_u_1034</t>
  </si>
  <si>
    <t>Варавіна Вероніка</t>
  </si>
  <si>
    <t>ZVPG_u_1035</t>
  </si>
  <si>
    <t>Гульчук Максіміліан</t>
  </si>
  <si>
    <t>ZVPG_u_1036</t>
  </si>
  <si>
    <t>Дудка Лев</t>
  </si>
  <si>
    <t>ZVPG_u_1037</t>
  </si>
  <si>
    <t>Жикол Ярослав</t>
  </si>
  <si>
    <t>ZVPG_u_1038</t>
  </si>
  <si>
    <t>Кінаш Даніїл</t>
  </si>
  <si>
    <t>ZVPG_u_1039</t>
  </si>
  <si>
    <t>Кірносов Назар</t>
  </si>
  <si>
    <t>ZVPG_u_1040</t>
  </si>
  <si>
    <t>Кучеренко Микита</t>
  </si>
  <si>
    <t>ZVPG_u_1041</t>
  </si>
  <si>
    <t>Липовий Ілля</t>
  </si>
  <si>
    <t>ZVPG_u_1042</t>
  </si>
  <si>
    <t>Литвинов Микита</t>
  </si>
  <si>
    <t>ZVPG_u_1043</t>
  </si>
  <si>
    <t>Любенко Олексій</t>
  </si>
  <si>
    <t>ZVPG_u_1044</t>
  </si>
  <si>
    <t>Панасенко Володимир</t>
  </si>
  <si>
    <t>ZVPG_u_1045</t>
  </si>
  <si>
    <t>Писарук Марія</t>
  </si>
  <si>
    <t>ZVPG_u_1046</t>
  </si>
  <si>
    <t>Радченко Родіон</t>
  </si>
  <si>
    <t>ZVPG_u_1047</t>
  </si>
  <si>
    <t>Рибін Тимофій</t>
  </si>
  <si>
    <t>ZVPG_u_1048</t>
  </si>
  <si>
    <t>Сакал Аріна</t>
  </si>
  <si>
    <t>ZVPG_u_1049</t>
  </si>
  <si>
    <t>Федік Кирило</t>
  </si>
  <si>
    <t>ZVPG_u_1050</t>
  </si>
  <si>
    <t>Алєксєєва Анна</t>
  </si>
  <si>
    <t>ZVPG_u_1051</t>
  </si>
  <si>
    <t>Алієва Сона</t>
  </si>
  <si>
    <t>ZVPG_u_1052</t>
  </si>
  <si>
    <t>Аніщенко Марія</t>
  </si>
  <si>
    <t>ZVPG_u_1053</t>
  </si>
  <si>
    <t>Біличок Евеліна</t>
  </si>
  <si>
    <t>ZVPG_u_1054</t>
  </si>
  <si>
    <t>Білозор Андрій</t>
  </si>
  <si>
    <t>ZVPG_u_1055</t>
  </si>
  <si>
    <t>Бобров Микита</t>
  </si>
  <si>
    <t>ZVPG_u_1056</t>
  </si>
  <si>
    <t>Захаров Даніїл</t>
  </si>
  <si>
    <t>ZVPG_u_1057</t>
  </si>
  <si>
    <t>Київський Олексій</t>
  </si>
  <si>
    <t>ZVPG_u_1058</t>
  </si>
  <si>
    <t>Короленко Ірина</t>
  </si>
  <si>
    <t>ZVPG_u_1059</t>
  </si>
  <si>
    <t>Курилович Ярослав</t>
  </si>
  <si>
    <t>ZVPG_u_1060</t>
  </si>
  <si>
    <t>Маслій Арсеній</t>
  </si>
  <si>
    <t>ZVPG_u_1061</t>
  </si>
  <si>
    <t>Павленко Поліна</t>
  </si>
  <si>
    <t>ZVPG_u_1062</t>
  </si>
  <si>
    <t>Пустовіт Владислав</t>
  </si>
  <si>
    <t>ZVPG_u_1063</t>
  </si>
  <si>
    <t>Рожков Лука</t>
  </si>
  <si>
    <t>ZVPG_u_1064</t>
  </si>
  <si>
    <t>Сукач Євгеній</t>
  </si>
  <si>
    <t>ZVPG_u_1065</t>
  </si>
  <si>
    <t>Форменов Владислав</t>
  </si>
  <si>
    <t>ZVPG_u_1066</t>
  </si>
  <si>
    <t>Чубов Данило</t>
  </si>
  <si>
    <t>ZVPG_u_1067</t>
  </si>
  <si>
    <t>Черкашенінов Давид</t>
  </si>
  <si>
    <t>ZVPG_u_1068</t>
  </si>
  <si>
    <t>Зубов Назар</t>
  </si>
  <si>
    <t>ZVPG_u_1069</t>
  </si>
  <si>
    <t>Алєксєєв Святослав</t>
  </si>
  <si>
    <t>ZVPG_u_1070</t>
  </si>
  <si>
    <t>Берус Іван</t>
  </si>
  <si>
    <t>ZVPG_u_1071</t>
  </si>
  <si>
    <t>Букарєв Андрій</t>
  </si>
  <si>
    <t>ZVPG_u_1072</t>
  </si>
  <si>
    <t>Воронін Михайло</t>
  </si>
  <si>
    <t>ZVPG_u_1073</t>
  </si>
  <si>
    <t>Рожков Мирон</t>
  </si>
  <si>
    <t>ZVPG_u_1074</t>
  </si>
  <si>
    <t>Поступна Ямуна-Прія</t>
  </si>
  <si>
    <t>ZVPG_u_1075</t>
  </si>
  <si>
    <t>Ягодка Дар'я</t>
  </si>
  <si>
    <t>ZVPG_u_1076</t>
  </si>
  <si>
    <t>Содома Світлана</t>
  </si>
  <si>
    <t>ZVPG_u_1077</t>
  </si>
  <si>
    <t>Спасібо Забава</t>
  </si>
  <si>
    <t>ZVPG_u_1078</t>
  </si>
  <si>
    <t>Витушко Валерія Григорівна</t>
  </si>
  <si>
    <t>ВСП «Хорольський агропромисловий фаховий коледж Полтавського державного аграрного університету»</t>
  </si>
  <si>
    <t>ZVPG_u_1079</t>
  </si>
  <si>
    <t>Гаркуша Єлизавета Анатоліївна</t>
  </si>
  <si>
    <t>ZVPG_u_1080</t>
  </si>
  <si>
    <t>Іваненко Радміла Анатоліївна</t>
  </si>
  <si>
    <t>ZVPG_u_1081</t>
  </si>
  <si>
    <t>Хребтова Валентина Сергіївна</t>
  </si>
  <si>
    <t>ZVPG_u_1082</t>
  </si>
  <si>
    <t>Шелудько Майя Олександрівна</t>
  </si>
  <si>
    <t>ZVPG_u_1083</t>
  </si>
  <si>
    <t>Горобець Артем Олексійович</t>
  </si>
  <si>
    <t>ЗЗСО І-ІІІ ступенів № 3 "Спеціалізована школа з поглибленим вивченням англійської мови" Торецької міської військово-цивільної адміністрації Бахмутського району Донецької області</t>
  </si>
  <si>
    <t>ZVPG_u_1084</t>
  </si>
  <si>
    <t xml:space="preserve">Жупанська Мілана Олексіївна </t>
  </si>
  <si>
    <t>ZVPG_u_1085</t>
  </si>
  <si>
    <t xml:space="preserve">Жила Олександр Олександрович </t>
  </si>
  <si>
    <t>ZVPG_u_1086</t>
  </si>
  <si>
    <t xml:space="preserve">Завальнюк Єлизавета Дмитровна </t>
  </si>
  <si>
    <t>ZVPG_u_1087</t>
  </si>
  <si>
    <t xml:space="preserve">Кузіна Софія Олександрівна </t>
  </si>
  <si>
    <t>ZVPG_u_1088</t>
  </si>
  <si>
    <t xml:space="preserve">Лизогуб Ярослав Олександрович </t>
  </si>
  <si>
    <t>ZVPG_u_1089</t>
  </si>
  <si>
    <t xml:space="preserve">Мартинов Олександр Михайлович </t>
  </si>
  <si>
    <t>ZVPG_u_1090</t>
  </si>
  <si>
    <t xml:space="preserve">Проничев Олександр Владиславович </t>
  </si>
  <si>
    <t>ZVPG_u_1091</t>
  </si>
  <si>
    <t xml:space="preserve">Траханова Вікторія Ігорівна </t>
  </si>
  <si>
    <t>ZVPG_u_1092</t>
  </si>
  <si>
    <t xml:space="preserve">Траханова Софія Ігорівна </t>
  </si>
  <si>
    <t>ZVPG_u_1093</t>
  </si>
  <si>
    <t xml:space="preserve">Титаренко Єлизавета Олексіївна </t>
  </si>
  <si>
    <t>ZVPG_u_1094</t>
  </si>
  <si>
    <t xml:space="preserve">Шпартько Валерій Денисович </t>
  </si>
  <si>
    <t>ZVPG_u_1095</t>
  </si>
  <si>
    <t xml:space="preserve">Агаркова Катерина Романівна </t>
  </si>
  <si>
    <t>ZVPG_u_1096</t>
  </si>
  <si>
    <t xml:space="preserve">Горбунова Вікторія Леонідівна </t>
  </si>
  <si>
    <t>ZVPG_u_1097</t>
  </si>
  <si>
    <t xml:space="preserve">Гетингер Богдан Миколайович </t>
  </si>
  <si>
    <t>ZVPG_u_1098</t>
  </si>
  <si>
    <t xml:space="preserve">Ільницький Гліб Миколайович </t>
  </si>
  <si>
    <t>ZVPG_u_1099</t>
  </si>
  <si>
    <t xml:space="preserve">Морозов Денис Миколайович </t>
  </si>
  <si>
    <t>ZVPG_u_1100</t>
  </si>
  <si>
    <t xml:space="preserve">Приходько Злата Сергіївна </t>
  </si>
  <si>
    <t>ZVPG_u_1101</t>
  </si>
  <si>
    <t xml:space="preserve">Мелещенко Ігнат Русланович </t>
  </si>
  <si>
    <t>ZVPG_u_1102</t>
  </si>
  <si>
    <t>Макаров Олександр Леонідович</t>
  </si>
  <si>
    <t>ZVPG_u_1103</t>
  </si>
  <si>
    <t xml:space="preserve">Шолохова Єлизавета Олексіївна </t>
  </si>
  <si>
    <t>ZVPG_u_1104</t>
  </si>
  <si>
    <t xml:space="preserve">Лящук Милана Артемівна </t>
  </si>
  <si>
    <t>ZVPG_u_1105</t>
  </si>
  <si>
    <t xml:space="preserve">Дукова Аліна Олександрівна </t>
  </si>
  <si>
    <t>ZVPG_u_1106</t>
  </si>
  <si>
    <t>Доценко Альбіна Владиславівна</t>
  </si>
  <si>
    <t>ZVPG_u_1107</t>
  </si>
  <si>
    <t>Андреєва Анастасія Павлівна,</t>
  </si>
  <si>
    <t>Гімназія 260 міста Києва</t>
  </si>
  <si>
    <t>ZVPG_u_1108</t>
  </si>
  <si>
    <t>Говоруха Олександра Олександрівна</t>
  </si>
  <si>
    <t>ZVPG_u_1109</t>
  </si>
  <si>
    <t>Жук Даніїл Арсенович</t>
  </si>
  <si>
    <t>ZVPG_u_1110</t>
  </si>
  <si>
    <t>Ковчий Олександр Сергійович</t>
  </si>
  <si>
    <t>ZVPG_u_1111</t>
  </si>
  <si>
    <t>Лебєдєв Ярослав Сергійович</t>
  </si>
  <si>
    <t>ZVPG_u_1112</t>
  </si>
  <si>
    <t>Літвінов Максим Олегович</t>
  </si>
  <si>
    <t>ZVPG_u_1113</t>
  </si>
  <si>
    <t>Маслюк Аріна Валеріївна</t>
  </si>
  <si>
    <t>ZVPG_u_1114</t>
  </si>
  <si>
    <t>Салях Максим Юрійович</t>
  </si>
  <si>
    <t>ZVPG_u_1115</t>
  </si>
  <si>
    <t>Телеляєва Софія Олександрівна</t>
  </si>
  <si>
    <t>ZVPG_u_1116</t>
  </si>
  <si>
    <t>Ткаченко Ліка Андріївна</t>
  </si>
  <si>
    <t>ZVPG_u_1117</t>
  </si>
  <si>
    <t>Фенчук Марина Юріївна</t>
  </si>
  <si>
    <t>ZVPG_u_1118</t>
  </si>
  <si>
    <t>Степанюк Дмитро Костянтинович</t>
  </si>
  <si>
    <t>ZVPG_u_1119</t>
  </si>
  <si>
    <t>Ревін Адріан Володимирович</t>
  </si>
  <si>
    <t>ZVPG_u_1120</t>
  </si>
  <si>
    <t>Мельничук Михайло Ігорович</t>
  </si>
  <si>
    <t>ZVPG_u_1121</t>
  </si>
  <si>
    <t>Жезло Богдана Андріївна</t>
  </si>
  <si>
    <t>Мокротинський заклад загальної середньої освіти І-ІІІ ступенів</t>
  </si>
  <si>
    <t>ZVPG_u_1122</t>
  </si>
  <si>
    <t>Зазулькевич Ігор Іванович</t>
  </si>
  <si>
    <t>ZVPG_u_1123</t>
  </si>
  <si>
    <t>Карпа Софія Романівна</t>
  </si>
  <si>
    <t>ZVPG_u_1124</t>
  </si>
  <si>
    <t>Кобилецька Олена Петрівна</t>
  </si>
  <si>
    <t>ZVPG_u_1125</t>
  </si>
  <si>
    <t>Мигаль Анастасія Романівна</t>
  </si>
  <si>
    <t>ZVPG_u_1126</t>
  </si>
  <si>
    <t>Казимирик Тарас Володимирович</t>
  </si>
  <si>
    <t>ZVPG_u_1127</t>
  </si>
  <si>
    <t>Ной Марта Романівна</t>
  </si>
  <si>
    <t>ZVPG_u_1128</t>
  </si>
  <si>
    <t>Кремінець Софія Романівна</t>
  </si>
  <si>
    <t>ZVPG_u_1129</t>
  </si>
  <si>
    <t>Гриньків Юлія Іванівна</t>
  </si>
  <si>
    <t>ZVPG_u_1130</t>
  </si>
  <si>
    <t>Дільна Ірина Андріївна</t>
  </si>
  <si>
    <t>ZVPG_u_1131</t>
  </si>
  <si>
    <t>Дружбляк Назар Тарасович</t>
  </si>
  <si>
    <t>ZVPG_u_1132</t>
  </si>
  <si>
    <t>Карпов Ярослав Андрійович</t>
  </si>
  <si>
    <t>ZVPG_u_1133</t>
  </si>
  <si>
    <t>Копин Павло Іванович</t>
  </si>
  <si>
    <t>ZVPG_u_1134</t>
  </si>
  <si>
    <t>Лотошинський Остап Володимирович</t>
  </si>
  <si>
    <t>ZVPG_u_1135</t>
  </si>
  <si>
    <t>Огірок Ігор Дмитрович</t>
  </si>
  <si>
    <t>ZVPG_u_1136</t>
  </si>
  <si>
    <t>Янкович Наталія Василівна</t>
  </si>
  <si>
    <t>ZVPG_u_1137</t>
  </si>
  <si>
    <t>Плахотнюк Вероніка Василівна</t>
  </si>
  <si>
    <t>ZVPG_u_1138</t>
  </si>
  <si>
    <t>Скіп Христина Василівна</t>
  </si>
  <si>
    <t>ZVPG_u_1139</t>
  </si>
  <si>
    <t>Багрова Юлія Олександрівна</t>
  </si>
  <si>
    <t>Гімназія 9 Звягельської міської ради</t>
  </si>
  <si>
    <t>ZVPG_u_1140</t>
  </si>
  <si>
    <t>Бондарчук Мелана Іванівна</t>
  </si>
  <si>
    <t>ZVPG_u_1141</t>
  </si>
  <si>
    <t>Бригоцький Данило Олександрович</t>
  </si>
  <si>
    <t>ZVPG_u_1142</t>
  </si>
  <si>
    <t>Гранчак Варвара Олександрівна</t>
  </si>
  <si>
    <t>ZVPG_u_1143</t>
  </si>
  <si>
    <t>Данилюк Анастасія Володимирівна</t>
  </si>
  <si>
    <t>ZVPG_u_1144</t>
  </si>
  <si>
    <t>Деркач Софія Андріївна</t>
  </si>
  <si>
    <t>ZVPG_u_1145</t>
  </si>
  <si>
    <t>Діхтієвська Діана Олександрівна</t>
  </si>
  <si>
    <t>ZVPG_u_1146</t>
  </si>
  <si>
    <t>Жаринов Іван В'ячеславович</t>
  </si>
  <si>
    <t>ZVPG_u_1147</t>
  </si>
  <si>
    <t>Залевський Анатолій Анатолійович</t>
  </si>
  <si>
    <t>ZVPG_u_1148</t>
  </si>
  <si>
    <t>Зілько Ярослав Вікторович</t>
  </si>
  <si>
    <t>ZVPG_u_1149</t>
  </si>
  <si>
    <t>Зубкова Вікторія Олександрівна</t>
  </si>
  <si>
    <t>ZVPG_u_1150</t>
  </si>
  <si>
    <t>Ігнатович Марія Ігорівна</t>
  </si>
  <si>
    <t>ZVPG_u_1151</t>
  </si>
  <si>
    <t>Іщенко Анна Степанівна</t>
  </si>
  <si>
    <t>ZVPG_u_1152</t>
  </si>
  <si>
    <t>Кисіль Анастасія Романівна</t>
  </si>
  <si>
    <t>ZVPG_u_1153</t>
  </si>
  <si>
    <t>Куницька Дар'я Олегівна</t>
  </si>
  <si>
    <t>ZVPG_u_1154</t>
  </si>
  <si>
    <t>Кучер Артем Юрійович</t>
  </si>
  <si>
    <t>ZVPG_u_1155</t>
  </si>
  <si>
    <t>Левченко Каріна Русланівна</t>
  </si>
  <si>
    <t>ZVPG_u_1156</t>
  </si>
  <si>
    <t>Мельник Роман Олександрович</t>
  </si>
  <si>
    <t>ZVPG_u_1157</t>
  </si>
  <si>
    <t>Мельничук Анастасія Олександрівна</t>
  </si>
  <si>
    <t>ZVPG_u_1158</t>
  </si>
  <si>
    <t>Михнюк Анастасія Володимирівна</t>
  </si>
  <si>
    <t>ZVPG_u_1159</t>
  </si>
  <si>
    <t>Михнюк Артем Володимирович</t>
  </si>
  <si>
    <t>ZVPG_u_1160</t>
  </si>
  <si>
    <t>Павловська Альбіна Михайлівна</t>
  </si>
  <si>
    <t>ZVPG_u_1161</t>
  </si>
  <si>
    <t>Прокопчук Каріна Ярославівна</t>
  </si>
  <si>
    <t>ZVPG_u_1162</t>
  </si>
  <si>
    <t>Романов Іван Русланович</t>
  </si>
  <si>
    <t>ZVPG_u_1163</t>
  </si>
  <si>
    <t>Романюк Микола Миколайович</t>
  </si>
  <si>
    <t>ZVPG_u_1164</t>
  </si>
  <si>
    <t>Савчук Максим Андрійович</t>
  </si>
  <si>
    <t>ZVPG_u_1165</t>
  </si>
  <si>
    <t>Салюк Анна Русланівна</t>
  </si>
  <si>
    <t>ZVPG_u_1166</t>
  </si>
  <si>
    <t>Самандрула Марія Василівна</t>
  </si>
  <si>
    <t>ZVPG_u_1167</t>
  </si>
  <si>
    <t>Свиденюк Богдан Олександрович</t>
  </si>
  <si>
    <t>ZVPG_u_1168</t>
  </si>
  <si>
    <t>Сенів Юлія Назарівна</t>
  </si>
  <si>
    <t>ZVPG_u_1169</t>
  </si>
  <si>
    <t>Талько Вікторія Вікторівна</t>
  </si>
  <si>
    <t>ZVPG_u_1170</t>
  </si>
  <si>
    <t>Татарчук Герман Олексійович</t>
  </si>
  <si>
    <t>ZVPG_u_1171</t>
  </si>
  <si>
    <t>Герасько Дмитро Олександрович</t>
  </si>
  <si>
    <t>Коростенський міський ліцей 1</t>
  </si>
  <si>
    <t>ZVPG_u_1172</t>
  </si>
  <si>
    <t>Гридько Андрій Олександрович</t>
  </si>
  <si>
    <t>ZVPG_u_1173</t>
  </si>
  <si>
    <t>Ціпоренко Софія Олександрівна</t>
  </si>
  <si>
    <t>ZVPG_u_1174</t>
  </si>
  <si>
    <t>Вигівська Софія Романівна</t>
  </si>
  <si>
    <t>ZVPG_u_1175</t>
  </si>
  <si>
    <t>Грищенко Іван Олександрович</t>
  </si>
  <si>
    <t>ZVPG_u_1176</t>
  </si>
  <si>
    <t>Лазаренко Єлизавета Василівна</t>
  </si>
  <si>
    <t>ZVPG_u_1177</t>
  </si>
  <si>
    <t>Ніколайчук Іван Русланович</t>
  </si>
  <si>
    <t>ZVPG_u_1178</t>
  </si>
  <si>
    <t>Пилипчук Богдан Дмитрович</t>
  </si>
  <si>
    <t>ZVPG_u_1179</t>
  </si>
  <si>
    <t>Фоміна Кіра Максимівна</t>
  </si>
  <si>
    <t>ZVPG_u_1180</t>
  </si>
  <si>
    <t>Волянська Ангеліна Сергіївна</t>
  </si>
  <si>
    <t>ZVPG_u_1181</t>
  </si>
  <si>
    <t>Юрковський Дмитрій Олексійович</t>
  </si>
  <si>
    <t>ZVPG_u_1182</t>
  </si>
  <si>
    <t>Лазаренко Дмитро Ігорович</t>
  </si>
  <si>
    <t>ZVPG_u_1183</t>
  </si>
  <si>
    <t>Волківська Дар'я Сергіївна</t>
  </si>
  <si>
    <t>ZVPG_u_1184</t>
  </si>
  <si>
    <t>Шинкар Софія Олексіївна</t>
  </si>
  <si>
    <t>ZVPG_u_1185</t>
  </si>
  <si>
    <t>Олейник Анастасія Анатоліївна</t>
  </si>
  <si>
    <t>ZVPG_u_1186</t>
  </si>
  <si>
    <t>Гаспарян Єліна Каренівна</t>
  </si>
  <si>
    <t>ZVPG_u_1187</t>
  </si>
  <si>
    <t>Цісельська Дарина Василівна</t>
  </si>
  <si>
    <t>ZVPG_u_1188</t>
  </si>
  <si>
    <t>Мойсеєнко Іван Сергійович</t>
  </si>
  <si>
    <t>ZVPG_u_1189</t>
  </si>
  <si>
    <t>Українець Назар Павлович</t>
  </si>
  <si>
    <t>ZVPG_u_1190</t>
  </si>
  <si>
    <t>Шевчук Назар Олександрович</t>
  </si>
  <si>
    <t>ZVPG_u_1191</t>
  </si>
  <si>
    <t>Демінський Артем Володимирович</t>
  </si>
  <si>
    <t>ZVPG_u_1192</t>
  </si>
  <si>
    <t>Заєць Софія Сергіївна</t>
  </si>
  <si>
    <t>ZVPG_u_1193</t>
  </si>
  <si>
    <t>Павловська Ксенія Володимирівна</t>
  </si>
  <si>
    <t>ZVPG_u_1194</t>
  </si>
  <si>
    <t>Андрушко Артем</t>
  </si>
  <si>
    <t>Шепетівська загальноосвітня школа І-ІІІ ступенів №8 Хмельницької області</t>
  </si>
  <si>
    <t>ZVPG_u_1195</t>
  </si>
  <si>
    <t>Вовчик Іван</t>
  </si>
  <si>
    <t>ZVPG_u_1196</t>
  </si>
  <si>
    <t>Грозян Вероніка</t>
  </si>
  <si>
    <t>ZVPG_u_1197</t>
  </si>
  <si>
    <t xml:space="preserve">Дейнека Андрій </t>
  </si>
  <si>
    <t>ZVPG_u_1198</t>
  </si>
  <si>
    <t xml:space="preserve">Єрмілов Богдан </t>
  </si>
  <si>
    <t>ZVPG_u_1199</t>
  </si>
  <si>
    <t xml:space="preserve">Охрімець Софія </t>
  </si>
  <si>
    <t>ZVPG_u_1200</t>
  </si>
  <si>
    <t>Передрійчук Дарина</t>
  </si>
  <si>
    <t>ZVPG_u_1201</t>
  </si>
  <si>
    <t>Рей Богдана</t>
  </si>
  <si>
    <t>ZVPG_u_1202</t>
  </si>
  <si>
    <t>Сирнікова Руслана</t>
  </si>
  <si>
    <t>ZVPG_u_1203</t>
  </si>
  <si>
    <t>Собчук Андрій</t>
  </si>
  <si>
    <t>ZVPG_u_1204</t>
  </si>
  <si>
    <t>Столярчук Софія</t>
  </si>
  <si>
    <t>ZVPG_u_1205</t>
  </si>
  <si>
    <t>Хацаюк Марина</t>
  </si>
  <si>
    <t>ZVPG_u_1206</t>
  </si>
  <si>
    <t>Антонюк Катерина</t>
  </si>
  <si>
    <t>ZVPG_u_1207</t>
  </si>
  <si>
    <t>Гурська Анна</t>
  </si>
  <si>
    <t>ZVPG_u_1208</t>
  </si>
  <si>
    <t>Давидюк Анна</t>
  </si>
  <si>
    <t>ZVPG_u_1209</t>
  </si>
  <si>
    <t>Дудар Вікторія</t>
  </si>
  <si>
    <t>ZVPG_u_1210</t>
  </si>
  <si>
    <t>Кашнікович Тимофій</t>
  </si>
  <si>
    <t>ZVPG_u_1211</t>
  </si>
  <si>
    <t>Левченко Данило</t>
  </si>
  <si>
    <t>ZVPG_u_1212</t>
  </si>
  <si>
    <t>Літвінчук Данііл</t>
  </si>
  <si>
    <t>ZVPG_u_1213</t>
  </si>
  <si>
    <t>Матвійчук Ярослав</t>
  </si>
  <si>
    <t>ZVPG_u_1214</t>
  </si>
  <si>
    <t>Полєвой Василь</t>
  </si>
  <si>
    <t>ZVPG_u_1215</t>
  </si>
  <si>
    <t>Самков Тимофій</t>
  </si>
  <si>
    <t>ZVPG_u_1216</t>
  </si>
  <si>
    <t xml:space="preserve">Хайруллін Дмитро </t>
  </si>
  <si>
    <t>ZVPG_u_1217</t>
  </si>
  <si>
    <t>Чукліна Олександра</t>
  </si>
  <si>
    <t>ZVPG_u_1218</t>
  </si>
  <si>
    <t>Юхимець Максим</t>
  </si>
  <si>
    <t>ZVPG_u_1219</t>
  </si>
  <si>
    <t>Ясінський Сергій</t>
  </si>
  <si>
    <t>ZVPG_u_1220</t>
  </si>
  <si>
    <t>Балушкіна Варвара</t>
  </si>
  <si>
    <t>Дніпровська гімназія № 106 ДМР</t>
  </si>
  <si>
    <t>ZVPG_u_1221</t>
  </si>
  <si>
    <t>Грінько Валерія</t>
  </si>
  <si>
    <t>ZVPG_u_1222</t>
  </si>
  <si>
    <t>Денисенко Вікторія</t>
  </si>
  <si>
    <t>ZVPG_u_1223</t>
  </si>
  <si>
    <t>Журавель Михайло</t>
  </si>
  <si>
    <t>ZVPG_u_1224</t>
  </si>
  <si>
    <t>Лесняк Тимур</t>
  </si>
  <si>
    <t>ZVPG_u_1225</t>
  </si>
  <si>
    <t>Копитько Марія</t>
  </si>
  <si>
    <t>ZVPG_u_1226</t>
  </si>
  <si>
    <t>Панченко Васіліса</t>
  </si>
  <si>
    <t>ZVPG_u_1227</t>
  </si>
  <si>
    <t>Ролдухіна Софія</t>
  </si>
  <si>
    <t>ZVPG_u_1228</t>
  </si>
  <si>
    <t>Шевцов Веніамін</t>
  </si>
  <si>
    <t>ZVPG_u_1229</t>
  </si>
  <si>
    <t>Шепетяк Андрій</t>
  </si>
  <si>
    <t>ZVPG_u_1230</t>
  </si>
  <si>
    <t>Ямгуров Микита</t>
  </si>
  <si>
    <t>ZVPG_u_1231</t>
  </si>
  <si>
    <t>Андрієвський Едуард</t>
  </si>
  <si>
    <t>ZVPG_u_1232</t>
  </si>
  <si>
    <t>Божко Артем</t>
  </si>
  <si>
    <t>ZVPG_u_1233</t>
  </si>
  <si>
    <t>Голоскокова Вероніка</t>
  </si>
  <si>
    <t>ZVPG_u_1234</t>
  </si>
  <si>
    <t>Драч Михайло</t>
  </si>
  <si>
    <t>ZVPG_u_1235</t>
  </si>
  <si>
    <t>Загинайло Кирило</t>
  </si>
  <si>
    <t>ZVPG_u_1236</t>
  </si>
  <si>
    <t>Зотов Артем</t>
  </si>
  <si>
    <t>ZVPG_u_1237</t>
  </si>
  <si>
    <t>Касперович Віолетта</t>
  </si>
  <si>
    <t>ZVPG_u_1238</t>
  </si>
  <si>
    <t>Кісенко Давид</t>
  </si>
  <si>
    <t>ZVPG_u_1239</t>
  </si>
  <si>
    <t>Неклеса Марія</t>
  </si>
  <si>
    <t>ZVPG_u_1240</t>
  </si>
  <si>
    <t>Онищенко Роман</t>
  </si>
  <si>
    <t>ZVPG_u_1241</t>
  </si>
  <si>
    <t xml:space="preserve">Рубан Єгор </t>
  </si>
  <si>
    <t>ZVPG_u_1242</t>
  </si>
  <si>
    <t>Тарасевич Марія</t>
  </si>
  <si>
    <t>ZVPG_u_1243</t>
  </si>
  <si>
    <t>Трошина Софія</t>
  </si>
  <si>
    <t>ZVPG_u_1244</t>
  </si>
  <si>
    <t>Фокін Назар</t>
  </si>
  <si>
    <t>ZVPG_u_1245</t>
  </si>
  <si>
    <t>Алєксєєва Софія</t>
  </si>
  <si>
    <t>ZVPG_u_1246</t>
  </si>
  <si>
    <t>Білокінь Олександра</t>
  </si>
  <si>
    <t>ZVPG_u_1247</t>
  </si>
  <si>
    <t>Васильогло Денис</t>
  </si>
  <si>
    <t>ZVPG_u_1248</t>
  </si>
  <si>
    <t>Забара Владислав</t>
  </si>
  <si>
    <t>ZVPG_u_1249</t>
  </si>
  <si>
    <t>Івагченко Світлана</t>
  </si>
  <si>
    <t>ZVPG_u_1250</t>
  </si>
  <si>
    <t>Клосович Дарина</t>
  </si>
  <si>
    <t>ZVPG_u_1251</t>
  </si>
  <si>
    <t>Маляр Кристина</t>
  </si>
  <si>
    <t>ZVPG_u_1252</t>
  </si>
  <si>
    <t>Марусенко Сергій</t>
  </si>
  <si>
    <t>ZVPG_u_1253</t>
  </si>
  <si>
    <t>Москаленко Вікторія</t>
  </si>
  <si>
    <t>ZVPG_u_1254</t>
  </si>
  <si>
    <t>Павленко Кирило</t>
  </si>
  <si>
    <t>ZVPG_u_1255</t>
  </si>
  <si>
    <t>Рижова Аніта</t>
  </si>
  <si>
    <t>ZVPG_u_1256</t>
  </si>
  <si>
    <t>Самарець Максим</t>
  </si>
  <si>
    <t>ZVPG_u_1257</t>
  </si>
  <si>
    <t>Ткаліч Ярослав</t>
  </si>
  <si>
    <t>ZVPG_u_1258</t>
  </si>
  <si>
    <t>Шульга Артем</t>
  </si>
  <si>
    <t>ZVPG_u_1259</t>
  </si>
  <si>
    <t>Алієв Денис Михайлович</t>
  </si>
  <si>
    <t>Сколівський ЗЗСО І-ІІІ ступенів №2 ім. С. Вітрук</t>
  </si>
  <si>
    <t>ZVPG_u_1260</t>
  </si>
  <si>
    <t>Бичкович Михайло Вололимирович</t>
  </si>
  <si>
    <t>ZVPG_u_1261</t>
  </si>
  <si>
    <t>Брящій Павло Юрійович</t>
  </si>
  <si>
    <t>ZVPG_u_1262</t>
  </si>
  <si>
    <t>Гончарук Кіра Дмитрівна</t>
  </si>
  <si>
    <t>ZVPG_u_1263</t>
  </si>
  <si>
    <t>Кашаник Тетяна Богданівна</t>
  </si>
  <si>
    <t>ZVPG_u_1264</t>
  </si>
  <si>
    <t>Комарницька Тетяна Ігорівна</t>
  </si>
  <si>
    <t>ZVPG_u_1265</t>
  </si>
  <si>
    <t>Копильчук Софія Юріївна</t>
  </si>
  <si>
    <t>ZVPG_u_1266</t>
  </si>
  <si>
    <t>Кравчик Святослав Тарасович</t>
  </si>
  <si>
    <t>ZVPG_u_1267</t>
  </si>
  <si>
    <t>Куштинець Максим Андрійович</t>
  </si>
  <si>
    <t>ZVPG_u_1268</t>
  </si>
  <si>
    <t>Мокрицький Олег Дмитрович</t>
  </si>
  <si>
    <t>ZVPG_u_1269</t>
  </si>
  <si>
    <t>Нагайко Олег Михайлович</t>
  </si>
  <si>
    <t>ZVPG_u_1270</t>
  </si>
  <si>
    <t>Набитович Ірина Юріївна</t>
  </si>
  <si>
    <t>ZVPG_u_1271</t>
  </si>
  <si>
    <t>Скрипник Святослав Максимович</t>
  </si>
  <si>
    <t>ZVPG_u_1272</t>
  </si>
  <si>
    <t>Стефанов Руслан Сергійович</t>
  </si>
  <si>
    <t>ZVPG_u_1273</t>
  </si>
  <si>
    <t>Талайло Артем Володимирович</t>
  </si>
  <si>
    <t>ZVPG_u_1274</t>
  </si>
  <si>
    <t>Яно Кирило Віталійович</t>
  </si>
  <si>
    <t>Харківська Спеціальна школа №2</t>
  </si>
  <si>
    <t>ZVPG_u_1275</t>
  </si>
  <si>
    <t>Опара Маргарита</t>
  </si>
  <si>
    <t>Криворізький ліцей №77 Криворізької міської ради</t>
  </si>
  <si>
    <t>ZVPG_u_1276</t>
  </si>
  <si>
    <t>Клименко Вероніка</t>
  </si>
  <si>
    <t>ZVPG_u_1277</t>
  </si>
  <si>
    <t>Лубенець Антоніна</t>
  </si>
  <si>
    <t>ZVPG_u_1278</t>
  </si>
  <si>
    <t>Рубанська Мілена</t>
  </si>
  <si>
    <t>ZVPG_u_1279</t>
  </si>
  <si>
    <t>Стулій Софія</t>
  </si>
  <si>
    <t>ZVPG_u_1280</t>
  </si>
  <si>
    <t>Ярошинська Кіра</t>
  </si>
  <si>
    <t>ZVPG_u_1281</t>
  </si>
  <si>
    <t>Рожков Дмитро</t>
  </si>
  <si>
    <t>ZVPG_u_1282</t>
  </si>
  <si>
    <t>Денисенко Олексій</t>
  </si>
  <si>
    <t>Ізюмський ліцей №11 Ізюмської міської ради</t>
  </si>
  <si>
    <t>ZVPG_u_1283</t>
  </si>
  <si>
    <t>Єзерська Кіра</t>
  </si>
  <si>
    <t>ZVPG_u_1284</t>
  </si>
  <si>
    <t>Микитченко Софія</t>
  </si>
  <si>
    <t>ZVPG_u_1285</t>
  </si>
  <si>
    <t>Онищук Маргарита</t>
  </si>
  <si>
    <t>ZVPG_u_1286</t>
  </si>
  <si>
    <t>Рибалка Мілана</t>
  </si>
  <si>
    <t>ZVPG_u_1287</t>
  </si>
  <si>
    <t>Уразова Кіра</t>
  </si>
  <si>
    <t>ZVPG_u_1288</t>
  </si>
  <si>
    <t>Аханщикова Софія</t>
  </si>
  <si>
    <t>ZVPG_u_1289</t>
  </si>
  <si>
    <t>Голованик Олександр</t>
  </si>
  <si>
    <t>ZVPG_u_1290</t>
  </si>
  <si>
    <t>Костенко Єгор</t>
  </si>
  <si>
    <t>ZVPG_u_1291</t>
  </si>
  <si>
    <t>Євтушок Таїсія</t>
  </si>
  <si>
    <t>ZVPG_u_1292</t>
  </si>
  <si>
    <t>Лагун Емілі</t>
  </si>
  <si>
    <t>ZVPG_u_1293</t>
  </si>
  <si>
    <t>Мирошниченко Віолетта</t>
  </si>
  <si>
    <t>ZVPG_u_1294</t>
  </si>
  <si>
    <t>Дермен Мілана</t>
  </si>
  <si>
    <t>ZVPG_u_1295</t>
  </si>
  <si>
    <t>Загнойко Ярослав</t>
  </si>
  <si>
    <t>ZVPG_u_1296</t>
  </si>
  <si>
    <t>Маяцька Єлизавета</t>
  </si>
  <si>
    <t>ZVPG_u_1297</t>
  </si>
  <si>
    <t>Цокота Аліса</t>
  </si>
  <si>
    <t>ZVPG_u_1298</t>
  </si>
  <si>
    <t>Венжега Аліса</t>
  </si>
  <si>
    <t>ZVPG_u_1299</t>
  </si>
  <si>
    <t>Колісник Данило</t>
  </si>
  <si>
    <t>ZVPG_u_1300</t>
  </si>
  <si>
    <t>Фомівка Євгеній</t>
  </si>
  <si>
    <t>ZVPG_u_1301</t>
  </si>
  <si>
    <t>Шапар Влада</t>
  </si>
  <si>
    <t>ZVPG_u_1302</t>
  </si>
  <si>
    <t>Майданик Вікторія Андріївна</t>
  </si>
  <si>
    <t>Кіровоградський кооперативний фаховий коледж економіки і права імені М.П.Сая</t>
  </si>
  <si>
    <t>ZVPG_u_1303</t>
  </si>
  <si>
    <t>Перескокова Олександра Артемівна</t>
  </si>
  <si>
    <t>ZVPG_u_1304</t>
  </si>
  <si>
    <t>Казарян Давид Миколайович</t>
  </si>
  <si>
    <t>ZVPG_u_1305</t>
  </si>
  <si>
    <t>Фісун Кароліна Миколаівна</t>
  </si>
  <si>
    <t>ZVPG_u_1306</t>
  </si>
  <si>
    <t>Костромін Дмитро Миколайович</t>
  </si>
  <si>
    <t>ZVPG_u_1307</t>
  </si>
  <si>
    <t>Подшивалов Захар Олександрович</t>
  </si>
  <si>
    <t>ZVPG_u_1308</t>
  </si>
  <si>
    <t>Слободенюк Уляна Сергіївна</t>
  </si>
  <si>
    <t>ZVPG_u_1309</t>
  </si>
  <si>
    <t>Леонова Кароліна Миколаївна</t>
  </si>
  <si>
    <t>ZVPG_u_1310</t>
  </si>
  <si>
    <t>Вакарчук Анастасія Ігорівна</t>
  </si>
  <si>
    <t>ZVPG_u_1311</t>
  </si>
  <si>
    <t>Марчук Крістіна Василівна</t>
  </si>
  <si>
    <t>ZVPG_u_1312</t>
  </si>
  <si>
    <t>Булах Валерія Олександрівна</t>
  </si>
  <si>
    <t>ZVPG_u_1313</t>
  </si>
  <si>
    <t>Вінтенко Карина Олександрівна</t>
  </si>
  <si>
    <t>ZVPG_u_1314</t>
  </si>
  <si>
    <t>Кумаєва Тіна Андріївна</t>
  </si>
  <si>
    <t>ZVPG_u_1315</t>
  </si>
  <si>
    <t>Мінаєнко Діана Володимирівна</t>
  </si>
  <si>
    <t>ZVPG_u_1316</t>
  </si>
  <si>
    <t>Миргородська Єлєна Василівна</t>
  </si>
  <si>
    <t>ZVPG_u_1317</t>
  </si>
  <si>
    <t>Прохніцький Максим Ігорович</t>
  </si>
  <si>
    <t>ZVPG_u_1318</t>
  </si>
  <si>
    <t>Румʼянцева Єллизавета Романівна</t>
  </si>
  <si>
    <t>ZVPG_u_1319</t>
  </si>
  <si>
    <t>Федорюк Олена Сергіївна</t>
  </si>
  <si>
    <t>ZVPG_u_1320</t>
  </si>
  <si>
    <t>Димитрович Ілона Дмитрівна</t>
  </si>
  <si>
    <t>ZVPG_u_1321</t>
  </si>
  <si>
    <t>Павлик Олег Євгенійович</t>
  </si>
  <si>
    <t>ZVPG_u_1322</t>
  </si>
  <si>
    <t>Просяник Сергій Леонідович</t>
  </si>
  <si>
    <t>ZVPG_u_1323</t>
  </si>
  <si>
    <t>Лукашенко Василь Андрійович</t>
  </si>
  <si>
    <t>ZVPG_u_1324</t>
  </si>
  <si>
    <t>Годзенко Назар</t>
  </si>
  <si>
    <t>Нижньодуванський ліцей Нижньодуванської селищної ради Сватівського району Луганської області</t>
  </si>
  <si>
    <t>ZVPG_u_1325</t>
  </si>
  <si>
    <t>Шимка Віолета</t>
  </si>
  <si>
    <t>ZVPG_u_1326</t>
  </si>
  <si>
    <t>Щуренко Кіра</t>
  </si>
  <si>
    <t>ZVPG_u_1327</t>
  </si>
  <si>
    <t>Карпунін Борис</t>
  </si>
  <si>
    <t>ZVPG_u_1328</t>
  </si>
  <si>
    <t>Рабчевський Максим</t>
  </si>
  <si>
    <t>ZVPG_u_1329</t>
  </si>
  <si>
    <t>Постригань Софія</t>
  </si>
  <si>
    <t>ZVPG_u_1330</t>
  </si>
  <si>
    <t>Томіліна Карина</t>
  </si>
  <si>
    <t>ВСП "Хорольський агропромисловий фаховий коледж Полтавського державного аграрного університету"</t>
  </si>
  <si>
    <t>ZVPG_u_1331</t>
  </si>
  <si>
    <t>Рабцевич Софія</t>
  </si>
  <si>
    <t>ZVPG_u_1332</t>
  </si>
  <si>
    <t>Гуленцова Кіра</t>
  </si>
  <si>
    <t>ZVPG_u_1333</t>
  </si>
  <si>
    <t>Ткаченко Поліна</t>
  </si>
  <si>
    <t>ZVPG_u_1334</t>
  </si>
  <si>
    <t>Божко Анна</t>
  </si>
  <si>
    <t>ZVPG_u_1335</t>
  </si>
  <si>
    <t>Пономаренко Анна</t>
  </si>
  <si>
    <t>ZVPG_u_1336</t>
  </si>
  <si>
    <t>Спас Кіра</t>
  </si>
  <si>
    <t>ZVPG_u_1337</t>
  </si>
  <si>
    <t>Рожко Кирило</t>
  </si>
  <si>
    <t>ZVPG_u_1338</t>
  </si>
  <si>
    <t>Кость Денис</t>
  </si>
  <si>
    <t>ZVPG_u_1339</t>
  </si>
  <si>
    <t>Манжос Вікторія</t>
  </si>
  <si>
    <t>ZVPG_u_1340</t>
  </si>
  <si>
    <t>Довбня Каріна</t>
  </si>
  <si>
    <t>ZVPG_u_1341</t>
  </si>
  <si>
    <t>Кушніренко Анастасія</t>
  </si>
  <si>
    <t>ZVPG_u_1342</t>
  </si>
  <si>
    <t>Валентова Олександра Артемівна</t>
  </si>
  <si>
    <t>Комунальний заклад "Миколаївський обласний академічний ліцей "Відродження"</t>
  </si>
  <si>
    <t>ZVPG_u_1343</t>
  </si>
  <si>
    <t>Гамарц Софія Вячеславівна</t>
  </si>
  <si>
    <t>ZVPG_u_1344</t>
  </si>
  <si>
    <t>Губанова Дар’я Андріївна</t>
  </si>
  <si>
    <t>ZVPG_u_1345</t>
  </si>
  <si>
    <t>Даниленко Михайло Юрійович</t>
  </si>
  <si>
    <t>ZVPG_u_1346</t>
  </si>
  <si>
    <t>Євчук Поліна Олегівна</t>
  </si>
  <si>
    <t>ZVPG_u_1347</t>
  </si>
  <si>
    <t>Залієв Ренат Акилбекович</t>
  </si>
  <si>
    <t>ZVPG_u_1348</t>
  </si>
  <si>
    <t>Калініна Валерія Олегівна</t>
  </si>
  <si>
    <t>ZVPG_u_1349</t>
  </si>
  <si>
    <t>Кірєєв Кіріл Сергійович</t>
  </si>
  <si>
    <t>ZVPG_u_1350</t>
  </si>
  <si>
    <t>Козерівський Максим Вікторович</t>
  </si>
  <si>
    <t>ZVPG_u_1351</t>
  </si>
  <si>
    <t>Кордюкевич Максим Олександрович</t>
  </si>
  <si>
    <t>ZVPG_u_1352</t>
  </si>
  <si>
    <t>Корчемаха Іван Миколайович</t>
  </si>
  <si>
    <t>ZVPG_u_1353</t>
  </si>
  <si>
    <t>Кучер Вікторія Сергіівна</t>
  </si>
  <si>
    <t>ZVPG_u_1354</t>
  </si>
  <si>
    <t>Муравський Михайло Сергійович</t>
  </si>
  <si>
    <t>ZVPG_u_1355</t>
  </si>
  <si>
    <t>Нємченко Артем Олегович</t>
  </si>
  <si>
    <t>ZVPG_u_1356</t>
  </si>
  <si>
    <t>Плетенчук Олександра Андріївна</t>
  </si>
  <si>
    <t>ZVPG_u_1357</t>
  </si>
  <si>
    <t>Плужник Таїсія Анатоліївна</t>
  </si>
  <si>
    <t>ZVPG_u_1358</t>
  </si>
  <si>
    <t>Романова Кира Олексіївна</t>
  </si>
  <si>
    <t>ZVPG_u_1359</t>
  </si>
  <si>
    <t>Яковець Ігор Олександрович</t>
  </si>
  <si>
    <t>ZVPG_u_1360</t>
  </si>
  <si>
    <t>Карпеко Богдан Олексійович</t>
  </si>
  <si>
    <t>комунальний заклад "Харківський ліцей № 4 Харківської міської ради"</t>
  </si>
  <si>
    <t>ZVPG_u_1361</t>
  </si>
  <si>
    <t>Семенцова Дарія Олегівна</t>
  </si>
  <si>
    <t>ZVPG_u_1362</t>
  </si>
  <si>
    <t>Горбаньова Кіра Олександрівна</t>
  </si>
  <si>
    <t>ZVPG_u_1363</t>
  </si>
  <si>
    <t>Панасюк Карина Анатоліївна</t>
  </si>
  <si>
    <t>Хмельницький кооперативний торговельно-економічний інститут</t>
  </si>
  <si>
    <t>ZVPG_u_1364</t>
  </si>
  <si>
    <t>Герасімова Анастасія Андріївна</t>
  </si>
  <si>
    <t>ZVPG_u_1365</t>
  </si>
  <si>
    <t>Буцкевич Анна Олексіївна</t>
  </si>
  <si>
    <t>ZVPG_u_1366</t>
  </si>
  <si>
    <t>Бондарчук Анастасія Миколаївна</t>
  </si>
  <si>
    <t>ZVPG_u_1367</t>
  </si>
  <si>
    <t>Яремус Галина Вікторівна</t>
  </si>
  <si>
    <t>ZVPG_u_1368</t>
  </si>
  <si>
    <t>Атерлей Катерина Іванівна</t>
  </si>
  <si>
    <t>ZVPG_u_1369</t>
  </si>
  <si>
    <t>Середюк Уляна Ігорівна</t>
  </si>
  <si>
    <t>ZVPG_u_1370</t>
  </si>
  <si>
    <t>Прокопець Максим Михайлович</t>
  </si>
  <si>
    <t>ZVPG_u_1371</t>
  </si>
  <si>
    <t>Стецюк Софія Олександрівна</t>
  </si>
  <si>
    <t>ZVPG_u_1372</t>
  </si>
  <si>
    <t>Мельничук Дмитро Олександрович</t>
  </si>
  <si>
    <t>ZVPG_u_1373</t>
  </si>
  <si>
    <t>Ващук Дмитро Віталійович</t>
  </si>
  <si>
    <t>ZVPG_u_1374</t>
  </si>
  <si>
    <t>Савчук Вікторія Ровшанівна</t>
  </si>
  <si>
    <t>ZVPG_u_1375</t>
  </si>
  <si>
    <t>Мацюк Христина Романівна</t>
  </si>
  <si>
    <t>ZVPG_u_1376</t>
  </si>
  <si>
    <t>Дудзіц Владислав Євгенович</t>
  </si>
  <si>
    <t>ZVPG_u_1377</t>
  </si>
  <si>
    <t>Возна Наталія Віталіївна</t>
  </si>
  <si>
    <t>ZVPG_u_1378</t>
  </si>
  <si>
    <t>Гурська Ірина Володимирівна</t>
  </si>
  <si>
    <t>ZVPG_u_1379</t>
  </si>
  <si>
    <t>Дерека Тетяна Анатоліївна</t>
  </si>
  <si>
    <t>ZVPG_u_1380</t>
  </si>
  <si>
    <t>Дикусар Анастасія Валеріївна</t>
  </si>
  <si>
    <t>ZVPG_u_1381</t>
  </si>
  <si>
    <t>Лисько Анна Володимирівна</t>
  </si>
  <si>
    <t>ZVPG_u_1382</t>
  </si>
  <si>
    <t>Паюк Яна Ігорівна</t>
  </si>
  <si>
    <t>ZVPG_u_1383</t>
  </si>
  <si>
    <t>Петричук Дарина Андріївна</t>
  </si>
  <si>
    <t>ZVPG_u_1384</t>
  </si>
  <si>
    <t>Шмига Лідія Русланівна</t>
  </si>
  <si>
    <t>ZVPG_u_1385</t>
  </si>
  <si>
    <t>Бондаренко Степан Олександрович</t>
  </si>
  <si>
    <t>Комунальний заклад "Харківська спеціальна школа №2" Харківської обласної ради</t>
  </si>
  <si>
    <t>ZVPG_u_1386</t>
  </si>
  <si>
    <t>Александрук Макар</t>
  </si>
  <si>
    <t>Косівський ліцей №2 імені Михайла Павлика</t>
  </si>
  <si>
    <t>ZVPG_u_1387</t>
  </si>
  <si>
    <t>Андріюк Роксолана</t>
  </si>
  <si>
    <t>ZVPG_u_1388</t>
  </si>
  <si>
    <t>Бейсюк Дмитро</t>
  </si>
  <si>
    <t>ZVPG_u_1389</t>
  </si>
  <si>
    <t>Гарасимюк Максим</t>
  </si>
  <si>
    <t>ZVPG_u_1390</t>
  </si>
  <si>
    <t>Закірова Злата</t>
  </si>
  <si>
    <t>ZVPG_u_1391</t>
  </si>
  <si>
    <t>Козлан Артем</t>
  </si>
  <si>
    <t>ZVPG_u_1392</t>
  </si>
  <si>
    <t>Романюк Максим</t>
  </si>
  <si>
    <t>ZVPG_u_1393</t>
  </si>
  <si>
    <t>Сумарук Петро</t>
  </si>
  <si>
    <t>ZVPG_u_1394</t>
  </si>
  <si>
    <t>Урбанович Анна</t>
  </si>
  <si>
    <t>ZVPG_u_1395</t>
  </si>
  <si>
    <t>Цьок Олекса</t>
  </si>
  <si>
    <t>ZVPG_u_1396</t>
  </si>
  <si>
    <t>Юрковський Володимир</t>
  </si>
  <si>
    <t>ZVPG_u_1397</t>
  </si>
  <si>
    <t>Куцела Максим</t>
  </si>
  <si>
    <t>ZVPG_u_1398</t>
  </si>
  <si>
    <t>Полагнюк Соломія</t>
  </si>
  <si>
    <t>ZVPG_u_1399</t>
  </si>
  <si>
    <t>Пошиванюк Софія</t>
  </si>
  <si>
    <t>ZVPG_u_1400</t>
  </si>
  <si>
    <t>Равнишин Євгенія</t>
  </si>
  <si>
    <t>ZVPG_u_1401</t>
  </si>
  <si>
    <t>Рудак Злата</t>
  </si>
  <si>
    <t>ZVPG_u_1402</t>
  </si>
  <si>
    <t>Лозован Святослав</t>
  </si>
  <si>
    <t>ZVPG_u_1403</t>
  </si>
  <si>
    <t>Мельничук Ксенія</t>
  </si>
  <si>
    <t>ZVPG_u_1404</t>
  </si>
  <si>
    <t>Палагнюк Ігор</t>
  </si>
  <si>
    <t>ZVPG_u_1405</t>
  </si>
  <si>
    <t>Фокшей Ангеліна</t>
  </si>
  <si>
    <t>ZVPG_u_1406</t>
  </si>
  <si>
    <t>Адомська Аделіна</t>
  </si>
  <si>
    <t>Черкаська гімназія №9 імені О.М. Луценка</t>
  </si>
  <si>
    <t>ZVPG_u_1407</t>
  </si>
  <si>
    <t>Волошин Богдан</t>
  </si>
  <si>
    <t>ZVPG_u_1408</t>
  </si>
  <si>
    <t>Головатенко Олександр</t>
  </si>
  <si>
    <t>ZVPG_u_1409</t>
  </si>
  <si>
    <t>Горб Дмитро</t>
  </si>
  <si>
    <t>ZVPG_u_1410</t>
  </si>
  <si>
    <t>Горбань Єгор</t>
  </si>
  <si>
    <t>ZVPG_u_1411</t>
  </si>
  <si>
    <t>Гринець Максим</t>
  </si>
  <si>
    <t>ZVPG_u_1412</t>
  </si>
  <si>
    <t>Данельчатенко Даніл</t>
  </si>
  <si>
    <t>ZVPG_u_1413</t>
  </si>
  <si>
    <t>Донець Дмитро</t>
  </si>
  <si>
    <t>ZVPG_u_1414</t>
  </si>
  <si>
    <t>Затока Данило</t>
  </si>
  <si>
    <t>ZVPG_u_1415</t>
  </si>
  <si>
    <t>Іващенко Софія</t>
  </si>
  <si>
    <t>ZVPG_u_1416</t>
  </si>
  <si>
    <t>Коваленко Ярослав</t>
  </si>
  <si>
    <t>ZVPG_u_1417</t>
  </si>
  <si>
    <t>Козленко Назар</t>
  </si>
  <si>
    <t>ZVPG_u_1418</t>
  </si>
  <si>
    <t>Комар Ірина</t>
  </si>
  <si>
    <t>ZVPG_u_1419</t>
  </si>
  <si>
    <t>Кретова Єлизавета</t>
  </si>
  <si>
    <t>ZVPG_u_1420</t>
  </si>
  <si>
    <t>Крикун Софія</t>
  </si>
  <si>
    <t>ZVPG_u_1421</t>
  </si>
  <si>
    <t>Кузьменко Владислав</t>
  </si>
  <si>
    <t>ZVPG_u_1422</t>
  </si>
  <si>
    <t>Мальована Ліка</t>
  </si>
  <si>
    <t>ZVPG_u_1423</t>
  </si>
  <si>
    <t>Митянська Аліна</t>
  </si>
  <si>
    <t>ZVPG_u_1424</t>
  </si>
  <si>
    <t>Мотрич Юлія</t>
  </si>
  <si>
    <t>ZVPG_u_1425</t>
  </si>
  <si>
    <t>Мутушкіна Катерина</t>
  </si>
  <si>
    <t>ZVPG_u_1426</t>
  </si>
  <si>
    <t>Омельченко Ілля</t>
  </si>
  <si>
    <t>ZVPG_u_1427</t>
  </si>
  <si>
    <t>Перехрест Анастасія</t>
  </si>
  <si>
    <t>ZVPG_u_1428</t>
  </si>
  <si>
    <t>Піскун Владислав</t>
  </si>
  <si>
    <t>ZVPG_u_1429</t>
  </si>
  <si>
    <t>Романов Павло</t>
  </si>
  <si>
    <t>ZVPG_u_1430</t>
  </si>
  <si>
    <t>Руденко Дарья</t>
  </si>
  <si>
    <t>ZVPG_u_1431</t>
  </si>
  <si>
    <t>Рудковський Матвій</t>
  </si>
  <si>
    <t>ZVPG_u_1432</t>
  </si>
  <si>
    <t>Самійленко Анастасія</t>
  </si>
  <si>
    <t>ZVPG_u_1433</t>
  </si>
  <si>
    <t>Сутиська Дар'я</t>
  </si>
  <si>
    <t>ZVPG_u_1434</t>
  </si>
  <si>
    <t>Андрущенко Кароліна</t>
  </si>
  <si>
    <t>ZVPG_u_1435</t>
  </si>
  <si>
    <t>Гаврюшенко Варвара</t>
  </si>
  <si>
    <t>ZVPG_u_1436</t>
  </si>
  <si>
    <t>Горбачик Андрій</t>
  </si>
  <si>
    <t>ZVPG_u_1437</t>
  </si>
  <si>
    <t>Дейнека Кирил</t>
  </si>
  <si>
    <t>ZVPG_u_1438</t>
  </si>
  <si>
    <t>Жуган Євангеліна</t>
  </si>
  <si>
    <t>ZVPG_u_1439</t>
  </si>
  <si>
    <t>Качур Олександра</t>
  </si>
  <si>
    <t>ZVPG_u_1440</t>
  </si>
  <si>
    <t>Павленко Дарина</t>
  </si>
  <si>
    <t>ZVPG_u_1441</t>
  </si>
  <si>
    <t>Панаріна Анна</t>
  </si>
  <si>
    <t>ZVPG_u_1442</t>
  </si>
  <si>
    <t>Радченко Олексій</t>
  </si>
  <si>
    <t>ZVPG_u_1443</t>
  </si>
  <si>
    <t>Святченко Анна</t>
  </si>
  <si>
    <t>ZVPG_u_1444</t>
  </si>
  <si>
    <t>Степанчук Давид</t>
  </si>
  <si>
    <t>ZVPG_u_1445</t>
  </si>
  <si>
    <t>Теличенко Валерія</t>
  </si>
  <si>
    <t>ZVPG_u_1446</t>
  </si>
  <si>
    <t>Тимків Єва</t>
  </si>
  <si>
    <t>ZVPG_u_1447</t>
  </si>
  <si>
    <t>Томенко Вадим</t>
  </si>
  <si>
    <t>ZVPG_u_1448</t>
  </si>
  <si>
    <t>Турик Артур</t>
  </si>
  <si>
    <t>ZVPG_u_1449</t>
  </si>
  <si>
    <t>Харченко Євгеній</t>
  </si>
  <si>
    <t>ZVPG_u_1450</t>
  </si>
  <si>
    <t>Шитя Каріна</t>
  </si>
  <si>
    <t>ZVPG_u_1451</t>
  </si>
  <si>
    <t>Шитя Олексій</t>
  </si>
  <si>
    <t>ZVPG_u_1452</t>
  </si>
  <si>
    <t>Шматкова Тетяна</t>
  </si>
  <si>
    <t>ZVPG_u_1453</t>
  </si>
  <si>
    <t>Яременко Давід</t>
  </si>
  <si>
    <t>ZVPG_u_1454</t>
  </si>
  <si>
    <t>Сінчук Святослав Русланович</t>
  </si>
  <si>
    <t>Комунальний заклад "Харківська спеціальна школа № 2" Харківської обласної ради</t>
  </si>
  <si>
    <t>ZVPG_u_1455</t>
  </si>
  <si>
    <t>Талалаєнко Назар Віталійович</t>
  </si>
  <si>
    <t>ZVPG_u_1456</t>
  </si>
  <si>
    <t>Літвин Ростислав Володимирович</t>
  </si>
  <si>
    <t>ZVPG_u_1457</t>
  </si>
  <si>
    <t>Аксененко Василина Станіславівна</t>
  </si>
  <si>
    <t>ZVPG_u_1458</t>
  </si>
  <si>
    <t>Олексенко Євген Васильович</t>
  </si>
  <si>
    <t>Професійно-технічне училище №71</t>
  </si>
  <si>
    <t>ZVPG_u_1459</t>
  </si>
  <si>
    <t>Сологуб Станіслав Володимирович</t>
  </si>
  <si>
    <t>ZVPG_u_1460</t>
  </si>
  <si>
    <t>Частов Олександр Васильович</t>
  </si>
  <si>
    <t>ZVPG_u_1461</t>
  </si>
  <si>
    <t>Фурсова Ярослава Сергіївна</t>
  </si>
  <si>
    <t>ZVPG_u_1462</t>
  </si>
  <si>
    <t>Щербина Микита Юрійович</t>
  </si>
  <si>
    <t>ZVPG_u_1463</t>
  </si>
  <si>
    <t>Міщенко Діана Ярославівна</t>
  </si>
  <si>
    <t>ZVPG_u_1464</t>
  </si>
  <si>
    <t>Федченко Максим Олександрович</t>
  </si>
  <si>
    <t>ZVPG_u_1465</t>
  </si>
  <si>
    <t>Восьмерик Володимир Миколайович</t>
  </si>
  <si>
    <t>ZVPG_u_1466</t>
  </si>
  <si>
    <t>Хоменко Давід Дмитрович</t>
  </si>
  <si>
    <t>ZVPG_u_1467</t>
  </si>
  <si>
    <t>Кагал Олександр Олександрович</t>
  </si>
  <si>
    <t>ZVPG_u_1468</t>
  </si>
  <si>
    <t>Чаюн Дмітрій Андрійович</t>
  </si>
  <si>
    <t>ZVPG_u_1469</t>
  </si>
  <si>
    <t>Карасьов Артем Олександрович</t>
  </si>
  <si>
    <t>ZVPG_u_1470</t>
  </si>
  <si>
    <t>Грицай Станіслав Антонович</t>
  </si>
  <si>
    <t>ZVPG_u_1471</t>
  </si>
  <si>
    <t>Росін Богдан Олександрович</t>
  </si>
  <si>
    <t>ZVPG_u_1472</t>
  </si>
  <si>
    <t>Мельниченко Марина Сергіївна</t>
  </si>
  <si>
    <t>ZVPG_u_1473</t>
  </si>
  <si>
    <t>Шаповал Ольга Борисівна</t>
  </si>
  <si>
    <t>ZVPG_u_1474</t>
  </si>
  <si>
    <t>Стеценко Євгеній Ігорович</t>
  </si>
  <si>
    <t>ZVPG_u_1475</t>
  </si>
  <si>
    <t>Лопата Денис Михайлович</t>
  </si>
  <si>
    <t>ZVPG_u_1476</t>
  </si>
  <si>
    <t>Іванченко Єгор Сергійович</t>
  </si>
  <si>
    <t>ZVPG_u_1477</t>
  </si>
  <si>
    <t>Євсєєва Анна Олексіївна</t>
  </si>
  <si>
    <t>ZVPG_u_1478</t>
  </si>
  <si>
    <t>Фурсова Анна Сергіївна</t>
  </si>
  <si>
    <t>ZVPG_u_1479</t>
  </si>
  <si>
    <t>Леонтьєв Олександр Іванович</t>
  </si>
  <si>
    <t>ZVPG_u_1480</t>
  </si>
  <si>
    <t>Веселов Богдан Сергійович</t>
  </si>
  <si>
    <t>ZVPG_u_1481</t>
  </si>
  <si>
    <t>Сокирник Андрій</t>
  </si>
  <si>
    <t>Херсонський багатопрофільний ліцей № 20 Херсонської міської ради</t>
  </si>
  <si>
    <t>ZVPG_u_1482</t>
  </si>
  <si>
    <t>Олійник Артем</t>
  </si>
  <si>
    <t>ZVPG_u_1483</t>
  </si>
  <si>
    <t>Маслій Богдан</t>
  </si>
  <si>
    <t>ZVPG_u_1484</t>
  </si>
  <si>
    <t>Васильєв Даніїл</t>
  </si>
  <si>
    <t>ZVPG_u_1485</t>
  </si>
  <si>
    <t>Сірий Даніїл</t>
  </si>
  <si>
    <t>ZVPG_u_1486</t>
  </si>
  <si>
    <t>Кисельова Кира</t>
  </si>
  <si>
    <t>ZVPG_u_1487</t>
  </si>
  <si>
    <t>Трофимлюк Ксенія</t>
  </si>
  <si>
    <t>ZVPG_u_1488</t>
  </si>
  <si>
    <t>Мисан Поліна</t>
  </si>
  <si>
    <t>ZVPG_u_1489</t>
  </si>
  <si>
    <t>Ставнійчук Назар</t>
  </si>
  <si>
    <t>ZVPG_u_1490</t>
  </si>
  <si>
    <t>Кушнір Софія</t>
  </si>
  <si>
    <t>ZVPG_u_1491</t>
  </si>
  <si>
    <t>Біцак Володимир</t>
  </si>
  <si>
    <t>ZVPG_u_1492</t>
  </si>
  <si>
    <t>Чернишов Володимир</t>
  </si>
  <si>
    <t>ZVPG_u_1493</t>
  </si>
  <si>
    <t>Власюк Марія</t>
  </si>
  <si>
    <t>ZVPG_u_1494</t>
  </si>
  <si>
    <t>Лактіонова Аліна</t>
  </si>
  <si>
    <t>ZVPG_u_1495</t>
  </si>
  <si>
    <t>Тахтай Артем</t>
  </si>
  <si>
    <t>ZVPG_u_1496</t>
  </si>
  <si>
    <t>Ермак Кирило</t>
  </si>
  <si>
    <t>ZVPG_u_1497</t>
  </si>
  <si>
    <t>Михайлик Максим</t>
  </si>
  <si>
    <t>ZVPG_u_1498</t>
  </si>
  <si>
    <t>Ситнік Тамара</t>
  </si>
  <si>
    <t>ZVPG_u_1499</t>
  </si>
  <si>
    <t>Корецька Єлизавета</t>
  </si>
  <si>
    <t>ZVPG_u_1500</t>
  </si>
  <si>
    <t>Петренко Валерія</t>
  </si>
  <si>
    <t>ZVPG_u_1501</t>
  </si>
  <si>
    <t>Карачковський Валерій</t>
  </si>
  <si>
    <t>Гельмязівський опорний заклад загальної середньої освіти І - ІІІст. Гельмязівської сільської ради Золотоніського району Черкаської області</t>
  </si>
  <si>
    <t>ZVPG_u_1502</t>
  </si>
  <si>
    <t>Абакулов Ігор</t>
  </si>
  <si>
    <t>ZVPG_u_1503</t>
  </si>
  <si>
    <t>Романенко Стефанія</t>
  </si>
  <si>
    <t>ZVPG_u_1504</t>
  </si>
  <si>
    <t>Білогруд Олександра</t>
  </si>
  <si>
    <t>ZVPG_u_1505</t>
  </si>
  <si>
    <t>Гончар Варвара</t>
  </si>
  <si>
    <t>ZVPG_u_1506</t>
  </si>
  <si>
    <t>Іващенко Марія</t>
  </si>
  <si>
    <t>ZVPG_u_1507</t>
  </si>
  <si>
    <t>Олейнікова Аліна</t>
  </si>
  <si>
    <t>ZVPG_u_1508</t>
  </si>
  <si>
    <t>Задорожній Роман</t>
  </si>
  <si>
    <t>ZVPG_u_1509</t>
  </si>
  <si>
    <t>Алєксєєв Владислв</t>
  </si>
  <si>
    <t>Великомихайлівський опорний ліцей Великомихайлівської селищної ради Роздільнянського району Одеської області</t>
  </si>
  <si>
    <t>ZVPG_u_1510</t>
  </si>
  <si>
    <t>Алєксєєв Вячеслав</t>
  </si>
  <si>
    <t>ZVPG_u_1511</t>
  </si>
  <si>
    <t>Андрієнко Андрій</t>
  </si>
  <si>
    <t>ZVPG_u_1512</t>
  </si>
  <si>
    <t>Бишляга Аліна</t>
  </si>
  <si>
    <t>ZVPG_u_1513</t>
  </si>
  <si>
    <t>Бігун Роман</t>
  </si>
  <si>
    <t>ZVPG_u_1514</t>
  </si>
  <si>
    <t>Блаженко Андрій</t>
  </si>
  <si>
    <t>ZVPG_u_1515</t>
  </si>
  <si>
    <t>Величко Святослав</t>
  </si>
  <si>
    <t>ZVPG_u_1516</t>
  </si>
  <si>
    <t>Висоцька Валентина</t>
  </si>
  <si>
    <t>ZVPG_u_1517</t>
  </si>
  <si>
    <t>Гавриліца Артем</t>
  </si>
  <si>
    <t>ZVPG_u_1518</t>
  </si>
  <si>
    <t>Гордієнко Сергій</t>
  </si>
  <si>
    <t>ZVPG_u_1519</t>
  </si>
  <si>
    <t>Дармограй Богдан</t>
  </si>
  <si>
    <t>ZVPG_u_1520</t>
  </si>
  <si>
    <t>Завада Масксим</t>
  </si>
  <si>
    <t>ZVPG_u_1521</t>
  </si>
  <si>
    <t>Іванцок Богдан</t>
  </si>
  <si>
    <t>ZVPG_u_1522</t>
  </si>
  <si>
    <t>Ковальчук Владислав</t>
  </si>
  <si>
    <t>ZVPG_u_1523</t>
  </si>
  <si>
    <t>Колун Ольга</t>
  </si>
  <si>
    <t>ZVPG_u_1524</t>
  </si>
  <si>
    <t>Косиндяк Анастасія</t>
  </si>
  <si>
    <t>ZVPG_u_1525</t>
  </si>
  <si>
    <t>Мельник Дмитро</t>
  </si>
  <si>
    <t>ZVPG_u_1526</t>
  </si>
  <si>
    <t>Обрежа Євгеній</t>
  </si>
  <si>
    <t>ZVPG_u_1527</t>
  </si>
  <si>
    <t>Орлов Іван</t>
  </si>
  <si>
    <t>ZVPG_u_1528</t>
  </si>
  <si>
    <t>Постовий Іван</t>
  </si>
  <si>
    <t>ZVPG_u_1529</t>
  </si>
  <si>
    <t>Прищепа Ростислав</t>
  </si>
  <si>
    <t>ZVPG_u_1530</t>
  </si>
  <si>
    <t>Терлецька Христина</t>
  </si>
  <si>
    <t>ZVPG_u_1531</t>
  </si>
  <si>
    <t>Тишлер Надія</t>
  </si>
  <si>
    <t>ZVPG_u_1532</t>
  </si>
  <si>
    <t>Тюхтій Владислав</t>
  </si>
  <si>
    <t>ZVPG_u_1533</t>
  </si>
  <si>
    <t>Боровікова Кіра</t>
  </si>
  <si>
    <t>Дніпровська гімназія №140 Дніпровської міської ради</t>
  </si>
  <si>
    <t>ZVPG_u_1534</t>
  </si>
  <si>
    <t>Бихлов Дмитро</t>
  </si>
  <si>
    <t>ZVPG_u_1535</t>
  </si>
  <si>
    <t>Давидов Олексій</t>
  </si>
  <si>
    <t>ZVPG_u_1536</t>
  </si>
  <si>
    <t>Заяц Марія</t>
  </si>
  <si>
    <t>ZVPG_u_1537</t>
  </si>
  <si>
    <t>Ілюхіна Кіра</t>
  </si>
  <si>
    <t>ZVPG_u_1538</t>
  </si>
  <si>
    <t>Імаєв Марк</t>
  </si>
  <si>
    <t>ZVPG_u_1539</t>
  </si>
  <si>
    <t>Лівітін Костянтин</t>
  </si>
  <si>
    <t>ZVPG_u_1540</t>
  </si>
  <si>
    <t>Мамедова Ірина</t>
  </si>
  <si>
    <t>ZVPG_u_1541</t>
  </si>
  <si>
    <t>Мартиненко Микита</t>
  </si>
  <si>
    <t>ZVPG_u_1542</t>
  </si>
  <si>
    <t>Мельник Альона</t>
  </si>
  <si>
    <t>ZVPG_u_1543</t>
  </si>
  <si>
    <t>Молнар Єгор</t>
  </si>
  <si>
    <t>ZVPG_u_1544</t>
  </si>
  <si>
    <t>Молчанов Даніїл</t>
  </si>
  <si>
    <t>ZVPG_u_1545</t>
  </si>
  <si>
    <t>Пригунов Олександр</t>
  </si>
  <si>
    <t>ZVPG_u_1546</t>
  </si>
  <si>
    <t>Рижко Анастасія</t>
  </si>
  <si>
    <t>ZVPG_u_1547</t>
  </si>
  <si>
    <t>Ромашко Артем</t>
  </si>
  <si>
    <t>ZVPG_u_1548</t>
  </si>
  <si>
    <t>Саколюк Дар'я</t>
  </si>
  <si>
    <t>ZVPG_u_1549</t>
  </si>
  <si>
    <t>Самовар Андрій</t>
  </si>
  <si>
    <t>ZVPG_u_1550</t>
  </si>
  <si>
    <t>Сливець Ангеліна</t>
  </si>
  <si>
    <t>ZVPG_u_1551</t>
  </si>
  <si>
    <t>Файдор Владислав</t>
  </si>
  <si>
    <t>ZVPG_u_1552</t>
  </si>
  <si>
    <t>Чуєнко Аріна</t>
  </si>
  <si>
    <t>ZVPG_u_1553</t>
  </si>
  <si>
    <t>Шкаліков Олександр</t>
  </si>
  <si>
    <t>ZVPG_u_1554</t>
  </si>
  <si>
    <t>Ященок Валентина</t>
  </si>
  <si>
    <t>ZVPG_u_1555</t>
  </si>
  <si>
    <t>Деркач Софія</t>
  </si>
  <si>
    <t>Ліцей №1 імені О.П.Довженка Новокаховської міської ради</t>
  </si>
  <si>
    <t>ZVPG_u_1556</t>
  </si>
  <si>
    <t>Кафтя Дмитро</t>
  </si>
  <si>
    <t>ZVPG_u_1557</t>
  </si>
  <si>
    <t>Карпік Дмитро</t>
  </si>
  <si>
    <t>ZVPG_u_1558</t>
  </si>
  <si>
    <t>Міщенко Віолетта</t>
  </si>
  <si>
    <t>ZVPG_u_1559</t>
  </si>
  <si>
    <t>Теняк Богдан</t>
  </si>
  <si>
    <t>ZVPG_u_1560</t>
  </si>
  <si>
    <t>Тішаков Павло</t>
  </si>
  <si>
    <t>ZVPG_u_1561</t>
  </si>
  <si>
    <t>Еконос Єва</t>
  </si>
  <si>
    <t>ZVPG_u_1562</t>
  </si>
  <si>
    <t>Шурнюк Артем</t>
  </si>
  <si>
    <t>ZVPG_u_1563</t>
  </si>
  <si>
    <t>Захаров Максим</t>
  </si>
  <si>
    <t>ZVPG_u_1564</t>
  </si>
  <si>
    <t>Луковець Вадим</t>
  </si>
  <si>
    <t>ZVPG_u_1565</t>
  </si>
  <si>
    <t>Малиш Єлизавета</t>
  </si>
  <si>
    <t>ZVPG_u_1566</t>
  </si>
  <si>
    <t>Полагенько Олександр</t>
  </si>
  <si>
    <t>ZVPG_u_1567</t>
  </si>
  <si>
    <t>Пукас Денис</t>
  </si>
  <si>
    <t>ZVPG_u_1568</t>
  </si>
  <si>
    <t>Шкрабіій Емілія</t>
  </si>
  <si>
    <t>ZVPG_u_1569</t>
  </si>
  <si>
    <t>ZVPG_u_1570</t>
  </si>
  <si>
    <t>Артюшков Давид Валерійович</t>
  </si>
  <si>
    <t>Кропивницький будівельний фаховий коледж</t>
  </si>
  <si>
    <t>ZVPG_u_1571</t>
  </si>
  <si>
    <t>Бубнова Дар'я Максимівна</t>
  </si>
  <si>
    <t>ZVPG_u_1572</t>
  </si>
  <si>
    <t>Голубіцька Уляна Владиславівна</t>
  </si>
  <si>
    <t>ZVPG_u_1573</t>
  </si>
  <si>
    <t>Дяценко Яна Віталіївна</t>
  </si>
  <si>
    <t>ZVPG_u_1574</t>
  </si>
  <si>
    <t>Коваленко Софія Євгенівна</t>
  </si>
  <si>
    <t>ZVPG_u_1575</t>
  </si>
  <si>
    <t>Когатько Вікторія Віталіївна</t>
  </si>
  <si>
    <t>ZVPG_u_1576</t>
  </si>
  <si>
    <t>Козловська Ірина Дмитрівна</t>
  </si>
  <si>
    <t>ZVPG_u_1577</t>
  </si>
  <si>
    <t>Лушпай Ангеліна Миколаївна</t>
  </si>
  <si>
    <t>ZVPG_u_1578</t>
  </si>
  <si>
    <t>Миколенко Марія Сергіївна</t>
  </si>
  <si>
    <t>ZVPG_u_1579</t>
  </si>
  <si>
    <t>Мозгова Дар'я Сергіївна</t>
  </si>
  <si>
    <t>ZVPG_u_1580</t>
  </si>
  <si>
    <t>Мороз Максим Анатолійович</t>
  </si>
  <si>
    <t>ZVPG_u_1581</t>
  </si>
  <si>
    <t>Мутель Анастасія Анатоліївна</t>
  </si>
  <si>
    <t>ZVPG_u_1582</t>
  </si>
  <si>
    <t>Панчук Анастасія Юріївна</t>
  </si>
  <si>
    <t>ZVPG_u_1583</t>
  </si>
  <si>
    <t>Титаренко Тимофій Сергійович</t>
  </si>
  <si>
    <t>ZVPG_u_1584</t>
  </si>
  <si>
    <t>Хоменко Поліна Сергіївна</t>
  </si>
  <si>
    <t>ZVPG_u_1585</t>
  </si>
  <si>
    <t>Цупрій Аріна Євгеніївна</t>
  </si>
  <si>
    <t>ZVPG_u_1586</t>
  </si>
  <si>
    <t>Овчіннікова Анна</t>
  </si>
  <si>
    <t>Комунальний заклад "Гімназія №12" Кам'янської міської ради</t>
  </si>
  <si>
    <t>ZVPG_u_1587</t>
  </si>
  <si>
    <t>Ткач Валерія</t>
  </si>
  <si>
    <t>ZVPG_u_1588</t>
  </si>
  <si>
    <t>Гузій Кирило</t>
  </si>
  <si>
    <t>ZVPG_u_1589</t>
  </si>
  <si>
    <t>Проскура Артем</t>
  </si>
  <si>
    <t>ZVPG_u_1590</t>
  </si>
  <si>
    <t>Гончарук Богдан</t>
  </si>
  <si>
    <t>ZVPG_u_1591</t>
  </si>
  <si>
    <t>Куфтінов Владислав</t>
  </si>
  <si>
    <t>ZVPG_u_1592</t>
  </si>
  <si>
    <t xml:space="preserve">Лєвєнцов Артем </t>
  </si>
  <si>
    <t>ZVPG_u_1593</t>
  </si>
  <si>
    <t>Панкратов Артем</t>
  </si>
  <si>
    <t>ZVPG_u_1594</t>
  </si>
  <si>
    <t>Тонконог Артем</t>
  </si>
  <si>
    <t>ZVPG_u_1595</t>
  </si>
  <si>
    <t>Кучер Михайло</t>
  </si>
  <si>
    <t>ZVPG_u_1596</t>
  </si>
  <si>
    <t xml:space="preserve">Тимченко Кіра </t>
  </si>
  <si>
    <t>ZVPG_u_1597</t>
  </si>
  <si>
    <t>Канида Іван</t>
  </si>
  <si>
    <t>ZVPG_u_1598</t>
  </si>
  <si>
    <t xml:space="preserve">Бражнік Єгор </t>
  </si>
  <si>
    <t>ZVPG_u_1599</t>
  </si>
  <si>
    <t>Гармаш Валерія</t>
  </si>
  <si>
    <t>ZVPG_u_1600</t>
  </si>
  <si>
    <t>Сухорукова Ольга</t>
  </si>
  <si>
    <t>ZVPG_u_1601</t>
  </si>
  <si>
    <t xml:space="preserve">Козловський Ярослав </t>
  </si>
  <si>
    <t>ZVPG_u_1602</t>
  </si>
  <si>
    <t>Черчик Карина</t>
  </si>
  <si>
    <t>ZVPG_u_1603</t>
  </si>
  <si>
    <t>Святоха Єва</t>
  </si>
  <si>
    <t>ZVPG_u_1604</t>
  </si>
  <si>
    <t>Пойда Станіслав</t>
  </si>
  <si>
    <t>ZVPG_u_1605</t>
  </si>
  <si>
    <t>Новікова Уляна</t>
  </si>
  <si>
    <t>ZVPG_u_1606</t>
  </si>
  <si>
    <t>Бойко Давид Віталійович</t>
  </si>
  <si>
    <t>ЗЗСО "Письмечівська гімназія" Солонянської селищної ради Дніпропетровської області</t>
  </si>
  <si>
    <t>ZVPG_u_1607</t>
  </si>
  <si>
    <t>Самофал Максим Володимирович</t>
  </si>
  <si>
    <t>ZVPG_u_1608</t>
  </si>
  <si>
    <t>Плохіх Роман Іванович</t>
  </si>
  <si>
    <t>ZVPG_u_1609</t>
  </si>
  <si>
    <t>Яценко Олександра Миколаївна</t>
  </si>
  <si>
    <t>ZVPG_u_1610</t>
  </si>
  <si>
    <t>Гинда Олена Пантелемонівна</t>
  </si>
  <si>
    <t>ZVPG_u_1611</t>
  </si>
  <si>
    <t>Дронов Ростислав</t>
  </si>
  <si>
    <t>Білокуракинський ліцей, Сватівського району Луганської області</t>
  </si>
  <si>
    <t>ZVPG_u_1612</t>
  </si>
  <si>
    <t>Червенко Мілана</t>
  </si>
  <si>
    <t>ZVPG_u_1613</t>
  </si>
  <si>
    <t>Сидоренко Надія</t>
  </si>
  <si>
    <t>ZVPG_u_1614</t>
  </si>
  <si>
    <t>Федченко Денис</t>
  </si>
  <si>
    <t>ZVPG_u_1615</t>
  </si>
  <si>
    <t>Бабченко Владислав</t>
  </si>
  <si>
    <t>ZVPG_u_1616</t>
  </si>
  <si>
    <t>Бабич Дмитро</t>
  </si>
  <si>
    <t>ZVPG_u_1617</t>
  </si>
  <si>
    <t>Козакова Вероніка</t>
  </si>
  <si>
    <t>ZVPG_u_1618</t>
  </si>
  <si>
    <t>Нагомір Тетяна</t>
  </si>
  <si>
    <t>ZVPG_u_1619</t>
  </si>
  <si>
    <t>Босак Іван Віталійович</t>
  </si>
  <si>
    <t>Костянтинопільський ЗЗСО I-III ступенів</t>
  </si>
  <si>
    <t>ZVPG_u_1620</t>
  </si>
  <si>
    <t>Городничий Єгор Іванович</t>
  </si>
  <si>
    <t>ZVPG_u_1621</t>
  </si>
  <si>
    <t>Ібрагімов Тимур Аміранович</t>
  </si>
  <si>
    <t>ZVPG_u_1622</t>
  </si>
  <si>
    <t>Мігуля Нікіта Олександрович</t>
  </si>
  <si>
    <t>ZVPG_u_1623</t>
  </si>
  <si>
    <t>Мотузка Іван Олексійович</t>
  </si>
  <si>
    <t>ZVPG_u_1624</t>
  </si>
  <si>
    <t>Цекот Тимофій Васильович</t>
  </si>
  <si>
    <t>ZVPG_u_1625</t>
  </si>
  <si>
    <t>Шепелєва Анна Вікторівна</t>
  </si>
  <si>
    <t>ZVPG_u_1626</t>
  </si>
  <si>
    <t>Карабаш Антоніна Антонівна</t>
  </si>
  <si>
    <t>ZVPG_u_1627</t>
  </si>
  <si>
    <t>Бардак Назар Олексійович</t>
  </si>
  <si>
    <t>ZVPG_u_1628</t>
  </si>
  <si>
    <t>Красов Кирило Іванович</t>
  </si>
  <si>
    <t>ZVPG_u_1629</t>
  </si>
  <si>
    <t>Чурсін Давид Олександрович</t>
  </si>
  <si>
    <t>ZVPG_u_1630</t>
  </si>
  <si>
    <t>Водополов Максим Олександрович</t>
  </si>
  <si>
    <t>комунальний заклад "Харківська гімназія № 86 Харківської міської ради"</t>
  </si>
  <si>
    <t>ZVPG_u_1631</t>
  </si>
  <si>
    <t>Гнєтко Максим Сергійович</t>
  </si>
  <si>
    <t>ZVPG_u_1632</t>
  </si>
  <si>
    <t>Зайцев Максим Олександрович</t>
  </si>
  <si>
    <t>ZVPG_u_1633</t>
  </si>
  <si>
    <t>Кузьменко Анастасія Дмитрівна</t>
  </si>
  <si>
    <t>ZVPG_u_1634</t>
  </si>
  <si>
    <t>Міхальчук Катерина Андріївна</t>
  </si>
  <si>
    <t>ZVPG_u_1635</t>
  </si>
  <si>
    <t>Подлєсна Ксенія Віталіївна</t>
  </si>
  <si>
    <t>ZVPG_u_1636</t>
  </si>
  <si>
    <t>Чумак Ілля Ігорович</t>
  </si>
  <si>
    <t>ZVPG_u_1637</t>
  </si>
  <si>
    <t>Перков Антон</t>
  </si>
  <si>
    <t>Заклад загальної середньої освіти І-ІІІ ступенів селища Керменчик Волноваського району</t>
  </si>
  <si>
    <t>ZVPG_u_1638</t>
  </si>
  <si>
    <t>Сватко Уляна</t>
  </si>
  <si>
    <t>ZVPG_u_1639</t>
  </si>
  <si>
    <t>Смирнова Катерина</t>
  </si>
  <si>
    <t>ZVPG_u_1640</t>
  </si>
  <si>
    <t xml:space="preserve">Ганжела Іван </t>
  </si>
  <si>
    <t>ZVPG_u_1641</t>
  </si>
  <si>
    <t>Василенко Варвара</t>
  </si>
  <si>
    <t>ZVPG_u_1642</t>
  </si>
  <si>
    <t xml:space="preserve">Гончаров Даниїл </t>
  </si>
  <si>
    <t>ZVPG_u_1643</t>
  </si>
  <si>
    <t xml:space="preserve">Протченко Іван </t>
  </si>
  <si>
    <t>ZVPG_u_1644</t>
  </si>
  <si>
    <t>Гончарова Леся Василівна</t>
  </si>
  <si>
    <t>ZVPG_u_1645</t>
  </si>
  <si>
    <t>Цвігун Світлана Вікторівна</t>
  </si>
  <si>
    <t>ZVPG_u_1646</t>
  </si>
  <si>
    <t>Рябко Надія Сергіївна</t>
  </si>
  <si>
    <t>ZVPG_u_1647</t>
  </si>
  <si>
    <t>Андрєйченко Валентина Миколаївна</t>
  </si>
  <si>
    <t>ZVPG_u_1648</t>
  </si>
  <si>
    <t>Палєй Олена Володимирівна</t>
  </si>
  <si>
    <t>ZVPG_u_1649</t>
  </si>
  <si>
    <t xml:space="preserve">Пєркова Анна Іванівна </t>
  </si>
  <si>
    <t>ZVPG_u_1650</t>
  </si>
  <si>
    <t>Юр'єва Тетяна Валеріївна</t>
  </si>
  <si>
    <t>ZVPG_u_1651</t>
  </si>
  <si>
    <t>Яковін Денис</t>
  </si>
  <si>
    <t>Дніпровський фаховий коледж енергетичних та інформаційних технологій</t>
  </si>
  <si>
    <t>ZVPG_u_1652</t>
  </si>
  <si>
    <t>Ніколенко Альбіна</t>
  </si>
  <si>
    <t>ZVPG_u_1653</t>
  </si>
  <si>
    <t>Шавло Ксенія</t>
  </si>
  <si>
    <t>ZVPG_u_1654</t>
  </si>
  <si>
    <t>Ковалевич Дар'я</t>
  </si>
  <si>
    <t>ZVPG_u_1655</t>
  </si>
  <si>
    <t>Обора Дар'я</t>
  </si>
  <si>
    <t>ZVPG_u_1656</t>
  </si>
  <si>
    <t>Панченко Діана</t>
  </si>
  <si>
    <t>ZVPG_u_1657</t>
  </si>
  <si>
    <t>Викиданець Дарина</t>
  </si>
  <si>
    <t>ZVPG_u_1658</t>
  </si>
  <si>
    <t>Реконвальд Дарина</t>
  </si>
  <si>
    <t>ZVPG_u_1659</t>
  </si>
  <si>
    <t>Купа Анастасія</t>
  </si>
  <si>
    <t>ZVPG_u_1660</t>
  </si>
  <si>
    <t>Горбатюк Анна</t>
  </si>
  <si>
    <t>ZVPG_u_1661</t>
  </si>
  <si>
    <t>Орлянська Дар'я</t>
  </si>
  <si>
    <t>ZVPG_u_1662</t>
  </si>
  <si>
    <t>Стецуренко Дар'я</t>
  </si>
  <si>
    <t>ZVPG_u_1663</t>
  </si>
  <si>
    <t>Заулічна Анна</t>
  </si>
  <si>
    <t>ZVPG_u_1664</t>
  </si>
  <si>
    <t>Пирогов Максим</t>
  </si>
  <si>
    <t>ZVPG_u_1665</t>
  </si>
  <si>
    <t>Іванова Ангеліна</t>
  </si>
  <si>
    <t>ZVPG_u_1666</t>
  </si>
  <si>
    <t>Лінник Варвара</t>
  </si>
  <si>
    <t>ZVPG_u_1667</t>
  </si>
  <si>
    <t>Тресницька Поліна</t>
  </si>
  <si>
    <t>ZVPG_u_1668</t>
  </si>
  <si>
    <t>Кравченко Єлизавета</t>
  </si>
  <si>
    <t>ZVPG_u_1669</t>
  </si>
  <si>
    <t>Рисіч Катерина</t>
  </si>
  <si>
    <t>ZVPG_u_1670</t>
  </si>
  <si>
    <t>Брусєнцова Владислава</t>
  </si>
  <si>
    <t>ZVPG_u_1671</t>
  </si>
  <si>
    <t>Шкуренко Кіра</t>
  </si>
  <si>
    <t>ZVPG_u_1672</t>
  </si>
  <si>
    <t>Бойко Вікторія</t>
  </si>
  <si>
    <t>ZVPG_u_1673</t>
  </si>
  <si>
    <t>Моісеєнко Кароліна</t>
  </si>
  <si>
    <t>ZVPG_u_1674</t>
  </si>
  <si>
    <t>Корнієвська Єлизавета</t>
  </si>
  <si>
    <t>ZVPG_u_1675</t>
  </si>
  <si>
    <t>Борисенко Марина</t>
  </si>
  <si>
    <t>ZVPG_u_1676</t>
  </si>
  <si>
    <t>Артюх Анна Дмитрівна</t>
  </si>
  <si>
    <t>Запорізька гімназія № 75 Запорізької міської ради</t>
  </si>
  <si>
    <t>ZVPG_u_1677</t>
  </si>
  <si>
    <t>Береговий Олександр Романович</t>
  </si>
  <si>
    <t>ZVPG_u_1678</t>
  </si>
  <si>
    <t>Близнюк Дарина Денисівна</t>
  </si>
  <si>
    <t>ZVPG_u_1679</t>
  </si>
  <si>
    <t>Гайнетдінов Владислав Артемович</t>
  </si>
  <si>
    <t>ZVPG_u_1680</t>
  </si>
  <si>
    <t>Глушко Софія Дмитрівна</t>
  </si>
  <si>
    <t>ZVPG_u_1681</t>
  </si>
  <si>
    <t>Гой Кіра Юріївна</t>
  </si>
  <si>
    <t>ZVPG_u_1682</t>
  </si>
  <si>
    <t>Загурська Єва Вікторівна</t>
  </si>
  <si>
    <t>ZVPG_u_1683</t>
  </si>
  <si>
    <t>Киселенко Павло Костянтинович</t>
  </si>
  <si>
    <t>ZVPG_u_1684</t>
  </si>
  <si>
    <t>Кривий Тімур Віталійович</t>
  </si>
  <si>
    <t>ZVPG_u_1685</t>
  </si>
  <si>
    <t>Кропачов Дмитро Євгенович</t>
  </si>
  <si>
    <t>ZVPG_u_1686</t>
  </si>
  <si>
    <t>Осадчий Дмитро Павлович</t>
  </si>
  <si>
    <t>ZVPG_u_1687</t>
  </si>
  <si>
    <t>Чорний Євгеній Олександрович</t>
  </si>
  <si>
    <t>ZVPG_u_1688</t>
  </si>
  <si>
    <t>Басараб Аїда Романівна</t>
  </si>
  <si>
    <t>ZVPG_u_1689</t>
  </si>
  <si>
    <t>Власенко Матвій Артурович</t>
  </si>
  <si>
    <t>ZVPG_u_1690</t>
  </si>
  <si>
    <t>Гайдаржи Микита Олександрович</t>
  </si>
  <si>
    <t>ZVPG_u_1691</t>
  </si>
  <si>
    <t>Гончар Аліна Андріївна</t>
  </si>
  <si>
    <t>ZVPG_u_1692</t>
  </si>
  <si>
    <t>Заічко Софія Олексіївна</t>
  </si>
  <si>
    <t>ZVPG_u_1693</t>
  </si>
  <si>
    <t>Іщенко Артем Віталійович</t>
  </si>
  <si>
    <t>ZVPG_u_1694</t>
  </si>
  <si>
    <t>Кобух Єва Олександрівна</t>
  </si>
  <si>
    <t>ZVPG_u_1695</t>
  </si>
  <si>
    <t>Михайов Олег Павлович</t>
  </si>
  <si>
    <t>ZVPG_u_1696</t>
  </si>
  <si>
    <t>Параконний Ярослав Андрійович</t>
  </si>
  <si>
    <t>ZVPG_u_1697</t>
  </si>
  <si>
    <t>Пєтухов Нікіта Олександрович</t>
  </si>
  <si>
    <t>ZVPG_u_1698</t>
  </si>
  <si>
    <t>Поліщук Володимир Олександрович</t>
  </si>
  <si>
    <t>ZVPG_u_1699</t>
  </si>
  <si>
    <t>Сінченко Іван Артурович</t>
  </si>
  <si>
    <t>ZVPG_u_1700</t>
  </si>
  <si>
    <t>Болєлова Анна Владиславівна</t>
  </si>
  <si>
    <t>ZVPG_u_1701</t>
  </si>
  <si>
    <t>Волков Кирило Андрійович</t>
  </si>
  <si>
    <t>ZVPG_u_1702</t>
  </si>
  <si>
    <t>Воробйова Аліна Максимівна</t>
  </si>
  <si>
    <t>ZVPG_u_1703</t>
  </si>
  <si>
    <t>Даценко Таісія Михайлівна</t>
  </si>
  <si>
    <t>ZVPG_u_1704</t>
  </si>
  <si>
    <t>Журавльов Дмитро Дмитрович</t>
  </si>
  <si>
    <t>ZVPG_u_1705</t>
  </si>
  <si>
    <t>Колеснік Володимир Олегович</t>
  </si>
  <si>
    <t>ZVPG_u_1706</t>
  </si>
  <si>
    <t>Левченко Олексій Олександрович</t>
  </si>
  <si>
    <t>ZVPG_u_1707</t>
  </si>
  <si>
    <t>Лисак Софія Юріївна</t>
  </si>
  <si>
    <t>ZVPG_u_1708</t>
  </si>
  <si>
    <t>Мєлькова Анастасія Володимирівна</t>
  </si>
  <si>
    <t>ZVPG_u_1709</t>
  </si>
  <si>
    <t>Приходько Поліна Сергіївна</t>
  </si>
  <si>
    <t>ZVPG_u_1710</t>
  </si>
  <si>
    <t>Рябушка Дмитрій Олександрович</t>
  </si>
  <si>
    <t>ZVPG_u_1711</t>
  </si>
  <si>
    <t>Шепелєва Софія Вікторівна</t>
  </si>
  <si>
    <t>ZVPG_u_1712</t>
  </si>
  <si>
    <t>Александрович Остап Андрійович</t>
  </si>
  <si>
    <t>Комунальний заклад "Запорізька спеціалізована школа-інтернат ІІ-ІІІ ступенів "Козацький ліцей" Запорізької обласної ради</t>
  </si>
  <si>
    <t>ZVPG_u_1713</t>
  </si>
  <si>
    <t>Алексєєва Поліна Валентинівна</t>
  </si>
  <si>
    <t>ZVPG_u_1714</t>
  </si>
  <si>
    <t>Бриль Давид Сергійович</t>
  </si>
  <si>
    <t>ZVPG_u_1715</t>
  </si>
  <si>
    <t>Гнатюк Віра Романівна</t>
  </si>
  <si>
    <t>ZVPG_u_1716</t>
  </si>
  <si>
    <t>Гусаков Владислав Дмитрович</t>
  </si>
  <si>
    <t>ZVPG_u_1717</t>
  </si>
  <si>
    <t>Драмарацька Катерина Ігорівна</t>
  </si>
  <si>
    <t>ZVPG_u_1718</t>
  </si>
  <si>
    <t>Колісник Геогрій Сергійович</t>
  </si>
  <si>
    <t>ZVPG_u_1719</t>
  </si>
  <si>
    <t>Кондратенко Варвара Сергіївна</t>
  </si>
  <si>
    <t>ZVPG_u_1720</t>
  </si>
  <si>
    <t>Корнієнко Павло Андрійович</t>
  </si>
  <si>
    <t>ZVPG_u_1721</t>
  </si>
  <si>
    <t>Кравченко Богдана Денисівна</t>
  </si>
  <si>
    <t>ZVPG_u_1722</t>
  </si>
  <si>
    <t>Кравченко Олександр Сергійович</t>
  </si>
  <si>
    <t>ZVPG_u_1723</t>
  </si>
  <si>
    <t>Кулікова Олена Костянтинівна</t>
  </si>
  <si>
    <t>ZVPG_u_1724</t>
  </si>
  <si>
    <t>Логанов Рінат Артемович</t>
  </si>
  <si>
    <t>ZVPG_u_1725</t>
  </si>
  <si>
    <t>Мартиненко Ярослав Олександрович</t>
  </si>
  <si>
    <t>ZVPG_u_1726</t>
  </si>
  <si>
    <t>Миргородська Таїсія Віталіївна</t>
  </si>
  <si>
    <t>ZVPG_u_1727</t>
  </si>
  <si>
    <t>Наприклад Єлізавета Валентинівна</t>
  </si>
  <si>
    <t>ZVPG_u_1728</t>
  </si>
  <si>
    <t>Нечепоренко Іван Євгенович</t>
  </si>
  <si>
    <t>ZVPG_u_1729</t>
  </si>
  <si>
    <t>Скомароха Іван Андрійович</t>
  </si>
  <si>
    <t>ZVPG_u_1730</t>
  </si>
  <si>
    <t>Ферко Дмитро Олександрович</t>
  </si>
  <si>
    <t>ZVPG_u_1731</t>
  </si>
  <si>
    <t>Чернецький Нікіта Олегович</t>
  </si>
  <si>
    <t>ZVPG_u_1732</t>
  </si>
  <si>
    <t xml:space="preserve">Шапошнік Марія Кирилівна </t>
  </si>
  <si>
    <t>ZVPG_u_1733</t>
  </si>
  <si>
    <t>Шмаровоз Іван Олександрович</t>
  </si>
  <si>
    <t>ZVPG_u_1734</t>
  </si>
  <si>
    <t>Бєлов Максим Юлійович</t>
  </si>
  <si>
    <t>ZVPG_u_1735</t>
  </si>
  <si>
    <t>Василечко Катерина Іванівна</t>
  </si>
  <si>
    <t>ZVPG_u_1736</t>
  </si>
  <si>
    <t>Дорофеєва Софія Олексіївна</t>
  </si>
  <si>
    <t>ZVPG_u_1737</t>
  </si>
  <si>
    <t>Єрмоктратова Єлизавета Андріївна</t>
  </si>
  <si>
    <t>ZVPG_u_1738</t>
  </si>
  <si>
    <t>Зайцева Алєсья Артемівна</t>
  </si>
  <si>
    <t>ZVPG_u_1739</t>
  </si>
  <si>
    <t>Іванченко Єгор Едуардович</t>
  </si>
  <si>
    <t>ZVPG_u_1740</t>
  </si>
  <si>
    <t>Кізюн Лев Юрійович</t>
  </si>
  <si>
    <t>ZVPG_u_1741</t>
  </si>
  <si>
    <t>Ковтун Дар'я Олександрівна</t>
  </si>
  <si>
    <t>ZVPG_u_1742</t>
  </si>
  <si>
    <t>Лебеденко Єва Віталіївна</t>
  </si>
  <si>
    <t>ZVPG_u_1743</t>
  </si>
  <si>
    <t>Леонов Микола Вікторович</t>
  </si>
  <si>
    <t>ZVPG_u_1744</t>
  </si>
  <si>
    <t>Плахотнікова Вероніка Кирилівна</t>
  </si>
  <si>
    <t>ZVPG_u_1745</t>
  </si>
  <si>
    <t>Подрядчик Софія Олександрівна</t>
  </si>
  <si>
    <t>ZVPG_u_1746</t>
  </si>
  <si>
    <t>Попов Владислав Михайлович</t>
  </si>
  <si>
    <t>ZVPG_u_1747</t>
  </si>
  <si>
    <t>Ріпко Нікіта Олександрович</t>
  </si>
  <si>
    <t>ZVPG_u_1748</t>
  </si>
  <si>
    <t>Рогачова Еліна Артемівна</t>
  </si>
  <si>
    <t>ZVPG_u_1749</t>
  </si>
  <si>
    <t>Сербіновська Вікторія Вячеславівна</t>
  </si>
  <si>
    <t>ZVPG_u_1750</t>
  </si>
  <si>
    <t>Сокира Аріна Русланівна</t>
  </si>
  <si>
    <t>ZVPG_u_1751</t>
  </si>
  <si>
    <t>Стукалова Анастасія Олексіївна</t>
  </si>
  <si>
    <t>ZVPG_u_1752</t>
  </si>
  <si>
    <t>Тіхонова Аліна Олександрівна</t>
  </si>
  <si>
    <t>ZVPG_u_1753</t>
  </si>
  <si>
    <t>Торопов Денис Ігорович</t>
  </si>
  <si>
    <t>ZVPG_u_1754</t>
  </si>
  <si>
    <t>Шипула Мілла Глібівна</t>
  </si>
  <si>
    <t>ZVPG_u_1755</t>
  </si>
  <si>
    <t>Бабіченко Софія Вікторівна</t>
  </si>
  <si>
    <t>ZVPG_u_1756</t>
  </si>
  <si>
    <t>Баранюк Євгеній Олександрович</t>
  </si>
  <si>
    <t>ZVPG_u_1757</t>
  </si>
  <si>
    <t>Бондаренко Нікіта Олексійович</t>
  </si>
  <si>
    <t>ZVPG_u_1758</t>
  </si>
  <si>
    <t>Бороненко Вячеслав Вікторович</t>
  </si>
  <si>
    <t>ZVPG_u_1759</t>
  </si>
  <si>
    <t>Бронзюк Марія Сергіївна</t>
  </si>
  <si>
    <t>ZVPG_u_1760</t>
  </si>
  <si>
    <t>Глущенко Софія Андріївна</t>
  </si>
  <si>
    <t>ZVPG_u_1761</t>
  </si>
  <si>
    <t>Горячєв Артем Денисович</t>
  </si>
  <si>
    <t>ZVPG_u_1762</t>
  </si>
  <si>
    <t>Кочева Крістіна Євгенівна</t>
  </si>
  <si>
    <t>ZVPG_u_1763</t>
  </si>
  <si>
    <t>Красняк Степан Володиимирович</t>
  </si>
  <si>
    <t>ZVPG_u_1764</t>
  </si>
  <si>
    <t>Красняк Уляна Володимирівна</t>
  </si>
  <si>
    <t>ZVPG_u_1765</t>
  </si>
  <si>
    <t>Лисенко Ярослава Віталіївна</t>
  </si>
  <si>
    <t>ZVPG_u_1766</t>
  </si>
  <si>
    <t>Максимова Єлизавета Вікторівна</t>
  </si>
  <si>
    <t>ZVPG_u_1767</t>
  </si>
  <si>
    <t>Муращенко Ксенія Миколаївна</t>
  </si>
  <si>
    <t>ZVPG_u_1768</t>
  </si>
  <si>
    <t>Нетреба Анастасія Артемівна</t>
  </si>
  <si>
    <t>ZVPG_u_1769</t>
  </si>
  <si>
    <t>Новикова Анастасія Всеволодівна</t>
  </si>
  <si>
    <t>ZVPG_u_1770</t>
  </si>
  <si>
    <t>Петік Михайло Романович</t>
  </si>
  <si>
    <t>ZVPG_u_1771</t>
  </si>
  <si>
    <t>Підтикан Вікторія Андріївна</t>
  </si>
  <si>
    <t>ZVPG_u_1772</t>
  </si>
  <si>
    <t>Россолова Ніка Леонідівна</t>
  </si>
  <si>
    <t>ZVPG_u_1773</t>
  </si>
  <si>
    <t>Гедз Арсеній</t>
  </si>
  <si>
    <t>Комунальний заклад "Вінницький ліцей №12"</t>
  </si>
  <si>
    <t>ZVPG_u_1774</t>
  </si>
  <si>
    <t>Гладкий Вадим</t>
  </si>
  <si>
    <t>ZVPG_u_1775</t>
  </si>
  <si>
    <t>Демченко Мирослав</t>
  </si>
  <si>
    <t>ZVPG_u_1776</t>
  </si>
  <si>
    <t>Дорош Вадим</t>
  </si>
  <si>
    <t>ZVPG_u_1777</t>
  </si>
  <si>
    <t>Жабко Тетяна</t>
  </si>
  <si>
    <t>ZVPG_u_1778</t>
  </si>
  <si>
    <t>Іскра Матвій</t>
  </si>
  <si>
    <t>ZVPG_u_1779</t>
  </si>
  <si>
    <t>Кармазіна Владислава</t>
  </si>
  <si>
    <t>ZVPG_u_1780</t>
  </si>
  <si>
    <t xml:space="preserve">Кучеренко Данило </t>
  </si>
  <si>
    <t>ZVPG_u_1781</t>
  </si>
  <si>
    <t>Набоков Артур</t>
  </si>
  <si>
    <t>ZVPG_u_1782</t>
  </si>
  <si>
    <t>Олійник Вікторія</t>
  </si>
  <si>
    <t>ZVPG_u_1783</t>
  </si>
  <si>
    <t>Панчук Валерія</t>
  </si>
  <si>
    <t>ZVPG_u_1784</t>
  </si>
  <si>
    <t>Погорільський Даніл</t>
  </si>
  <si>
    <t>ZVPG_u_1785</t>
  </si>
  <si>
    <t>Синяговська Софія</t>
  </si>
  <si>
    <t>ZVPG_u_1786</t>
  </si>
  <si>
    <t>ZVPG_u_1787</t>
  </si>
  <si>
    <t>Фют Ольга</t>
  </si>
  <si>
    <t>ZVPG_u_1788</t>
  </si>
  <si>
    <t>Черниш Арсеній</t>
  </si>
  <si>
    <t>ZVPG_u_1789</t>
  </si>
  <si>
    <t>Чубатюк Назар</t>
  </si>
  <si>
    <t>ZVPG_u_1790</t>
  </si>
  <si>
    <t>Боярська Вікторія</t>
  </si>
  <si>
    <t>ZVPG_u_1791</t>
  </si>
  <si>
    <t>Кахно Артем</t>
  </si>
  <si>
    <t>ZVPG_u_1792</t>
  </si>
  <si>
    <t>Клименко Захар</t>
  </si>
  <si>
    <t>ZVPG_u_1793</t>
  </si>
  <si>
    <t>Кушмаунса Каміла</t>
  </si>
  <si>
    <t>ZVPG_u_1794</t>
  </si>
  <si>
    <t>Кушнір Олена</t>
  </si>
  <si>
    <t>ZVPG_u_1795</t>
  </si>
  <si>
    <t>Оксютенко Ніколь</t>
  </si>
  <si>
    <t>ZVPG_u_1796</t>
  </si>
  <si>
    <t>Рябухін Володимир</t>
  </si>
  <si>
    <t>ZVPG_u_1797</t>
  </si>
  <si>
    <t>Яворський Максим</t>
  </si>
  <si>
    <t>ZVPG_u_1798</t>
  </si>
  <si>
    <t>Сопронюк Дмитро</t>
  </si>
  <si>
    <t>ZVPG_u_1799</t>
  </si>
  <si>
    <t>Студілко Дар'я</t>
  </si>
  <si>
    <t>ZVPG_u_1800</t>
  </si>
  <si>
    <t>Палазюк Андрій</t>
  </si>
  <si>
    <t>ZVPG_u_1801</t>
  </si>
  <si>
    <t>Мазур В'ячеслав</t>
  </si>
  <si>
    <t>ZVPG_u_1802</t>
  </si>
  <si>
    <t>Саянок Роман</t>
  </si>
  <si>
    <t>ZVPG_u_1803</t>
  </si>
  <si>
    <t>Кісіль Софія</t>
  </si>
  <si>
    <t>ZVPG_u_1804</t>
  </si>
  <si>
    <t>Штанічев Артем</t>
  </si>
  <si>
    <t>ZVPG_u_1805</t>
  </si>
  <si>
    <t>Позняков Євген</t>
  </si>
  <si>
    <t>ZVPG_u_1806</t>
  </si>
  <si>
    <t>Столяр Денис</t>
  </si>
  <si>
    <t>ZVPG_u_1807</t>
  </si>
  <si>
    <t>АРТЕМЕНКО ДАР'Я</t>
  </si>
  <si>
    <t>ВСП "Світловодський політехнічний коледж ЦНТУ"</t>
  </si>
  <si>
    <t>ZVPG_u_1808</t>
  </si>
  <si>
    <t>БОГАТИР ДМИТРО</t>
  </si>
  <si>
    <t>ZVPG_u_1809</t>
  </si>
  <si>
    <t>ГУСЄВА ОЛЕКСАНДРА</t>
  </si>
  <si>
    <t>ZVPG_u_1810</t>
  </si>
  <si>
    <t>КОЖУМ'ЯКА СНІЖАНА</t>
  </si>
  <si>
    <t>ZVPG_u_1811</t>
  </si>
  <si>
    <t>КОНОНЕНКО ЮРІЙ</t>
  </si>
  <si>
    <t>ZVPG_u_1812</t>
  </si>
  <si>
    <t>ЛІМБОРСЬКИЙ СТАНІСЛАВ</t>
  </si>
  <si>
    <t>ZVPG_u_1813</t>
  </si>
  <si>
    <t>ОФІЛЕНКО ІВАН</t>
  </si>
  <si>
    <t>ZVPG_u_1814</t>
  </si>
  <si>
    <t>ПИЛИПЕНКО ДАР'Я</t>
  </si>
  <si>
    <t>ZVPG_u_1815</t>
  </si>
  <si>
    <t>СТАЛЬНОВ СЕРГІЙ</t>
  </si>
  <si>
    <t>ZVPG_u_1816</t>
  </si>
  <si>
    <t>ДЬОМІНА АНАСТАСІЯ</t>
  </si>
  <si>
    <t>ZVPG_u_1817</t>
  </si>
  <si>
    <t>ЖДАНОВА КАРИНА</t>
  </si>
  <si>
    <t>ZVPG_u_1818</t>
  </si>
  <si>
    <t>ПОДВИЖЕНКО АНАСТАСІЯ</t>
  </si>
  <si>
    <t>ZVPG_u_1819</t>
  </si>
  <si>
    <t>ЯСІНСЬКА ДІАНА</t>
  </si>
  <si>
    <t>ZVPG_u_1820</t>
  </si>
  <si>
    <t>Амрозяк Андрій</t>
  </si>
  <si>
    <t>Криворізька гімназія 93 Криворізької міської ради</t>
  </si>
  <si>
    <t>ZVPG_u_1821</t>
  </si>
  <si>
    <t>Бойко Яросав</t>
  </si>
  <si>
    <t>ZVPG_u_1822</t>
  </si>
  <si>
    <t>Белогуб Поліна</t>
  </si>
  <si>
    <t>ZVPG_u_1823</t>
  </si>
  <si>
    <t>Гуров Максим</t>
  </si>
  <si>
    <t>ZVPG_u_1824</t>
  </si>
  <si>
    <t>Домашева Карина</t>
  </si>
  <si>
    <t>ZVPG_u_1825</t>
  </si>
  <si>
    <t>Можаєва Ірина</t>
  </si>
  <si>
    <t>ZVPG_u_1826</t>
  </si>
  <si>
    <t>Разенко Милана</t>
  </si>
  <si>
    <t>ZVPG_u_1827</t>
  </si>
  <si>
    <t>Лавров Михайло</t>
  </si>
  <si>
    <t>ZVPG_u_1828</t>
  </si>
  <si>
    <t>Олійник Варвара</t>
  </si>
  <si>
    <t>ZVPG_u_1829</t>
  </si>
  <si>
    <t>Купріянчик Федір</t>
  </si>
  <si>
    <t>ZVPG_u_1830</t>
  </si>
  <si>
    <t>Осипов Артур</t>
  </si>
  <si>
    <t>ZVPG_u_1831</t>
  </si>
  <si>
    <t>Мачак Єва</t>
  </si>
  <si>
    <t>ZVPG_u_1832</t>
  </si>
  <si>
    <t>Ковалевич Вікторія</t>
  </si>
  <si>
    <t>ZVPG_u_1833</t>
  </si>
  <si>
    <t>Оксанич Владислав</t>
  </si>
  <si>
    <t>ZVPG_u_1834</t>
  </si>
  <si>
    <t>Воловик Андрій</t>
  </si>
  <si>
    <t>ZVPG_u_1835</t>
  </si>
  <si>
    <t>Куліченко Кирило</t>
  </si>
  <si>
    <t>ZVPG_u_1836</t>
  </si>
  <si>
    <t>Ткаченко Вікторія</t>
  </si>
  <si>
    <t>ZVPG_u_1837</t>
  </si>
  <si>
    <t>Тихоненко Марія</t>
  </si>
  <si>
    <t>ZVPG_u_1838</t>
  </si>
  <si>
    <t>Ганюк Станіслав</t>
  </si>
  <si>
    <t>ZVPG_u_1839</t>
  </si>
  <si>
    <t>Тараріна Юлія</t>
  </si>
  <si>
    <t>ZVPG_u_1840</t>
  </si>
  <si>
    <t>Марценюк Августина</t>
  </si>
  <si>
    <t>ZVPG_u_1841</t>
  </si>
  <si>
    <t>Романенко Єгор</t>
  </si>
  <si>
    <t>ZVPG_u_1842</t>
  </si>
  <si>
    <t>Занюк Софія</t>
  </si>
  <si>
    <t>ZVPG_u_1843</t>
  </si>
  <si>
    <t>Савчук Маргарита</t>
  </si>
  <si>
    <t>ZVPG_u_1844</t>
  </si>
  <si>
    <t>Чекаленко Максим</t>
  </si>
  <si>
    <t>ZVPG_u_1845</t>
  </si>
  <si>
    <t>Дядик Кирило</t>
  </si>
  <si>
    <t>ZVPG_u_1846</t>
  </si>
  <si>
    <t>Панасенко Анастасія Сергіївна</t>
  </si>
  <si>
    <t>Ліцей № 19 "ЮНІТІ"</t>
  </si>
  <si>
    <t>ZVPG_u_1847</t>
  </si>
  <si>
    <t>Марченко Маргарита Олександрівна</t>
  </si>
  <si>
    <t>ZVPG_u_1848</t>
  </si>
  <si>
    <t>Рудь Владислав Владиславович</t>
  </si>
  <si>
    <t>ZVPG_u_1849</t>
  </si>
  <si>
    <t>Гелетуха Ярослав Васильович</t>
  </si>
  <si>
    <t>ZVPG_u_1850</t>
  </si>
  <si>
    <t>Мартинюк Влада Юріївна</t>
  </si>
  <si>
    <t>ZVPG_u_1851</t>
  </si>
  <si>
    <t>Попов Назар Вікторович</t>
  </si>
  <si>
    <t>ZVPG_u_1852</t>
  </si>
  <si>
    <t>Садовніков Ярослав Сергіїйович</t>
  </si>
  <si>
    <t>ZVPG_u_1853</t>
  </si>
  <si>
    <t>Шабетник Михайло Віталійович</t>
  </si>
  <si>
    <t>ZVPG_u_1854</t>
  </si>
  <si>
    <t>Рубан Іван Олегович</t>
  </si>
  <si>
    <t>ZVPG_u_1855</t>
  </si>
  <si>
    <t>Мельник Євгенія Олексіївна</t>
  </si>
  <si>
    <t>ZVPG_u_1856</t>
  </si>
  <si>
    <t>Шаповал Богдан Євгенович</t>
  </si>
  <si>
    <t>ZVPG_u_1857</t>
  </si>
  <si>
    <t>БЕСЕДІНА Марія Олександрівна</t>
  </si>
  <si>
    <t>гімназія "Міленіум" №318 м.Києва</t>
  </si>
  <si>
    <t>ZVPG_u_1858</t>
  </si>
  <si>
    <t>Антімонова Милана</t>
  </si>
  <si>
    <t>Пирятинський ліцей №4 Пирятинської міської ради Полтавської області</t>
  </si>
  <si>
    <t>ZVPG_u_1859</t>
  </si>
  <si>
    <t>Бичова Ангеліна</t>
  </si>
  <si>
    <t>ZVPG_u_1860</t>
  </si>
  <si>
    <t>Борисенко Дар'я</t>
  </si>
  <si>
    <t>ZVPG_u_1861</t>
  </si>
  <si>
    <t>Гагал Віталій</t>
  </si>
  <si>
    <t>ZVPG_u_1862</t>
  </si>
  <si>
    <t>Дзюдзір Альона</t>
  </si>
  <si>
    <t>ZVPG_u_1863</t>
  </si>
  <si>
    <t>Золотоверх Нікіта</t>
  </si>
  <si>
    <t>ZVPG_u_1864</t>
  </si>
  <si>
    <t>Кравченко Дарина</t>
  </si>
  <si>
    <t>ZVPG_u_1865</t>
  </si>
  <si>
    <t>Краснов Єгор</t>
  </si>
  <si>
    <t>ZVPG_u_1866</t>
  </si>
  <si>
    <t>Маляренко Максим</t>
  </si>
  <si>
    <t>ZVPG_u_1867</t>
  </si>
  <si>
    <t>Назарко Андрій</t>
  </si>
  <si>
    <t>ZVPG_u_1868</t>
  </si>
  <si>
    <t>Немідько Світлана</t>
  </si>
  <si>
    <t>ZVPG_u_1869</t>
  </si>
  <si>
    <t>Потюк Степан</t>
  </si>
  <si>
    <t>ZVPG_u_1870</t>
  </si>
  <si>
    <t>Сєдих Данило</t>
  </si>
  <si>
    <t>ZVPG_u_1871</t>
  </si>
  <si>
    <t>Соломаха Ростислав</t>
  </si>
  <si>
    <t>ZVPG_u_1872</t>
  </si>
  <si>
    <t>Федорець Анна</t>
  </si>
  <si>
    <t>ZVPG_u_1873</t>
  </si>
  <si>
    <t>Авраменко Крістіна</t>
  </si>
  <si>
    <t>ZVPG_u_1874</t>
  </si>
  <si>
    <t>Алекперова Тимур</t>
  </si>
  <si>
    <t>ZVPG_u_1875</t>
  </si>
  <si>
    <t>Артюх Поліна</t>
  </si>
  <si>
    <t>ZVPG_u_1876</t>
  </si>
  <si>
    <t>Беребенець Катерина</t>
  </si>
  <si>
    <t>ZVPG_u_1877</t>
  </si>
  <si>
    <t>Буслов Олександр</t>
  </si>
  <si>
    <t>ZVPG_u_1878</t>
  </si>
  <si>
    <t>Задорожня Вікторія</t>
  </si>
  <si>
    <t>ZVPG_u_1879</t>
  </si>
  <si>
    <t>Ізотова Софія</t>
  </si>
  <si>
    <t>ZVPG_u_1880</t>
  </si>
  <si>
    <t>Кіріяк Назар</t>
  </si>
  <si>
    <t>ZVPG_u_1881</t>
  </si>
  <si>
    <t>Конопльов Мирослав</t>
  </si>
  <si>
    <t>ZVPG_u_1882</t>
  </si>
  <si>
    <t>Лісовський Євгеній</t>
  </si>
  <si>
    <t>ZVPG_u_1883</t>
  </si>
  <si>
    <t>Лях Милана</t>
  </si>
  <si>
    <t>ZVPG_u_1884</t>
  </si>
  <si>
    <t>Лях Поліна</t>
  </si>
  <si>
    <t>ZVPG_u_1885</t>
  </si>
  <si>
    <t>Мірошніченко Ростислав</t>
  </si>
  <si>
    <t>ZVPG_u_1886</t>
  </si>
  <si>
    <t>Петров Юрій</t>
  </si>
  <si>
    <t>ZVPG_u_1887</t>
  </si>
  <si>
    <t>Романенко Ксенія</t>
  </si>
  <si>
    <t>ZVPG_u_1888</t>
  </si>
  <si>
    <t>Свидинюк Таміла</t>
  </si>
  <si>
    <t>ZVPG_u_1889</t>
  </si>
  <si>
    <t>Кисляк Тимур</t>
  </si>
  <si>
    <t>ZVPG_u_1890</t>
  </si>
  <si>
    <t>Ахадов Еміль</t>
  </si>
  <si>
    <t>Економіко-правовий фаховий коледж Київського кооперативного інституту бізнесу і права</t>
  </si>
  <si>
    <t>ZVPG_u_1891</t>
  </si>
  <si>
    <t>Босенко Ярослав</t>
  </si>
  <si>
    <t>ZVPG_u_1892</t>
  </si>
  <si>
    <t>Бублик Дар'я</t>
  </si>
  <si>
    <t>ZVPG_u_1893</t>
  </si>
  <si>
    <t>Буденко Ірина</t>
  </si>
  <si>
    <t>ZVPG_u_1894</t>
  </si>
  <si>
    <t>Волицький Денис</t>
  </si>
  <si>
    <t>ZVPG_u_1895</t>
  </si>
  <si>
    <t>Віцюк Вікторія</t>
  </si>
  <si>
    <t>ZVPG_u_1896</t>
  </si>
  <si>
    <t>Герстман Ілля</t>
  </si>
  <si>
    <t>ZVPG_u_1897</t>
  </si>
  <si>
    <t>Горенко Анастасія</t>
  </si>
  <si>
    <t>ZVPG_u_1898</t>
  </si>
  <si>
    <t>Городянський Максим</t>
  </si>
  <si>
    <t>ZVPG_u_1899</t>
  </si>
  <si>
    <t>Гребеніченко Олександра</t>
  </si>
  <si>
    <t>ZVPG_u_1900</t>
  </si>
  <si>
    <t>Дейнегіна Євгенія</t>
  </si>
  <si>
    <t>ZVPG_u_1901</t>
  </si>
  <si>
    <t>Дика Софія</t>
  </si>
  <si>
    <t>ZVPG_u_1902</t>
  </si>
  <si>
    <t>Довгопол Богдан</t>
  </si>
  <si>
    <t>ZVPG_u_1903</t>
  </si>
  <si>
    <t>Жилка Інна</t>
  </si>
  <si>
    <t>ZVPG_u_1904</t>
  </si>
  <si>
    <t>Зоренко Олексій</t>
  </si>
  <si>
    <t>ZVPG_u_1905</t>
  </si>
  <si>
    <t>Зубенко Марк</t>
  </si>
  <si>
    <t>ZVPG_u_1906</t>
  </si>
  <si>
    <t>Кленус Олександра</t>
  </si>
  <si>
    <t>ZVPG_u_1907</t>
  </si>
  <si>
    <t>Коломієць Софія</t>
  </si>
  <si>
    <t>ZVPG_u_1908</t>
  </si>
  <si>
    <t>Кондратюк Яна</t>
  </si>
  <si>
    <t>ZVPG_u_1909</t>
  </si>
  <si>
    <t>Кузбит Олександра</t>
  </si>
  <si>
    <t>ZVPG_u_1910</t>
  </si>
  <si>
    <t>Кукош Анна</t>
  </si>
  <si>
    <t>ZVPG_u_1911</t>
  </si>
  <si>
    <t>Лепешкін Олексій</t>
  </si>
  <si>
    <t>ZVPG_u_1912</t>
  </si>
  <si>
    <t>Литвиненко Богдан</t>
  </si>
  <si>
    <t>ZVPG_u_1913</t>
  </si>
  <si>
    <t>Марченко Анна</t>
  </si>
  <si>
    <t>ZVPG_u_1914</t>
  </si>
  <si>
    <t>Марфенкова Анна</t>
  </si>
  <si>
    <t>ZVPG_u_1915</t>
  </si>
  <si>
    <t>Мазур Анна</t>
  </si>
  <si>
    <t>ZVPG_u_1916</t>
  </si>
  <si>
    <t>Мастеров Артем</t>
  </si>
  <si>
    <t>ZVPG_u_1917</t>
  </si>
  <si>
    <t>Охріменко Вікторія</t>
  </si>
  <si>
    <t>ZVPG_u_1918</t>
  </si>
  <si>
    <t>Петренко Артем Богданович</t>
  </si>
  <si>
    <t>ZVPG_u_1919</t>
  </si>
  <si>
    <t>Поплавська Анна</t>
  </si>
  <si>
    <t>ZVPG_u_1920</t>
  </si>
  <si>
    <t>Пипчук Уляна</t>
  </si>
  <si>
    <t>ZVPG_u_1921</t>
  </si>
  <si>
    <t>Порадун Вячеслав</t>
  </si>
  <si>
    <t>ZVPG_u_1922</t>
  </si>
  <si>
    <t>Рибаков Ярослав</t>
  </si>
  <si>
    <t>ZVPG_u_1923</t>
  </si>
  <si>
    <t>Сабліна Маргарита</t>
  </si>
  <si>
    <t>ZVPG_u_1924</t>
  </si>
  <si>
    <t>Симончук Галина</t>
  </si>
  <si>
    <t>ZVPG_u_1925</t>
  </si>
  <si>
    <t>Сінельніченко Анастасія</t>
  </si>
  <si>
    <t>ZVPG_u_1926</t>
  </si>
  <si>
    <t>Слончак Дар'я</t>
  </si>
  <si>
    <t>ZVPG_u_1927</t>
  </si>
  <si>
    <t>Солтисюк Крістіна</t>
  </si>
  <si>
    <t>ZVPG_u_1928</t>
  </si>
  <si>
    <t>Стрілок Аня</t>
  </si>
  <si>
    <t>ZVPG_u_1929</t>
  </si>
  <si>
    <t>Тимошенко Надія</t>
  </si>
  <si>
    <t>ZVPG_u_1930</t>
  </si>
  <si>
    <t>Хаба Софія</t>
  </si>
  <si>
    <t>ZVPG_u_1931</t>
  </si>
  <si>
    <t>Харкевич Каріна</t>
  </si>
  <si>
    <t>ZVPG_u_1932</t>
  </si>
  <si>
    <t>Царюк Ірина</t>
  </si>
  <si>
    <t>ZVPG_u_1933</t>
  </si>
  <si>
    <t>Цикаленко Володимир</t>
  </si>
  <si>
    <t>ZVPG_u_1934</t>
  </si>
  <si>
    <t>Чибірєв Андрій</t>
  </si>
  <si>
    <t>ZVPG_u_1935</t>
  </si>
  <si>
    <t>Чикирис Олександра</t>
  </si>
  <si>
    <t>ZVPG_u_1936</t>
  </si>
  <si>
    <t>ZVPG_u_1937</t>
  </si>
  <si>
    <t>Шевчук Павло</t>
  </si>
  <si>
    <t>ZVPG_u_1938</t>
  </si>
  <si>
    <t>Шевченко Всеволод</t>
  </si>
  <si>
    <t>ZVPG_u_1939</t>
  </si>
  <si>
    <t>Шкапа Марія</t>
  </si>
  <si>
    <t>ZVPG_u_1940</t>
  </si>
  <si>
    <t>Шкіренкова Діана</t>
  </si>
  <si>
    <t>ZVPG_u_1941</t>
  </si>
  <si>
    <t>Шкут Богдан</t>
  </si>
  <si>
    <t>ZVPG_u_1942</t>
  </si>
  <si>
    <t>Ющенко Аліна</t>
  </si>
  <si>
    <t>ZVPG_u_1943</t>
  </si>
  <si>
    <t>Якименко Ярослав</t>
  </si>
  <si>
    <t>ZVPG_u_1944</t>
  </si>
  <si>
    <t>Бондаренко Матвій Євгенович</t>
  </si>
  <si>
    <t>Львівська гімназія "Євшан"</t>
  </si>
  <si>
    <t>ZVPG_u_1945</t>
  </si>
  <si>
    <t>Бурда Беатрис Романівна</t>
  </si>
  <si>
    <t>ZVPG_u_1946</t>
  </si>
  <si>
    <t>Бурдяк Павло Юрійович</t>
  </si>
  <si>
    <t>ZVPG_u_1947</t>
  </si>
  <si>
    <t>Волошин Яна Андріївна</t>
  </si>
  <si>
    <t>ZVPG_u_1948</t>
  </si>
  <si>
    <t>Гладштейн Лідія Андріївна</t>
  </si>
  <si>
    <t>ZVPG_u_1949</t>
  </si>
  <si>
    <t>Джогала Юрій Ігорович</t>
  </si>
  <si>
    <t>ZVPG_u_1950</t>
  </si>
  <si>
    <t>Діброва Володимир Олександрович</t>
  </si>
  <si>
    <t>ZVPG_u_1951</t>
  </si>
  <si>
    <t>Ельяшевська Софія Богданівна</t>
  </si>
  <si>
    <t>ZVPG_u_1952</t>
  </si>
  <si>
    <t>Копетчак Ярослав Андрійович</t>
  </si>
  <si>
    <t>ZVPG_u_1953</t>
  </si>
  <si>
    <t>Косик Юрій Орестович</t>
  </si>
  <si>
    <t>ZVPG_u_1954</t>
  </si>
  <si>
    <t>Кремінець Назарій Орестович</t>
  </si>
  <si>
    <t>ZVPG_u_1955</t>
  </si>
  <si>
    <t>Лядик Андрій Любомирович</t>
  </si>
  <si>
    <t>ZVPG_u_1956</t>
  </si>
  <si>
    <t>Мартинюк Святослав Романович</t>
  </si>
  <si>
    <t>ZVPG_u_1957</t>
  </si>
  <si>
    <t>Мошинський Андрій Дмитрович</t>
  </si>
  <si>
    <t>ZVPG_u_1958</t>
  </si>
  <si>
    <t>Пацай Данило Улянович</t>
  </si>
  <si>
    <t>ZVPG_u_1959</t>
  </si>
  <si>
    <t>Рехнюк Влада Олександрівна</t>
  </si>
  <si>
    <t>ZVPG_u_1960</t>
  </si>
  <si>
    <t>Савчак Катерина Андріївна</t>
  </si>
  <si>
    <t>ZVPG_u_1961</t>
  </si>
  <si>
    <t>Сидор Катерина Андріївна</t>
  </si>
  <si>
    <t>ZVPG_u_1962</t>
  </si>
  <si>
    <t>Терлецький Денис Володимирович</t>
  </si>
  <si>
    <t>ZVPG_u_1963</t>
  </si>
  <si>
    <t>Бала Дмитро Романович</t>
  </si>
  <si>
    <t>ZVPG_u_1964</t>
  </si>
  <si>
    <t>Василько Юлія Андріївна</t>
  </si>
  <si>
    <t>ZVPG_u_1965</t>
  </si>
  <si>
    <t>Верхола Кароліна Василівна</t>
  </si>
  <si>
    <t>ZVPG_u_1966</t>
  </si>
  <si>
    <t>Верхола Христина Василівна</t>
  </si>
  <si>
    <t>ZVPG_u_1967</t>
  </si>
  <si>
    <t>Виговська Віра Віталіївна</t>
  </si>
  <si>
    <t>ZVPG_u_1968</t>
  </si>
  <si>
    <t>Вінярська Ольга Богданівна</t>
  </si>
  <si>
    <t>ZVPG_u_1969</t>
  </si>
  <si>
    <t>Герман Соломія Володимирівна</t>
  </si>
  <si>
    <t>ZVPG_u_1970</t>
  </si>
  <si>
    <t>Гіщак Богдан Степанович</t>
  </si>
  <si>
    <t>ZVPG_u_1971</t>
  </si>
  <si>
    <t>Коваль Олег Ігорович</t>
  </si>
  <si>
    <t>ZVPG_u_1972</t>
  </si>
  <si>
    <t>Летнянчин Марко Васильович</t>
  </si>
  <si>
    <t>ZVPG_u_1973</t>
  </si>
  <si>
    <t>Лужецький Іван Андрійович</t>
  </si>
  <si>
    <t>ZVPG_u_1974</t>
  </si>
  <si>
    <t>Любицький Ростислав Романович</t>
  </si>
  <si>
    <t>ZVPG_u_1975</t>
  </si>
  <si>
    <t>Маслова Лада Павлівна</t>
  </si>
  <si>
    <t>ZVPG_u_1976</t>
  </si>
  <si>
    <t>Нікітін Роман Сергійович</t>
  </si>
  <si>
    <t>ZVPG_u_1977</t>
  </si>
  <si>
    <t>Роса Іоанн Ілліч</t>
  </si>
  <si>
    <t>ZVPG_u_1978</t>
  </si>
  <si>
    <t>Тимофеєв Данило Вікторович</t>
  </si>
  <si>
    <t>ZVPG_u_1979</t>
  </si>
  <si>
    <t>Трембецький Мирон Андрійович</t>
  </si>
  <si>
    <t>ZVPG_u_1980</t>
  </si>
  <si>
    <t>Харитонов Максим-Павло Сергійович</t>
  </si>
  <si>
    <t>ZVPG_u_1981</t>
  </si>
  <si>
    <t>Харитонова Ульяна-Марія Сергіівна</t>
  </si>
  <si>
    <t>ZVPG_u_1982</t>
  </si>
  <si>
    <t>Мінаєва Ірина</t>
  </si>
  <si>
    <t>Комунальний заклад вищої освіти "Вінницький гуманітарно-педагогічний коледж"</t>
  </si>
  <si>
    <t>ZVPG_u_1983</t>
  </si>
  <si>
    <t>Горбата Тетяна</t>
  </si>
  <si>
    <t>ZVPG_u_1984</t>
  </si>
  <si>
    <t>Якимчук Марія</t>
  </si>
  <si>
    <t>ZVPG_u_1985</t>
  </si>
  <si>
    <t>Чорнокозинська Ірина</t>
  </si>
  <si>
    <t>ZVPG_u_1986</t>
  </si>
  <si>
    <t>Мамалига Богдана</t>
  </si>
  <si>
    <t>ZVPG_u_1987</t>
  </si>
  <si>
    <t>Коновальчук Софія</t>
  </si>
  <si>
    <t>ZVPG_u_1988</t>
  </si>
  <si>
    <t>Дяченко Вікторія</t>
  </si>
  <si>
    <t>ZVPG_u_1989</t>
  </si>
  <si>
    <t>Стасенко Вікторія</t>
  </si>
  <si>
    <t>ZVPG_u_1990</t>
  </si>
  <si>
    <t>Бойко Беатриса</t>
  </si>
  <si>
    <t>Дніпровська гімназія 110 Дніпровської міської ради</t>
  </si>
  <si>
    <t>ZVPG_u_1991</t>
  </si>
  <si>
    <t>Грачова Ліза</t>
  </si>
  <si>
    <t>ZVPG_u_1992</t>
  </si>
  <si>
    <t>Дідух Захар</t>
  </si>
  <si>
    <t>ZVPG_u_1993</t>
  </si>
  <si>
    <t>Компанієць Тімур</t>
  </si>
  <si>
    <t>ZVPG_u_1994</t>
  </si>
  <si>
    <t xml:space="preserve">Ковальова Жанна </t>
  </si>
  <si>
    <t>ZVPG_u_1995</t>
  </si>
  <si>
    <t>Касперська Ліза</t>
  </si>
  <si>
    <t>ZVPG_u_1996</t>
  </si>
  <si>
    <t>Сердюк Серафіма</t>
  </si>
  <si>
    <t>ZVPG_u_1997</t>
  </si>
  <si>
    <t>Цімляков Іван</t>
  </si>
  <si>
    <t>ZVPG_u_1998</t>
  </si>
  <si>
    <t>Шевченко Тимур</t>
  </si>
  <si>
    <t>ZVPG_u_1999</t>
  </si>
  <si>
    <t>Андрейців Юрій Антонович</t>
  </si>
  <si>
    <t>Стрийська гімназія №4 Стрийської міської ради Стрийського району Львівської області</t>
  </si>
  <si>
    <t>ZVPG_u_2000</t>
  </si>
  <si>
    <t>Антонюк Матвій Сергійович</t>
  </si>
  <si>
    <t>ZVPG_u_2001</t>
  </si>
  <si>
    <t>Бибик Олена Тарасівна</t>
  </si>
  <si>
    <t>ZVPG_u_2002</t>
  </si>
  <si>
    <t>Гриців Лукян Петрович</t>
  </si>
  <si>
    <t>ZVPG_u_2003</t>
  </si>
  <si>
    <t>Кізюк Вероніка Степанівна</t>
  </si>
  <si>
    <t>ZVPG_u_2004</t>
  </si>
  <si>
    <t>Ключак Злата Ігорівна</t>
  </si>
  <si>
    <t>ZVPG_u_2005</t>
  </si>
  <si>
    <t>Коваль Олександр Ігорович</t>
  </si>
  <si>
    <t>ZVPG_u_2006</t>
  </si>
  <si>
    <t>Козар Уляна Андріївна</t>
  </si>
  <si>
    <t>ZVPG_u_2007</t>
  </si>
  <si>
    <t>Коробко Данііл Ігорович</t>
  </si>
  <si>
    <t>ZVPG_u_2008</t>
  </si>
  <si>
    <t>Левицький Артур Назарійович</t>
  </si>
  <si>
    <t>ZVPG_u_2009</t>
  </si>
  <si>
    <t>Льода Діана Андріївна</t>
  </si>
  <si>
    <t>ZVPG_u_2010</t>
  </si>
  <si>
    <t>Мелетич Станіслав Богданович</t>
  </si>
  <si>
    <t>ZVPG_u_2011</t>
  </si>
  <si>
    <t>Мельник Дем'ян Олегович</t>
  </si>
  <si>
    <t>ZVPG_u_2012</t>
  </si>
  <si>
    <t>Микитин Яна Назарівна</t>
  </si>
  <si>
    <t>ZVPG_u_2013</t>
  </si>
  <si>
    <t>Олексишин Богдан Михайлович</t>
  </si>
  <si>
    <t>ZVPG_u_2014</t>
  </si>
  <si>
    <t>Панилик Марта Маркіянівна</t>
  </si>
  <si>
    <t>ZVPG_u_2015</t>
  </si>
  <si>
    <t>Папулова Валерія Юріївна</t>
  </si>
  <si>
    <t>ZVPG_u_2016</t>
  </si>
  <si>
    <t>Пиць Вікторія Любомирівна</t>
  </si>
  <si>
    <t>ZVPG_u_2017</t>
  </si>
  <si>
    <t>Пошивак Христина Олегівна</t>
  </si>
  <si>
    <t>ZVPG_u_2018</t>
  </si>
  <si>
    <t>Пуцило Матвій Теодорович</t>
  </si>
  <si>
    <t>ZVPG_u_2019</t>
  </si>
  <si>
    <t>Сирецький Віталій Анатолійович</t>
  </si>
  <si>
    <t>ZVPG_u_2020</t>
  </si>
  <si>
    <t>Тимчишин Іван Степанович</t>
  </si>
  <si>
    <t>ZVPG_u_2021</t>
  </si>
  <si>
    <t>Федунів Максим Зіновійович</t>
  </si>
  <si>
    <t>ZVPG_u_2022</t>
  </si>
  <si>
    <t>Юськевич Юстина Андріївна</t>
  </si>
  <si>
    <t>ZVPG_u_2023</t>
  </si>
  <si>
    <t>Босик Марк Романович</t>
  </si>
  <si>
    <t>Новаківська гімназія Каноницької сільської ради</t>
  </si>
  <si>
    <t>ZVPG_u_2024</t>
  </si>
  <si>
    <t>Босик Катерина Анатоліївна</t>
  </si>
  <si>
    <t>ZVPG_u_2025</t>
  </si>
  <si>
    <t>Ляшко Андрій Володимирович</t>
  </si>
  <si>
    <t>ZVPG_u_2026</t>
  </si>
  <si>
    <t>Олещук Вікторія Віталіївна</t>
  </si>
  <si>
    <t>ZVPG_u_2027</t>
  </si>
  <si>
    <t>Теплий Аркадій Павлович</t>
  </si>
  <si>
    <t>ZVPG_u_2028</t>
  </si>
  <si>
    <t>Тутевич Василь Юрійович</t>
  </si>
  <si>
    <t>ZVPG_u_2029</t>
  </si>
  <si>
    <t>Борисов Дмитро Борисович</t>
  </si>
  <si>
    <t>ZVPG_u_2030</t>
  </si>
  <si>
    <t>Воронков Кирил Богданович</t>
  </si>
  <si>
    <t>ZVPG_u_2031</t>
  </si>
  <si>
    <t>Стреляний Руслан Сергійович</t>
  </si>
  <si>
    <t>ZVPG_u_2032</t>
  </si>
  <si>
    <t>ZVPG_u_2033</t>
  </si>
  <si>
    <t>Валова Вероніка</t>
  </si>
  <si>
    <t>Смілянська спеціалізована школа І-ІІІ ступенів № 12 Смілянської міської ради Черкаської області</t>
  </si>
  <si>
    <t>ZVPG_u_2034</t>
  </si>
  <si>
    <t>Гопак Софія</t>
  </si>
  <si>
    <t>ZVPG_u_2035</t>
  </si>
  <si>
    <t>Дмитренко Софія</t>
  </si>
  <si>
    <t>ZVPG_u_2036</t>
  </si>
  <si>
    <t>Довгенко Максим</t>
  </si>
  <si>
    <t>ZVPG_u_2037</t>
  </si>
  <si>
    <t>Донченко Валерія</t>
  </si>
  <si>
    <t>ZVPG_u_2038</t>
  </si>
  <si>
    <t>Євсєєнко Яна</t>
  </si>
  <si>
    <t>ZVPG_u_2039</t>
  </si>
  <si>
    <t>Коломієць Анжеліка</t>
  </si>
  <si>
    <t>ZVPG_u_2040</t>
  </si>
  <si>
    <t>Коцеб Кіра</t>
  </si>
  <si>
    <t>ZVPG_u_2041</t>
  </si>
  <si>
    <t>Лісова Євангеліна</t>
  </si>
  <si>
    <t>ZVPG_u_2042</t>
  </si>
  <si>
    <t>Лужков Валерій</t>
  </si>
  <si>
    <t>ZVPG_u_2043</t>
  </si>
  <si>
    <t>Марченко Крістіна</t>
  </si>
  <si>
    <t>ZVPG_u_2044</t>
  </si>
  <si>
    <t>Морозова Вікторія</t>
  </si>
  <si>
    <t>ZVPG_u_2045</t>
  </si>
  <si>
    <t>Петрій Марія</t>
  </si>
  <si>
    <t>ZVPG_u_2046</t>
  </si>
  <si>
    <t>Фроленко Тимур</t>
  </si>
  <si>
    <t>ZVPG_u_2047</t>
  </si>
  <si>
    <t>Хоменко Софія</t>
  </si>
  <si>
    <t>ZVPG_u_2048</t>
  </si>
  <si>
    <t>Шимкова Вікторія</t>
  </si>
  <si>
    <t>ZVPG_u_2049</t>
  </si>
  <si>
    <t>Апілат Лілія</t>
  </si>
  <si>
    <t>ZVPG_u_2050</t>
  </si>
  <si>
    <t>Гавега Олександр</t>
  </si>
  <si>
    <t>ZVPG_u_2051</t>
  </si>
  <si>
    <t>Голуб Назарій</t>
  </si>
  <si>
    <t>ZVPG_u_2052</t>
  </si>
  <si>
    <t>Дорошенко Софія</t>
  </si>
  <si>
    <t>ZVPG_u_2053</t>
  </si>
  <si>
    <t>Завгородній Микола</t>
  </si>
  <si>
    <t>ZVPG_u_2054</t>
  </si>
  <si>
    <t>Лясковська Ірина</t>
  </si>
  <si>
    <t>ZVPG_u_2055</t>
  </si>
  <si>
    <t>Медведенко Ренат</t>
  </si>
  <si>
    <t>ZVPG_u_2056</t>
  </si>
  <si>
    <t>Петерік Георгій</t>
  </si>
  <si>
    <t>ZVPG_u_2057</t>
  </si>
  <si>
    <t>Рудан Максим</t>
  </si>
  <si>
    <t>ZVPG_u_2058</t>
  </si>
  <si>
    <t>Свекольний Антон</t>
  </si>
  <si>
    <t>ZVPG_u_2059</t>
  </si>
  <si>
    <t>Сердюков Максим</t>
  </si>
  <si>
    <t>ZVPG_u_2060</t>
  </si>
  <si>
    <t>Трикоз Софія</t>
  </si>
  <si>
    <t>ZVPG_u_2061</t>
  </si>
  <si>
    <t>Чернова Ірина</t>
  </si>
  <si>
    <t>ZVPG_u_2062</t>
  </si>
  <si>
    <t>Бондар Маргарита Ігорівна</t>
  </si>
  <si>
    <t>Ліцей №176 імені Мігеля де Сервантеса Сааведри Дніпровського району м. Києва</t>
  </si>
  <si>
    <t>ZVPG_u_2063</t>
  </si>
  <si>
    <t>Гіба Емілія Олександрівна</t>
  </si>
  <si>
    <t>ZVPG_u_2064</t>
  </si>
  <si>
    <t>Єнікова Ангеліна Євгеніївна</t>
  </si>
  <si>
    <t>ZVPG_u_2065</t>
  </si>
  <si>
    <t>Жданова Амелія Андріївна</t>
  </si>
  <si>
    <t>ZVPG_u_2066</t>
  </si>
  <si>
    <t>Зеленюк Михайло Ігорович</t>
  </si>
  <si>
    <t>ZVPG_u_2067</t>
  </si>
  <si>
    <t>Зінченко Аліса Євгеніївна</t>
  </si>
  <si>
    <t>ZVPG_u_2068</t>
  </si>
  <si>
    <t xml:space="preserve">Касатов Дмитро Сергійович </t>
  </si>
  <si>
    <t>ZVPG_u_2069</t>
  </si>
  <si>
    <t>Конавалець Олег Олександрович</t>
  </si>
  <si>
    <t>ZVPG_u_2070</t>
  </si>
  <si>
    <t>Криворот Марія Костянтинівна</t>
  </si>
  <si>
    <t>ZVPG_u_2071</t>
  </si>
  <si>
    <t>Літвінов Андрій Дмитрович</t>
  </si>
  <si>
    <t>ZVPG_u_2072</t>
  </si>
  <si>
    <t>Мальцева Олександра Олександрівна</t>
  </si>
  <si>
    <t>ZVPG_u_2073</t>
  </si>
  <si>
    <t>Нагорна Анна Сергіївна</t>
  </si>
  <si>
    <t>ZVPG_u_2074</t>
  </si>
  <si>
    <t>Прохоров Микита Євгенович</t>
  </si>
  <si>
    <t>ZVPG_u_2075</t>
  </si>
  <si>
    <t>Романюк Даніїл Юрійович</t>
  </si>
  <si>
    <t>ZVPG_u_2076</t>
  </si>
  <si>
    <t>Рудаков Артем Сергійович</t>
  </si>
  <si>
    <t>ZVPG_u_2077</t>
  </si>
  <si>
    <t>Турчиняк Єгор Ігорович</t>
  </si>
  <si>
    <t>ZVPG_u_2078</t>
  </si>
  <si>
    <t>Ущапівська Катерина Сергіївна</t>
  </si>
  <si>
    <t>ZVPG_u_2079</t>
  </si>
  <si>
    <t>Юрченко Вікторія Дмитрівна</t>
  </si>
  <si>
    <t>ZVPG_u_2080</t>
  </si>
  <si>
    <t>Гавришків Ангеліна Романівна</t>
  </si>
  <si>
    <t>Великомостівський ліцей</t>
  </si>
  <si>
    <t>ZVPG_u_2081</t>
  </si>
  <si>
    <t>Гойнич Марія Василівна</t>
  </si>
  <si>
    <t>ZVPG_u_2082</t>
  </si>
  <si>
    <t>Горбоконь Діана Сергіївна</t>
  </si>
  <si>
    <t>ZVPG_u_2083</t>
  </si>
  <si>
    <t>Євдокімова Тетяна Ігорівна</t>
  </si>
  <si>
    <t>ZVPG_u_2084</t>
  </si>
  <si>
    <t>Ілечко Анастасія Петрівна</t>
  </si>
  <si>
    <t>ZVPG_u_2085</t>
  </si>
  <si>
    <t>Кобак Ілона Русланівна</t>
  </si>
  <si>
    <t>ZVPG_u_2086</t>
  </si>
  <si>
    <t>Колачник Діана Андріївна</t>
  </si>
  <si>
    <t>ZVPG_u_2087</t>
  </si>
  <si>
    <t>Мельничук Ірина Михайлівна</t>
  </si>
  <si>
    <t>ZVPG_u_2088</t>
  </si>
  <si>
    <t>Савіцька Аліна Степанівна</t>
  </si>
  <si>
    <t>ZVPG_u_2089</t>
  </si>
  <si>
    <t>Федик Тимофій Іванович</t>
  </si>
  <si>
    <t>ZVPG_u_2090</t>
  </si>
  <si>
    <t>Юрочко Олег Павлович</t>
  </si>
  <si>
    <t>ZVPG_u_2091</t>
  </si>
  <si>
    <t>Ярига Остап Ярославович</t>
  </si>
  <si>
    <t>ZVPG_u_2092</t>
  </si>
  <si>
    <t>Яцишин Юлія Петрівна</t>
  </si>
  <si>
    <t>ZVPG_u_2093</t>
  </si>
  <si>
    <t>Батюк Дем`ян Андрійович</t>
  </si>
  <si>
    <t>ZVPG_u_2094</t>
  </si>
  <si>
    <t>Батючок Тетяна Володимирівна</t>
  </si>
  <si>
    <t>ZVPG_u_2095</t>
  </si>
  <si>
    <t>Бусько Аліна Юріївна</t>
  </si>
  <si>
    <t>ZVPG_u_2096</t>
  </si>
  <si>
    <t>Васько Іван Тарасович</t>
  </si>
  <si>
    <t>ZVPG_u_2097</t>
  </si>
  <si>
    <t>Григор’єв Дмитро Володимирович</t>
  </si>
  <si>
    <t>ZVPG_u_2098</t>
  </si>
  <si>
    <t>Добуш Вікторія Ігорівна</t>
  </si>
  <si>
    <t>ZVPG_u_2099</t>
  </si>
  <si>
    <t>Занько Мар'яна Юріївна</t>
  </si>
  <si>
    <t>ZVPG_u_2100</t>
  </si>
  <si>
    <t>Кмита Лілія Сергіївна</t>
  </si>
  <si>
    <t>ZVPG_u_2101</t>
  </si>
  <si>
    <t>Кобак Данило Миколайович</t>
  </si>
  <si>
    <t>ZVPG_u_2102</t>
  </si>
  <si>
    <t>Корнова Ірина Іванівна</t>
  </si>
  <si>
    <t>ZVPG_u_2103</t>
  </si>
  <si>
    <t>Косік Остап Романович</t>
  </si>
  <si>
    <t>ZVPG_u_2104</t>
  </si>
  <si>
    <t>Кучеренко Софія Олексіївна</t>
  </si>
  <si>
    <t>ZVPG_u_2105</t>
  </si>
  <si>
    <t>Малко Вероніка Юріївна</t>
  </si>
  <si>
    <t>ZVPG_u_2106</t>
  </si>
  <si>
    <t>Мудрик Святослав Дмитрович</t>
  </si>
  <si>
    <t>ZVPG_u_2107</t>
  </si>
  <si>
    <t>Новосад Дарія Петрівна</t>
  </si>
  <si>
    <t>ZVPG_u_2108</t>
  </si>
  <si>
    <t>Порозник Олена Тарасівна</t>
  </si>
  <si>
    <t>ZVPG_u_2109</t>
  </si>
  <si>
    <t>Робота Олеся Іванівна</t>
  </si>
  <si>
    <t>ZVPG_u_2110</t>
  </si>
  <si>
    <t>Скрипніченко Віктор Олександрович</t>
  </si>
  <si>
    <t>ZVPG_u_2111</t>
  </si>
  <si>
    <t>Шпилька Олег Мар’янович</t>
  </si>
  <si>
    <t>ZVPG_u_2112</t>
  </si>
  <si>
    <t>Василюк Анастасія Андріївна</t>
  </si>
  <si>
    <t>ZVPG_u_2113</t>
  </si>
  <si>
    <t>Василюк Дмитро Дмитрович</t>
  </si>
  <si>
    <t>ZVPG_u_2114</t>
  </si>
  <si>
    <t>Гуляк Надія Марянівна</t>
  </si>
  <si>
    <t>ZVPG_u_2115</t>
  </si>
  <si>
    <t>Дембіцька Вікторія Володимирівна</t>
  </si>
  <si>
    <t>ZVPG_u_2116</t>
  </si>
  <si>
    <t>Зарівна Софія Василівна</t>
  </si>
  <si>
    <t>ZVPG_u_2117</t>
  </si>
  <si>
    <t>Караван Андрій Васильович</t>
  </si>
  <si>
    <t>ZVPG_u_2118</t>
  </si>
  <si>
    <t>Козак Максим Михайлович</t>
  </si>
  <si>
    <t>ZVPG_u_2119</t>
  </si>
  <si>
    <t>Мудрик Орест Іванович</t>
  </si>
  <si>
    <t>ZVPG_u_2120</t>
  </si>
  <si>
    <t>Савіцький Артур Андрійович</t>
  </si>
  <si>
    <t>ZVPG_u_2121</t>
  </si>
  <si>
    <t>Росаловська Марія Володимирівна</t>
  </si>
  <si>
    <t>ZVPG_u_2122</t>
  </si>
  <si>
    <t>Рудий Михайло Богданович</t>
  </si>
  <si>
    <t>ZVPG_u_2123</t>
  </si>
  <si>
    <t>Брик Тетяна Дмитрівна</t>
  </si>
  <si>
    <t>ZVPG_u_2124</t>
  </si>
  <si>
    <t>Бусько Марія Віталіївна</t>
  </si>
  <si>
    <t>ZVPG_u_2125</t>
  </si>
  <si>
    <t>Герасимчук Марія Василівна</t>
  </si>
  <si>
    <t>ZVPG_u_2126</t>
  </si>
  <si>
    <t>Євстіфеєв Тарас Андрійович</t>
  </si>
  <si>
    <t>ZVPG_u_2127</t>
  </si>
  <si>
    <t>Качалаба Аліна Романівна</t>
  </si>
  <si>
    <t>ZVPG_u_2128</t>
  </si>
  <si>
    <t>Кос Вікторія Андріївна</t>
  </si>
  <si>
    <t>ZVPG_u_2129</t>
  </si>
  <si>
    <t>Кошовська Анна Ігорівна,</t>
  </si>
  <si>
    <t>ZVPG_u_2130</t>
  </si>
  <si>
    <t>Мандрик Анастасія Володимирівна</t>
  </si>
  <si>
    <t>ZVPG_u_2131</t>
  </si>
  <si>
    <t>Чорній Софія Володимирівна</t>
  </si>
  <si>
    <t>ZVPG_u_2132</t>
  </si>
  <si>
    <t>Шевченко Євген Олексійович</t>
  </si>
  <si>
    <t>ZVPG_u_2133</t>
  </si>
  <si>
    <t>Шийка Маркіян Андрійович</t>
  </si>
  <si>
    <t>ZVPG_u_2134</t>
  </si>
  <si>
    <t>Боянецький Василь Степанович</t>
  </si>
  <si>
    <t>ZVPG_u_2135</t>
  </si>
  <si>
    <t>Буцяк Максим Іванович</t>
  </si>
  <si>
    <t>ZVPG_u_2136</t>
  </si>
  <si>
    <t>Воляник Романа Романівна</t>
  </si>
  <si>
    <t>ZVPG_u_2137</t>
  </si>
  <si>
    <t>Гутий Назарій Володимирович</t>
  </si>
  <si>
    <t>ZVPG_u_2138</t>
  </si>
  <si>
    <t>Коліда Анна Юріївна</t>
  </si>
  <si>
    <t>ZVPG_u_2139</t>
  </si>
  <si>
    <t>Колачник Василина Василівна</t>
  </si>
  <si>
    <t>ZVPG_u_2140</t>
  </si>
  <si>
    <t>Колачник Роман Андрійович</t>
  </si>
  <si>
    <t>ZVPG_u_2141</t>
  </si>
  <si>
    <t>Лакомська Софія Андріївна</t>
  </si>
  <si>
    <t>ZVPG_u_2142</t>
  </si>
  <si>
    <t>Левкуша Діана Ярославівна</t>
  </si>
  <si>
    <t>ZVPG_u_2143</t>
  </si>
  <si>
    <t>Лопатинський Остап Володимирович</t>
  </si>
  <si>
    <t>ZVPG_u_2144</t>
  </si>
  <si>
    <t>Мандрик Сніжана Романівна</t>
  </si>
  <si>
    <t>ZVPG_u_2145</t>
  </si>
  <si>
    <t>Мельников Віталій Миколайович</t>
  </si>
  <si>
    <t>ZVPG_u_2146</t>
  </si>
  <si>
    <t>Навроцька Андріана Андріївна</t>
  </si>
  <si>
    <t>ZVPG_u_2147</t>
  </si>
  <si>
    <t>Скрага Ольга Богданівна</t>
  </si>
  <si>
    <t>ZVPG_u_2148</t>
  </si>
  <si>
    <t>Терех Мар'яна Василівна</t>
  </si>
  <si>
    <t>ZVPG_u_2149</t>
  </si>
  <si>
    <t>Тимохіна Есміральда Володимирівна</t>
  </si>
  <si>
    <t>ZVPG_u_2150</t>
  </si>
  <si>
    <t>Шийка Денис Андрійович</t>
  </si>
  <si>
    <t>ZVPG_u_2151</t>
  </si>
  <si>
    <t>Яцишин Віталій Юрійович</t>
  </si>
  <si>
    <t>ZVPG_u_2152</t>
  </si>
  <si>
    <t>Балко Дем’ян Романович</t>
  </si>
  <si>
    <t>ZVPG_u_2153</t>
  </si>
  <si>
    <t>Безручко Степан Петрович</t>
  </si>
  <si>
    <t>ZVPG_u_2154</t>
  </si>
  <si>
    <t>Василюк Марія Олегівна</t>
  </si>
  <si>
    <t>ZVPG_u_2155</t>
  </si>
  <si>
    <t>Вовчанська Олена Миколаївна</t>
  </si>
  <si>
    <t>ZVPG_u_2156</t>
  </si>
  <si>
    <t>Голуш Анна Володимирівна</t>
  </si>
  <si>
    <t>ZVPG_u_2157</t>
  </si>
  <si>
    <t>Груба Богдан Володимирович</t>
  </si>
  <si>
    <t>ZVPG_u_2158</t>
  </si>
  <si>
    <t>Демків Олександр Андрійович</t>
  </si>
  <si>
    <t>ZVPG_u_2159</t>
  </si>
  <si>
    <t>Добуш Максим Ігорович</t>
  </si>
  <si>
    <t>ZVPG_u_2160</t>
  </si>
  <si>
    <t>Зубейко Максим Русланович</t>
  </si>
  <si>
    <t>ZVPG_u_2161</t>
  </si>
  <si>
    <t>Іваневич Остап Васильович</t>
  </si>
  <si>
    <t>ZVPG_u_2162</t>
  </si>
  <si>
    <t>Косік Вікторія Романівна</t>
  </si>
  <si>
    <t>ZVPG_u_2163</t>
  </si>
  <si>
    <t>Кулачковський Богдан Романович</t>
  </si>
  <si>
    <t>ZVPG_u_2164</t>
  </si>
  <si>
    <t>Лобода Анастасія Володимирівна</t>
  </si>
  <si>
    <t>ZVPG_u_2165</t>
  </si>
  <si>
    <t>Лобода Наталія Володимирівна</t>
  </si>
  <si>
    <t>ZVPG_u_2166</t>
  </si>
  <si>
    <t>Навроцький Максим Богданович</t>
  </si>
  <si>
    <t>ZVPG_u_2167</t>
  </si>
  <si>
    <t>Остапів Ілля Петрович</t>
  </si>
  <si>
    <t>ZVPG_u_2168</t>
  </si>
  <si>
    <t>Ревуцький Дмитро Олександович</t>
  </si>
  <si>
    <t>ZVPG_u_2169</t>
  </si>
  <si>
    <t>Рудий Максим Юрійович</t>
  </si>
  <si>
    <t>ZVPG_u_2170</t>
  </si>
  <si>
    <t>Середюк Дарія Володимирівна</t>
  </si>
  <si>
    <t>ZVPG_u_2171</t>
  </si>
  <si>
    <t>Цюпа Юліана Андріївна</t>
  </si>
  <si>
    <t>ZVPG_u_2172</t>
  </si>
  <si>
    <t>Чопик Вікторія Іванівна</t>
  </si>
  <si>
    <t>ZVPG_u_2173</t>
  </si>
  <si>
    <t>Шевель Артем Максимович</t>
  </si>
  <si>
    <t>ZVPG_u_2174</t>
  </si>
  <si>
    <t>Бойчук Андрій Олексійович</t>
  </si>
  <si>
    <t>Яблунський ліцей Солотвинської селищної ради</t>
  </si>
  <si>
    <t>ZVPG_u_2175</t>
  </si>
  <si>
    <t>Горошко Тарас Павлович</t>
  </si>
  <si>
    <t>ZVPG_u_2176</t>
  </si>
  <si>
    <t>Гриник Андрій Володимирович</t>
  </si>
  <si>
    <t>ZVPG_u_2177</t>
  </si>
  <si>
    <t>Данилюк Максим Анатолійович</t>
  </si>
  <si>
    <t>ZVPG_u_2178</t>
  </si>
  <si>
    <t>Климович Святослав Миколайович</t>
  </si>
  <si>
    <t>ZVPG_u_2179</t>
  </si>
  <si>
    <t>Князевич Марія Мирославівна</t>
  </si>
  <si>
    <t>ZVPG_u_2180</t>
  </si>
  <si>
    <t>Нестерук Михайло Іванович</t>
  </si>
  <si>
    <t>ZVPG_u_2181</t>
  </si>
  <si>
    <t>Огера Олександр Миколайович</t>
  </si>
  <si>
    <t>ZVPG_u_2182</t>
  </si>
  <si>
    <t>Повх Ілона Іванівна</t>
  </si>
  <si>
    <t>ZVPG_u_2183</t>
  </si>
  <si>
    <t>Смалюх Христина Михайлівна</t>
  </si>
  <si>
    <t>ZVPG_u_2184</t>
  </si>
  <si>
    <t>Стефанців Денис Васильович</t>
  </si>
  <si>
    <t>ZVPG_u_2185</t>
  </si>
  <si>
    <t>Стефанчук Вероніка Володимирівна</t>
  </si>
  <si>
    <t>ZVPG_u_2186</t>
  </si>
  <si>
    <t>Стефанчук Роман Юрійович</t>
  </si>
  <si>
    <t>ZVPG_u_2187</t>
  </si>
  <si>
    <t>Цьомко Уляна Володимирівна</t>
  </si>
  <si>
    <t>ZVPG_u_2188</t>
  </si>
  <si>
    <t>Гуменяк Діана Іванівна</t>
  </si>
  <si>
    <t>ZVPG_u_2189</t>
  </si>
  <si>
    <t>Дашковець Андрій Сергійович</t>
  </si>
  <si>
    <t>ZVPG_u_2190</t>
  </si>
  <si>
    <t>Зварич Ірина Михайлівна</t>
  </si>
  <si>
    <t>ZVPG_u_2191</t>
  </si>
  <si>
    <t>Климович Христина Іванівна</t>
  </si>
  <si>
    <t>ZVPG_u_2192</t>
  </si>
  <si>
    <t>Коростіль Марія Ігорівна</t>
  </si>
  <si>
    <t>ZVPG_u_2193</t>
  </si>
  <si>
    <t>Коцюруба Володимира Володимирівна</t>
  </si>
  <si>
    <t>ZVPG_u_2194</t>
  </si>
  <si>
    <t>Кубірка Василь Михайлович</t>
  </si>
  <si>
    <t>ZVPG_u_2195</t>
  </si>
  <si>
    <t>Мартинюк Марія Юріївна</t>
  </si>
  <si>
    <t>ZVPG_u_2196</t>
  </si>
  <si>
    <t>Перегінець Надія Іванівна</t>
  </si>
  <si>
    <t>ZVPG_u_2197</t>
  </si>
  <si>
    <t>Пронозюк Богдан Мар'янович</t>
  </si>
  <si>
    <t>ZVPG_u_2198</t>
  </si>
  <si>
    <t>Проців Віталій Іванович</t>
  </si>
  <si>
    <t>ZVPG_u_2199</t>
  </si>
  <si>
    <t>Самуляк Іван</t>
  </si>
  <si>
    <t>ZVPG_u_2200</t>
  </si>
  <si>
    <t>Ачкасов Кирил</t>
  </si>
  <si>
    <t>ZVPG_u_2201</t>
  </si>
  <si>
    <t>Бражник Юлія</t>
  </si>
  <si>
    <t>ZVPG_u_2202</t>
  </si>
  <si>
    <t>Гарбуз Валерія</t>
  </si>
  <si>
    <t>ZVPG_u_2203</t>
  </si>
  <si>
    <t>Дубина Поліна</t>
  </si>
  <si>
    <t>ZVPG_u_2204</t>
  </si>
  <si>
    <t>Пінаєв Матвій</t>
  </si>
  <si>
    <t>ZVPG_u_2205</t>
  </si>
  <si>
    <t>ZVPG_u_2206</t>
  </si>
  <si>
    <t>Суслікова Софія</t>
  </si>
  <si>
    <t>ZVPG_u_2207</t>
  </si>
  <si>
    <t>Ворона Катерина</t>
  </si>
  <si>
    <t>Черкаська загальноосвітня школа І-ІІІ ступенів № 8</t>
  </si>
  <si>
    <t>ZVPG_u_2208</t>
  </si>
  <si>
    <t>Гаркава Вікторія</t>
  </si>
  <si>
    <t>ZVPG_u_2209</t>
  </si>
  <si>
    <t>Герасименко Ліза</t>
  </si>
  <si>
    <t>ZVPG_u_2210</t>
  </si>
  <si>
    <t>Долженкова Дарина</t>
  </si>
  <si>
    <t>ZVPG_u_2211</t>
  </si>
  <si>
    <t>Ільченко Соломія</t>
  </si>
  <si>
    <t>ZVPG_u_2212</t>
  </si>
  <si>
    <t>Сорокопудова Ангеліна</t>
  </si>
  <si>
    <t>ZVPG_u_2213</t>
  </si>
  <si>
    <t>Чигрин Ірина</t>
  </si>
  <si>
    <t>ZVPG_u_2214</t>
  </si>
  <si>
    <t>Шакалова Поліна</t>
  </si>
  <si>
    <t>ZVPG_u_2215</t>
  </si>
  <si>
    <t>Борисюк Надія</t>
  </si>
  <si>
    <t>ZVPG_u_2216</t>
  </si>
  <si>
    <t>Маренич Максим</t>
  </si>
  <si>
    <t>ZVPG_u_2217</t>
  </si>
  <si>
    <t>Мосіяш Анастасія</t>
  </si>
  <si>
    <t>ZVPG_u_2218</t>
  </si>
  <si>
    <t>Малюта Данило</t>
  </si>
  <si>
    <t>ОЗЗСО ''Успіх'' Краматорської міської ради</t>
  </si>
  <si>
    <t>ZVPG_u_2219</t>
  </si>
  <si>
    <t>Реутова Єва</t>
  </si>
  <si>
    <t>ZVPG_u_2220</t>
  </si>
  <si>
    <t>Зальотова Іванна</t>
  </si>
  <si>
    <t>ZVPG_u_2221</t>
  </si>
  <si>
    <t>Венцьковський Владислав</t>
  </si>
  <si>
    <t>ZVPG_u_2222</t>
  </si>
  <si>
    <t>Галан Катерина</t>
  </si>
  <si>
    <t>ZVPG_u_2223</t>
  </si>
  <si>
    <t>Сидоров Олександр</t>
  </si>
  <si>
    <t>ZVPG_u_2224</t>
  </si>
  <si>
    <t>Пастушенко Тимур</t>
  </si>
  <si>
    <t>ZVPG_u_2225</t>
  </si>
  <si>
    <t>Страшко Таїсія</t>
  </si>
  <si>
    <t>ZVPG_u_2226</t>
  </si>
  <si>
    <t>Величко Евеліна</t>
  </si>
  <si>
    <t>ZVPG_u_2227</t>
  </si>
  <si>
    <t>Горобець Марія</t>
  </si>
  <si>
    <t>ZVPG_u_2228</t>
  </si>
  <si>
    <t>Лобода Марина</t>
  </si>
  <si>
    <t>ZVPG_u_2229</t>
  </si>
  <si>
    <t>Бодик Марія</t>
  </si>
  <si>
    <t>ZVPG_u_2230</t>
  </si>
  <si>
    <t>Гунько Євгенія</t>
  </si>
  <si>
    <t>ZVPG_u_2231</t>
  </si>
  <si>
    <t>Губрій Іван</t>
  </si>
  <si>
    <t>ZVPG_u_2232</t>
  </si>
  <si>
    <t>Недвига Софія</t>
  </si>
  <si>
    <t>ZVPG_u_2233</t>
  </si>
  <si>
    <t>Терещенкова Вероніка</t>
  </si>
  <si>
    <t>ZVPG_u_2234</t>
  </si>
  <si>
    <t>Гавренко Олег</t>
  </si>
  <si>
    <t>ZVPG_u_2235</t>
  </si>
  <si>
    <t>Герман Аделіна</t>
  </si>
  <si>
    <t>ZVPG_u_2236</t>
  </si>
  <si>
    <t>Підкуйко Дарина</t>
  </si>
  <si>
    <t>ZVPG_u_2237</t>
  </si>
  <si>
    <t>Моцар Єгор</t>
  </si>
  <si>
    <t>ZVPG_u_2238</t>
  </si>
  <si>
    <t>Чорна Софія</t>
  </si>
  <si>
    <t>ВСП "Шепетівський фаховий коледж ЗВО "Подільський державний університет"</t>
  </si>
  <si>
    <t>ZVPG_u_2239</t>
  </si>
  <si>
    <t>Яблонська Софія</t>
  </si>
  <si>
    <t>ZVPG_u_2240</t>
  </si>
  <si>
    <t>Румак Софія</t>
  </si>
  <si>
    <t>ZVPG_u_2241</t>
  </si>
  <si>
    <t>Кравчук Дарина</t>
  </si>
  <si>
    <t>ZVPG_u_2242</t>
  </si>
  <si>
    <t>Яцюк Роман</t>
  </si>
  <si>
    <t>ZVPG_u_2243</t>
  </si>
  <si>
    <t>Стукало Костянтин</t>
  </si>
  <si>
    <t>ZVPG_u_2244</t>
  </si>
  <si>
    <t>Коновалова Тетяна</t>
  </si>
  <si>
    <t>ZVPG_u_2245</t>
  </si>
  <si>
    <t>Гуменюк Дарина</t>
  </si>
  <si>
    <t>ZVPG_u_2246</t>
  </si>
  <si>
    <t>Кузьмінська Світлана</t>
  </si>
  <si>
    <t>ZVPG_u_2247</t>
  </si>
  <si>
    <t>Броновіцький Роман</t>
  </si>
  <si>
    <t>ZVPG_u_2248</t>
  </si>
  <si>
    <t>Омельчук Олександр</t>
  </si>
  <si>
    <t>ZVPG_u_2249</t>
  </si>
  <si>
    <t>Маліновський Максим</t>
  </si>
  <si>
    <t>ZVPG_u_2250</t>
  </si>
  <si>
    <t>Волковецька Каріна</t>
  </si>
  <si>
    <t>ZVPG_u_2251</t>
  </si>
  <si>
    <t>Бороніна Кароліна</t>
  </si>
  <si>
    <t>Опорний заклад загальної середньої освіти імені Василя Стуса Краматорської міської ради Донецької області</t>
  </si>
  <si>
    <t>ZVPG_u_2252</t>
  </si>
  <si>
    <t>Долгопольський Владислав</t>
  </si>
  <si>
    <t>ZVPG_u_2253</t>
  </si>
  <si>
    <t>Кожахметова Аріна</t>
  </si>
  <si>
    <t>ZVPG_u_2254</t>
  </si>
  <si>
    <t>Сопов Артем</t>
  </si>
  <si>
    <t>ZVPG_u_2255</t>
  </si>
  <si>
    <t>Білай Софія</t>
  </si>
  <si>
    <t>ZVPG_u_2256</t>
  </si>
  <si>
    <t>Калашнікова Єсенія</t>
  </si>
  <si>
    <t>ZVPG_u_2257</t>
  </si>
  <si>
    <t>Моісеєнко Артем</t>
  </si>
  <si>
    <t>ZVPG_u_2258</t>
  </si>
  <si>
    <t>Мазуркевич Михайло</t>
  </si>
  <si>
    <t>ZVPG_u_2259</t>
  </si>
  <si>
    <t>Мартинов Микита</t>
  </si>
  <si>
    <t>ZVPG_u_2260</t>
  </si>
  <si>
    <t>Тесленко Святослав</t>
  </si>
  <si>
    <t>ZVPG_u_2261</t>
  </si>
  <si>
    <t>Біленко Назарій</t>
  </si>
  <si>
    <t>ZVPG_u_2262</t>
  </si>
  <si>
    <t>Артеменюк Аріна</t>
  </si>
  <si>
    <t>Гімназія 73 міста Києва</t>
  </si>
  <si>
    <t>ZVPG_u_2263</t>
  </si>
  <si>
    <t>Берсон Єва</t>
  </si>
  <si>
    <t>ZVPG_u_2264</t>
  </si>
  <si>
    <t>Бєлий Павло</t>
  </si>
  <si>
    <t>ZVPG_u_2265</t>
  </si>
  <si>
    <t xml:space="preserve">Венгель Максим </t>
  </si>
  <si>
    <t>ZVPG_u_2266</t>
  </si>
  <si>
    <t>Гарасимчук Роксолана</t>
  </si>
  <si>
    <t>ZVPG_u_2267</t>
  </si>
  <si>
    <t>Гром Софія</t>
  </si>
  <si>
    <t>ZVPG_u_2268</t>
  </si>
  <si>
    <t>Демко Мілєна</t>
  </si>
  <si>
    <t>ZVPG_u_2269</t>
  </si>
  <si>
    <t xml:space="preserve">Гуровська Яна </t>
  </si>
  <si>
    <t>ZVPG_u_2270</t>
  </si>
  <si>
    <t xml:space="preserve">Доня Вероніка </t>
  </si>
  <si>
    <t>ZVPG_u_2271</t>
  </si>
  <si>
    <t xml:space="preserve">Коба Марія </t>
  </si>
  <si>
    <t>ZVPG_u_2272</t>
  </si>
  <si>
    <t>Корчум Максим</t>
  </si>
  <si>
    <t>ZVPG_u_2273</t>
  </si>
  <si>
    <t xml:space="preserve">Мельник Адам </t>
  </si>
  <si>
    <t>ZVPG_u_2274</t>
  </si>
  <si>
    <t xml:space="preserve">Мотузко Анастасія </t>
  </si>
  <si>
    <t>ZVPG_u_2275</t>
  </si>
  <si>
    <t xml:space="preserve">Нирковська Яна </t>
  </si>
  <si>
    <t>ZVPG_u_2276</t>
  </si>
  <si>
    <t xml:space="preserve">Сенічева Олександра </t>
  </si>
  <si>
    <t>ZVPG_u_2277</t>
  </si>
  <si>
    <t xml:space="preserve">Старжинський Максим </t>
  </si>
  <si>
    <t>ZVPG_u_2278</t>
  </si>
  <si>
    <t xml:space="preserve">Тимченко Ростислав </t>
  </si>
  <si>
    <t>ZVPG_u_2279</t>
  </si>
  <si>
    <t xml:space="preserve">Чокой Денніел </t>
  </si>
  <si>
    <t>ZVPG_u_2280</t>
  </si>
  <si>
    <t>Баглаєнко Емма</t>
  </si>
  <si>
    <t>ZVPG_u_2281</t>
  </si>
  <si>
    <t>Боброва Надія</t>
  </si>
  <si>
    <t>ZVPG_u_2282</t>
  </si>
  <si>
    <t xml:space="preserve">Викоброда Владислав </t>
  </si>
  <si>
    <t>ZVPG_u_2283</t>
  </si>
  <si>
    <t xml:space="preserve">Грішин Владислав </t>
  </si>
  <si>
    <t>ZVPG_u_2284</t>
  </si>
  <si>
    <t xml:space="preserve">Грищук Василь </t>
  </si>
  <si>
    <t>ZVPG_u_2285</t>
  </si>
  <si>
    <t xml:space="preserve">Єльчик Артем </t>
  </si>
  <si>
    <t>ZVPG_u_2286</t>
  </si>
  <si>
    <t xml:space="preserve">Калашніков Кіріл </t>
  </si>
  <si>
    <t>ZVPG_u_2287</t>
  </si>
  <si>
    <t xml:space="preserve">Корякін Єгор </t>
  </si>
  <si>
    <t>ZVPG_u_2288</t>
  </si>
  <si>
    <t xml:space="preserve">Косовська Анна </t>
  </si>
  <si>
    <t>ZVPG_u_2289</t>
  </si>
  <si>
    <t xml:space="preserve">Кудрицька Дар’я </t>
  </si>
  <si>
    <t>ZVPG_u_2290</t>
  </si>
  <si>
    <t>Кудрявкіна Катерина</t>
  </si>
  <si>
    <t>ZVPG_u_2291</t>
  </si>
  <si>
    <t xml:space="preserve">Лопата Андрій </t>
  </si>
  <si>
    <t>ZVPG_u_2292</t>
  </si>
  <si>
    <t xml:space="preserve">Луговець Діана </t>
  </si>
  <si>
    <t>ZVPG_u_2293</t>
  </si>
  <si>
    <t xml:space="preserve">Машталер Поліна </t>
  </si>
  <si>
    <t>ZVPG_u_2294</t>
  </si>
  <si>
    <t xml:space="preserve">Мошкатюк Софія </t>
  </si>
  <si>
    <t>ZVPG_u_2295</t>
  </si>
  <si>
    <t xml:space="preserve">Нестеренко Олексій </t>
  </si>
  <si>
    <t>ZVPG_u_2296</t>
  </si>
  <si>
    <t xml:space="preserve">Прищепа Дмитро </t>
  </si>
  <si>
    <t>ZVPG_u_2297</t>
  </si>
  <si>
    <t xml:space="preserve">Сироватко Марія </t>
  </si>
  <si>
    <t>ZVPG_u_2298</t>
  </si>
  <si>
    <t xml:space="preserve">Шульженко Яна </t>
  </si>
  <si>
    <t>ZVPG_u_2299</t>
  </si>
  <si>
    <t>Дубовик Анна</t>
  </si>
  <si>
    <t>Люботинська гімназія 1</t>
  </si>
  <si>
    <t>ZVPG_u_2300</t>
  </si>
  <si>
    <t>Зейналова Ангеліна</t>
  </si>
  <si>
    <t>ZVPG_u_2301</t>
  </si>
  <si>
    <t>Волошин Денис</t>
  </si>
  <si>
    <t>ZVPG_u_2302</t>
  </si>
  <si>
    <t>Ільченко Ілля</t>
  </si>
  <si>
    <t>ZVPG_u_2303</t>
  </si>
  <si>
    <t>Бажинов Іван</t>
  </si>
  <si>
    <t>ZVPG_u_2304</t>
  </si>
  <si>
    <t>Грємякін Іван</t>
  </si>
  <si>
    <t>ZVPG_u_2305</t>
  </si>
  <si>
    <t>Пшенична Дарина</t>
  </si>
  <si>
    <t>ZVPG_u_2306</t>
  </si>
  <si>
    <t>Фесенко Любов</t>
  </si>
  <si>
    <t>ZVPG_u_2307</t>
  </si>
  <si>
    <t>Бондаренко Діана</t>
  </si>
  <si>
    <t>ZVPG_u_2308</t>
  </si>
  <si>
    <t>Архипов Олександр</t>
  </si>
  <si>
    <t>ZVPG_u_2309</t>
  </si>
  <si>
    <t>Лукан Аріна</t>
  </si>
  <si>
    <t>ZVPG_u_2310</t>
  </si>
  <si>
    <t>Мудра Злата</t>
  </si>
  <si>
    <t>ZVPG_u_2311</t>
  </si>
  <si>
    <t>Щербакова Софія</t>
  </si>
  <si>
    <t>ZVPG_u_2312</t>
  </si>
  <si>
    <t>Кавун Іван</t>
  </si>
  <si>
    <t>ZVPG_u_2313</t>
  </si>
  <si>
    <t>Веліжинська Ніколь</t>
  </si>
  <si>
    <t>ZVPG_u_2314</t>
  </si>
  <si>
    <t>Євдошенко Ярослав</t>
  </si>
  <si>
    <t>ZVPG_u_2315</t>
  </si>
  <si>
    <t>Лебеденко Михайло</t>
  </si>
  <si>
    <t>ZVPG_u_2316</t>
  </si>
  <si>
    <t>Івачова Анна</t>
  </si>
  <si>
    <t>ZVPG_u_2317</t>
  </si>
  <si>
    <t>Басараб Діана</t>
  </si>
  <si>
    <t>ZVPG_u_2318</t>
  </si>
  <si>
    <t>Іващенко Семен</t>
  </si>
  <si>
    <t>ZVPG_u_2319</t>
  </si>
  <si>
    <t>Горлова Аделіна</t>
  </si>
  <si>
    <t>ZVPG_u_2320</t>
  </si>
  <si>
    <t>Андрєєва Дарʼя</t>
  </si>
  <si>
    <t>ZVPG_u_2321</t>
  </si>
  <si>
    <t>Антонович Нікіта</t>
  </si>
  <si>
    <t>ZVPG_u_2322</t>
  </si>
  <si>
    <t>Бакай Микита</t>
  </si>
  <si>
    <t>ZVPG_u_2323</t>
  </si>
  <si>
    <t>Волошина Вероніка</t>
  </si>
  <si>
    <t>ZVPG_u_2324</t>
  </si>
  <si>
    <t>Зуб Єва</t>
  </si>
  <si>
    <t>ZVPG_u_2325</t>
  </si>
  <si>
    <t>Павленко Гліб</t>
  </si>
  <si>
    <t>ZVPG_u_2326</t>
  </si>
  <si>
    <t xml:space="preserve">Ісаєнко Ілля </t>
  </si>
  <si>
    <t>ZVPG_u_2327</t>
  </si>
  <si>
    <t>Чуйков Давид</t>
  </si>
  <si>
    <t>ZVPG_u_2328</t>
  </si>
  <si>
    <t>Осіпов Іван</t>
  </si>
  <si>
    <t>ZVPG_u_2329</t>
  </si>
  <si>
    <t>Куц Ангеліна Романівна</t>
  </si>
  <si>
    <t>Талалаївський ліцей Талалаївської сільської ради Ніжинського району Чернігівської області</t>
  </si>
  <si>
    <t>ZVPG_u_2330</t>
  </si>
  <si>
    <t>Ярмоленко Анна Іванівна</t>
  </si>
  <si>
    <t>ZVPG_u_2331</t>
  </si>
  <si>
    <t>Хомич Анастасія Віталіївна</t>
  </si>
  <si>
    <t>ZVPG_u_2332</t>
  </si>
  <si>
    <t>Кравченко Софія Євгеніївна</t>
  </si>
  <si>
    <t>ZVPG_u_2333</t>
  </si>
  <si>
    <t>Крутієнко Поліна Ігорівна</t>
  </si>
  <si>
    <t>ZVPG_u_2334</t>
  </si>
  <si>
    <t>Корзун Владислав Аркадійович</t>
  </si>
  <si>
    <t>ZVPG_u_2335</t>
  </si>
  <si>
    <t>Нещерет Аліса Олександрівна</t>
  </si>
  <si>
    <t>ZVPG_u_2336</t>
  </si>
  <si>
    <t>Барило Аліна Петрівна</t>
  </si>
  <si>
    <t>ZVPG_u_2337</t>
  </si>
  <si>
    <t>Кравченко Богдан Євгенійович</t>
  </si>
  <si>
    <t>ZVPG_u_2338</t>
  </si>
  <si>
    <t>Кривонос Денис Романович</t>
  </si>
  <si>
    <t>Комунальний заклад "Харківська спеціальна школа 2" Харківської обласної ради</t>
  </si>
  <si>
    <t>ZVPG_u_2339</t>
  </si>
  <si>
    <t>Береговий Дмитро Сергійович</t>
  </si>
  <si>
    <t>ZVPG_u_2340</t>
  </si>
  <si>
    <t>Богачук Назар Васильович</t>
  </si>
  <si>
    <t>ZVPG_u_2341</t>
  </si>
  <si>
    <t>Бойко Мар'яна Володимирівна</t>
  </si>
  <si>
    <t>ZVPG_u_2342</t>
  </si>
  <si>
    <t>Бортник Роман Дмитрович</t>
  </si>
  <si>
    <t>ZVPG_u_2343</t>
  </si>
  <si>
    <t>Жверело Уляна Сергіївна</t>
  </si>
  <si>
    <t>ZVPG_u_2344</t>
  </si>
  <si>
    <t>Жуман Максим Євгенійович</t>
  </si>
  <si>
    <t>ZVPG_u_2345</t>
  </si>
  <si>
    <t>Журавель Дар'я Дмитрівна</t>
  </si>
  <si>
    <t>ZVPG_u_2346</t>
  </si>
  <si>
    <t>Ільніцька Таїсія Євгенівна</t>
  </si>
  <si>
    <t>ZVPG_u_2347</t>
  </si>
  <si>
    <t>Йовенко Максим Євгенійович</t>
  </si>
  <si>
    <t>ZVPG_u_2348</t>
  </si>
  <si>
    <t>Кімак Давид Олександрович</t>
  </si>
  <si>
    <t>ZVPG_u_2349</t>
  </si>
  <si>
    <t>Клименко Лілія Олександрівна</t>
  </si>
  <si>
    <t>ZVPG_u_2350</t>
  </si>
  <si>
    <t>Косенко Валерія Сергіївна</t>
  </si>
  <si>
    <t>ZVPG_u_2351</t>
  </si>
  <si>
    <t>Лесик Ірина Сергіївна</t>
  </si>
  <si>
    <t>ZVPG_u_2352</t>
  </si>
  <si>
    <t>Нестеренко Влада Володимирівна</t>
  </si>
  <si>
    <t>ZVPG_u_2353</t>
  </si>
  <si>
    <t>Олексієнко Каріна Миколаївна</t>
  </si>
  <si>
    <t>ZVPG_u_2354</t>
  </si>
  <si>
    <t>Осипов Кирило Сергійович</t>
  </si>
  <si>
    <t>ZVPG_u_2355</t>
  </si>
  <si>
    <t>Панфілець Марія Володимирівна</t>
  </si>
  <si>
    <t>ZVPG_u_2356</t>
  </si>
  <si>
    <t>Сафронов Макар Миколайович</t>
  </si>
  <si>
    <t>ZVPG_u_2357</t>
  </si>
  <si>
    <t>Сафронов Семен Миколайович</t>
  </si>
  <si>
    <t>ZVPG_u_2358</t>
  </si>
  <si>
    <t>Шурубура Єва Сергіївна</t>
  </si>
  <si>
    <t>ZVPG_u_2359</t>
  </si>
  <si>
    <t>Щербаков Ілля Дмитрович</t>
  </si>
  <si>
    <t>ZVPG_u_2360</t>
  </si>
  <si>
    <t>Самойлова Марія Андріївна</t>
  </si>
  <si>
    <t>ZVPG_u_2361</t>
  </si>
  <si>
    <t>Жарук Ілля</t>
  </si>
  <si>
    <t>Школа І-ІІІ ступенів 294 Деснянського району м. Києва</t>
  </si>
  <si>
    <t>ZVPG_u_2362</t>
  </si>
  <si>
    <t>Проценко Іван</t>
  </si>
  <si>
    <t>ZVPG_u_2363</t>
  </si>
  <si>
    <t>Корнійко Діана</t>
  </si>
  <si>
    <t>ZVPG_u_2364</t>
  </si>
  <si>
    <t>Миргородська Зоряна</t>
  </si>
  <si>
    <t>ZVPG_u_2365</t>
  </si>
  <si>
    <t>Сурмачевська Поліна</t>
  </si>
  <si>
    <t>ZVPG_u_2366</t>
  </si>
  <si>
    <t>Гербич Євгеній</t>
  </si>
  <si>
    <t>ZVPG_u_2367</t>
  </si>
  <si>
    <t>Майданович Роксолана</t>
  </si>
  <si>
    <t>ZVPG_u_2368</t>
  </si>
  <si>
    <t>Оболонська Вікторія</t>
  </si>
  <si>
    <t>ZVPG_u_2369</t>
  </si>
  <si>
    <t>Швець Микола</t>
  </si>
  <si>
    <t>ZVPG_u_2370</t>
  </si>
  <si>
    <t>Остапенко Анна</t>
  </si>
  <si>
    <t>ZVPG_u_2371</t>
  </si>
  <si>
    <t>Скиба Олександра</t>
  </si>
  <si>
    <t>ZVPG_u_2372</t>
  </si>
  <si>
    <t>Онопрійчук Надія</t>
  </si>
  <si>
    <t>ZVPG_u_2373</t>
  </si>
  <si>
    <t>Щербина Вікторія</t>
  </si>
  <si>
    <t>ZVPG_u_2374</t>
  </si>
  <si>
    <t>Потапенко Олександра</t>
  </si>
  <si>
    <t>ZVPG_u_2375</t>
  </si>
  <si>
    <t>Філіна Богдана</t>
  </si>
  <si>
    <t>ZVPG_u_2376</t>
  </si>
  <si>
    <t>Безнес Діана</t>
  </si>
  <si>
    <t>ZVPG_u_2377</t>
  </si>
  <si>
    <t>Балюк Каріна</t>
  </si>
  <si>
    <t>ZVPG_u_2378</t>
  </si>
  <si>
    <t>Павленко Андрій</t>
  </si>
  <si>
    <t>Правдинська гімназія Білозерської селищної ради Херсонського району Херсонської області</t>
  </si>
  <si>
    <t>ZVPG_u_2379</t>
  </si>
  <si>
    <t>Свірська Вероніка</t>
  </si>
  <si>
    <t>ZVPG_u_2380</t>
  </si>
  <si>
    <t>Варзар Лілія</t>
  </si>
  <si>
    <t>ZVPG_u_2381</t>
  </si>
  <si>
    <t>Ткач Павло</t>
  </si>
  <si>
    <t>ZVPG_u_2382</t>
  </si>
  <si>
    <t>Приймач Вікторія</t>
  </si>
  <si>
    <t>ZVPG_u_2383</t>
  </si>
  <si>
    <t>Босня Олександр</t>
  </si>
  <si>
    <t>ZVPG_u_2384</t>
  </si>
  <si>
    <t>Воропаєв Артем</t>
  </si>
  <si>
    <t>ZVPG_u_2385</t>
  </si>
  <si>
    <t>Добровольський Андрій</t>
  </si>
  <si>
    <t>ZVPG_u_2386</t>
  </si>
  <si>
    <t>Кухаренко Валерія</t>
  </si>
  <si>
    <t>ZVPG_u_2387</t>
  </si>
  <si>
    <t>Пихтіна Наталія</t>
  </si>
  <si>
    <t>ZVPG_u_2388</t>
  </si>
  <si>
    <t>Гордєєва Аріна</t>
  </si>
  <si>
    <t>ZVPG_u_2389</t>
  </si>
  <si>
    <t>Дишлевська Аліса</t>
  </si>
  <si>
    <t>ZVPG_u_2390</t>
  </si>
  <si>
    <t>Синюк Наталія</t>
  </si>
  <si>
    <t>ZVPG_u_2391</t>
  </si>
  <si>
    <t>Бакай Ярослава</t>
  </si>
  <si>
    <t>ZVPG_u_2392</t>
  </si>
  <si>
    <t>Яковець Артем</t>
  </si>
  <si>
    <t>ZVPG_u_2393</t>
  </si>
  <si>
    <t>Біла Юлія</t>
  </si>
  <si>
    <t>ZVPG_u_2394</t>
  </si>
  <si>
    <t>Мисак Валерія</t>
  </si>
  <si>
    <t>ZVPG_u_2395</t>
  </si>
  <si>
    <t>Ільніцька Олександра</t>
  </si>
  <si>
    <t>Городківський ліцей#1 Городківської сільської ради Тульчинського району Вінницької області</t>
  </si>
  <si>
    <t>ZVPG_u_2396</t>
  </si>
  <si>
    <t>Романов Олександр</t>
  </si>
  <si>
    <t>ZVPG_u_2397</t>
  </si>
  <si>
    <t>Здирко Юлія</t>
  </si>
  <si>
    <t>ZVPG_u_2398</t>
  </si>
  <si>
    <t>Фівка Наталія</t>
  </si>
  <si>
    <t>ZVPG_u_2399</t>
  </si>
  <si>
    <t>Кліндух Даніїл</t>
  </si>
  <si>
    <t>ZVPG_u_2400</t>
  </si>
  <si>
    <t>Пірняк Олександра</t>
  </si>
  <si>
    <t>ZVPG_u_2401</t>
  </si>
  <si>
    <t>Ярова Дарія</t>
  </si>
  <si>
    <t>ZVPG_u_2402</t>
  </si>
  <si>
    <t xml:space="preserve">Максімова Катерина </t>
  </si>
  <si>
    <t>ZVPG_u_2403</t>
  </si>
  <si>
    <t>Магльована Наталія</t>
  </si>
  <si>
    <t>ZVPG_u_2404</t>
  </si>
  <si>
    <t>Обертюх Лілія</t>
  </si>
  <si>
    <t>ZVPG_u_2405</t>
  </si>
  <si>
    <t>Кобрін Назар</t>
  </si>
  <si>
    <t>ZVPG_u_2406</t>
  </si>
  <si>
    <t>Лінива Анастасія</t>
  </si>
  <si>
    <t>ZVPG_u_2407</t>
  </si>
  <si>
    <t>Литвин Артем Ігорович</t>
  </si>
  <si>
    <t>Комунальний заклад Сумської обласної ради "Глухівський ліцей з посиленою військово-фізичною підготовкою"</t>
  </si>
  <si>
    <t>ZVPG_u_2408</t>
  </si>
  <si>
    <t>Литвинчук Микита Олександрович</t>
  </si>
  <si>
    <t>ZVPG_u_2409</t>
  </si>
  <si>
    <t>Мамай Микола Олександрович</t>
  </si>
  <si>
    <t>ZVPG_u_2410</t>
  </si>
  <si>
    <t>Мельник Максим Сергійович</t>
  </si>
  <si>
    <t>ZVPG_u_2411</t>
  </si>
  <si>
    <t>Опаєць Даніїл Сергійович</t>
  </si>
  <si>
    <t>ZVPG_u_2412</t>
  </si>
  <si>
    <t xml:space="preserve">Січкар Олександр Артемович </t>
  </si>
  <si>
    <t>ZVPG_u_2413</t>
  </si>
  <si>
    <t>Довгопола Катерина Романівна</t>
  </si>
  <si>
    <t>ZVPG_u_2414</t>
  </si>
  <si>
    <t xml:space="preserve">Євстаф’єва Валерія Андріївна </t>
  </si>
  <si>
    <t>ZVPG_u_2415</t>
  </si>
  <si>
    <t>Клобуцька Софія Андріївна</t>
  </si>
  <si>
    <t>ZVPG_u_2416</t>
  </si>
  <si>
    <t>Половинко Дар’я Миколаївна</t>
  </si>
  <si>
    <t>ZVPG_u_2417</t>
  </si>
  <si>
    <t>Половинко Марія Миколаївна</t>
  </si>
  <si>
    <t>ZVPG_u_2418</t>
  </si>
  <si>
    <t>Серік Дар’я Сергіївна</t>
  </si>
  <si>
    <t>ZVPG_u_2419</t>
  </si>
  <si>
    <t xml:space="preserve">Сидоренко Марія Андріївна </t>
  </si>
  <si>
    <t>ZVPG_u_2420</t>
  </si>
  <si>
    <t>Соколова Галина Іванівна</t>
  </si>
  <si>
    <t>ZVPG_u_2421</t>
  </si>
  <si>
    <t xml:space="preserve">Стрельчук Марія Олександрівна </t>
  </si>
  <si>
    <t>ZVPG_u_2422</t>
  </si>
  <si>
    <t>Тупікова Анастасія Андріївна</t>
  </si>
  <si>
    <t>ZVPG_u_2423</t>
  </si>
  <si>
    <t xml:space="preserve">Гонтар Мілана Вадимівна </t>
  </si>
  <si>
    <t>ZVPG_u_2424</t>
  </si>
  <si>
    <t>Джусупова Арина Євгенівна</t>
  </si>
  <si>
    <t>ZVPG_u_2425</t>
  </si>
  <si>
    <t xml:space="preserve">Іщенко Серафима Миколаївна </t>
  </si>
  <si>
    <t>ZVPG_u_2426</t>
  </si>
  <si>
    <t>Костюченко Єва Сергіївна</t>
  </si>
  <si>
    <t>ZVPG_u_2427</t>
  </si>
  <si>
    <t>Макаренко Софія Олександрівна</t>
  </si>
  <si>
    <t>ZVPG_u_2428</t>
  </si>
  <si>
    <t xml:space="preserve">Марєєва Іванна Дмитрівна </t>
  </si>
  <si>
    <t>ZVPG_u_2429</t>
  </si>
  <si>
    <t>Милютіна Міліана Євгенівна</t>
  </si>
  <si>
    <t>ZVPG_u_2430</t>
  </si>
  <si>
    <t>Михайленко Алеся Денисівна</t>
  </si>
  <si>
    <t>ZVPG_u_2431</t>
  </si>
  <si>
    <t>Панченко Каріна Ігорівна</t>
  </si>
  <si>
    <t>ZVPG_u_2432</t>
  </si>
  <si>
    <t xml:space="preserve">Полятикіна Поліна В’ячеславівна </t>
  </si>
  <si>
    <t>ZVPG_u_2433</t>
  </si>
  <si>
    <t xml:space="preserve">Разумних Софія Михайлівна </t>
  </si>
  <si>
    <t>ZVPG_u_2434</t>
  </si>
  <si>
    <t>Садовнича Анастасія Миколаївна</t>
  </si>
  <si>
    <t>ZVPG_u_2435</t>
  </si>
  <si>
    <t xml:space="preserve">Сергієнко Анастасія Олександрівна </t>
  </si>
  <si>
    <t>ZVPG_u_2436</t>
  </si>
  <si>
    <t>Стрельцова Дар’я Михайлівна</t>
  </si>
  <si>
    <t>ZVPG_u_2437</t>
  </si>
  <si>
    <t>Тивецька Валерія Ігорівна</t>
  </si>
  <si>
    <t>ZVPG_u_2438</t>
  </si>
  <si>
    <t>Чижик Анастасія Володимирівна</t>
  </si>
  <si>
    <t>ZVPG_u_2439</t>
  </si>
  <si>
    <t>Бадло Кіріл Максимович</t>
  </si>
  <si>
    <t>ZVPG_u_2440</t>
  </si>
  <si>
    <t>Васильєв Марко Віталійович</t>
  </si>
  <si>
    <t>ZVPG_u_2441</t>
  </si>
  <si>
    <t>Гавріков Дамір Павлович</t>
  </si>
  <si>
    <t>ZVPG_u_2442</t>
  </si>
  <si>
    <t>Гладка Аліна Олегівна</t>
  </si>
  <si>
    <t>ZVPG_u_2443</t>
  </si>
  <si>
    <t>Задорожна Анастасія Павлівна</t>
  </si>
  <si>
    <t>ZVPG_u_2444</t>
  </si>
  <si>
    <t>Ільїних Софія Вадимівна</t>
  </si>
  <si>
    <t>ZVPG_u_2445</t>
  </si>
  <si>
    <t>Козленко Ілля Євгенович</t>
  </si>
  <si>
    <t>ZVPG_u_2446</t>
  </si>
  <si>
    <t>Кочетова Ярослава Євгенівна</t>
  </si>
  <si>
    <t>ZVPG_u_2447</t>
  </si>
  <si>
    <t>Кремнєва Аріна Володимирівна</t>
  </si>
  <si>
    <t>ZVPG_u_2448</t>
  </si>
  <si>
    <t>Криштопа Єлизавета Олександрівна</t>
  </si>
  <si>
    <t>ZVPG_u_2449</t>
  </si>
  <si>
    <t>Куліш Семен Ігорович</t>
  </si>
  <si>
    <t>ZVPG_u_2450</t>
  </si>
  <si>
    <t>Лавренов Дмитро Ігорович</t>
  </si>
  <si>
    <t>ZVPG_u_2451</t>
  </si>
  <si>
    <t>Марковський Олександр</t>
  </si>
  <si>
    <t>ZVPG_u_2452</t>
  </si>
  <si>
    <t>Мартиненко Артем Олександрович</t>
  </si>
  <si>
    <t>ZVPG_u_2453</t>
  </si>
  <si>
    <t>Орел Ірина Дмитрівна</t>
  </si>
  <si>
    <t>ZVPG_u_2454</t>
  </si>
  <si>
    <t>Плохат Єгор Денисович</t>
  </si>
  <si>
    <t>ZVPG_u_2455</t>
  </si>
  <si>
    <t>Рощин Тихон Вадимович</t>
  </si>
  <si>
    <t>ZVPG_u_2456</t>
  </si>
  <si>
    <t>Садкова Анастасія Сергіївна</t>
  </si>
  <si>
    <t>ZVPG_u_2457</t>
  </si>
  <si>
    <t>Свисенко Ангеліна Вікторівна</t>
  </si>
  <si>
    <t>ZVPG_u_2458</t>
  </si>
  <si>
    <t>Симоненко Макар Олексійович</t>
  </si>
  <si>
    <t>ZVPG_u_2459</t>
  </si>
  <si>
    <t>Смірнов Микита Семенович</t>
  </si>
  <si>
    <t>ZVPG_u_2460</t>
  </si>
  <si>
    <t>Урсуленко Аліса Денисівна</t>
  </si>
  <si>
    <t>ZVPG_u_2461</t>
  </si>
  <si>
    <t>Шульженко Марія Олексіївна</t>
  </si>
  <si>
    <t>ZVPG_u_2462</t>
  </si>
  <si>
    <t>Щербаков Максим Сергійович</t>
  </si>
  <si>
    <t>ZVPG_u_2463</t>
  </si>
  <si>
    <t>Башкіна Євгенія Павлівна</t>
  </si>
  <si>
    <t>ZVPG_u_2464</t>
  </si>
  <si>
    <t>Бришута Анна Артемівна</t>
  </si>
  <si>
    <t>ZVPG_u_2465</t>
  </si>
  <si>
    <t>Бурмаков Данило Дмитрович</t>
  </si>
  <si>
    <t>ZVPG_u_2466</t>
  </si>
  <si>
    <t>Володін Тимофій Олександрович</t>
  </si>
  <si>
    <t>ZVPG_u_2467</t>
  </si>
  <si>
    <t>Гойденко Всеслав Романович</t>
  </si>
  <si>
    <t>ZVPG_u_2468</t>
  </si>
  <si>
    <t>Іванісов Олександр Андрійович</t>
  </si>
  <si>
    <t>ZVPG_u_2469</t>
  </si>
  <si>
    <t>Івахненко Данило Сергійович</t>
  </si>
  <si>
    <t>ZVPG_u_2470</t>
  </si>
  <si>
    <t>Івахненко Іван Сергійович</t>
  </si>
  <si>
    <t>ZVPG_u_2471</t>
  </si>
  <si>
    <t>Кисельов Михайло Романович</t>
  </si>
  <si>
    <t>ZVPG_u_2472</t>
  </si>
  <si>
    <t>Коваленко Марія Русланівна</t>
  </si>
  <si>
    <t>ZVPG_u_2473</t>
  </si>
  <si>
    <t>Кокоуліна Мілана Євгенівна</t>
  </si>
  <si>
    <t>ZVPG_u_2474</t>
  </si>
  <si>
    <t>Корчебна Марія Максимівна</t>
  </si>
  <si>
    <t>ZVPG_u_2475</t>
  </si>
  <si>
    <t>Лемешко Лев Володимирович</t>
  </si>
  <si>
    <t>ZVPG_u_2476</t>
  </si>
  <si>
    <t>Марченко Єгор Максимович</t>
  </si>
  <si>
    <t>ZVPG_u_2477</t>
  </si>
  <si>
    <t>Маханько Павло Геннадійович</t>
  </si>
  <si>
    <t>ZVPG_u_2478</t>
  </si>
  <si>
    <t>Нікішенко Ніколь Олегівна</t>
  </si>
  <si>
    <t>ZVPG_u_2479</t>
  </si>
  <si>
    <t>Рой Анастасія Олегівна</t>
  </si>
  <si>
    <t>ZVPG_u_2480</t>
  </si>
  <si>
    <t>Самофал Поліна Сергіївна</t>
  </si>
  <si>
    <t>ZVPG_u_2481</t>
  </si>
  <si>
    <t>Севідов Максим Геннадійович</t>
  </si>
  <si>
    <t>ZVPG_u_2482</t>
  </si>
  <si>
    <t>Сметанкіна Таісія Олегівна</t>
  </si>
  <si>
    <t>ZVPG_u_2483</t>
  </si>
  <si>
    <t>Ушата Мар'яна Володимирівна</t>
  </si>
  <si>
    <t>ZVPG_u_2484</t>
  </si>
  <si>
    <t>Фурманов Кирило Миколайович</t>
  </si>
  <si>
    <t>ZVPG_u_2485</t>
  </si>
  <si>
    <t>Черкашина Варвара Сергіївна</t>
  </si>
  <si>
    <t>ZVPG_u_2486</t>
  </si>
  <si>
    <t>Чечеленко Анастасія Сергіївна</t>
  </si>
  <si>
    <t>ZVPG_u_2487</t>
  </si>
  <si>
    <t>Чирва Поліна Антонівна</t>
  </si>
  <si>
    <t>ZVPG_u_2488</t>
  </si>
  <si>
    <t>Артоуз Фелікс Анатолійович</t>
  </si>
  <si>
    <t>ZVPG_u_2489</t>
  </si>
  <si>
    <t>Берездецький Тіхон Артемович</t>
  </si>
  <si>
    <t>ZVPG_u_2490</t>
  </si>
  <si>
    <t>Бороденко Іван Денисович</t>
  </si>
  <si>
    <t>ZVPG_u_2491</t>
  </si>
  <si>
    <t>Гришеньова Марія Євенівна</t>
  </si>
  <si>
    <t>ZVPG_u_2492</t>
  </si>
  <si>
    <t>Гуща Максим Костянтинович</t>
  </si>
  <si>
    <t>ZVPG_u_2493</t>
  </si>
  <si>
    <t>Жалдак Крістіна Максимівна</t>
  </si>
  <si>
    <t>ZVPG_u_2494</t>
  </si>
  <si>
    <t>Івщенко Давид Андрійович</t>
  </si>
  <si>
    <t>ZVPG_u_2495</t>
  </si>
  <si>
    <t>Ігнатушина Вероніка Андріївна</t>
  </si>
  <si>
    <t>ZVPG_u_2496</t>
  </si>
  <si>
    <t>Кац Герман Артемович</t>
  </si>
  <si>
    <t>ZVPG_u_2497</t>
  </si>
  <si>
    <t>Кирилюк Андрій Вікторович</t>
  </si>
  <si>
    <t>ZVPG_u_2498</t>
  </si>
  <si>
    <t>Кислицький Микола Іванович</t>
  </si>
  <si>
    <t>ZVPG_u_2499</t>
  </si>
  <si>
    <t>Лукаш Аміна Сергіївна</t>
  </si>
  <si>
    <t>ZVPG_u_2500</t>
  </si>
  <si>
    <t>Малишев Артем Олегович</t>
  </si>
  <si>
    <t>ZVPG_u_2501</t>
  </si>
  <si>
    <t>Новікова Дар'я Анатоліївна</t>
  </si>
  <si>
    <t>ZVPG_u_2502</t>
  </si>
  <si>
    <t>Плишевський Мирон Андрійович</t>
  </si>
  <si>
    <t>ZVPG_u_2503</t>
  </si>
  <si>
    <t>Рибак Олександр Володимирович</t>
  </si>
  <si>
    <t>ZVPG_u_2504</t>
  </si>
  <si>
    <t>Савенко Стефанія Дмитрівна</t>
  </si>
  <si>
    <t>ZVPG_u_2505</t>
  </si>
  <si>
    <t>Севериненко Вероніка Олегівна</t>
  </si>
  <si>
    <t>ZVPG_u_2506</t>
  </si>
  <si>
    <t>Скоморохова Вероніка Олександрівна</t>
  </si>
  <si>
    <t>ZVPG_u_2507</t>
  </si>
  <si>
    <t>Тимохіна Софія Миколаївна</t>
  </si>
  <si>
    <t>ZVPG_u_2508</t>
  </si>
  <si>
    <t>Томіна Катерина Денисівна</t>
  </si>
  <si>
    <t>ZVPG_u_2509</t>
  </si>
  <si>
    <t>Шамрай Марія Андріївна</t>
  </si>
  <si>
    <t>ZVPG_u_2510</t>
  </si>
  <si>
    <t>Шаповалов Артур Іванович</t>
  </si>
  <si>
    <t>ZVPG_u_2511</t>
  </si>
  <si>
    <t>Гнатенко Андрій Вадимович</t>
  </si>
  <si>
    <t>Комунальний заклад "Харківська гімназія № 86 Харківської міської ради"</t>
  </si>
  <si>
    <t>ZVPG_u_2512</t>
  </si>
  <si>
    <t>Казачкова Лідія Станіславівна</t>
  </si>
  <si>
    <t>ZVPG_u_2513</t>
  </si>
  <si>
    <t>Левицький Віталій В’ячеславович</t>
  </si>
  <si>
    <t>ZVPG_u_2514</t>
  </si>
  <si>
    <t>Шалімов Антон Сергійович</t>
  </si>
  <si>
    <t>ZVPG_u_2515</t>
  </si>
  <si>
    <t>Юмакулов Тігран Каренови</t>
  </si>
  <si>
    <t>ZVPG_u_2516</t>
  </si>
  <si>
    <t xml:space="preserve"> Юсупова Анорія Самірівна</t>
  </si>
  <si>
    <t>ZVPG_u_2517</t>
  </si>
  <si>
    <t>Яценко Юстина Ігорівна</t>
  </si>
  <si>
    <t>ZVPG_u_2518</t>
  </si>
  <si>
    <t>Яцив Даніель Крістіанович</t>
  </si>
  <si>
    <t>ZVPG_u_2519</t>
  </si>
  <si>
    <t>Аврамишин Діана</t>
  </si>
  <si>
    <t>Зносицький ліцей Немовицької сільської ради</t>
  </si>
  <si>
    <t>ZVPG_u_2520</t>
  </si>
  <si>
    <t>Боротюк Роман</t>
  </si>
  <si>
    <t>ZVPG_u_2521</t>
  </si>
  <si>
    <t>Вакулко Олег</t>
  </si>
  <si>
    <t>ZVPG_u_2522</t>
  </si>
  <si>
    <t>Вакулко Олександр</t>
  </si>
  <si>
    <t>ZVPG_u_2523</t>
  </si>
  <si>
    <t>Ветрова Анна</t>
  </si>
  <si>
    <t>ZVPG_u_2524</t>
  </si>
  <si>
    <t>Данильченко Ангеліна</t>
  </si>
  <si>
    <t>ZVPG_u_2525</t>
  </si>
  <si>
    <t>Кучерук Ангеліна</t>
  </si>
  <si>
    <t>ZVPG_u_2526</t>
  </si>
  <si>
    <t>Кучерук Ярослав</t>
  </si>
  <si>
    <t>ZVPG_u_2527</t>
  </si>
  <si>
    <t>Митрофанова Дарія</t>
  </si>
  <si>
    <t>ZVPG_u_2528</t>
  </si>
  <si>
    <t>Одарчук Вадим</t>
  </si>
  <si>
    <t>ZVPG_u_2529</t>
  </si>
  <si>
    <t>Панасюк Вікторія</t>
  </si>
  <si>
    <t>ZVPG_u_2530</t>
  </si>
  <si>
    <t>Панасюк Катерина</t>
  </si>
  <si>
    <t>ZVPG_u_2531</t>
  </si>
  <si>
    <t>Пархомчук Максим</t>
  </si>
  <si>
    <t>ZVPG_u_2532</t>
  </si>
  <si>
    <t>Пархомчук Маргарита</t>
  </si>
  <si>
    <t>ZVPG_u_2533</t>
  </si>
  <si>
    <t>Пархомчук Олена</t>
  </si>
  <si>
    <t>ZVPG_u_2534</t>
  </si>
  <si>
    <t>Тишков Арсен</t>
  </si>
  <si>
    <t>ZVPG_u_2535</t>
  </si>
  <si>
    <t>Ткач Сергій</t>
  </si>
  <si>
    <t>ZVPG_u_2536</t>
  </si>
  <si>
    <t>Ющик Назар</t>
  </si>
  <si>
    <t>ZVPG_u_2537</t>
  </si>
  <si>
    <t>Боротюк Марія</t>
  </si>
  <si>
    <t>ZVPG_u_2538</t>
  </si>
  <si>
    <t>Вакулко Олена</t>
  </si>
  <si>
    <t>ZVPG_u_2539</t>
  </si>
  <si>
    <t>Вакулко Софія</t>
  </si>
  <si>
    <t>ZVPG_u_2540</t>
  </si>
  <si>
    <t>Ветров Богдан</t>
  </si>
  <si>
    <t>ZVPG_u_2541</t>
  </si>
  <si>
    <t>Власюк Вікторія</t>
  </si>
  <si>
    <t>ZVPG_u_2542</t>
  </si>
  <si>
    <t>Власюк Кирило</t>
  </si>
  <si>
    <t>ZVPG_u_2543</t>
  </si>
  <si>
    <t>Гризовська Ірина</t>
  </si>
  <si>
    <t>ZVPG_u_2544</t>
  </si>
  <si>
    <t>Гришкевич Зоряна</t>
  </si>
  <si>
    <t>ZVPG_u_2545</t>
  </si>
  <si>
    <t>Жук Владислав</t>
  </si>
  <si>
    <t>ZVPG_u_2546</t>
  </si>
  <si>
    <t>Занозовський Едуард</t>
  </si>
  <si>
    <t>ZVPG_u_2547</t>
  </si>
  <si>
    <t>Кичан Аліна</t>
  </si>
  <si>
    <t>ZVPG_u_2548</t>
  </si>
  <si>
    <t>Лобасюк Аліса</t>
  </si>
  <si>
    <t>ZVPG_u_2549</t>
  </si>
  <si>
    <t>Лобасюк Олеся</t>
  </si>
  <si>
    <t>ZVPG_u_2550</t>
  </si>
  <si>
    <t>Лопанчук Дмитро</t>
  </si>
  <si>
    <t>ZVPG_u_2551</t>
  </si>
  <si>
    <t>Одарчук Христина</t>
  </si>
  <si>
    <t>ZVPG_u_2552</t>
  </si>
  <si>
    <t>Панасюк Аліна</t>
  </si>
  <si>
    <t>ZVPG_u_2553</t>
  </si>
  <si>
    <t>Рожко Вячеслав</t>
  </si>
  <si>
    <t>ZVPG_u_2554</t>
  </si>
  <si>
    <t>Святецький Нікіта</t>
  </si>
  <si>
    <t>ZVPG_u_2555</t>
  </si>
  <si>
    <t>Стицюк Катерина</t>
  </si>
  <si>
    <t>ZVPG_u_2556</t>
  </si>
  <si>
    <t>Тищук Іванна</t>
  </si>
  <si>
    <t>ZVPG_u_2557</t>
  </si>
  <si>
    <t>Хижнюк Олександр</t>
  </si>
  <si>
    <t>ZVPG_u_2558</t>
  </si>
  <si>
    <t>Вощук Денис Євгенійович</t>
  </si>
  <si>
    <t>Берестинський ліцей №3 Берестинської міської ради Харківської області</t>
  </si>
  <si>
    <t>ZVPG_u_2559</t>
  </si>
  <si>
    <t>Українець Анастасія Віталіївна</t>
  </si>
  <si>
    <t>ZVPG_u_2560</t>
  </si>
  <si>
    <t>Скрипник Дмитро Сергійович</t>
  </si>
  <si>
    <t>ZVPG_u_2561</t>
  </si>
  <si>
    <t>Кізіченко Артур Євгенійович</t>
  </si>
  <si>
    <t>ZVPG_u_2562</t>
  </si>
  <si>
    <t>Геращенко Іванна Андріївна</t>
  </si>
  <si>
    <t>ZVPG_u_2563</t>
  </si>
  <si>
    <t>Губін Владислав Анатолійович</t>
  </si>
  <si>
    <t>ZVPG_u_2564</t>
  </si>
  <si>
    <t>Довганюк Анна Олександрівна</t>
  </si>
  <si>
    <t>ZVPG_u_2565</t>
  </si>
  <si>
    <t>Загородников Кирило В'ячеславович</t>
  </si>
  <si>
    <t>ZVPG_u_2566</t>
  </si>
  <si>
    <t>Захаров Кирило Андрійович</t>
  </si>
  <si>
    <t>ZVPG_u_2567</t>
  </si>
  <si>
    <t>Нарсіа Мілана Ігорівна</t>
  </si>
  <si>
    <t>ZVPG_u_2568</t>
  </si>
  <si>
    <t>Каплієв Сергій Констянтинович</t>
  </si>
  <si>
    <t>ZVPG_u_2569</t>
  </si>
  <si>
    <t>Літвінов Дмитро Сергійович</t>
  </si>
  <si>
    <t>ZVPG_u_2570</t>
  </si>
  <si>
    <t>Лукіщенко Валентина Анатоліївна</t>
  </si>
  <si>
    <t>ZVPG_u_2571</t>
  </si>
  <si>
    <t>Марченко Кіра Юріївна</t>
  </si>
  <si>
    <t>ZVPG_u_2572</t>
  </si>
  <si>
    <t>Наришков Антон Дмитрович</t>
  </si>
  <si>
    <t>ZVPG_u_2573</t>
  </si>
  <si>
    <t>Обліченко Софія Сергіївна</t>
  </si>
  <si>
    <t>ZVPG_u_2574</t>
  </si>
  <si>
    <t>Рибальченко Ксенія Семенівна</t>
  </si>
  <si>
    <t>ZVPG_u_2575</t>
  </si>
  <si>
    <t>Сінчінов Микита Олександрович</t>
  </si>
  <si>
    <t>ZVPG_u_2576</t>
  </si>
  <si>
    <t>Собакар Леонід Олександрович</t>
  </si>
  <si>
    <t>ZVPG_u_2577</t>
  </si>
  <si>
    <t>Спінжар Ірина Русланівна</t>
  </si>
  <si>
    <t>ZVPG_u_2578</t>
  </si>
  <si>
    <t>Спінжар Кирило Сергійович</t>
  </si>
  <si>
    <t>ZVPG_u_2579</t>
  </si>
  <si>
    <t>Спінжар Руслан Сергійович</t>
  </si>
  <si>
    <t>ZVPG_u_2580</t>
  </si>
  <si>
    <t>Шевченко Анастасія Костянтинівна</t>
  </si>
  <si>
    <t>ZVPG_u_2581</t>
  </si>
  <si>
    <t>Гнатенко Даніїл Володимирович</t>
  </si>
  <si>
    <t>ZVPG_u_2582</t>
  </si>
  <si>
    <t>Єременко Вікторія Русланівна</t>
  </si>
  <si>
    <t>ZVPG_u_2583</t>
  </si>
  <si>
    <t>Ільницька Аліна Сергіївна</t>
  </si>
  <si>
    <t>ZVPG_u_2584</t>
  </si>
  <si>
    <t>Зайцева Вікторія Володимирівна</t>
  </si>
  <si>
    <t>ZVPG_u_2585</t>
  </si>
  <si>
    <t>Гнатенко Аліна Ігорівна</t>
  </si>
  <si>
    <t>ZVPG_u_2586</t>
  </si>
  <si>
    <t>Катрущенко Святослав Андрійович</t>
  </si>
  <si>
    <t>ZVPG_u_2587</t>
  </si>
  <si>
    <t>Молодець Поліна Тимурівна</t>
  </si>
  <si>
    <t>ZVPG_u_2588</t>
  </si>
  <si>
    <t>Литвин Степан Сергійович</t>
  </si>
  <si>
    <t>ZVPG_u_2589</t>
  </si>
  <si>
    <t>Кривенко Поліна Юріївна</t>
  </si>
  <si>
    <t>ZVPG_u_2590</t>
  </si>
  <si>
    <t>Лебідь Єлизавета Миколаївна</t>
  </si>
  <si>
    <t>ZVPG_u_2591</t>
  </si>
  <si>
    <t>Пелих Роман Артемович</t>
  </si>
  <si>
    <t>ZVPG_u_2592</t>
  </si>
  <si>
    <t>Семисал Олександр Андрійович</t>
  </si>
  <si>
    <t>ZVPG_u_2593</t>
  </si>
  <si>
    <t>Сливка Денис Денисович</t>
  </si>
  <si>
    <t>ZVPG_u_2594</t>
  </si>
  <si>
    <t>Філіпська Вікторія Володимирівна</t>
  </si>
  <si>
    <t>ZVPG_u_2595</t>
  </si>
  <si>
    <t>Цуканова Анна Олександрівна</t>
  </si>
  <si>
    <t>ZVPG_u_2596</t>
  </si>
  <si>
    <t>Шуміхіна Діана Володимирівна</t>
  </si>
  <si>
    <t>ZVPG_u_2597</t>
  </si>
  <si>
    <t>Щепа Денис Максимович</t>
  </si>
  <si>
    <t>ZVPG_u_2598</t>
  </si>
  <si>
    <t>Анахін Данило Романович</t>
  </si>
  <si>
    <t>ZVPG_u_2599</t>
  </si>
  <si>
    <t>Архіпова Вероніка Олександрівна</t>
  </si>
  <si>
    <t>ZVPG_u_2600</t>
  </si>
  <si>
    <t>Білоус Діана Станіславівна</t>
  </si>
  <si>
    <t>ZVPG_u_2601</t>
  </si>
  <si>
    <t>Борисов Сергій Миколайович</t>
  </si>
  <si>
    <t>ZVPG_u_2602</t>
  </si>
  <si>
    <t>Гуляєва Софія Олександрівна</t>
  </si>
  <si>
    <t>ZVPG_u_2603</t>
  </si>
  <si>
    <t>Данилів Серафім Степанович</t>
  </si>
  <si>
    <t>ZVPG_u_2604</t>
  </si>
  <si>
    <t>Демакова Крістіна Владиславівна</t>
  </si>
  <si>
    <t>ZVPG_u_2605</t>
  </si>
  <si>
    <t>Єрлишева Анна Ігорівна</t>
  </si>
  <si>
    <t>ZVPG_u_2606</t>
  </si>
  <si>
    <t>Жданов Михайло Олександрович</t>
  </si>
  <si>
    <t>ZVPG_u_2607</t>
  </si>
  <si>
    <t>Захарченко Олександр Володимирович</t>
  </si>
  <si>
    <t>ZVPG_u_2608</t>
  </si>
  <si>
    <t>Іванов Максим Дмитрович</t>
  </si>
  <si>
    <t>ZVPG_u_2609</t>
  </si>
  <si>
    <t>Ільницький Олег Сергійович</t>
  </si>
  <si>
    <t>ZVPG_u_2610</t>
  </si>
  <si>
    <t>Коломієць Олександра Андріївна</t>
  </si>
  <si>
    <t>ZVPG_u_2611</t>
  </si>
  <si>
    <t>Крикун Іван Андрійович</t>
  </si>
  <si>
    <t>ZVPG_u_2612</t>
  </si>
  <si>
    <t>Кучерук Варвара Андріївна</t>
  </si>
  <si>
    <t>ZVPG_u_2613</t>
  </si>
  <si>
    <t>Моргун Нікіта Євгенійович</t>
  </si>
  <si>
    <t>ZVPG_u_2614</t>
  </si>
  <si>
    <t>Рябошапка Софія Артемівна</t>
  </si>
  <si>
    <t>ZVPG_u_2615</t>
  </si>
  <si>
    <t>Токарчук Анна Сергіївна</t>
  </si>
  <si>
    <t>ZVPG_u_2616</t>
  </si>
  <si>
    <t>Фролова Евеліна Валеріївна</t>
  </si>
  <si>
    <t>ZVPG_u_2617</t>
  </si>
  <si>
    <t>Чесноков Богдан Дмитрович</t>
  </si>
  <si>
    <t>ZVPG_u_2618</t>
  </si>
  <si>
    <t>Чистікова Яна Олександрівна</t>
  </si>
  <si>
    <t>ZVPG_u_2619</t>
  </si>
  <si>
    <t>Цвіточок Аврора Олегівна</t>
  </si>
  <si>
    <t>ZVPG_u_2620</t>
  </si>
  <si>
    <t>Янцевич Софія Вікторівна</t>
  </si>
  <si>
    <t>ZVPG_u_2621</t>
  </si>
  <si>
    <t>Кучерук Віра Андріївна</t>
  </si>
  <si>
    <t>ZVPG_u_2622</t>
  </si>
  <si>
    <t>Кущьова Владислава Євгеніївна</t>
  </si>
  <si>
    <t>ZVPG_u_2623</t>
  </si>
  <si>
    <t>Лисогор Олександр Васильович</t>
  </si>
  <si>
    <t>ZVPG_u_2624</t>
  </si>
  <si>
    <t>Лунін Михайло Денисович</t>
  </si>
  <si>
    <t>ZVPG_u_2625</t>
  </si>
  <si>
    <t>Мартюк-Мороз Дар’я Євгеніївна</t>
  </si>
  <si>
    <t>ZVPG_u_2626</t>
  </si>
  <si>
    <t>Матвєєва Поліна Денисовна</t>
  </si>
  <si>
    <t>ZVPG_u_2627</t>
  </si>
  <si>
    <t>Мірошниченко Софія Вадимівна</t>
  </si>
  <si>
    <t>ZVPG_u_2628</t>
  </si>
  <si>
    <t>Михайлов Александр Олександрович</t>
  </si>
  <si>
    <t>ZVPG_u_2629</t>
  </si>
  <si>
    <t>Ошкукова Катерина Андріївна</t>
  </si>
  <si>
    <t>ZVPG_u_2630</t>
  </si>
  <si>
    <t>Анахіна Алла Вадимівна</t>
  </si>
  <si>
    <t>ZVPG_u_2631</t>
  </si>
  <si>
    <t>Башкатов Владислав Володимирович</t>
  </si>
  <si>
    <t>ZVPG_u_2632</t>
  </si>
  <si>
    <t>Бондаренко Єлизавета Геннадіївна</t>
  </si>
  <si>
    <t>ZVPG_u_2633</t>
  </si>
  <si>
    <t>Буйленко Ксенія Костянтинівна</t>
  </si>
  <si>
    <t>ZVPG_u_2634</t>
  </si>
  <si>
    <t>Власов Назар Віталійович</t>
  </si>
  <si>
    <t>ZVPG_u_2635</t>
  </si>
  <si>
    <t>Гонтар Артур Васильович</t>
  </si>
  <si>
    <t>ZVPG_u_2636</t>
  </si>
  <si>
    <t>Демченко Данило Ігорович</t>
  </si>
  <si>
    <t>ZVPG_u_2637</t>
  </si>
  <si>
    <t>Ісупов Михайло Володимирович</t>
  </si>
  <si>
    <t>ZVPG_u_2638</t>
  </si>
  <si>
    <t>Клочко Маргарита Артемівна</t>
  </si>
  <si>
    <t>ZVPG_u_2639</t>
  </si>
  <si>
    <t>Бєлімова Олександра Євгенівна</t>
  </si>
  <si>
    <t>КОМУНАЛЬНИЙ ЗАКЛАД "ХАРКІВСЬКА СПЕЦІАЛЬНА ШКОЛА № 2" ХАРКІВСЬКОЇ ОБЛАСНОЇ РАДИ</t>
  </si>
  <si>
    <t>ZVPG_u_2640</t>
  </si>
  <si>
    <t>Ковтун Марія Олександрівна</t>
  </si>
  <si>
    <t>Дібрівська гімназія Миргородської міської ради Полтавської області</t>
  </si>
  <si>
    <t>ZVPG_u_2641</t>
  </si>
  <si>
    <t>Гайдар Лілія Олександрівна</t>
  </si>
  <si>
    <t>ZVPG_u_2642</t>
  </si>
  <si>
    <t>Додусенко Софія Олександрівна</t>
  </si>
  <si>
    <t>ZVPG_u_2643</t>
  </si>
  <si>
    <t>Семішко Ангеліна Вікторівна</t>
  </si>
  <si>
    <t>ZVPG_u_2644</t>
  </si>
  <si>
    <t>Рула Антоніна Віталіївна</t>
  </si>
  <si>
    <t>ZVPG_u_2645</t>
  </si>
  <si>
    <t>Квілінський Марк Миколайович</t>
  </si>
  <si>
    <t>ZVPG_u_2646</t>
  </si>
  <si>
    <t>Гарнат Микола Борисович</t>
  </si>
  <si>
    <t>ZVPG_u_2647</t>
  </si>
  <si>
    <t>Тищенко Даніїл Ігорович</t>
  </si>
  <si>
    <t>ZVPG_u_2648</t>
  </si>
  <si>
    <t>Нестеренко Іван Миколайович</t>
  </si>
  <si>
    <t>ZVPG_u_2649</t>
  </si>
  <si>
    <t>Волощук Іван Олександрович</t>
  </si>
  <si>
    <t>ZVPG_u_2650</t>
  </si>
  <si>
    <t>Момот Марина Олегівна</t>
  </si>
  <si>
    <t>ZVPG_u_2651</t>
  </si>
  <si>
    <t>Тишенко Микита Ігорович</t>
  </si>
  <si>
    <t>ZVPG_u_2652</t>
  </si>
  <si>
    <t>Грищенко Вероніка Русланівна</t>
  </si>
  <si>
    <t>ZVPG_u_2653</t>
  </si>
  <si>
    <t>Коломієць Катерина Олегівна</t>
  </si>
  <si>
    <t>ZVPG_u_2654</t>
  </si>
  <si>
    <t>Марченко Златослава Олександрівна</t>
  </si>
  <si>
    <t>ZVPG_u_2655</t>
  </si>
  <si>
    <t>Олексієнко Анастасія Сергіївна</t>
  </si>
  <si>
    <t>ZVPG_u_2656</t>
  </si>
  <si>
    <t>Назаренко Софія Олександрівна</t>
  </si>
  <si>
    <t>ZVPG_u_2657</t>
  </si>
  <si>
    <t>Регеда Олександр Сергійович</t>
  </si>
  <si>
    <t>ZVPG_u_2658</t>
  </si>
  <si>
    <t>Назаренко Максим Олександрович</t>
  </si>
  <si>
    <t>ZVPG_u_2659</t>
  </si>
  <si>
    <t>Панченко Анна Євгеніївна</t>
  </si>
  <si>
    <t>ZVPG_u_2660</t>
  </si>
  <si>
    <t>Мазоха Дмитро Владиславович</t>
  </si>
  <si>
    <t>ZVPG_u_2661</t>
  </si>
  <si>
    <t>Лазарєва Лілія Андріївна</t>
  </si>
  <si>
    <t>ZVPG_u_2662</t>
  </si>
  <si>
    <t>Голуб Гліб Євгенович</t>
  </si>
  <si>
    <t>Рокитненська гімназія з дошкільним структурним підрозділом виконавчого комітету Омельницької сільської ради Кременчуцького району Полтавської області</t>
  </si>
  <si>
    <t>ZVPG_u_2663</t>
  </si>
  <si>
    <t>Лановий Павло Олександрович</t>
  </si>
  <si>
    <t>ZVPG_u_2664</t>
  </si>
  <si>
    <t>Калюжний Андрій Максимович</t>
  </si>
  <si>
    <t>ZVPG_u_2665</t>
  </si>
  <si>
    <t>Мацола Анна Василівна</t>
  </si>
  <si>
    <t>ZVPG_u_2666</t>
  </si>
  <si>
    <t>Тереняк Кароліна Данилівна</t>
  </si>
  <si>
    <t>ZVPG_u_2667</t>
  </si>
  <si>
    <t>Удовиченко Дмитро Сергійович</t>
  </si>
  <si>
    <t>ZVPG_u_2668</t>
  </si>
  <si>
    <t>Порческу Анна</t>
  </si>
  <si>
    <t>ДНЗ "Центр професійно-технічної освіти 1 м.Вінниці"</t>
  </si>
  <si>
    <t>ZVPG_u_2669</t>
  </si>
  <si>
    <t>Демічева Діана</t>
  </si>
  <si>
    <t>ZVPG_u_2670</t>
  </si>
  <si>
    <t>Мартинюк Ліза</t>
  </si>
  <si>
    <t>ZVPG_u_2671</t>
  </si>
  <si>
    <t>Заболотна Уляна</t>
  </si>
  <si>
    <t>ZVPG_u_2672</t>
  </si>
  <si>
    <t>Дзуман Софія</t>
  </si>
  <si>
    <t>ZVPG_u_2673</t>
  </si>
  <si>
    <t>Дімітрова Богдана</t>
  </si>
  <si>
    <t>ZVPG_u_2674</t>
  </si>
  <si>
    <t>Маслій Софія</t>
  </si>
  <si>
    <t>ZVPG_u_2675</t>
  </si>
  <si>
    <t>Петрушкевич Анна</t>
  </si>
  <si>
    <t>ZVPG_u_2676</t>
  </si>
  <si>
    <t>Савко Яна</t>
  </si>
  <si>
    <t>ZVPG_u_2677</t>
  </si>
  <si>
    <t>Запорожець Богдана</t>
  </si>
  <si>
    <t>ZVPG_u_2678</t>
  </si>
  <si>
    <t>Городецький Денис</t>
  </si>
  <si>
    <t>ZVPG_u_2679</t>
  </si>
  <si>
    <t>Буренко Софія</t>
  </si>
  <si>
    <t>ZVPG_u_2680</t>
  </si>
  <si>
    <t>Панькевич Олександра</t>
  </si>
  <si>
    <t>ZVPG_u_2681</t>
  </si>
  <si>
    <t>Миронюк Наталія</t>
  </si>
  <si>
    <t>ZVPG_u_2682</t>
  </si>
  <si>
    <t>Танадай Софія</t>
  </si>
  <si>
    <t>ZVPG_u_2683</t>
  </si>
  <si>
    <t>ZVPG_u_2684</t>
  </si>
  <si>
    <t>Бейгул Давид Андрійович</t>
  </si>
  <si>
    <t>Кременчуцька гімназія №31 Кременчуцької міської ради Кременчуцького району Полтавської області</t>
  </si>
  <si>
    <t>ZVPG_u_2685</t>
  </si>
  <si>
    <t>Нестеренко Ксенія Іванівна</t>
  </si>
  <si>
    <t>ZVPG_u_2686</t>
  </si>
  <si>
    <t>Середа Вікторія Сергіївна</t>
  </si>
  <si>
    <t>ZVPG_u_2687</t>
  </si>
  <si>
    <t>Борейко Анна Євгеніївна</t>
  </si>
  <si>
    <t>ZVPG_u_2688</t>
  </si>
  <si>
    <t>Полієвець Євгеній Андрійович</t>
  </si>
  <si>
    <t>ZVPG_u_2689</t>
  </si>
  <si>
    <t>Солодовник Максим Євгенійович</t>
  </si>
  <si>
    <t>ZVPG_u_2690</t>
  </si>
  <si>
    <t>Коломієць Назар Сергійович</t>
  </si>
  <si>
    <t>ZVPG_u_2691</t>
  </si>
  <si>
    <t>Домарацька Поліна Русланівна</t>
  </si>
  <si>
    <t>ZVPG_u_2692</t>
  </si>
  <si>
    <t>Рощенко Гліб Володимирович</t>
  </si>
  <si>
    <t>ZVPG_u_2693</t>
  </si>
  <si>
    <t>Бровді Дар'я Володимирівна</t>
  </si>
  <si>
    <t>ZVPG_u_2694</t>
  </si>
  <si>
    <t>Брус Поліна Станіславівна</t>
  </si>
  <si>
    <t>ZVPG_u_2695</t>
  </si>
  <si>
    <t>Єрмошина Василіса Василівна</t>
  </si>
  <si>
    <t>ZVPG_u_2696</t>
  </si>
  <si>
    <t>Сухорук Матвій Русланович</t>
  </si>
  <si>
    <t>ZVPG_u_2697</t>
  </si>
  <si>
    <t>Сироткін Кирило Артемович</t>
  </si>
  <si>
    <t>ZVPG_u_2698</t>
  </si>
  <si>
    <t>Шейко Софія Русланівна</t>
  </si>
  <si>
    <t>ZVPG_u_2699</t>
  </si>
  <si>
    <t>Калашнікова Вікторія Борисівна</t>
  </si>
  <si>
    <t>ZVPG_u_2700</t>
  </si>
  <si>
    <t>Грицюк Вероніка Валеріївна</t>
  </si>
  <si>
    <t>ZVPG_u_2701</t>
  </si>
  <si>
    <t>Хабарова Валерія Дмитрівна</t>
  </si>
  <si>
    <t>ZVPG_u_2702</t>
  </si>
  <si>
    <t>Олійник Поліна Юріївна</t>
  </si>
  <si>
    <t>ZVPG_u_2703</t>
  </si>
  <si>
    <t>Коваленко Ангеліна Сергіївна</t>
  </si>
  <si>
    <t>ZVPG_u_2704</t>
  </si>
  <si>
    <t>Таран Вікторія Вячеславівна</t>
  </si>
  <si>
    <t>ZVPG_u_2705</t>
  </si>
  <si>
    <t>Левченко Олександра Леонідівна</t>
  </si>
  <si>
    <t>ZVPG_u_2706</t>
  </si>
  <si>
    <t>Антоненко Вероніка Андріївна</t>
  </si>
  <si>
    <t>ZVPG_u_2707</t>
  </si>
  <si>
    <t>Ярославцев Єгор Юрійович</t>
  </si>
  <si>
    <t>ZVPG_u_2708</t>
  </si>
  <si>
    <t>Троцький Семен Григорович</t>
  </si>
  <si>
    <t>ZVPG_u_2709</t>
  </si>
  <si>
    <t>Лялюк Артем Сергійович</t>
  </si>
  <si>
    <t>ZVPG_u_2710</t>
  </si>
  <si>
    <t>Бутов Максим Валерійович</t>
  </si>
  <si>
    <t>ZVPG_u_2711</t>
  </si>
  <si>
    <t>Абраменко Руслан Дмитрович</t>
  </si>
  <si>
    <t>ZVPG_u_2712</t>
  </si>
  <si>
    <t>Бадрак Каміла</t>
  </si>
  <si>
    <t>Черкаська загальноосвітня школа І-ІІІ ступенів №7 Черкаської міської ради Черкаської області</t>
  </si>
  <si>
    <t>ZVPG_u_2713</t>
  </si>
  <si>
    <t>Борзова Дар'я</t>
  </si>
  <si>
    <t>ZVPG_u_2714</t>
  </si>
  <si>
    <t>Глизенко Маріна</t>
  </si>
  <si>
    <t>ZVPG_u_2715</t>
  </si>
  <si>
    <t>Даниленко Михайло</t>
  </si>
  <si>
    <t>ZVPG_u_2716</t>
  </si>
  <si>
    <t>Жук Поліна</t>
  </si>
  <si>
    <t>ZVPG_u_2717</t>
  </si>
  <si>
    <t>Захарченко Єгор</t>
  </si>
  <si>
    <t>ZVPG_u_2718</t>
  </si>
  <si>
    <t>Колосов Дмітрій</t>
  </si>
  <si>
    <t>ZVPG_u_2719</t>
  </si>
  <si>
    <t>Корчевний Андрій</t>
  </si>
  <si>
    <t>ZVPG_u_2720</t>
  </si>
  <si>
    <t>Коцар Данііл</t>
  </si>
  <si>
    <t>ZVPG_u_2721</t>
  </si>
  <si>
    <t>Кривко Олександр</t>
  </si>
  <si>
    <t>ZVPG_u_2722</t>
  </si>
  <si>
    <t>Круць Іван</t>
  </si>
  <si>
    <t>ZVPG_u_2723</t>
  </si>
  <si>
    <t>Літовченко Гліб</t>
  </si>
  <si>
    <t>ZVPG_u_2724</t>
  </si>
  <si>
    <t>Лупашко Катерина</t>
  </si>
  <si>
    <t>ZVPG_u_2725</t>
  </si>
  <si>
    <t>Льонко Назар</t>
  </si>
  <si>
    <t>ZVPG_u_2726</t>
  </si>
  <si>
    <t>Мірошник Анна</t>
  </si>
  <si>
    <t>ZVPG_u_2727</t>
  </si>
  <si>
    <t>Мірошник Оксана</t>
  </si>
  <si>
    <t>ZVPG_u_2728</t>
  </si>
  <si>
    <t>Моргун Сергій</t>
  </si>
  <si>
    <t>ZVPG_u_2729</t>
  </si>
  <si>
    <t>Морєнкова Софія</t>
  </si>
  <si>
    <t>ZVPG_u_2730</t>
  </si>
  <si>
    <t>Немчинов Іван</t>
  </si>
  <si>
    <t>ZVPG_u_2731</t>
  </si>
  <si>
    <t>Павлінський Іван</t>
  </si>
  <si>
    <t>ZVPG_u_2732</t>
  </si>
  <si>
    <t>Палубінський Артем</t>
  </si>
  <si>
    <t>ZVPG_u_2733</t>
  </si>
  <si>
    <t>Петраш Маргарита</t>
  </si>
  <si>
    <t>ZVPG_u_2734</t>
  </si>
  <si>
    <t>Радованов Микита</t>
  </si>
  <si>
    <t>ZVPG_u_2735</t>
  </si>
  <si>
    <t>Сопрун Тимофій</t>
  </si>
  <si>
    <t>ZVPG_u_2736</t>
  </si>
  <si>
    <t>Тараненко Артем</t>
  </si>
  <si>
    <t>ZVPG_u_2737</t>
  </si>
  <si>
    <t>Ткаченко Софія</t>
  </si>
  <si>
    <t>ZVPG_u_2738</t>
  </si>
  <si>
    <t>Харченко Альберт</t>
  </si>
  <si>
    <t>ZVPG_u_2739</t>
  </si>
  <si>
    <t>Мамедов Артур</t>
  </si>
  <si>
    <t>ZVPG_u_2740</t>
  </si>
  <si>
    <t>Сердюк Артем</t>
  </si>
  <si>
    <t>ZVPG_u_2741</t>
  </si>
  <si>
    <t>Мартиненко Максим</t>
  </si>
  <si>
    <t>ZVPG_u_2742</t>
  </si>
  <si>
    <t>Турченко Софія</t>
  </si>
  <si>
    <t>ZVPG_u_2743</t>
  </si>
  <si>
    <t>Засенко Діана</t>
  </si>
  <si>
    <t>ZVPG_u_2744</t>
  </si>
  <si>
    <t>Терещенко Данило</t>
  </si>
  <si>
    <t>ZVPG_u_2745</t>
  </si>
  <si>
    <t>Балахонов Денис</t>
  </si>
  <si>
    <t>ZVPG_u_2746</t>
  </si>
  <si>
    <t>Репін Нікіта</t>
  </si>
  <si>
    <t>ZVPG_u_2747</t>
  </si>
  <si>
    <t>Іванов Радомир</t>
  </si>
  <si>
    <t>ZVPG_u_2748</t>
  </si>
  <si>
    <t>Педан Анна</t>
  </si>
  <si>
    <t>ZVPG_u_2749</t>
  </si>
  <si>
    <t>Костенко Софія</t>
  </si>
  <si>
    <t>ZVPG_u_2750</t>
  </si>
  <si>
    <t>Захарченко Роман</t>
  </si>
  <si>
    <t>ZVPG_u_2751</t>
  </si>
  <si>
    <t>Щербатюк Маргарита</t>
  </si>
  <si>
    <t>ZVPG_u_2752</t>
  </si>
  <si>
    <t>Воловнік Олександр Володимирович</t>
  </si>
  <si>
    <t>Княгининський ліцей</t>
  </si>
  <si>
    <t>ZVPG_u_2753</t>
  </si>
  <si>
    <t>Козяр Олександр Олександрович</t>
  </si>
  <si>
    <t>ZVPG_u_2754</t>
  </si>
  <si>
    <t>Черняк Матвій Олегович</t>
  </si>
  <si>
    <t>ZVPG_u_2755</t>
  </si>
  <si>
    <t>Смочек Наталія Василівна</t>
  </si>
  <si>
    <t>ZVPG_u_2756</t>
  </si>
  <si>
    <t>Карпюк Софія Сергіївна</t>
  </si>
  <si>
    <t>ZVPG_u_2757</t>
  </si>
  <si>
    <t>Семенчук Богдан Олегович</t>
  </si>
  <si>
    <t>ZVPG_u_2758</t>
  </si>
  <si>
    <t>Подворний Ілля Олегович</t>
  </si>
  <si>
    <t>ZVPG_u_2759</t>
  </si>
  <si>
    <t>Бичковський Максим</t>
  </si>
  <si>
    <t>Вищетарасівський ліцей Мирівської сільської ради Нікопольського району Дніпропетровської області</t>
  </si>
  <si>
    <t>ZVPG_u_2760</t>
  </si>
  <si>
    <t>Олексюк Павло</t>
  </si>
  <si>
    <t>ZVPG_u_2761</t>
  </si>
  <si>
    <t>Генбльов Станіслав</t>
  </si>
  <si>
    <t>ZVPG_u_2762</t>
  </si>
  <si>
    <t>Заполучніков Єгор</t>
  </si>
  <si>
    <t>ZVPG_u_2763</t>
  </si>
  <si>
    <t xml:space="preserve">Сайдан Станіслав </t>
  </si>
  <si>
    <t>ZVPG_u_2764</t>
  </si>
  <si>
    <t>Бабенко Артур Євгенійович</t>
  </si>
  <si>
    <t>Люботинська загальноосвітня школа І-ІІІ ступенів № 6 Люботинської міської ради Харківської області ;</t>
  </si>
  <si>
    <t>ZVPG_u_2765</t>
  </si>
  <si>
    <t>Гапоненко Денис Ігорович</t>
  </si>
  <si>
    <t>ZVPG_u_2766</t>
  </si>
  <si>
    <t>Доленко Ксенія Олександрівна</t>
  </si>
  <si>
    <t>ZVPG_u_2767</t>
  </si>
  <si>
    <t>Домніч Антон Володимирович</t>
  </si>
  <si>
    <t>ZVPG_u_2768</t>
  </si>
  <si>
    <t>Єремей Артем Сергійович</t>
  </si>
  <si>
    <t>ZVPG_u_2769</t>
  </si>
  <si>
    <t>Жорник Богдан Андійович</t>
  </si>
  <si>
    <t>ZVPG_u_2770</t>
  </si>
  <si>
    <t>Качало Владислав Романович</t>
  </si>
  <si>
    <t>ZVPG_u_2771</t>
  </si>
  <si>
    <t>Кузьминська Каміла Сергійовна</t>
  </si>
  <si>
    <t>ZVPG_u_2772</t>
  </si>
  <si>
    <t>Лук'яненко Софія Віталіївна</t>
  </si>
  <si>
    <t>ZVPG_u_2773</t>
  </si>
  <si>
    <t>Мєзєрна Карина Іванівна</t>
  </si>
  <si>
    <t>ZVPG_u_2774</t>
  </si>
  <si>
    <t>Первишова Анастасія Сергіївна</t>
  </si>
  <si>
    <t>ZVPG_u_2775</t>
  </si>
  <si>
    <t>Середа Валерія Олександрівна</t>
  </si>
  <si>
    <t>ZVPG_u_2776</t>
  </si>
  <si>
    <t>Синякова Поліна Артемівна</t>
  </si>
  <si>
    <t>ZVPG_u_2777</t>
  </si>
  <si>
    <t>Ситченко Андрій Романович</t>
  </si>
  <si>
    <t>ZVPG_u_2778</t>
  </si>
  <si>
    <t>Скоблікова Аліса Костянтинівна</t>
  </si>
  <si>
    <t>ZVPG_u_2779</t>
  </si>
  <si>
    <t>Стецюк Микита Євгенович</t>
  </si>
  <si>
    <t>ZVPG_u_2780</t>
  </si>
  <si>
    <t>Удовенко Анна Романівна</t>
  </si>
  <si>
    <t>ZVPG_u_2781</t>
  </si>
  <si>
    <t>Цибань Соломія Олександрівна</t>
  </si>
  <si>
    <t>ZVPG_u_2782</t>
  </si>
  <si>
    <t>Антонюк Віктор Васильович</t>
  </si>
  <si>
    <t>Іванівський ліцей Березівської сільської ради Житомирського району</t>
  </si>
  <si>
    <t>ZVPG_u_2783</t>
  </si>
  <si>
    <t>Андрійчук Владислав Сергійович</t>
  </si>
  <si>
    <t>ZVPG_u_2784</t>
  </si>
  <si>
    <t>Дмитрук Дмитро Романович</t>
  </si>
  <si>
    <t>ZVPG_u_2785</t>
  </si>
  <si>
    <t>Забродський Ярослав Ігорович</t>
  </si>
  <si>
    <t>ZVPG_u_2786</t>
  </si>
  <si>
    <t>Павлюк Анна Олегівна</t>
  </si>
  <si>
    <t>ZVPG_u_2787</t>
  </si>
  <si>
    <t>Талько Варвара Русланівна</t>
  </si>
  <si>
    <t>ZVPG_u_2788</t>
  </si>
  <si>
    <t>Сівченко Анастасія Дмитрівна</t>
  </si>
  <si>
    <t>ZVPG_u_2789</t>
  </si>
  <si>
    <t>Сладківський Кіріл Олександрович</t>
  </si>
  <si>
    <t>ZVPG_u_2790</t>
  </si>
  <si>
    <t>Шелягіна Єлизавета Сергіївна</t>
  </si>
  <si>
    <t>ZVPG_u_2791</t>
  </si>
  <si>
    <t>Яценко Юлія Богданівна</t>
  </si>
  <si>
    <t>ZVPG_u_2792</t>
  </si>
  <si>
    <t>Касяненко Артем Михайлович</t>
  </si>
  <si>
    <t>Харківська спеціальна школа №2 Харківської обласної ради</t>
  </si>
  <si>
    <t>ZVPG_u_2793</t>
  </si>
  <si>
    <t>Баринова Юлія</t>
  </si>
  <si>
    <t>Комунальний заклад "Гімназія №34" Кам'янської міської ради</t>
  </si>
  <si>
    <t>ZVPG_u_2794</t>
  </si>
  <si>
    <t>Воробйов Ярослав</t>
  </si>
  <si>
    <t>ZVPG_u_2795</t>
  </si>
  <si>
    <t>Граждан Станіслав</t>
  </si>
  <si>
    <t>ZVPG_u_2796</t>
  </si>
  <si>
    <t>Гуменна Кіра</t>
  </si>
  <si>
    <t>ZVPG_u_2797</t>
  </si>
  <si>
    <t>Зубко Поліна</t>
  </si>
  <si>
    <t>ZVPG_u_2798</t>
  </si>
  <si>
    <t>Лисенко Олександр</t>
  </si>
  <si>
    <t>ZVPG_u_2799</t>
  </si>
  <si>
    <t>Морозов Артем</t>
  </si>
  <si>
    <t>ZVPG_u_2800</t>
  </si>
  <si>
    <t>Морозюк Роман</t>
  </si>
  <si>
    <t>ZVPG_u_2801</t>
  </si>
  <si>
    <t>Мущинський Ілля</t>
  </si>
  <si>
    <t>ZVPG_u_2802</t>
  </si>
  <si>
    <t>Ноздрачьова Аліна</t>
  </si>
  <si>
    <t>ZVPG_u_2803</t>
  </si>
  <si>
    <t>Попович Матвій</t>
  </si>
  <si>
    <t>ZVPG_u_2804</t>
  </si>
  <si>
    <t>Троценко Софія</t>
  </si>
  <si>
    <t>ZVPG_u_2805</t>
  </si>
  <si>
    <t>Хабібуліна Аліна</t>
  </si>
  <si>
    <t>ZVPG_u_2806</t>
  </si>
  <si>
    <t>Харенко Кирило</t>
  </si>
  <si>
    <t>ZVPG_u_2807</t>
  </si>
  <si>
    <t>Хлюстікова Віолетта</t>
  </si>
  <si>
    <t>ZVPG_u_2808</t>
  </si>
  <si>
    <t>Шипко Євгеній</t>
  </si>
  <si>
    <t>ZVPG_u_2809</t>
  </si>
  <si>
    <t>Щукін Максим</t>
  </si>
  <si>
    <t>ZVPG_u_2810</t>
  </si>
  <si>
    <t>Шумило Нікіта</t>
  </si>
  <si>
    <t>Комунальний заклад Сумської обласної ради - обласний центр позашкільної освіти та роботи з талановитою молоддю</t>
  </si>
  <si>
    <t>ZVPG_u_2811</t>
  </si>
  <si>
    <t>Солодовник Даня</t>
  </si>
  <si>
    <t>ZVPG_u_2812</t>
  </si>
  <si>
    <t>Усенко Настя</t>
  </si>
  <si>
    <t>ZVPG_u_2813</t>
  </si>
  <si>
    <t>Протасов Максим</t>
  </si>
  <si>
    <t>ZVPG_u_2814</t>
  </si>
  <si>
    <t>Бабак Анна</t>
  </si>
  <si>
    <t>ПЗО КМДШ</t>
  </si>
  <si>
    <t>ZVPG_u_2815</t>
  </si>
  <si>
    <t>Васько Марта</t>
  </si>
  <si>
    <t>ZVPG_u_2816</t>
  </si>
  <si>
    <t>Дука Поліна</t>
  </si>
  <si>
    <t>ZVPG_u_2817</t>
  </si>
  <si>
    <t>Куріцина Мілана</t>
  </si>
  <si>
    <t>ZVPG_u_2818</t>
  </si>
  <si>
    <t>Литвінов Стефан</t>
  </si>
  <si>
    <t>ZVPG_u_2819</t>
  </si>
  <si>
    <t>Мельник Дарина</t>
  </si>
  <si>
    <t>ZVPG_u_2820</t>
  </si>
  <si>
    <t>Попович Олександр</t>
  </si>
  <si>
    <t>ZVPG_u_2821</t>
  </si>
  <si>
    <t>Рябченюк Ганна</t>
  </si>
  <si>
    <t>ZVPG_u_2822</t>
  </si>
  <si>
    <t>Тихонов Ілля</t>
  </si>
  <si>
    <t>ZVPG_u_2823</t>
  </si>
  <si>
    <t>Обозна Аліна Олександрівна</t>
  </si>
  <si>
    <t>Комунальний заклад "Харківська гімназія 86 Харківської міської ради "</t>
  </si>
  <si>
    <t>ZVPG_u_2824</t>
  </si>
  <si>
    <t>Добросол Поліна Романівна</t>
  </si>
  <si>
    <t>ZVPG_u_2825</t>
  </si>
  <si>
    <t>Ковальова Кароліна Андріївна</t>
  </si>
  <si>
    <t>ZVPG_u_2826</t>
  </si>
  <si>
    <t>Альхударі Юсіф Айман</t>
  </si>
  <si>
    <t>ZVPG_u_2827</t>
  </si>
  <si>
    <t>Бондаренко Аріна Олександрівна</t>
  </si>
  <si>
    <t>ZVPG_u_2828</t>
  </si>
  <si>
    <t>Кирєєва Злата Олександрівна</t>
  </si>
  <si>
    <t>ZVPG_u_2829</t>
  </si>
  <si>
    <t>Мельник Андрій Олександрович</t>
  </si>
  <si>
    <t>ZVPG_u_2830</t>
  </si>
  <si>
    <t>Мурановський Тимур Русланович</t>
  </si>
  <si>
    <t>ZVPG_u_2831</t>
  </si>
  <si>
    <t>Назаренко Єлизавета Павлівна</t>
  </si>
  <si>
    <t>ZVPG_u_2832</t>
  </si>
  <si>
    <t>Руденко Анна Олександрівна</t>
  </si>
  <si>
    <t>ZVPG_u_2833</t>
  </si>
  <si>
    <t>Тищенко Максим Віталійович</t>
  </si>
  <si>
    <t>ZVPG_u_2834</t>
  </si>
  <si>
    <t>Марченко Вікторія</t>
  </si>
  <si>
    <t>Бершадський ліцей</t>
  </si>
  <si>
    <t>ZVPG_u_2835</t>
  </si>
  <si>
    <t>Стебловська Софія</t>
  </si>
  <si>
    <t>ZVPG_u_2836</t>
  </si>
  <si>
    <t>Феклістов Артем</t>
  </si>
  <si>
    <t>ZVPG_u_2837</t>
  </si>
  <si>
    <t>Чернецький Владислав</t>
  </si>
  <si>
    <t>ZVPG_u_2838</t>
  </si>
  <si>
    <t>Швець Вадим</t>
  </si>
  <si>
    <t>ZVPG_u_2839</t>
  </si>
  <si>
    <t>Яковець Христина</t>
  </si>
  <si>
    <t>ZVPG_u_2840</t>
  </si>
  <si>
    <t>Хіміч Ілля</t>
  </si>
  <si>
    <t>ZVPG_u_2841</t>
  </si>
  <si>
    <t>Зарічанський Богдан</t>
  </si>
  <si>
    <t>ZVPG_u_2842</t>
  </si>
  <si>
    <t>Зіньківський Ярослав</t>
  </si>
  <si>
    <t>ZVPG_u_2843</t>
  </si>
  <si>
    <t>Малихова Софія</t>
  </si>
  <si>
    <t>ZVPG_u_2844</t>
  </si>
  <si>
    <t>Ратушняк Дмитро</t>
  </si>
  <si>
    <t>ZVPG_u_2845</t>
  </si>
  <si>
    <t>Руденко Яна</t>
  </si>
  <si>
    <t>ZVPG_u_2846</t>
  </si>
  <si>
    <t>Терінчик Вікторія</t>
  </si>
  <si>
    <t>ZVPG_u_2847</t>
  </si>
  <si>
    <t>Цимбалюк Дмитро</t>
  </si>
  <si>
    <t>ZVPG_u_2848</t>
  </si>
  <si>
    <t>Чопко Вероніка</t>
  </si>
  <si>
    <t>ZVPG_u_2849</t>
  </si>
  <si>
    <t>Швець Тетяна</t>
  </si>
  <si>
    <t>ZVPG_u_2850</t>
  </si>
  <si>
    <t>Будкевич Максим</t>
  </si>
  <si>
    <t>ZVPG_u_2851</t>
  </si>
  <si>
    <t>Вєтрова Дар'я</t>
  </si>
  <si>
    <t>ZVPG_u_2852</t>
  </si>
  <si>
    <t>Гарник Іван</t>
  </si>
  <si>
    <t>ZVPG_u_2853</t>
  </si>
  <si>
    <t>Дунаєвська Юлія</t>
  </si>
  <si>
    <t>ZVPG_u_2854</t>
  </si>
  <si>
    <t>Коваль Ярослава</t>
  </si>
  <si>
    <t>ZVPG_u_2855</t>
  </si>
  <si>
    <t>ZVPG_u_2856</t>
  </si>
  <si>
    <t>Крушельницький Андрій</t>
  </si>
  <si>
    <t>ZVPG_u_2857</t>
  </si>
  <si>
    <t>Янишин Ярина</t>
  </si>
  <si>
    <t>Завадівська гімназія</t>
  </si>
  <si>
    <t>ZVPG_u_2858</t>
  </si>
  <si>
    <t>Голодович Юрій</t>
  </si>
  <si>
    <t>ZVPG_u_2859</t>
  </si>
  <si>
    <t>Римарчук Ілона</t>
  </si>
  <si>
    <t>ZVPG_u_2860</t>
  </si>
  <si>
    <t>Костецький Остап</t>
  </si>
  <si>
    <t>ZVPG_u_2861</t>
  </si>
  <si>
    <t>Лисишин Аліна</t>
  </si>
  <si>
    <t>ZVPG_u_2862</t>
  </si>
  <si>
    <t>Николин Омелян</t>
  </si>
  <si>
    <t>ZVPG_u_2863</t>
  </si>
  <si>
    <t>Ільків Поліна</t>
  </si>
  <si>
    <t>ZVPG_u_2864</t>
  </si>
  <si>
    <t>Лесишин Анастасія</t>
  </si>
  <si>
    <t>ZVPG_u_2865</t>
  </si>
  <si>
    <t>Артеменко Марина</t>
  </si>
  <si>
    <t>Херсонська загальноосвітня школа І-ІІІ ступенів №44 Херсонської міської ради</t>
  </si>
  <si>
    <t>ZVPG_u_2866</t>
  </si>
  <si>
    <t>Дружинін Микита</t>
  </si>
  <si>
    <t>ZVPG_u_2867</t>
  </si>
  <si>
    <t>Жоров Олексій</t>
  </si>
  <si>
    <t>ZVPG_u_2868</t>
  </si>
  <si>
    <t>Хоменко Юлія</t>
  </si>
  <si>
    <t>ZVPG_u_2869</t>
  </si>
  <si>
    <t>Васьова Карина</t>
  </si>
  <si>
    <t>ZVPG_u_2870</t>
  </si>
  <si>
    <t>Ушачов Денис</t>
  </si>
  <si>
    <t>ZVPG_u_2871</t>
  </si>
  <si>
    <t>Кобець Вероніка</t>
  </si>
  <si>
    <t>ZVPG_u_2872</t>
  </si>
  <si>
    <t>Мацієвич Даніїл</t>
  </si>
  <si>
    <t>ZVPG_u_2873</t>
  </si>
  <si>
    <t>Рудико Ростислав</t>
  </si>
  <si>
    <t>ZVPG_u_2874</t>
  </si>
  <si>
    <t>Стасюк Даніїл</t>
  </si>
  <si>
    <t>ZVPG_u_2875</t>
  </si>
  <si>
    <t>Тупіков Євген</t>
  </si>
  <si>
    <t>ZVPG_u_2876</t>
  </si>
  <si>
    <t>Гавриленко Данил</t>
  </si>
  <si>
    <t>ZVPG_u_2877</t>
  </si>
  <si>
    <t>Закоморін Ярослав</t>
  </si>
  <si>
    <t>ZVPG_u_2878</t>
  </si>
  <si>
    <t>Осипенко Богдан</t>
  </si>
  <si>
    <t>ZVPG_u_2879</t>
  </si>
  <si>
    <t>Скіба Данііл</t>
  </si>
  <si>
    <t>ZVPG_u_2880</t>
  </si>
  <si>
    <t>Чаплига Владислав</t>
  </si>
  <si>
    <t>ZVPG_u_2881</t>
  </si>
  <si>
    <t>Аксьонова Марія</t>
  </si>
  <si>
    <t>ZVPG_u_2882</t>
  </si>
  <si>
    <t>Буренко Олександра</t>
  </si>
  <si>
    <t>ZVPG_u_2883</t>
  </si>
  <si>
    <t>Мануйленко Софія</t>
  </si>
  <si>
    <t>ZVPG_u_2884</t>
  </si>
  <si>
    <t>Павліченко Маргарита</t>
  </si>
  <si>
    <t>ZVPG_u_2885</t>
  </si>
  <si>
    <t>Псурцева Альбіна</t>
  </si>
  <si>
    <t>ZVPG_u_2886</t>
  </si>
  <si>
    <t xml:space="preserve">Савенко Глорія-Єва </t>
  </si>
  <si>
    <t>ZVPG_u_2887</t>
  </si>
  <si>
    <t>Сластіон Владислав</t>
  </si>
  <si>
    <t>ZVPG_u_2888</t>
  </si>
  <si>
    <t>Шуцька Вікторія</t>
  </si>
  <si>
    <t>ZVPG_u_2889</t>
  </si>
  <si>
    <t>Літвін Іван</t>
  </si>
  <si>
    <t>ZVPG_u_2890</t>
  </si>
  <si>
    <t>Авраменко Богдан</t>
  </si>
  <si>
    <t>ZVPG_u_2891</t>
  </si>
  <si>
    <t>Дума Вікторія</t>
  </si>
  <si>
    <t>ZVPG_u_2892</t>
  </si>
  <si>
    <t>Логвінов Андрій</t>
  </si>
  <si>
    <t>ZVPG_u_2893</t>
  </si>
  <si>
    <t>Маслов Вадим</t>
  </si>
  <si>
    <t>ZVPG_u_2894</t>
  </si>
  <si>
    <t>Ольховенко Кирило</t>
  </si>
  <si>
    <t>ZVPG_u_2895</t>
  </si>
  <si>
    <t>Рощін Кирило</t>
  </si>
  <si>
    <t>ZVPG_u_2896</t>
  </si>
  <si>
    <t>Сафронова Оксана</t>
  </si>
  <si>
    <t>ZVPG_u_2897</t>
  </si>
  <si>
    <t>Хоменко Анна</t>
  </si>
  <si>
    <t>ZVPG_u_2898</t>
  </si>
  <si>
    <t>Юркевич Єгор</t>
  </si>
  <si>
    <t>ZVPG_u_2899</t>
  </si>
  <si>
    <t>Чабан Іван</t>
  </si>
  <si>
    <t>ZVPG_u_2900</t>
  </si>
  <si>
    <t>Лушніков Артем</t>
  </si>
  <si>
    <t>ZVPG_u_2901</t>
  </si>
  <si>
    <t>Спотар Максим</t>
  </si>
  <si>
    <t>ZVPG_u_2902</t>
  </si>
  <si>
    <t>Степанюк Христин</t>
  </si>
  <si>
    <t>ZVPG_u_2903</t>
  </si>
  <si>
    <t>Шевченко Павло</t>
  </si>
  <si>
    <t>ZVPG_u_2904</t>
  </si>
  <si>
    <t>Коваленко Матвій</t>
  </si>
  <si>
    <t>ZVPG_u_2905</t>
  </si>
  <si>
    <t>Кип'ятков Олег</t>
  </si>
  <si>
    <t>ZVPG_u_2906</t>
  </si>
  <si>
    <t>Голощапов Ярослав</t>
  </si>
  <si>
    <t>ZVPG_u_2907</t>
  </si>
  <si>
    <t>Кажукало Вероніка</t>
  </si>
  <si>
    <t>ZVPG_u_2908</t>
  </si>
  <si>
    <t>Кобець Глєб</t>
  </si>
  <si>
    <t>ZVPG_u_2909</t>
  </si>
  <si>
    <t>Козлова Наталія</t>
  </si>
  <si>
    <t>ZVPG_u_2910</t>
  </si>
  <si>
    <t>Митницька Юлія</t>
  </si>
  <si>
    <t>ZVPG_u_2911</t>
  </si>
  <si>
    <t>Прудкий Максим</t>
  </si>
  <si>
    <t>ZVPG_u_2912</t>
  </si>
  <si>
    <t>Сайченко Іван</t>
  </si>
  <si>
    <t>ZVPG_u_2913</t>
  </si>
  <si>
    <t>Стасюк Влада</t>
  </si>
  <si>
    <t>ZVPG_u_2914</t>
  </si>
  <si>
    <t>Савенко Іванна-Соломія</t>
  </si>
  <si>
    <t>ZVPG_u_2915</t>
  </si>
  <si>
    <t>Комзов Іван</t>
  </si>
  <si>
    <t>ZVPG_u_2916</t>
  </si>
  <si>
    <t xml:space="preserve">Мационова Олександра </t>
  </si>
  <si>
    <t>ZVPG_u_2917</t>
  </si>
  <si>
    <t>Онищенко Юлія</t>
  </si>
  <si>
    <t>ZVPG_u_2918</t>
  </si>
  <si>
    <t>Євграфова Злата</t>
  </si>
  <si>
    <t>Опорний заклад освіти "Софіївсько-Борщагівський ліцей" Борщагівської селищної ради Бучанського району Київської області</t>
  </si>
  <si>
    <t>ZVPG_u_2919</t>
  </si>
  <si>
    <t>Полюхович Роман</t>
  </si>
  <si>
    <t>ZVPG_u_2920</t>
  </si>
  <si>
    <t>Борушко Матвій</t>
  </si>
  <si>
    <t>ZVPG_u_2921</t>
  </si>
  <si>
    <t>Мазур Катерина</t>
  </si>
  <si>
    <t>ZVPG_u_2922</t>
  </si>
  <si>
    <t>Данилова Дарина</t>
  </si>
  <si>
    <t>ZVPG_u_2923</t>
  </si>
  <si>
    <t>Левкович Аліса</t>
  </si>
  <si>
    <t>ZVPG_u_2924</t>
  </si>
  <si>
    <t>Сутирін Михайло</t>
  </si>
  <si>
    <t>ZVPG_u_2925</t>
  </si>
  <si>
    <t>Козловська Альона</t>
  </si>
  <si>
    <t>ZVPG_u_2926</t>
  </si>
  <si>
    <t>Тиж Владислав</t>
  </si>
  <si>
    <t>ZVPG_u_2927</t>
  </si>
  <si>
    <t>Калюх Артем</t>
  </si>
  <si>
    <t>ZVPG_u_2928</t>
  </si>
  <si>
    <t>Бєлєнький Євгеній</t>
  </si>
  <si>
    <t>ZVPG_u_2929</t>
  </si>
  <si>
    <t>Хуторянський Дмитро</t>
  </si>
  <si>
    <t>ZVPG_u_2930</t>
  </si>
  <si>
    <t>Дячок Євгеній</t>
  </si>
  <si>
    <t>ZVPG_u_2931</t>
  </si>
  <si>
    <t>Ступаченко Мілана</t>
  </si>
  <si>
    <t>ZVPG_u_2932</t>
  </si>
  <si>
    <t>Кукало Софія</t>
  </si>
  <si>
    <t>ZVPG_u_2933</t>
  </si>
  <si>
    <t>Біслімакі Юлія</t>
  </si>
  <si>
    <t>ZVPG_u_2934</t>
  </si>
  <si>
    <t>Ландик Сергій</t>
  </si>
  <si>
    <t>ZVPG_u_2935</t>
  </si>
  <si>
    <t>Марченко Назар</t>
  </si>
  <si>
    <t>ZVPG_u_2936</t>
  </si>
  <si>
    <t>Дженгіз Маркус</t>
  </si>
  <si>
    <t>ZVPG_u_2937</t>
  </si>
  <si>
    <t>Хуторна Марія</t>
  </si>
  <si>
    <t>ZVPG_u_2938</t>
  </si>
  <si>
    <t>Кравець Максим</t>
  </si>
  <si>
    <t>ZVPG_u_2939</t>
  </si>
  <si>
    <t>Самольотова Ксенія</t>
  </si>
  <si>
    <t>ZVPG_u_2940</t>
  </si>
  <si>
    <t>Руденко Ілля</t>
  </si>
  <si>
    <t>ZVPG_u_2941</t>
  </si>
  <si>
    <t>Паращук Валерія</t>
  </si>
  <si>
    <t>ZVPG_u_2942</t>
  </si>
  <si>
    <t>Давиденко Андрій</t>
  </si>
  <si>
    <t>ZVPG_u_2943</t>
  </si>
  <si>
    <t>Хмарська Анастасія</t>
  </si>
  <si>
    <t>ZVPG_u_2944</t>
  </si>
  <si>
    <t>Бинзар Єва</t>
  </si>
  <si>
    <t>ZVPG_u_2945</t>
  </si>
  <si>
    <t>Вовкула Поліна</t>
  </si>
  <si>
    <t>ZVPG_u_2946</t>
  </si>
  <si>
    <t>Мандебура Олександр</t>
  </si>
  <si>
    <t>ZVPG_u_2947</t>
  </si>
  <si>
    <t>Сіренко Каміла</t>
  </si>
  <si>
    <t>ZVPG_u_2948</t>
  </si>
  <si>
    <t xml:space="preserve">Комзов Данил </t>
  </si>
  <si>
    <t>ZVPG_u_2949</t>
  </si>
  <si>
    <t>Кремень Віталій</t>
  </si>
  <si>
    <t>ZVPG_u_2950</t>
  </si>
  <si>
    <t>Тіунов Андрій</t>
  </si>
  <si>
    <t>ZVPG_u_2951</t>
  </si>
  <si>
    <t>Баранков Артем</t>
  </si>
  <si>
    <t>ZVPG_u_2952</t>
  </si>
  <si>
    <t>Волошина Дарина</t>
  </si>
  <si>
    <t>ZVPG_u_2953</t>
  </si>
  <si>
    <t>Грозинська Вікторія</t>
  </si>
  <si>
    <t>ZVPG_u_2954</t>
  </si>
  <si>
    <t>Капука Назар</t>
  </si>
  <si>
    <t>ZVPG_u_2955</t>
  </si>
  <si>
    <t>Маркович Кіра</t>
  </si>
  <si>
    <t>ZVPG_u_2956</t>
  </si>
  <si>
    <t>Нечай Володимир</t>
  </si>
  <si>
    <t>ZVPG_u_2957</t>
  </si>
  <si>
    <t>Попсуй Максим</t>
  </si>
  <si>
    <t>ZVPG_u_2958</t>
  </si>
  <si>
    <t>Токоренко Даніїл</t>
  </si>
  <si>
    <t>ZVPG_u_2959</t>
  </si>
  <si>
    <t>Оконешніков Олексій</t>
  </si>
  <si>
    <t>ZVPG_u_2960</t>
  </si>
  <si>
    <t>Андрущенко Віталій</t>
  </si>
  <si>
    <t>ZVPG_u_2961</t>
  </si>
  <si>
    <t>Бевзенко Артем</t>
  </si>
  <si>
    <t>ZVPG_u_2962</t>
  </si>
  <si>
    <t>Вакуленко Поліна</t>
  </si>
  <si>
    <t>ZVPG_u_2963</t>
  </si>
  <si>
    <t>Вільков Матвій</t>
  </si>
  <si>
    <t>ZVPG_u_2964</t>
  </si>
  <si>
    <t>Гарматюк Дамір</t>
  </si>
  <si>
    <t>ZVPG_u_2965</t>
  </si>
  <si>
    <t>Куліш Максим</t>
  </si>
  <si>
    <t>ZVPG_u_2966</t>
  </si>
  <si>
    <t>Ленський Артем</t>
  </si>
  <si>
    <t>ZVPG_u_2967</t>
  </si>
  <si>
    <t>Лисенко Каріна</t>
  </si>
  <si>
    <t>ZVPG_u_2968</t>
  </si>
  <si>
    <t>Мартинюк Яна</t>
  </si>
  <si>
    <t>ZVPG_u_2969</t>
  </si>
  <si>
    <t>Плєшков Дамір</t>
  </si>
  <si>
    <t>ZVPG_u_2970</t>
  </si>
  <si>
    <t>Самбул Тимофій</t>
  </si>
  <si>
    <t>ZVPG_u_2971</t>
  </si>
  <si>
    <t>Хоменко Ілля</t>
  </si>
  <si>
    <t>ZVPG_u_2972</t>
  </si>
  <si>
    <t>Анастасія Байрак</t>
  </si>
  <si>
    <t>Краматорський фаховий коледж технологій та дизайну</t>
  </si>
  <si>
    <t>ZVPG_u_2973</t>
  </si>
  <si>
    <t>Іван Денисик</t>
  </si>
  <si>
    <t>ZVPG_u_2974</t>
  </si>
  <si>
    <t>Ганна Карцева</t>
  </si>
  <si>
    <t>ZVPG_u_2975</t>
  </si>
  <si>
    <t>Вікторія Клементьєва</t>
  </si>
  <si>
    <t>ZVPG_u_2976</t>
  </si>
  <si>
    <t>Валерія Кукурян</t>
  </si>
  <si>
    <t>ZVPG_u_2977</t>
  </si>
  <si>
    <t>Ангеліна Лиходід</t>
  </si>
  <si>
    <t>ZVPG_u_2978</t>
  </si>
  <si>
    <t>Олена Панова</t>
  </si>
  <si>
    <t>ZVPG_u_2979</t>
  </si>
  <si>
    <t>Інна Реутова</t>
  </si>
  <si>
    <t>ZVPG_u_2980</t>
  </si>
  <si>
    <t>Анжеліка Стожко</t>
  </si>
  <si>
    <t>ZVPG_u_2981</t>
  </si>
  <si>
    <t>Валерія Таран</t>
  </si>
  <si>
    <t>ZVPG_u_2982</t>
  </si>
  <si>
    <t>Катерина Холодова</t>
  </si>
  <si>
    <t>ZVPG_u_2983</t>
  </si>
  <si>
    <t>Поліна Чернобривець</t>
  </si>
  <si>
    <t>ZVPG_u_2984</t>
  </si>
  <si>
    <t>Бабінчук Діана</t>
  </si>
  <si>
    <t xml:space="preserve">
Вінницький гуманітарний ліцей №1 ім.М.І.Пирогова</t>
  </si>
  <si>
    <t>ZVPG_u_2985</t>
  </si>
  <si>
    <t>Бірюкова Любов</t>
  </si>
  <si>
    <t>ZVPG_u_2986</t>
  </si>
  <si>
    <t>Верніковська Вероніка</t>
  </si>
  <si>
    <t>ZVPG_u_2987</t>
  </si>
  <si>
    <t>Горба Данило</t>
  </si>
  <si>
    <t>ZVPG_u_2988</t>
  </si>
  <si>
    <t>Коломацький Владислав</t>
  </si>
  <si>
    <t>ZVPG_u_2989</t>
  </si>
  <si>
    <t>Кравчук Владислав</t>
  </si>
  <si>
    <t>ZVPG_u_2990</t>
  </si>
  <si>
    <t>Мазур Вероніка</t>
  </si>
  <si>
    <t>ZVPG_u_2991</t>
  </si>
  <si>
    <t>Москаленко Софія</t>
  </si>
  <si>
    <t>ZVPG_u_2992</t>
  </si>
  <si>
    <t>Перката Ніка</t>
  </si>
  <si>
    <t>ZVPG_u_2993</t>
  </si>
  <si>
    <t>Печена Каріна</t>
  </si>
  <si>
    <t>ZVPG_u_2994</t>
  </si>
  <si>
    <t>Плетньов Артем</t>
  </si>
  <si>
    <t>ZVPG_u_2995</t>
  </si>
  <si>
    <t>Полякова Еліна</t>
  </si>
  <si>
    <t>ZVPG_u_2996</t>
  </si>
  <si>
    <t>Пундик Марія</t>
  </si>
  <si>
    <t>ZVPG_u_2997</t>
  </si>
  <si>
    <t>Стречень Аліса</t>
  </si>
  <si>
    <t>ZVPG_u_2998</t>
  </si>
  <si>
    <t>Цеханівська Софія</t>
  </si>
  <si>
    <t>ZVPG_u_2999</t>
  </si>
  <si>
    <t>Чупраков Назар</t>
  </si>
  <si>
    <t>ZVPG_u_3000</t>
  </si>
  <si>
    <t>Левкович Іван</t>
  </si>
  <si>
    <t>Волинський обласний ліцей з посиленою військово-фізичною підготовкою імені Героїв Небесної Сотні</t>
  </si>
  <si>
    <t>ZVPG_u_3001</t>
  </si>
  <si>
    <t>Ковальчук Анастасія</t>
  </si>
  <si>
    <t>ZVPG_u_3002</t>
  </si>
  <si>
    <t>Гураль Олег</t>
  </si>
  <si>
    <t>ZVPG_u_3003</t>
  </si>
  <si>
    <t>Алтуніна Катерина Олександрівна</t>
  </si>
  <si>
    <t>Первомайський ліцей "Ерудит" Первомайської міської ради</t>
  </si>
  <si>
    <t>ZVPG_u_3004</t>
  </si>
  <si>
    <t>Бережнюк Поліна Юріївна</t>
  </si>
  <si>
    <t>ZVPG_u_3005</t>
  </si>
  <si>
    <t>Воронова Анастасія Денисівна</t>
  </si>
  <si>
    <t>ZVPG_u_3006</t>
  </si>
  <si>
    <t>Ганноченко Катерина Денисівна</t>
  </si>
  <si>
    <t>ZVPG_u_3007</t>
  </si>
  <si>
    <t>Гладишев Назарій Миколайович</t>
  </si>
  <si>
    <t>ZVPG_u_3008</t>
  </si>
  <si>
    <t>Гладь Олександр Сергійович</t>
  </si>
  <si>
    <t>ZVPG_u_3009</t>
  </si>
  <si>
    <t>Дем'яновський Іван Андрійович</t>
  </si>
  <si>
    <t>ZVPG_u_3010</t>
  </si>
  <si>
    <t>Золотова Аріна Миколаївна</t>
  </si>
  <si>
    <t>ZVPG_u_3011</t>
  </si>
  <si>
    <t>Кетрарь Кирило Андрійович</t>
  </si>
  <si>
    <t>ZVPG_u_3012</t>
  </si>
  <si>
    <t>Клименчук Марія Сергіївна</t>
  </si>
  <si>
    <t>ZVPG_u_3013</t>
  </si>
  <si>
    <t>Кодриш Вадим Ігорович</t>
  </si>
  <si>
    <t>ZVPG_u_3014</t>
  </si>
  <si>
    <t>Підгорний Назарій Олегович</t>
  </si>
  <si>
    <t>ZVPG_u_3015</t>
  </si>
  <si>
    <t>Селіванов Лев Григорович</t>
  </si>
  <si>
    <t>ZVPG_u_3016</t>
  </si>
  <si>
    <t>Ачкевич Анастасія Віталіївна</t>
  </si>
  <si>
    <t>ZVPG_u_3017</t>
  </si>
  <si>
    <t>Бацько Нікіта Олександрович</t>
  </si>
  <si>
    <t>ZVPG_u_3018</t>
  </si>
  <si>
    <t>Жерносек Анна Геннадіївна</t>
  </si>
  <si>
    <t>ZVPG_u_3019</t>
  </si>
  <si>
    <t>Карман Андрій Сергійович</t>
  </si>
  <si>
    <t>ZVPG_u_3020</t>
  </si>
  <si>
    <t>Кириченко Кирило Михайлович</t>
  </si>
  <si>
    <t>ZVPG_u_3021</t>
  </si>
  <si>
    <t>Курій Матвій Юрійович</t>
  </si>
  <si>
    <t>ZVPG_u_3022</t>
  </si>
  <si>
    <t>Леонченко Антон Олександрович</t>
  </si>
  <si>
    <t>ZVPG_u_3023</t>
  </si>
  <si>
    <t>Зідрашко Віталій Олександрович</t>
  </si>
  <si>
    <t>ZVPG_u_3024</t>
  </si>
  <si>
    <t>Цибулька Олександр Дмитрович</t>
  </si>
  <si>
    <t>ZVPG_u_3025</t>
  </si>
  <si>
    <t>Кім Тимур Олексійович</t>
  </si>
  <si>
    <t>ZVPG_u_3026</t>
  </si>
  <si>
    <t>Ковальчук Валерія Олександрівна</t>
  </si>
  <si>
    <t>ZVPG_u_3027</t>
  </si>
  <si>
    <t>Коровкіна Анна Миколаївна</t>
  </si>
  <si>
    <t>ZVPG_u_3028</t>
  </si>
  <si>
    <t>Кулішова Евеліна Василівна</t>
  </si>
  <si>
    <t>ZVPG_u_3029</t>
  </si>
  <si>
    <t>Иатвієнко Вероніка Данилівна</t>
  </si>
  <si>
    <t>ZVPG_u_3030</t>
  </si>
  <si>
    <t>Мінасян Алєта Тігранівна</t>
  </si>
  <si>
    <t>ZVPG_u_3031</t>
  </si>
  <si>
    <t>Палсіка Вероніка Сергіївна</t>
  </si>
  <si>
    <t>ZVPG_u_3032</t>
  </si>
  <si>
    <t>Погорєлова Марія Сергіївна</t>
  </si>
  <si>
    <t>ZVPG_u_3033</t>
  </si>
  <si>
    <t>Севастьянов Кирило Михайлович</t>
  </si>
  <si>
    <t>ZVPG_u_3034</t>
  </si>
  <si>
    <t>Скачков Кирило Михайлович</t>
  </si>
  <si>
    <t>ZVPG_u_3035</t>
  </si>
  <si>
    <t>Чухрій Олександр Сергійович</t>
  </si>
  <si>
    <t>ZVPG_u_3036</t>
  </si>
  <si>
    <t>Шарацький Віталій Вікторович</t>
  </si>
  <si>
    <t>ZVPG_u_3037</t>
  </si>
  <si>
    <t>Щоткін Артур Юрійович</t>
  </si>
  <si>
    <t>ZVPG_u_3038</t>
  </si>
  <si>
    <t>Сидоренко Анастасія</t>
  </si>
  <si>
    <t>ДПТНЗ "Вінницьке міжрегіональне вище професійне училище"</t>
  </si>
  <si>
    <t>ZVPG_u_3039</t>
  </si>
  <si>
    <t>Андрощук Наталія</t>
  </si>
  <si>
    <t>ZVPG_u_3040</t>
  </si>
  <si>
    <t>Бондаренко Олександр</t>
  </si>
  <si>
    <t>ZVPG_u_3041</t>
  </si>
  <si>
    <t>Чухрій Діана</t>
  </si>
  <si>
    <t>ZVPG_u_3042</t>
  </si>
  <si>
    <t>Олівінська Ірина</t>
  </si>
  <si>
    <t>ZVPG_u_3043</t>
  </si>
  <si>
    <t>Захлєбна Юлія</t>
  </si>
  <si>
    <t>ZVPG_u_3044</t>
  </si>
  <si>
    <t>Болманенко Катерина</t>
  </si>
  <si>
    <t>ZVPG_u_3045</t>
  </si>
  <si>
    <t>Крупович Вероніка</t>
  </si>
  <si>
    <t>ZVPG_u_3046</t>
  </si>
  <si>
    <t>Урунов Павло Тімурович</t>
  </si>
  <si>
    <t>Богданівський ліцей Богданівської сільської ради Павлоградського району Дніпропетровської області</t>
  </si>
  <si>
    <t>ZVPG_u_3047</t>
  </si>
  <si>
    <t>Зібарєва Мирослава Юріївна</t>
  </si>
  <si>
    <t>ZVPG_u_3048</t>
  </si>
  <si>
    <t>Сафронійчук Роман Віталійович</t>
  </si>
  <si>
    <t>ZVPG_u_3049</t>
  </si>
  <si>
    <t>Селін Іван Андрійович</t>
  </si>
  <si>
    <t>ZVPG_u_3050</t>
  </si>
  <si>
    <t>Скачков Матвій Дмитрович</t>
  </si>
  <si>
    <t>ZVPG_u_3051</t>
  </si>
  <si>
    <t>Федоренко Олександр Юрійович</t>
  </si>
  <si>
    <t>ZVPG_u_3052</t>
  </si>
  <si>
    <t>Новосад Сабіна Романівна</t>
  </si>
  <si>
    <t>ZVPG_u_3053</t>
  </si>
  <si>
    <t>Єфремова Маргарита Сергіївна</t>
  </si>
  <si>
    <t>ZVPG_u_3054</t>
  </si>
  <si>
    <t>Інденко Назар Андрійович</t>
  </si>
  <si>
    <t>ZVPG_u_3055</t>
  </si>
  <si>
    <t>Круглін Артем Олексійович</t>
  </si>
  <si>
    <t>ZVPG_u_3056</t>
  </si>
  <si>
    <t>Лісна Мирослава Ігорівна</t>
  </si>
  <si>
    <t>ZVPG_u_3057</t>
  </si>
  <si>
    <t>Мартинов Назар Сергійович</t>
  </si>
  <si>
    <t>ZVPG_u_3058</t>
  </si>
  <si>
    <t>Нечаєва Анна Віталіївна</t>
  </si>
  <si>
    <t>ZVPG_u_3059</t>
  </si>
  <si>
    <t>Васильєва Катерина Володимирівна</t>
  </si>
  <si>
    <t>ZVPG_u_3060</t>
  </si>
  <si>
    <t>Пойлов Артем Данилович</t>
  </si>
  <si>
    <t>ZVPG_u_3061</t>
  </si>
  <si>
    <t>Барабаш Костянтин</t>
  </si>
  <si>
    <t>Харківський фаховий коледж спорту</t>
  </si>
  <si>
    <t>ZVPG_u_3062</t>
  </si>
  <si>
    <t>Вовченко Єгор</t>
  </si>
  <si>
    <t>ZVPG_u_3063</t>
  </si>
  <si>
    <t>Писарєв Тимофій</t>
  </si>
  <si>
    <t>ZVPG_u_3064</t>
  </si>
  <si>
    <t>Семенченко Ярослав</t>
  </si>
  <si>
    <t>ZVPG_u_3065</t>
  </si>
  <si>
    <t>Фанаскова Дар’я</t>
  </si>
  <si>
    <t>ZVPG_u_3066</t>
  </si>
  <si>
    <t>Марюхненко Тимофій</t>
  </si>
  <si>
    <t>ZVPG_u_3067</t>
  </si>
  <si>
    <t>Смєцкий Єгор</t>
  </si>
  <si>
    <t>ZVPG_u_3068</t>
  </si>
  <si>
    <t>Цепа Федір</t>
  </si>
  <si>
    <t>ZVPG_u_3069</t>
  </si>
  <si>
    <t>Барабаш Софія</t>
  </si>
  <si>
    <t>ZVPG_u_3070</t>
  </si>
  <si>
    <t>Волошина Аліна</t>
  </si>
  <si>
    <t>ZVPG_u_3071</t>
  </si>
  <si>
    <t>Болдир Іван</t>
  </si>
  <si>
    <t>ZVPG_u_3072</t>
  </si>
  <si>
    <t>Бідоленко Максим</t>
  </si>
  <si>
    <t>ZVPG_u_3073</t>
  </si>
  <si>
    <t>Дудолад Владислав</t>
  </si>
  <si>
    <t>ZVPG_u_3074</t>
  </si>
  <si>
    <t>Бергіна Аріана</t>
  </si>
  <si>
    <t>ZVPG_u_3075</t>
  </si>
  <si>
    <t>Буцький Нікіта</t>
  </si>
  <si>
    <t>ZVPG_u_3076</t>
  </si>
  <si>
    <t>Марусенко Вероніка</t>
  </si>
  <si>
    <t>Костянтинопільський ЗЗСО І-ІІІ ступенів Великоновосілківської селищної ради Донецької області</t>
  </si>
  <si>
    <t>ZVPG_u_3077</t>
  </si>
  <si>
    <t>Шаповалова Валерія</t>
  </si>
  <si>
    <t>ZVPG_u_3078</t>
  </si>
  <si>
    <t>Красова Вікторія</t>
  </si>
  <si>
    <t>ZVPG_u_3079</t>
  </si>
  <si>
    <t>Журба Дмитро</t>
  </si>
  <si>
    <t>ZVPG_u_3080</t>
  </si>
  <si>
    <t>Чебаненко Яна</t>
  </si>
  <si>
    <t>ZVPG_u_3081</t>
  </si>
  <si>
    <t>Ганчева Каміла</t>
  </si>
  <si>
    <t>Костянтинопільський ЗЗСО І-ІІІ ступенів Великоновосілківської селищної ради</t>
  </si>
  <si>
    <t>ZVPG_u_3082</t>
  </si>
  <si>
    <t>Дуйловська Єлізавета</t>
  </si>
  <si>
    <t>ZVPG_u_3083</t>
  </si>
  <si>
    <t>Карабаш Олександра</t>
  </si>
  <si>
    <t>ZVPG_u_3084</t>
  </si>
  <si>
    <t>Тірон Максим</t>
  </si>
  <si>
    <t>ZVPG_u_3085</t>
  </si>
  <si>
    <t>Білоусов Едгар</t>
  </si>
  <si>
    <t>Харківський приватний ліцей "Перша українська школа"</t>
  </si>
  <si>
    <t>ZVPG_u_3086</t>
  </si>
  <si>
    <t>Богуславська Милана</t>
  </si>
  <si>
    <t>ZVPG_u_3087</t>
  </si>
  <si>
    <t>Вербицька Олександра</t>
  </si>
  <si>
    <t>ZVPG_u_3088</t>
  </si>
  <si>
    <t>Демидова Катерина</t>
  </si>
  <si>
    <t>ZVPG_u_3089</t>
  </si>
  <si>
    <t>Дуванов Дамір</t>
  </si>
  <si>
    <t>ZVPG_u_3090</t>
  </si>
  <si>
    <t>Іванча Ірина</t>
  </si>
  <si>
    <t>ZVPG_u_3091</t>
  </si>
  <si>
    <t>Комар Ярослав</t>
  </si>
  <si>
    <t>ZVPG_u_3092</t>
  </si>
  <si>
    <t>Корякіна Владислава</t>
  </si>
  <si>
    <t>ZVPG_u_3093</t>
  </si>
  <si>
    <t>Міщенко Марія</t>
  </si>
  <si>
    <t>ZVPG_u_3094</t>
  </si>
  <si>
    <t>Сильцов Михайло</t>
  </si>
  <si>
    <t>ZVPG_u_3095</t>
  </si>
  <si>
    <t>Симоненко Марія</t>
  </si>
  <si>
    <t>ZVPG_u_3096</t>
  </si>
  <si>
    <t>Черкащенко Людмила</t>
  </si>
  <si>
    <t>ZVPG_u_3097</t>
  </si>
  <si>
    <t>Бакуменко Марк</t>
  </si>
  <si>
    <t>ZVPG_u_3098</t>
  </si>
  <si>
    <t>Віхтинський Олександр</t>
  </si>
  <si>
    <t>ZVPG_u_3099</t>
  </si>
  <si>
    <t>Горбань Катерина</t>
  </si>
  <si>
    <t>ZVPG_u_3100</t>
  </si>
  <si>
    <t>Комар Єгор</t>
  </si>
  <si>
    <t>ZVPG_u_3101</t>
  </si>
  <si>
    <t>Крапивка Єгор</t>
  </si>
  <si>
    <t>ZVPG_u_3102</t>
  </si>
  <si>
    <t>Купріянова Аріна</t>
  </si>
  <si>
    <t>ZVPG_u_3103</t>
  </si>
  <si>
    <t>Куртіш Всеволод</t>
  </si>
  <si>
    <t>ZVPG_u_3104</t>
  </si>
  <si>
    <t>Мамедов Самір</t>
  </si>
  <si>
    <t>ZVPG_u_3105</t>
  </si>
  <si>
    <t>Морозов Максим</t>
  </si>
  <si>
    <t>ZVPG_u_3106</t>
  </si>
  <si>
    <t>Новіков Кирил</t>
  </si>
  <si>
    <t>ZVPG_u_3107</t>
  </si>
  <si>
    <t>Постолов Іван</t>
  </si>
  <si>
    <t>ZVPG_u_3108</t>
  </si>
  <si>
    <t>Страшинський Микита</t>
  </si>
  <si>
    <t>ZVPG_u_3109</t>
  </si>
  <si>
    <t>Хухрянський Андрій</t>
  </si>
  <si>
    <t>ZVPG_u_3110</t>
  </si>
  <si>
    <t>Шелкова Поліна</t>
  </si>
  <si>
    <t>ZVPG_u_3111</t>
  </si>
  <si>
    <t>Штихно Родіон</t>
  </si>
  <si>
    <t>Костянтинопільський ЗЗСО І-ІІІ ст Великоновосілківської селищної ради</t>
  </si>
  <si>
    <t>ZVPG_u_3112</t>
  </si>
  <si>
    <t>Штихно Артур</t>
  </si>
  <si>
    <t>ZVPG_u_3113</t>
  </si>
  <si>
    <t>Ніколобай Карина</t>
  </si>
  <si>
    <t>ZVPG_u_3114</t>
  </si>
  <si>
    <t>Ібрагімов Амір</t>
  </si>
  <si>
    <t>ZVPG_u_3115</t>
  </si>
  <si>
    <t>Джеріна Віолетта</t>
  </si>
  <si>
    <t>ZVPG_u_3116</t>
  </si>
  <si>
    <t>Біналієва Наргіза</t>
  </si>
  <si>
    <t>ZVPG_u_3117</t>
  </si>
  <si>
    <t>Тахтарова Аполлінарія</t>
  </si>
  <si>
    <t>ZVPG_u_3118</t>
  </si>
  <si>
    <t>Бурхович Євгеній Сергійович</t>
  </si>
  <si>
    <t>Світлогірський ліцей Криничанської селищної ради Дніпропетровської області</t>
  </si>
  <si>
    <t>ZVPG_u_3119</t>
  </si>
  <si>
    <t>Волкова Серафима Олександрівна</t>
  </si>
  <si>
    <t>ZVPG_u_3120</t>
  </si>
  <si>
    <t>Даценко Катерина Олександрівна</t>
  </si>
  <si>
    <t>ZVPG_u_3121</t>
  </si>
  <si>
    <t>Дробний Данило Леонідович</t>
  </si>
  <si>
    <t>ZVPG_u_3122</t>
  </si>
  <si>
    <t>Ковальчук Кіріл Іванович</t>
  </si>
  <si>
    <t>ZVPG_u_3123</t>
  </si>
  <si>
    <t>Литовченко Володимир Павлович</t>
  </si>
  <si>
    <t>ZVPG_u_3124</t>
  </si>
  <si>
    <t>Люшняк Давид Євгенійович</t>
  </si>
  <si>
    <t>ZVPG_u_3125</t>
  </si>
  <si>
    <t>Мініч Ксенія Миколаївна</t>
  </si>
  <si>
    <t>ZVPG_u_3126</t>
  </si>
  <si>
    <t>Остапчук Макар Олексійович</t>
  </si>
  <si>
    <t>ZVPG_u_3127</t>
  </si>
  <si>
    <t>Самарець Олександр Юрійович</t>
  </si>
  <si>
    <t>ZVPG_u_3128</t>
  </si>
  <si>
    <t>Будилдіна Владислава Віталіївна</t>
  </si>
  <si>
    <t>ZVPG_u_3129</t>
  </si>
  <si>
    <t>Воробйова Єлизавета Володимирівна</t>
  </si>
  <si>
    <t>ZVPG_u_3130</t>
  </si>
  <si>
    <t>Дорошенко Анна Анатоліївна</t>
  </si>
  <si>
    <t>ZVPG_u_3131</t>
  </si>
  <si>
    <t>Капшар Каріна Сергіївна</t>
  </si>
  <si>
    <t>ZVPG_u_3132</t>
  </si>
  <si>
    <t>Карпенко Анастасія Валеріївна</t>
  </si>
  <si>
    <t>ZVPG_u_3133</t>
  </si>
  <si>
    <t>Панчоха Захар Олександрович</t>
  </si>
  <si>
    <t>ZVPG_u_3134</t>
  </si>
  <si>
    <t>Перекіпська Анастасія Русланівна</t>
  </si>
  <si>
    <t>ZVPG_u_3135</t>
  </si>
  <si>
    <t>Райхель Михайло Павлович</t>
  </si>
  <si>
    <t>ZVPG_u_3136</t>
  </si>
  <si>
    <t>Скідіна Оксана Володимирівна</t>
  </si>
  <si>
    <t>ZVPG_u_3137</t>
  </si>
  <si>
    <t>Барсуковська Катерина Романівна,</t>
  </si>
  <si>
    <t>ZVPG_u_3138</t>
  </si>
  <si>
    <t>Богатир Анна Олександрівна</t>
  </si>
  <si>
    <t>ZVPG_u_3139</t>
  </si>
  <si>
    <t>Буток Кіріл Назарович</t>
  </si>
  <si>
    <t>ZVPG_u_3140</t>
  </si>
  <si>
    <t>Глуха Валерія Сергіївна</t>
  </si>
  <si>
    <t>ZVPG_u_3141</t>
  </si>
  <si>
    <t>Іщенко Ліана Дмитрівна</t>
  </si>
  <si>
    <t>ZVPG_u_3142</t>
  </si>
  <si>
    <t>Капшар Вероніка Сергіївна</t>
  </si>
  <si>
    <t>ZVPG_u_3143</t>
  </si>
  <si>
    <t>Капшар Андрій Сергійович</t>
  </si>
  <si>
    <t>ZVPG_u_3144</t>
  </si>
  <si>
    <t>Конох Аделіна Вадимівна</t>
  </si>
  <si>
    <t>ZVPG_u_3145</t>
  </si>
  <si>
    <t>Маляр Максим Сергійович</t>
  </si>
  <si>
    <t>ZVPG_u_3146</t>
  </si>
  <si>
    <t>Марениченко Ангеліна Олександрівна</t>
  </si>
  <si>
    <t>ZVPG_u_3147</t>
  </si>
  <si>
    <t>Павліченко Андрій Юрійович</t>
  </si>
  <si>
    <t>ZVPG_u_3148</t>
  </si>
  <si>
    <t>Ратанчук Поліна Володимирівна</t>
  </si>
  <si>
    <t>ZVPG_u_3149</t>
  </si>
  <si>
    <t>Сербіна Каріна Олегівна</t>
  </si>
  <si>
    <t>ZVPG_u_3150</t>
  </si>
  <si>
    <t>Тютюнник Юрій Володимирович</t>
  </si>
  <si>
    <t>ZVPG_u_3151</t>
  </si>
  <si>
    <t>Шелемба Мирослава Мирославівна</t>
  </si>
  <si>
    <t>ZVPG_u_3152</t>
  </si>
  <si>
    <t>Алієва Христина Михайлівна</t>
  </si>
  <si>
    <t>Сколівський заклад загальної середньої освіти І-ІІІ ступенів №2 імені Стефанії Вітрук Сколівської міської ради</t>
  </si>
  <si>
    <t>ZVPG_u_3153</t>
  </si>
  <si>
    <t>Богдан Артем Андрійович</t>
  </si>
  <si>
    <t>ZVPG_u_3154</t>
  </si>
  <si>
    <t>Дем’ян Владислав Віталійович</t>
  </si>
  <si>
    <t>ZVPG_u_3155</t>
  </si>
  <si>
    <t>Денькович Андрій Петрович</t>
  </si>
  <si>
    <t>ZVPG_u_3156</t>
  </si>
  <si>
    <t>Ляш Анна Ярославівна</t>
  </si>
  <si>
    <t>ZVPG_u_3157</t>
  </si>
  <si>
    <t>Набитович Уляна Юріївна</t>
  </si>
  <si>
    <t>ZVPG_u_3158</t>
  </si>
  <si>
    <t>Павлишин Ангеліна Романівна</t>
  </si>
  <si>
    <t>ZVPG_u_3159</t>
  </si>
  <si>
    <t>Пелих Софія Романівна</t>
  </si>
  <si>
    <t>ZVPG_u_3160</t>
  </si>
  <si>
    <t>Пилипець Аліна Іванівна</t>
  </si>
  <si>
    <t>ZVPG_u_3161</t>
  </si>
  <si>
    <t>Ратич Анастасія Янісівна</t>
  </si>
  <si>
    <t>ZVPG_u_3162</t>
  </si>
  <si>
    <t>Рикавець Денис Миколайович</t>
  </si>
  <si>
    <t>ZVPG_u_3163</t>
  </si>
  <si>
    <t>Савчур Ростислав Миколайович</t>
  </si>
  <si>
    <t>ZVPG_u_3164</t>
  </si>
  <si>
    <t>Солтановська Уляна Сергіївна</t>
  </si>
  <si>
    <t>ZVPG_u_3165</t>
  </si>
  <si>
    <t>Тесля Остап Михайлович</t>
  </si>
  <si>
    <t>ZVPG_u_3166</t>
  </si>
  <si>
    <t>Товт Денис Юрійович</t>
  </si>
  <si>
    <t>ZVPG_u_3167</t>
  </si>
  <si>
    <t>Ушневич Ангеліна Русланівна</t>
  </si>
  <si>
    <t>ZVPG_u_3168</t>
  </si>
  <si>
    <t>Шумаков Артем Сергійович</t>
  </si>
  <si>
    <t>ZVPG_u_3169</t>
  </si>
  <si>
    <t>Гірник Валерія</t>
  </si>
  <si>
    <t>Бучанський ліцей 9</t>
  </si>
  <si>
    <t>ZVPG_u_3170</t>
  </si>
  <si>
    <t>Возовик Дмитро</t>
  </si>
  <si>
    <t>ZVPG_u_3171</t>
  </si>
  <si>
    <t>Ширко Марія</t>
  </si>
  <si>
    <t>ZVPG_u_3172</t>
  </si>
  <si>
    <t>Снігур Тетяна</t>
  </si>
  <si>
    <t>ZVPG_u_3173</t>
  </si>
  <si>
    <t>Кінішенко Вероніка</t>
  </si>
  <si>
    <t>ZVPG_u_3174</t>
  </si>
  <si>
    <t>Олійник Ольга</t>
  </si>
  <si>
    <t>ZVPG_u_3175</t>
  </si>
  <si>
    <t>Арзуманян Наре</t>
  </si>
  <si>
    <t>ZVPG_u_3176</t>
  </si>
  <si>
    <t>Ярмоленко Злата</t>
  </si>
  <si>
    <t>ZVPG_u_3177</t>
  </si>
  <si>
    <t>Жуков Максим</t>
  </si>
  <si>
    <t>Чернівецький політехнічний фаховий коледж</t>
  </si>
  <si>
    <t>ZVPG_u_3178</t>
  </si>
  <si>
    <t>Мельник Олександр</t>
  </si>
  <si>
    <t>ZVPG_u_3179</t>
  </si>
  <si>
    <t>Маршавка Євдокія</t>
  </si>
  <si>
    <t>ZVPG_u_3180</t>
  </si>
  <si>
    <t>Черкашин Костянтин</t>
  </si>
  <si>
    <t>ZVPG_u_3181</t>
  </si>
  <si>
    <t>Голбан Крістіна</t>
  </si>
  <si>
    <t>ZVPG_u_3182</t>
  </si>
  <si>
    <t>Греметчук Павло</t>
  </si>
  <si>
    <t>ZVPG_u_3183</t>
  </si>
  <si>
    <t>Яримчук Дмитро</t>
  </si>
  <si>
    <t>ZVPG_u_3184</t>
  </si>
  <si>
    <t>Блага Адріан</t>
  </si>
  <si>
    <t>ZVPG_u_3185</t>
  </si>
  <si>
    <t>Бацала Юрій</t>
  </si>
  <si>
    <t>ZVPG_u_3186</t>
  </si>
  <si>
    <t>Зімак Артем</t>
  </si>
  <si>
    <t>ZVPG_u_3187</t>
  </si>
  <si>
    <t>Грепиняк Єва</t>
  </si>
  <si>
    <t>ZVPG_u_3188</t>
  </si>
  <si>
    <t>Волошин Іва</t>
  </si>
  <si>
    <t>ZVPG_u_3189</t>
  </si>
  <si>
    <t>Монюк Олександр</t>
  </si>
  <si>
    <t>ZVPG_u_3190</t>
  </si>
  <si>
    <t>Веркаш Владислав</t>
  </si>
  <si>
    <t>ZVPG_u_3191</t>
  </si>
  <si>
    <t>Дамян Максим</t>
  </si>
  <si>
    <t>ZVPG_u_3192</t>
  </si>
  <si>
    <t>Замбовський Юрій</t>
  </si>
  <si>
    <t>ZVPG_u_3193</t>
  </si>
  <si>
    <t>Шепелюк Валерія</t>
  </si>
  <si>
    <t>ZVPG_u_3194</t>
  </si>
  <si>
    <t>Біляк Валерія</t>
  </si>
  <si>
    <t>ZVPG_u_3195</t>
  </si>
  <si>
    <t>Фефчак Ангеліна</t>
  </si>
  <si>
    <t>ZVPG_u_3196</t>
  </si>
  <si>
    <t>Гребенщіков Юрій</t>
  </si>
  <si>
    <t>ZVPG_u_3197</t>
  </si>
  <si>
    <t>Коверчук Михайло</t>
  </si>
  <si>
    <t>ZVPG_u_3198</t>
  </si>
  <si>
    <t>Сабура Тарас</t>
  </si>
  <si>
    <t>ZVPG_u_3199</t>
  </si>
  <si>
    <t>Буга Ілля</t>
  </si>
  <si>
    <t>ZVPG_u_3200</t>
  </si>
  <si>
    <t>Андрюнін Денис</t>
  </si>
  <si>
    <t>ZVPG_u_3201</t>
  </si>
  <si>
    <t>Майстрюк Іванна</t>
  </si>
  <si>
    <t>ZVPG_u_3202</t>
  </si>
  <si>
    <t>Чаланюк Олександр</t>
  </si>
  <si>
    <t>ZVPG_u_3203</t>
  </si>
  <si>
    <t>Гуцуляк Нікіта</t>
  </si>
  <si>
    <t>ZVPG_u_3204</t>
  </si>
  <si>
    <t>Лаптій Вікторія</t>
  </si>
  <si>
    <t>ZVPG_u_3205</t>
  </si>
  <si>
    <t>Гінгуляк Давід</t>
  </si>
  <si>
    <t>ZVPG_u_3206</t>
  </si>
  <si>
    <t>Черватюк Ігор</t>
  </si>
  <si>
    <t>ZVPG_u_3207</t>
  </si>
  <si>
    <t>Лютак Максим</t>
  </si>
  <si>
    <t>ZVPG_u_3208</t>
  </si>
  <si>
    <t>Цаповський Петро</t>
  </si>
  <si>
    <t>ZVPG_u_3209</t>
  </si>
  <si>
    <t>Чмола Ілля</t>
  </si>
  <si>
    <t>ZVPG_u_3210</t>
  </si>
  <si>
    <t>Мелеш Олександр</t>
  </si>
  <si>
    <t>ZVPG_u_3211</t>
  </si>
  <si>
    <t>Кишкан Марія</t>
  </si>
  <si>
    <t>ZVPG_u_3212</t>
  </si>
  <si>
    <t>Москалюк Богдан</t>
  </si>
  <si>
    <t>ZVPG_u_3213</t>
  </si>
  <si>
    <t>Данилюк Андрій</t>
  </si>
  <si>
    <t>ZVPG_u_3214</t>
  </si>
  <si>
    <t>Дмитрюк Артем</t>
  </si>
  <si>
    <t>ZVPG_u_3215</t>
  </si>
  <si>
    <t>Міський Роман</t>
  </si>
  <si>
    <t>ZVPG_u_3216</t>
  </si>
  <si>
    <t>Федюк Вікторія</t>
  </si>
  <si>
    <t>ZVPG_u_3217</t>
  </si>
  <si>
    <t>Подобенко Олександр</t>
  </si>
  <si>
    <t>ЗЗСО "Авангардівський ліцей" Авангардівської селищної ради</t>
  </si>
  <si>
    <t>ZVPG_u_3218</t>
  </si>
  <si>
    <t>Божок Софія</t>
  </si>
  <si>
    <t>ZVPG_u_3219</t>
  </si>
  <si>
    <t>Гуйван Дмитро</t>
  </si>
  <si>
    <t>ZVPG_u_3220</t>
  </si>
  <si>
    <t>Бондаренко Тихон</t>
  </si>
  <si>
    <t>ZVPG_u_3221</t>
  </si>
  <si>
    <t>Кока Даніїл</t>
  </si>
  <si>
    <t>ZVPG_u_3222</t>
  </si>
  <si>
    <t>Шульга Вероніка</t>
  </si>
  <si>
    <t>ZVPG_u_3223</t>
  </si>
  <si>
    <t>Савченко Анастасія</t>
  </si>
  <si>
    <t>ZVPG_u_3224</t>
  </si>
  <si>
    <t>Постол Святослав</t>
  </si>
  <si>
    <t>ZVPG_u_3225</t>
  </si>
  <si>
    <t>Друма Кирило</t>
  </si>
  <si>
    <t>ZVPG_u_3226</t>
  </si>
  <si>
    <t>Богуславська Анастасія</t>
  </si>
  <si>
    <t>ZVPG_u_3227</t>
  </si>
  <si>
    <t>Юлія Суданєнко</t>
  </si>
  <si>
    <t>ZVPG_u_3228</t>
  </si>
  <si>
    <t>Самойленко Даша</t>
  </si>
  <si>
    <t>ZVPG_u_3229</t>
  </si>
  <si>
    <t>Яртим Марк</t>
  </si>
  <si>
    <t>ZVPG_u_3230</t>
  </si>
  <si>
    <t>Короп Софія</t>
  </si>
  <si>
    <t>ZVPG_u_3231</t>
  </si>
  <si>
    <t>Смольник Анастасия</t>
  </si>
  <si>
    <t>ZVPG_u_3232</t>
  </si>
  <si>
    <t>Литвин Валерія</t>
  </si>
  <si>
    <t>ZVPG_u_3233</t>
  </si>
  <si>
    <t>Шарій Віка</t>
  </si>
  <si>
    <t>ZVPG_u_3234</t>
  </si>
  <si>
    <t>Гілявського Павла</t>
  </si>
  <si>
    <t>ZVPG_u_3235</t>
  </si>
  <si>
    <t>Слимак Анни</t>
  </si>
  <si>
    <t>ZVPG_u_3236</t>
  </si>
  <si>
    <t>Скрипський Денис</t>
  </si>
  <si>
    <t>ZVPG_u_3237</t>
  </si>
  <si>
    <t>Сурвілов Влад</t>
  </si>
  <si>
    <t>ZVPG_u_3238</t>
  </si>
  <si>
    <t>Перчук Себастьян</t>
  </si>
  <si>
    <t>ZVPG_u_3239</t>
  </si>
  <si>
    <t>Римаревської Яни</t>
  </si>
  <si>
    <t>ZVPG_u_3240</t>
  </si>
  <si>
    <t>Полтарецька Ана</t>
  </si>
  <si>
    <t>ZVPG_u_3241</t>
  </si>
  <si>
    <t>Дібров Егор</t>
  </si>
  <si>
    <t>ZVPG_u_3242</t>
  </si>
  <si>
    <t>Євтушевський Олександр</t>
  </si>
  <si>
    <t>ZVPG_u_3243</t>
  </si>
  <si>
    <t>Гудзенко Максим</t>
  </si>
  <si>
    <t>ZVPG_u_3244</t>
  </si>
  <si>
    <t>Ковальченко Давид</t>
  </si>
  <si>
    <t>ZVPG_u_3245</t>
  </si>
  <si>
    <t>Вова Бондар</t>
  </si>
  <si>
    <t>ZVPG_u_3246</t>
  </si>
  <si>
    <t>Марченко Артем</t>
  </si>
  <si>
    <t>ZVPG_u_3247</t>
  </si>
  <si>
    <t>Мягких Анастасія</t>
  </si>
  <si>
    <t>ZVPG_u_3248</t>
  </si>
  <si>
    <t>Жуковська Анастасія</t>
  </si>
  <si>
    <t>ZVPG_u_3249</t>
  </si>
  <si>
    <t>Прохода Анна</t>
  </si>
  <si>
    <t>ZVPG_u_3250</t>
  </si>
  <si>
    <t>Гайдая Даніїла</t>
  </si>
  <si>
    <t>ZVPG_u_3251</t>
  </si>
  <si>
    <t>Якіменко Єлізавета</t>
  </si>
  <si>
    <t>ZVPG_u_3252</t>
  </si>
  <si>
    <t>Кіхай Євеліна</t>
  </si>
  <si>
    <t>ZVPG_u_3253</t>
  </si>
  <si>
    <t>Зорило Анна</t>
  </si>
  <si>
    <t>ZVPG_u_3254</t>
  </si>
  <si>
    <t>Палісіка Дарʼя</t>
  </si>
  <si>
    <t>ZVPG_u_3255</t>
  </si>
  <si>
    <t>Олексія Парка</t>
  </si>
  <si>
    <t>ZVPG_u_3256</t>
  </si>
  <si>
    <t>Чабана Олексія</t>
  </si>
  <si>
    <t>ZVPG_u_3257</t>
  </si>
  <si>
    <t>Галита Владислав</t>
  </si>
  <si>
    <t>ZVPG_u_3258</t>
  </si>
  <si>
    <t>Чернієнко Вероніка</t>
  </si>
  <si>
    <t>ZVPG_u_3259</t>
  </si>
  <si>
    <t>Тріскач Володимир</t>
  </si>
  <si>
    <t>ZVPG_u_3260</t>
  </si>
  <si>
    <t>Афанасьев Егор</t>
  </si>
  <si>
    <t>ZVPG_u_3261</t>
  </si>
  <si>
    <t>Гранкин Дмитро</t>
  </si>
  <si>
    <t>ZVPG_u_3262</t>
  </si>
  <si>
    <t>Луткова Арина</t>
  </si>
  <si>
    <t>ZVPG_u_3263</t>
  </si>
  <si>
    <t>Шаламова Лера</t>
  </si>
  <si>
    <t>ZVPG_u_3264</t>
  </si>
  <si>
    <t>Степаненко Олександр</t>
  </si>
  <si>
    <t>ZVPG_u_3265</t>
  </si>
  <si>
    <t>Кушнір Анна</t>
  </si>
  <si>
    <t>ZVPG_u_3266</t>
  </si>
  <si>
    <t>Михайло чумак</t>
  </si>
  <si>
    <t>ZVPG_u_3267</t>
  </si>
  <si>
    <t>Серек-Басан Нікон</t>
  </si>
  <si>
    <t>ZVPG_u_3268</t>
  </si>
  <si>
    <t>Солотинська Анна</t>
  </si>
  <si>
    <t>ZVPG_u_3269</t>
  </si>
  <si>
    <t>Берник Назар</t>
  </si>
  <si>
    <t>ZVPG_u_3270</t>
  </si>
  <si>
    <t>Дроздова Олена</t>
  </si>
  <si>
    <t>ZVPG_u_3271</t>
  </si>
  <si>
    <t>Савенко Артем</t>
  </si>
  <si>
    <t>ZVPG_u_3272</t>
  </si>
  <si>
    <t>Сокол Іра</t>
  </si>
  <si>
    <t>ZVPG_u_3273</t>
  </si>
  <si>
    <t>Рудік Олег</t>
  </si>
  <si>
    <t>ZVPG_u_3274</t>
  </si>
  <si>
    <t>Анастасия Долготёр</t>
  </si>
  <si>
    <t>ZVPG_u_3275</t>
  </si>
  <si>
    <t>Герман Ліза</t>
  </si>
  <si>
    <t>ZVPG_u_3276</t>
  </si>
  <si>
    <t>Пашковський Артур</t>
  </si>
  <si>
    <t>ZVPG_u_3277</t>
  </si>
  <si>
    <t>Плющ Єлизавета</t>
  </si>
  <si>
    <t>ZVPG_u_3278</t>
  </si>
  <si>
    <t>Саламаха Лера</t>
  </si>
  <si>
    <t>ZVPG_u_3279</t>
  </si>
  <si>
    <t>Мітькіна Дарья</t>
  </si>
  <si>
    <t>ZVPG_u_3280</t>
  </si>
  <si>
    <t>Рязанцева Анастасія</t>
  </si>
  <si>
    <t>ZVPG_u_3281</t>
  </si>
  <si>
    <t>Зубрина Таня</t>
  </si>
  <si>
    <t>ZVPG_u_3282</t>
  </si>
  <si>
    <t>Дудник Влад</t>
  </si>
  <si>
    <t>ZVPG_u_3283</t>
  </si>
  <si>
    <t>ZVPG_u_3284</t>
  </si>
  <si>
    <t>Донченко Тетяна</t>
  </si>
  <si>
    <t>ZVPG_u_3285</t>
  </si>
  <si>
    <t>Камишний Іван</t>
  </si>
  <si>
    <t>ZVPG_u_3286</t>
  </si>
  <si>
    <t>Шершун Катерина</t>
  </si>
  <si>
    <t>ZVPG_u_3287</t>
  </si>
  <si>
    <t>Полтович Микола</t>
  </si>
  <si>
    <t>ZVPG_u_3288</t>
  </si>
  <si>
    <t>Мазлов Даніїл</t>
  </si>
  <si>
    <t>ZVPG_u_3289</t>
  </si>
  <si>
    <t>Грошовик Анна Віталіївна</t>
  </si>
  <si>
    <t>ВСП «Рівненський технічний фаховий коледж Національного університету водного господарства та природокористування»</t>
  </si>
  <si>
    <t>ZVPG_u_3290</t>
  </si>
  <si>
    <t>Кордонець Вероніка Сергіївна</t>
  </si>
  <si>
    <t>ZVPG_u_3291</t>
  </si>
  <si>
    <t>Новицька Альона Юріївна</t>
  </si>
  <si>
    <t>ZVPG_u_3292</t>
  </si>
  <si>
    <t>Новицька Анна Юріївна</t>
  </si>
  <si>
    <t>ZVPG_u_3293</t>
  </si>
  <si>
    <t>Родич Тетяна Василівна</t>
  </si>
  <si>
    <t>ZVPG_u_3294</t>
  </si>
  <si>
    <t>Судук Юрій Валентинович</t>
  </si>
  <si>
    <t>ZVPG_u_3295</t>
  </si>
  <si>
    <t>Твердий Владислав Павлович</t>
  </si>
  <si>
    <t>ZVPG_u_3296</t>
  </si>
  <si>
    <t>Тихонюк Катерина Дмитрівна</t>
  </si>
  <si>
    <t>ZVPG_u_3297</t>
  </si>
  <si>
    <t>Балкова Яна</t>
  </si>
  <si>
    <t>Великочернеччинський заклад загальної середньої освіти І-ІІІ ступенів Сумської міської ради</t>
  </si>
  <si>
    <t>ZVPG_u_3298</t>
  </si>
  <si>
    <t>Балковой Антон</t>
  </si>
  <si>
    <t>ZVPG_u_3299</t>
  </si>
  <si>
    <t>Боровик Софія</t>
  </si>
  <si>
    <t>ZVPG_u_3300</t>
  </si>
  <si>
    <t>Гончар Ярослав</t>
  </si>
  <si>
    <t>ZVPG_u_3301</t>
  </si>
  <si>
    <t>Костенко Максим</t>
  </si>
  <si>
    <t>ZVPG_u_3302</t>
  </si>
  <si>
    <t>Лобода Аполлінарія</t>
  </si>
  <si>
    <t>ZVPG_u_3303</t>
  </si>
  <si>
    <t>Пономаренко Анастасія</t>
  </si>
  <si>
    <t>ZVPG_u_3304</t>
  </si>
  <si>
    <t>Розумовська-Кальна Вікторія</t>
  </si>
  <si>
    <t>ZVPG_u_3305</t>
  </si>
  <si>
    <t>Таран Матвєй</t>
  </si>
  <si>
    <t>ZVPG_u_3306</t>
  </si>
  <si>
    <t>Шафорост Ангеліна</t>
  </si>
  <si>
    <t>ZVPG_u_3307</t>
  </si>
  <si>
    <t>Шевченко Ангеліна</t>
  </si>
  <si>
    <t>ZVPG_u_3308</t>
  </si>
  <si>
    <t>Безверхий Єгор</t>
  </si>
  <si>
    <t>ZVPG_u_3309</t>
  </si>
  <si>
    <t>Галайко Софія</t>
  </si>
  <si>
    <t>ZVPG_u_3310</t>
  </si>
  <si>
    <t>Існюк Інна</t>
  </si>
  <si>
    <t>ZVPG_u_3311</t>
  </si>
  <si>
    <t>Корінченко Дарина</t>
  </si>
  <si>
    <t>ZVPG_u_3312</t>
  </si>
  <si>
    <t>Коротенко Нікіта</t>
  </si>
  <si>
    <t>ZVPG_u_3313</t>
  </si>
  <si>
    <t>Котькало Олександра</t>
  </si>
  <si>
    <t>ZVPG_u_3314</t>
  </si>
  <si>
    <t>Марченко Ангеліна</t>
  </si>
  <si>
    <t>ZVPG_u_3315</t>
  </si>
  <si>
    <t>Назаренко Діана</t>
  </si>
  <si>
    <t>ZVPG_u_3316</t>
  </si>
  <si>
    <t>Павленко Юлія</t>
  </si>
  <si>
    <t>ZVPG_u_3317</t>
  </si>
  <si>
    <t>Приходченко Єлізавета</t>
  </si>
  <si>
    <t>ZVPG_u_3318</t>
  </si>
  <si>
    <t>Радченко Глєб</t>
  </si>
  <si>
    <t>ZVPG_u_3319</t>
  </si>
  <si>
    <t>Сай Ніка</t>
  </si>
  <si>
    <t>ZVPG_u_3320</t>
  </si>
  <si>
    <t>Святишенко Олексій</t>
  </si>
  <si>
    <t>ZVPG_u_3321</t>
  </si>
  <si>
    <t>Соловей Поліна</t>
  </si>
  <si>
    <t>ZVPG_u_3322</t>
  </si>
  <si>
    <t>Бурмістров Єгор</t>
  </si>
  <si>
    <t>Комунальний заклад "Черкаська спеціальна школа Черкаської обласної ради"</t>
  </si>
  <si>
    <t>ZVPG_u_3323</t>
  </si>
  <si>
    <t>Горчаков Кирило</t>
  </si>
  <si>
    <t>ZVPG_u_3324</t>
  </si>
  <si>
    <t>Горлова Анна Костянтинівна</t>
  </si>
  <si>
    <t>КІРОВОГРАДСЬКИЙ КООПЕРАТИВНИЙ ФАХОВИЙ КОЛЕДЖ ЕКОНОМІКИ І ПРАВА ІМЕНІ М.П. САЯ КІРОВОГРАДСЬКОЇ ОБЛСПОЖИВСПІЛКИ</t>
  </si>
  <si>
    <t>ZVPG_u_3325</t>
  </si>
  <si>
    <t>Гурник Максим Володимирович</t>
  </si>
  <si>
    <t>ZVPG_u_3326</t>
  </si>
  <si>
    <t>Подоляк Олександра Костянтинівна</t>
  </si>
  <si>
    <t>ZVPG_u_3327</t>
  </si>
  <si>
    <t>Фоміна Марія Євгенівна</t>
  </si>
  <si>
    <t>ZVPG_u_3328</t>
  </si>
  <si>
    <t>Чамата Руслана Віталіївна</t>
  </si>
  <si>
    <t>ZVPG_u_3329</t>
  </si>
  <si>
    <t>Гінцар Максим Віталійович</t>
  </si>
  <si>
    <t>ZVPG_u_3330</t>
  </si>
  <si>
    <t>Короткова Дар’я Миколаївна</t>
  </si>
  <si>
    <t>ZVPG_u_3331</t>
  </si>
  <si>
    <t>Кошкіна Анна Сергіївна</t>
  </si>
  <si>
    <t>ZVPG_u_3332</t>
  </si>
  <si>
    <t>Безродня Ангеліна Миколаївна</t>
  </si>
  <si>
    <t>ZVPG_u_3333</t>
  </si>
  <si>
    <t>Москаленко Діана Юріївна</t>
  </si>
  <si>
    <t>ZVPG_u_3334</t>
  </si>
  <si>
    <t>Бережна Мілана</t>
  </si>
  <si>
    <t>Будянський ліцей Південної міської ради Харківського району Харківської області</t>
  </si>
  <si>
    <t>ZVPG_u_3335</t>
  </si>
  <si>
    <t>Біда Марк</t>
  </si>
  <si>
    <t>ZVPG_u_3336</t>
  </si>
  <si>
    <t>Д’яченко Микита</t>
  </si>
  <si>
    <t>ZVPG_u_3337</t>
  </si>
  <si>
    <t>Івченко Ангеліна</t>
  </si>
  <si>
    <t>ZVPG_u_3338</t>
  </si>
  <si>
    <t>Касевич Діана</t>
  </si>
  <si>
    <t>ZVPG_u_3339</t>
  </si>
  <si>
    <t>Лебедєв Данііл</t>
  </si>
  <si>
    <t>ZVPG_u_3340</t>
  </si>
  <si>
    <t>Маргорський Артем</t>
  </si>
  <si>
    <t>ZVPG_u_3341</t>
  </si>
  <si>
    <t>Пустовий Ростислав</t>
  </si>
  <si>
    <t>ZVPG_u_3342</t>
  </si>
  <si>
    <t>Ушаков Даніїл</t>
  </si>
  <si>
    <t>ZVPG_u_3343</t>
  </si>
  <si>
    <t>Духніцький Ян</t>
  </si>
  <si>
    <t>ZVPG_u_3344</t>
  </si>
  <si>
    <t>Євстратов Микита</t>
  </si>
  <si>
    <t>ZVPG_u_3345</t>
  </si>
  <si>
    <t>Євтушик Аріна</t>
  </si>
  <si>
    <t>ZVPG_u_3346</t>
  </si>
  <si>
    <t>Жигалюк Аліна</t>
  </si>
  <si>
    <t>ZVPG_u_3347</t>
  </si>
  <si>
    <t>Іващенко Нікіта</t>
  </si>
  <si>
    <t>ZVPG_u_3348</t>
  </si>
  <si>
    <t>Касьянов Дмитро</t>
  </si>
  <si>
    <t>ZVPG_u_3349</t>
  </si>
  <si>
    <t>Копитова Софія</t>
  </si>
  <si>
    <t>ZVPG_u_3350</t>
  </si>
  <si>
    <t>Крамарчук Богдан</t>
  </si>
  <si>
    <t>ZVPG_u_3351</t>
  </si>
  <si>
    <t>Кущенко Анастасія</t>
  </si>
  <si>
    <t>ZVPG_u_3352</t>
  </si>
  <si>
    <t>Москальчук Павло</t>
  </si>
  <si>
    <t>ZVPG_u_3353</t>
  </si>
  <si>
    <t>Теленєва Євгенія</t>
  </si>
  <si>
    <t>ZVPG_u_3354</t>
  </si>
  <si>
    <t>Миргородська Альбіна</t>
  </si>
  <si>
    <t>ВСП "Марганецький фаховий коледж Національного технічного університету "Дніпровська політехніка"</t>
  </si>
  <si>
    <t>ZVPG_u_3355</t>
  </si>
  <si>
    <t>Прожуган Герман</t>
  </si>
  <si>
    <t>ZVPG_u_3356</t>
  </si>
  <si>
    <t>Келебердепнко Софія</t>
  </si>
  <si>
    <t>ZVPG_u_3357</t>
  </si>
  <si>
    <t>Савич Уляна</t>
  </si>
  <si>
    <t>ZVPG_u_3358</t>
  </si>
  <si>
    <t>Щочка Юлія</t>
  </si>
  <si>
    <t>ZVPG_u_3359</t>
  </si>
  <si>
    <t>Прудіус Аліна</t>
  </si>
  <si>
    <t>ZVPG_u_3360</t>
  </si>
  <si>
    <t>Чівільов Андрій</t>
  </si>
  <si>
    <t>ZVPG_u_3361</t>
  </si>
  <si>
    <t>Соболь Вікторія</t>
  </si>
  <si>
    <t>ZVPG_u_3362</t>
  </si>
  <si>
    <t>Анцупов Давід</t>
  </si>
  <si>
    <t>ZVPG_u_3363</t>
  </si>
  <si>
    <t>Лавров Давид</t>
  </si>
  <si>
    <t>ZVPG_u_3364</t>
  </si>
  <si>
    <t>Міщенко Данііл</t>
  </si>
  <si>
    <t>ZVPG_u_3365</t>
  </si>
  <si>
    <t>Вітушинський Данило</t>
  </si>
  <si>
    <t>ZVPG_u_3366</t>
  </si>
  <si>
    <t>Саранча Дар'я</t>
  </si>
  <si>
    <t>ZVPG_u_3367</t>
  </si>
  <si>
    <t>Чепіль Даріна</t>
  </si>
  <si>
    <t>ZVPG_u_3368</t>
  </si>
  <si>
    <t>Міщенко Денис</t>
  </si>
  <si>
    <t>ZVPG_u_3369</t>
  </si>
  <si>
    <t>Чередниченко Любов</t>
  </si>
  <si>
    <t>ZVPG_u_3370</t>
  </si>
  <si>
    <t>Вітвінов Олександр</t>
  </si>
  <si>
    <t>ZVPG_u_3371</t>
  </si>
  <si>
    <t>Кириченко Олександр</t>
  </si>
  <si>
    <t>ZVPG_u_3372</t>
  </si>
  <si>
    <t>Кличко Роман</t>
  </si>
  <si>
    <t>ZVPG_u_3373</t>
  </si>
  <si>
    <t>Кузов Сергій</t>
  </si>
  <si>
    <t>ZVPG_u_3374</t>
  </si>
  <si>
    <t>Гладишева Софія</t>
  </si>
  <si>
    <t>ZVPG_u_3375</t>
  </si>
  <si>
    <t>Калашникова Софія</t>
  </si>
  <si>
    <t>ZVPG_u_3376</t>
  </si>
  <si>
    <t>Вербенець Ярослав</t>
  </si>
  <si>
    <t>ZVPG_u_3377</t>
  </si>
  <si>
    <t>Бойко Артем</t>
  </si>
  <si>
    <t>ZVPG_u_3378</t>
  </si>
  <si>
    <t>Калашнік Софія</t>
  </si>
  <si>
    <t>Овлашівська гімназія Роменської міської ради Сумської області</t>
  </si>
  <si>
    <t>ZVPG_u_3379</t>
  </si>
  <si>
    <t>Козиренко Михайло</t>
  </si>
  <si>
    <t>ZVPG_u_3380</t>
  </si>
  <si>
    <t>Максименко Аріна</t>
  </si>
  <si>
    <t>ZVPG_u_3381</t>
  </si>
  <si>
    <t>Прозоровська Анна</t>
  </si>
  <si>
    <t>ZVPG_u_3382</t>
  </si>
  <si>
    <t>Устименко Миколай</t>
  </si>
  <si>
    <t>ZVPG_u_3383</t>
  </si>
  <si>
    <t>Щіпанов Іван</t>
  </si>
  <si>
    <t>ZVPG_u_3384</t>
  </si>
  <si>
    <t>Гречановський Ілля</t>
  </si>
  <si>
    <t>ZVPG_u_3385</t>
  </si>
  <si>
    <t>Кизим Ангеліна</t>
  </si>
  <si>
    <t>ZVPG_u_3386</t>
  </si>
  <si>
    <t>Мовчан Соломія</t>
  </si>
  <si>
    <t>ZVPG_u_3387</t>
  </si>
  <si>
    <t>Науменко Єгор</t>
  </si>
  <si>
    <t>ZVPG_u_3388</t>
  </si>
  <si>
    <t>Оксьом Павло</t>
  </si>
  <si>
    <t>ZVPG_u_3389</t>
  </si>
  <si>
    <t>Чижик Владислав</t>
  </si>
  <si>
    <t>ZVPG_u_3390</t>
  </si>
  <si>
    <t>Середа Богдан</t>
  </si>
  <si>
    <t>ZVPG_u_3391</t>
  </si>
  <si>
    <t>Гречка Артем</t>
  </si>
  <si>
    <t>ZVPG_u_3392</t>
  </si>
  <si>
    <t>Колесник Діана</t>
  </si>
  <si>
    <t>ZVPG_u_3393</t>
  </si>
  <si>
    <t>Котляр Макар</t>
  </si>
  <si>
    <t>ZVPG_u_3394</t>
  </si>
  <si>
    <t>Кропива Артур</t>
  </si>
  <si>
    <t>ZVPG_u_3395</t>
  </si>
  <si>
    <t>Мельник Сергій</t>
  </si>
  <si>
    <t>ZVPG_u_3396</t>
  </si>
  <si>
    <t>Набойченко Софія</t>
  </si>
  <si>
    <t>ZVPG_u_3397</t>
  </si>
  <si>
    <t>Науменко Артем</t>
  </si>
  <si>
    <t>ZVPG_u_3398</t>
  </si>
  <si>
    <t>Подтикало Ярослав</t>
  </si>
  <si>
    <t>ZVPG_u_3399</t>
  </si>
  <si>
    <t>Потеряйко Мар'яна</t>
  </si>
  <si>
    <t>ZVPG_u_3400</t>
  </si>
  <si>
    <t>Сайко Марат</t>
  </si>
  <si>
    <t>ZVPG_u_3401</t>
  </si>
  <si>
    <t>Степаненко Валерія</t>
  </si>
  <si>
    <t>ZVPG_u_3402</t>
  </si>
  <si>
    <t>Судак Олександра</t>
  </si>
  <si>
    <t>ZVPG_u_3403</t>
  </si>
  <si>
    <t>Сьомик Вероніка</t>
  </si>
  <si>
    <t>ZVPG_u_3404</t>
  </si>
  <si>
    <t>Ткаченко Артем</t>
  </si>
  <si>
    <t>ZVPG_u_3405</t>
  </si>
  <si>
    <t>Голуб Вікторія</t>
  </si>
  <si>
    <t>ZVPG_u_3406</t>
  </si>
  <si>
    <t>Гречка Анастасія</t>
  </si>
  <si>
    <t>ZVPG_u_3407</t>
  </si>
  <si>
    <t>ZVPG_u_3408</t>
  </si>
  <si>
    <t>Кизим Ростислав</t>
  </si>
  <si>
    <t>ZVPG_u_3409</t>
  </si>
  <si>
    <t>Онищенко Сергій</t>
  </si>
  <si>
    <t>ZVPG_u_3410</t>
  </si>
  <si>
    <t>Павицька Катерина</t>
  </si>
  <si>
    <t>ZVPG_u_3411</t>
  </si>
  <si>
    <t>Попадинець Ельвіра</t>
  </si>
  <si>
    <t>ZVPG_u_3412</t>
  </si>
  <si>
    <t>Самойлик Катерина</t>
  </si>
  <si>
    <t>ZVPG_u_3413</t>
  </si>
  <si>
    <t>Скачко Назар</t>
  </si>
  <si>
    <t>ZVPG_u_3414</t>
  </si>
  <si>
    <t>Стус Жанна</t>
  </si>
  <si>
    <t>ZVPG_u_3415</t>
  </si>
  <si>
    <t>Білак Владислав</t>
  </si>
  <si>
    <t>ZVPG_u_3416</t>
  </si>
  <si>
    <t>Боряк Паула</t>
  </si>
  <si>
    <t>ZVPG_u_3417</t>
  </si>
  <si>
    <t>Ворона Максим</t>
  </si>
  <si>
    <t>ZVPG_u_3418</t>
  </si>
  <si>
    <t>Давидовський Євген</t>
  </si>
  <si>
    <t>ZVPG_u_3419</t>
  </si>
  <si>
    <t>Завалій Максим</t>
  </si>
  <si>
    <t>ZVPG_u_3420</t>
  </si>
  <si>
    <t>Карпинський Данііл</t>
  </si>
  <si>
    <t>ZVPG_u_3421</t>
  </si>
  <si>
    <t>Компанієць Дмитро</t>
  </si>
  <si>
    <t>ZVPG_u_3422</t>
  </si>
  <si>
    <t>Михно Марк</t>
  </si>
  <si>
    <t>ZVPG_u_3423</t>
  </si>
  <si>
    <t>Назаренко Ярослав</t>
  </si>
  <si>
    <t>ZVPG_u_3424</t>
  </si>
  <si>
    <t>Петраш Євгеній</t>
  </si>
  <si>
    <t>ZVPG_u_3425</t>
  </si>
  <si>
    <t>Степаненко Матвій</t>
  </si>
  <si>
    <t>ZVPG_u_3426</t>
  </si>
  <si>
    <t>Чайка Анастасія</t>
  </si>
  <si>
    <t>ZVPG_u_3427</t>
  </si>
  <si>
    <t>Штефан Дмитро</t>
  </si>
  <si>
    <t>ZVPG_u_3428</t>
  </si>
  <si>
    <t>Македонський Давід</t>
  </si>
  <si>
    <t>Дніпровська гімназія 41 Дніпровської міської ради</t>
  </si>
  <si>
    <t>ZVPG_u_3429</t>
  </si>
  <si>
    <t>Тараненко Олександр</t>
  </si>
  <si>
    <t>ZVPG_u_3430</t>
  </si>
  <si>
    <t>Шестопалова Єва</t>
  </si>
  <si>
    <t>ZVPG_u_3431</t>
  </si>
  <si>
    <t>Лук'яненко Михайло</t>
  </si>
  <si>
    <t>ZVPG_u_3432</t>
  </si>
  <si>
    <t xml:space="preserve">Вавренчук Ігор </t>
  </si>
  <si>
    <t>ZVPG_u_3433</t>
  </si>
  <si>
    <t>Озарко Володимир Святославович</t>
  </si>
  <si>
    <t>Великокопанівський ліцей Великокопанівської сільської ради Херсонського району Херсонської області</t>
  </si>
  <si>
    <t>ZVPG_u_3434</t>
  </si>
  <si>
    <t>Полясковський Павло Костянтинович</t>
  </si>
  <si>
    <t>ZVPG_u_3435</t>
  </si>
  <si>
    <t>Сачко Марія Євгенівна</t>
  </si>
  <si>
    <t>ZVPG_u_3436</t>
  </si>
  <si>
    <t>Шаповалова Даря Сергіївна</t>
  </si>
  <si>
    <t>ZVPG_u_3437</t>
  </si>
  <si>
    <t>Хоменко Дмитро Вадимович</t>
  </si>
  <si>
    <t>ZVPG_u_3438</t>
  </si>
  <si>
    <t>Малиновська Марія Олексіївна</t>
  </si>
  <si>
    <t>ZVPG_u_3439</t>
  </si>
  <si>
    <t>Лук'янченко Владислав Сергійович</t>
  </si>
  <si>
    <t>ZVPG_u_3440</t>
  </si>
  <si>
    <t>Соколенко Даніл Олександрович</t>
  </si>
  <si>
    <t>ZVPG_u_3441</t>
  </si>
  <si>
    <t>Шахман Сніжана Євгеніївна</t>
  </si>
  <si>
    <t>ZVPG_u_3442</t>
  </si>
  <si>
    <t>Алтунян Мілана</t>
  </si>
  <si>
    <t>Школа Вільних та небайдужих</t>
  </si>
  <si>
    <t>ZVPG_u_3443</t>
  </si>
  <si>
    <t>Баляс Дмитро</t>
  </si>
  <si>
    <t>ZVPG_u_3444</t>
  </si>
  <si>
    <t>Дрогобицький Віталій</t>
  </si>
  <si>
    <t>ZVPG_u_3445</t>
  </si>
  <si>
    <t>Єлізаров Родіон</t>
  </si>
  <si>
    <t>ZVPG_u_3446</t>
  </si>
  <si>
    <t>Зацерковний Максим</t>
  </si>
  <si>
    <t>ZVPG_u_3447</t>
  </si>
  <si>
    <t>Кожушко Вікторія</t>
  </si>
  <si>
    <t>ZVPG_u_3448</t>
  </si>
  <si>
    <t>Крук Вероніка</t>
  </si>
  <si>
    <t>ZVPG_u_3449</t>
  </si>
  <si>
    <t>Панько Ангеліна</t>
  </si>
  <si>
    <t>ZVPG_u_3450</t>
  </si>
  <si>
    <t>Потинська Діана</t>
  </si>
  <si>
    <t>ZVPG_u_3451</t>
  </si>
  <si>
    <t>Сербенюк Артур</t>
  </si>
  <si>
    <t>ZVPG_u_3452</t>
  </si>
  <si>
    <t>Соболевська Дарина</t>
  </si>
  <si>
    <t>ZVPG_u_3453</t>
  </si>
  <si>
    <t>Чепак Богдан</t>
  </si>
  <si>
    <t>ZVPG_u_3454</t>
  </si>
  <si>
    <t>Беднарчук Юрій</t>
  </si>
  <si>
    <t>ZVPG_u_3455</t>
  </si>
  <si>
    <t>Бішко Матвій</t>
  </si>
  <si>
    <t>ZVPG_u_3456</t>
  </si>
  <si>
    <t>Будник Дарʼя</t>
  </si>
  <si>
    <t>ZVPG_u_3457</t>
  </si>
  <si>
    <t>Волошин Софія</t>
  </si>
  <si>
    <t>ZVPG_u_3458</t>
  </si>
  <si>
    <t>Гнатюк Олександр</t>
  </si>
  <si>
    <t>ZVPG_u_3459</t>
  </si>
  <si>
    <t>Гурняк Юстина</t>
  </si>
  <si>
    <t>ZVPG_u_3460</t>
  </si>
  <si>
    <t>Дяків Матвій</t>
  </si>
  <si>
    <t>ZVPG_u_3461</t>
  </si>
  <si>
    <t>Закопець Роксолана</t>
  </si>
  <si>
    <t>ZVPG_u_3462</t>
  </si>
  <si>
    <t>Залевська Катерина</t>
  </si>
  <si>
    <t>ZVPG_u_3463</t>
  </si>
  <si>
    <t>Каганяк Адам</t>
  </si>
  <si>
    <t>ZVPG_u_3464</t>
  </si>
  <si>
    <t>Ковалишин Максим</t>
  </si>
  <si>
    <t>ZVPG_u_3465</t>
  </si>
  <si>
    <t>Коцора Ангеліна</t>
  </si>
  <si>
    <t>ZVPG_u_3466</t>
  </si>
  <si>
    <t>Кравчук Матвій</t>
  </si>
  <si>
    <t>ZVPG_u_3467</t>
  </si>
  <si>
    <t>Олексієнко Марко</t>
  </si>
  <si>
    <t>ZVPG_u_3468</t>
  </si>
  <si>
    <t>Палій Софія</t>
  </si>
  <si>
    <t>ZVPG_u_3469</t>
  </si>
  <si>
    <t>Романець Анастасія</t>
  </si>
  <si>
    <t>ZVPG_u_3470</t>
  </si>
  <si>
    <t>Трусов Олександр</t>
  </si>
  <si>
    <t>ZVPG_u_3471</t>
  </si>
  <si>
    <t>Чикеречко Вероніка</t>
  </si>
  <si>
    <t>ZVPG_u_3472</t>
  </si>
  <si>
    <t>Шипівдич Дарія</t>
  </si>
  <si>
    <t>ZVPG_u_3473</t>
  </si>
  <si>
    <t>Балабанський Матвій</t>
  </si>
  <si>
    <t>ZVPG_u_3474</t>
  </si>
  <si>
    <t>Горішний Марко</t>
  </si>
  <si>
    <t>ZVPG_u_3475</t>
  </si>
  <si>
    <t>Гребень Святослав</t>
  </si>
  <si>
    <t>ZVPG_u_3476</t>
  </si>
  <si>
    <t>Гресюк Софія</t>
  </si>
  <si>
    <t>ZVPG_u_3477</t>
  </si>
  <si>
    <t>Грибовський Артур</t>
  </si>
  <si>
    <t>ZVPG_u_3478</t>
  </si>
  <si>
    <t>Крупська Дарина</t>
  </si>
  <si>
    <t>ZVPG_u_3479</t>
  </si>
  <si>
    <t>Куртяк Дарія</t>
  </si>
  <si>
    <t>ZVPG_u_3480</t>
  </si>
  <si>
    <t>Лукачук Кирило</t>
  </si>
  <si>
    <t>ZVPG_u_3481</t>
  </si>
  <si>
    <t>Макар Тимофій</t>
  </si>
  <si>
    <t>ZVPG_u_3482</t>
  </si>
  <si>
    <t>Новосядло Данило</t>
  </si>
  <si>
    <t>ZVPG_u_3483</t>
  </si>
  <si>
    <t>Піддубна Віталіна</t>
  </si>
  <si>
    <t>ZVPG_u_3484</t>
  </si>
  <si>
    <t>Пузенко Лук'ян</t>
  </si>
  <si>
    <t>ZVPG_u_3485</t>
  </si>
  <si>
    <t>Садовий Антоній</t>
  </si>
  <si>
    <t>ZVPG_u_3486</t>
  </si>
  <si>
    <t>Салдак Максим</t>
  </si>
  <si>
    <t>ZVPG_u_3487</t>
  </si>
  <si>
    <t>Сірко Іван</t>
  </si>
  <si>
    <t>ZVPG_u_3488</t>
  </si>
  <si>
    <t>Сидорчук Ніколь</t>
  </si>
  <si>
    <t>ZVPG_u_3489</t>
  </si>
  <si>
    <t>Сулим Олег</t>
  </si>
  <si>
    <t>ZVPG_u_3490</t>
  </si>
  <si>
    <t>Фещин Христина</t>
  </si>
  <si>
    <t>ZVPG_u_3491</t>
  </si>
  <si>
    <t>Цісінська Яна</t>
  </si>
  <si>
    <t>ZVPG_u_3492</t>
  </si>
  <si>
    <t>Ящук Еммі</t>
  </si>
  <si>
    <t>ZVPG_u_3493</t>
  </si>
  <si>
    <t>Байко Софія</t>
  </si>
  <si>
    <t>ZVPG_u_3494</t>
  </si>
  <si>
    <t>Бобик Анна</t>
  </si>
  <si>
    <t>ZVPG_u_3495</t>
  </si>
  <si>
    <t>Брийовська Вероніка</t>
  </si>
  <si>
    <t>ZVPG_u_3496</t>
  </si>
  <si>
    <t>Бубела Лука</t>
  </si>
  <si>
    <t>ZVPG_u_3497</t>
  </si>
  <si>
    <t>Дерид Лев</t>
  </si>
  <si>
    <t>ZVPG_u_3498</t>
  </si>
  <si>
    <t>Івачевський Ростислав</t>
  </si>
  <si>
    <t>ZVPG_u_3499</t>
  </si>
  <si>
    <t>Колчар Олександр</t>
  </si>
  <si>
    <t>ZVPG_u_3500</t>
  </si>
  <si>
    <t>Левицький Дмитро</t>
  </si>
  <si>
    <t>ZVPG_u_3501</t>
  </si>
  <si>
    <t>Малиновський Максим</t>
  </si>
  <si>
    <t>ZVPG_u_3502</t>
  </si>
  <si>
    <t>Маркіна Дар'я</t>
  </si>
  <si>
    <t>ZVPG_u_3503</t>
  </si>
  <si>
    <t>Наливайко Владислав</t>
  </si>
  <si>
    <t>ZVPG_u_3504</t>
  </si>
  <si>
    <t>Нестеренко Лев</t>
  </si>
  <si>
    <t>ZVPG_u_3505</t>
  </si>
  <si>
    <t>Попович Марко</t>
  </si>
  <si>
    <t>ZVPG_u_3506</t>
  </si>
  <si>
    <t>Рудий Ігор</t>
  </si>
  <si>
    <t>ZVPG_u_3507</t>
  </si>
  <si>
    <t>Соколова Мирослава</t>
  </si>
  <si>
    <t>ZVPG_u_3508</t>
  </si>
  <si>
    <t>Тивонюк Марко</t>
  </si>
  <si>
    <t>ZVPG_u_3509</t>
  </si>
  <si>
    <t>Тузяк Аделіна</t>
  </si>
  <si>
    <t>ZVPG_u_3510</t>
  </si>
  <si>
    <t>Хитрова Таїсія</t>
  </si>
  <si>
    <t>ZVPG_u_3511</t>
  </si>
  <si>
    <t>Яринич Любов</t>
  </si>
  <si>
    <t>ZVPG_u_3512</t>
  </si>
  <si>
    <t>Яценко Квітослава</t>
  </si>
  <si>
    <t>ZVPG_u_3513</t>
  </si>
  <si>
    <t>Лісніченко Михайло</t>
  </si>
  <si>
    <t>ZVPG_u_3514</t>
  </si>
  <si>
    <t>Авраменко Вікторія Русланівна</t>
  </si>
  <si>
    <t>Опішнянський ліцей Опішнянської селищної ради Полтавської області</t>
  </si>
  <si>
    <t>ZVPG_u_3515</t>
  </si>
  <si>
    <t>Бельга Софія Русланівна</t>
  </si>
  <si>
    <t>ZVPG_u_3516</t>
  </si>
  <si>
    <t>Герасименко Юрій Юрійович</t>
  </si>
  <si>
    <t>ZVPG_u_3517</t>
  </si>
  <si>
    <t>Головаха Каріна Романівна</t>
  </si>
  <si>
    <t>ZVPG_u_3518</t>
  </si>
  <si>
    <t>Грипич Костянтин Сергійович</t>
  </si>
  <si>
    <t>ZVPG_u_3519</t>
  </si>
  <si>
    <t>Джугостранська Анастасія Анатоліївна</t>
  </si>
  <si>
    <t>ZVPG_u_3520</t>
  </si>
  <si>
    <t>Калюжна Віталіна Владиславівна</t>
  </si>
  <si>
    <t>ZVPG_u_3521</t>
  </si>
  <si>
    <t>Киченко Вероніка Сергіївна</t>
  </si>
  <si>
    <t>ZVPG_u_3522</t>
  </si>
  <si>
    <t>Клименко Назар Валерійович</t>
  </si>
  <si>
    <t>ZVPG_u_3523</t>
  </si>
  <si>
    <t>Левошко Андрій Миколайович</t>
  </si>
  <si>
    <t>ZVPG_u_3524</t>
  </si>
  <si>
    <t>Матвієнко Софія Ігорівна</t>
  </si>
  <si>
    <t>ZVPG_u_3525</t>
  </si>
  <si>
    <t>Михайлик Ростислав Русланович</t>
  </si>
  <si>
    <t>ZVPG_u_3526</t>
  </si>
  <si>
    <t>Мілька Єлізавєта Володимирівна</t>
  </si>
  <si>
    <t>ZVPG_u_3527</t>
  </si>
  <si>
    <t>Олійник Оксана Володимирівна</t>
  </si>
  <si>
    <t>ZVPG_u_3528</t>
  </si>
  <si>
    <t>Радченко Андрій Едуардович</t>
  </si>
  <si>
    <t>ZVPG_u_3529</t>
  </si>
  <si>
    <t>Разумов-Фризюк Єгор Євгенійович</t>
  </si>
  <si>
    <t>ZVPG_u_3530</t>
  </si>
  <si>
    <t>Сапсай Анастасія Олександрівна</t>
  </si>
  <si>
    <t>ZVPG_u_3531</t>
  </si>
  <si>
    <t>Сібількова Аріна Сергіївна</t>
  </si>
  <si>
    <t>ZVPG_u_3532</t>
  </si>
  <si>
    <t>Стеблівська Катерина Олександрівна</t>
  </si>
  <si>
    <t>ZVPG_u_3533</t>
  </si>
  <si>
    <t>Федоша Марія Олександрівна</t>
  </si>
  <si>
    <t>ZVPG_u_3534</t>
  </si>
  <si>
    <t>Фіріченко Альбіна Олександрівна</t>
  </si>
  <si>
    <t>ZVPG_u_3535</t>
  </si>
  <si>
    <t>Хлівний Тімур Олександрович</t>
  </si>
  <si>
    <t>ZVPG_u_3536</t>
  </si>
  <si>
    <t>Антонець Дарина Володимирівна</t>
  </si>
  <si>
    <t>ZVPG_u_3537</t>
  </si>
  <si>
    <t>Безверха Анастасія Віталіївна</t>
  </si>
  <si>
    <t>ZVPG_u_3538</t>
  </si>
  <si>
    <t>Бучака Іван Олександрович</t>
  </si>
  <si>
    <t>ZVPG_u_3539</t>
  </si>
  <si>
    <t>Горбань Максим Степанович</t>
  </si>
  <si>
    <t>ZVPG_u_3540</t>
  </si>
  <si>
    <t>Даценко Назар Володимирович</t>
  </si>
  <si>
    <t>ZVPG_u_3541</t>
  </si>
  <si>
    <t>Діденко Ірина Віталіївна</t>
  </si>
  <si>
    <t>ZVPG_u_3542</t>
  </si>
  <si>
    <t>Івлієв Євгеній Михайлович</t>
  </si>
  <si>
    <t>ZVPG_u_3543</t>
  </si>
  <si>
    <t>Куленич Маргарита Андріївна</t>
  </si>
  <si>
    <t>ZVPG_u_3544</t>
  </si>
  <si>
    <t>Палій Артем Олександрович</t>
  </si>
  <si>
    <t>ZVPG_u_3545</t>
  </si>
  <si>
    <t>Шевченко Євгенія Борисівна</t>
  </si>
  <si>
    <t>ZVPG_u_3546</t>
  </si>
  <si>
    <t>Пивоварова Валерія Сергіївна</t>
  </si>
  <si>
    <t>ВСП "Роменський фаховий коледж Київського національного економічного університету імені Вадима Гетьмана"</t>
  </si>
  <si>
    <t>ZVPG_u_3547</t>
  </si>
  <si>
    <t>Бойко Ірина Віталіївна</t>
  </si>
  <si>
    <t>ZVPG_u_3548</t>
  </si>
  <si>
    <t>Маківська Анюта Сергіївна</t>
  </si>
  <si>
    <t>ZVPG_u_3549</t>
  </si>
  <si>
    <t>Полюков Кирило Іванович</t>
  </si>
  <si>
    <t>ZVPG_u_3550</t>
  </si>
  <si>
    <t>Воскобойнікова Тетяна Григорівна</t>
  </si>
  <si>
    <t>ZVPG_u_3551</t>
  </si>
  <si>
    <t>Касянчик Аріна Миколаївна</t>
  </si>
  <si>
    <t>ZVPG_u_3552</t>
  </si>
  <si>
    <t>Циба Софія Вадимівна</t>
  </si>
  <si>
    <t>ZVPG_u_3553</t>
  </si>
  <si>
    <t>Реміз Таїсія Сергіївна</t>
  </si>
  <si>
    <t>ZVPG_u_3554</t>
  </si>
  <si>
    <t>Метун Тетяна Олександрівна</t>
  </si>
  <si>
    <t>ZVPG_u_3555</t>
  </si>
  <si>
    <t>Кузнєцов Ярослав Сергійович</t>
  </si>
  <si>
    <t>ZVPG_u_3556</t>
  </si>
  <si>
    <t>Чернуха Артем Сергійович</t>
  </si>
  <si>
    <t>ZVPG_u_3557</t>
  </si>
  <si>
    <t>Іванова Ольга Євгеніївна</t>
  </si>
  <si>
    <t>ZVPG_u_3558</t>
  </si>
  <si>
    <t>Костенко Анастасія Сергіївна</t>
  </si>
  <si>
    <t>ZVPG_u_3559</t>
  </si>
  <si>
    <t>Гонтарук Богдана Олегівна</t>
  </si>
  <si>
    <t>ZVPG_u_3560</t>
  </si>
  <si>
    <t>Драч Кіра Ігорівна</t>
  </si>
  <si>
    <t>ZVPG_u_3561</t>
  </si>
  <si>
    <t>Рева Анастасія Віталіївна</t>
  </si>
  <si>
    <t>ZVPG_u_3562</t>
  </si>
  <si>
    <t>Кравченко Савелій</t>
  </si>
  <si>
    <t>ZVPG_u_3563</t>
  </si>
  <si>
    <t>Терещенко Іван</t>
  </si>
  <si>
    <t>ZVPG_u_3564</t>
  </si>
  <si>
    <t>Чубар Євгенія</t>
  </si>
  <si>
    <t>ZVPG_u_3565</t>
  </si>
  <si>
    <t>Морозова Каріна</t>
  </si>
  <si>
    <t>ZVPG_u_3566</t>
  </si>
  <si>
    <t>Пантелеєва Дана</t>
  </si>
  <si>
    <t>ZVPG_u_3567</t>
  </si>
  <si>
    <t>Пантелеєва Кіра</t>
  </si>
  <si>
    <t>ZVPG_u_3568</t>
  </si>
  <si>
    <t>Гусак Меланія</t>
  </si>
  <si>
    <t>Дніпровська гімназія №34 ДМР</t>
  </si>
  <si>
    <t>ZVPG_u_3569</t>
  </si>
  <si>
    <t>Сінків Артем</t>
  </si>
  <si>
    <t>ZVPG_u_3570</t>
  </si>
  <si>
    <t>Бабіч Тимур</t>
  </si>
  <si>
    <t>ZVPG_u_3571</t>
  </si>
  <si>
    <t>ZVPG_u_3572</t>
  </si>
  <si>
    <t>Фальшук Юлія</t>
  </si>
  <si>
    <t>ZVPG_u_3573</t>
  </si>
  <si>
    <t>Глинюк Анастасія</t>
  </si>
  <si>
    <t>ZVPG_u_3574</t>
  </si>
  <si>
    <t>Писменний Артур</t>
  </si>
  <si>
    <t>ZVPG_u_3575</t>
  </si>
  <si>
    <t>Лобойко Олеся</t>
  </si>
  <si>
    <t>ZVPG_u_3576</t>
  </si>
  <si>
    <t>Якуша Маргарита</t>
  </si>
  <si>
    <t>ZVPG_u_3577</t>
  </si>
  <si>
    <t>Мірошник Володимир</t>
  </si>
  <si>
    <t>ZVPG_u_3578</t>
  </si>
  <si>
    <t>Девятко Максим</t>
  </si>
  <si>
    <t>ZVPG_u_3579</t>
  </si>
  <si>
    <t>Давидов Марат</t>
  </si>
  <si>
    <t>ZVPG_u_3580</t>
  </si>
  <si>
    <t>Широка Маргарита</t>
  </si>
  <si>
    <t>ZVPG_u_3581</t>
  </si>
  <si>
    <t>Башкатова Анастасія</t>
  </si>
  <si>
    <t>ZVPG_u_3582</t>
  </si>
  <si>
    <t>Василенко Володимир</t>
  </si>
  <si>
    <t>ZVPG_u_3583</t>
  </si>
  <si>
    <t>Васильєв Данії</t>
  </si>
  <si>
    <t>ZVPG_u_3584</t>
  </si>
  <si>
    <t>Кузьмицький Тимур</t>
  </si>
  <si>
    <t>ZVPG_u_3585</t>
  </si>
  <si>
    <t>Щербина Аліса</t>
  </si>
  <si>
    <t>ZVPG_u_3586</t>
  </si>
  <si>
    <t>Галій Владислав</t>
  </si>
  <si>
    <t>ZVPG_u_3587</t>
  </si>
  <si>
    <t>Корнєєва Софія</t>
  </si>
  <si>
    <t>ZVPG_u_3588</t>
  </si>
  <si>
    <t>Рогачова Дар'я</t>
  </si>
  <si>
    <t>ZVPG_u_3589</t>
  </si>
  <si>
    <t xml:space="preserve">Кляутіна Іларія </t>
  </si>
  <si>
    <t>ZVPG_u_3590</t>
  </si>
  <si>
    <t>Тараніна Єлизавета</t>
  </si>
  <si>
    <t>Комунальна установа Сумська загальноосвітня школа І-ІІІ ступенів √24, м. Суми, Сумської області</t>
  </si>
  <si>
    <t>ZVPG_u_3591</t>
  </si>
  <si>
    <t>Кириченко Вадим</t>
  </si>
  <si>
    <t>ZVPG_u_3592</t>
  </si>
  <si>
    <t>Піддубна Анна</t>
  </si>
  <si>
    <t>ZVPG_u_3593</t>
  </si>
  <si>
    <t>Тьомний Олександр</t>
  </si>
  <si>
    <t>ZVPG_u_3594</t>
  </si>
  <si>
    <t>Волков Дамир</t>
  </si>
  <si>
    <t>ZVPG_u_3595</t>
  </si>
  <si>
    <t>Олійник Юлія</t>
  </si>
  <si>
    <t>ZVPG_u_3596</t>
  </si>
  <si>
    <t>Симоненко Софія</t>
  </si>
  <si>
    <t>ZVPG_u_3597</t>
  </si>
  <si>
    <t>Божинова Єва</t>
  </si>
  <si>
    <t>ZVPG_u_3598</t>
  </si>
  <si>
    <t>Лужецька Дар'я</t>
  </si>
  <si>
    <t>ZVPG_u_3599</t>
  </si>
  <si>
    <t>Голованова Анна</t>
  </si>
  <si>
    <t>ZVPG_u_3600</t>
  </si>
  <si>
    <t>Жуков Володимир</t>
  </si>
  <si>
    <t>ZVPG_u_3601</t>
  </si>
  <si>
    <t>Ровенська Анастасія</t>
  </si>
  <si>
    <t>ZVPG_u_3602</t>
  </si>
  <si>
    <t>Сизоненко Богдан</t>
  </si>
  <si>
    <t>ZVPG_u_3603</t>
  </si>
  <si>
    <t>Ступенко Тимур</t>
  </si>
  <si>
    <t>ZVPG_u_3604</t>
  </si>
  <si>
    <t>Гончаров Ілля</t>
  </si>
  <si>
    <t>ZVPG_u_3605</t>
  </si>
  <si>
    <t>Якименко Софія</t>
  </si>
  <si>
    <t>ZVPG_u_3606</t>
  </si>
  <si>
    <t>Яременко Крістіна</t>
  </si>
  <si>
    <t>ZVPG_u_3607</t>
  </si>
  <si>
    <t>Кривенко Ангеліна</t>
  </si>
  <si>
    <t>ZVPG_u_3608</t>
  </si>
  <si>
    <t xml:space="preserve">Сущенко Артем </t>
  </si>
  <si>
    <t>ZVPG_u_3609</t>
  </si>
  <si>
    <t>Пономаренко Матвій</t>
  </si>
  <si>
    <t>ZVPG_u_3610</t>
  </si>
  <si>
    <t>Сіряченко Єгор</t>
  </si>
  <si>
    <t>ZVPG_u_3611</t>
  </si>
  <si>
    <t>Александрова Ольга Сергіївна</t>
  </si>
  <si>
    <t>Комунальний заклад "Есхарівський ліцей" Новопокровської селищної ради Чугуївського району Харківської області</t>
  </si>
  <si>
    <t>ZVPG_u_3612</t>
  </si>
  <si>
    <t>Парасочка Богдан Юрійович</t>
  </si>
  <si>
    <t>ZVPG_u_3613</t>
  </si>
  <si>
    <t>Харіна Дарина Олександрівна</t>
  </si>
  <si>
    <t>ZVPG_u_3614</t>
  </si>
  <si>
    <t>Чернова Єва Сергіївна</t>
  </si>
  <si>
    <t>ZVPG_u_3615</t>
  </si>
  <si>
    <t>Шенгур Дмитро Юрійович</t>
  </si>
  <si>
    <t>ZVPG_u_3616</t>
  </si>
  <si>
    <t>Глухова Олеся Дмитрівна</t>
  </si>
  <si>
    <t>ZVPG_u_3617</t>
  </si>
  <si>
    <t>Кіян Софія Миколаївна</t>
  </si>
  <si>
    <t>ZVPG_u_3618</t>
  </si>
  <si>
    <t>Дунаєв Давід</t>
  </si>
  <si>
    <t>Каховська спеціалізована загальноосвітня школа І-ІІІ ст.№2 з поглибленим вивченням іноземних мов</t>
  </si>
  <si>
    <t>ZVPG_u_3619</t>
  </si>
  <si>
    <t>Соколова Віолетта</t>
  </si>
  <si>
    <t>ZVPG_u_3620</t>
  </si>
  <si>
    <t>Пилипчук Олександр</t>
  </si>
  <si>
    <t>ZVPG_u_3621</t>
  </si>
  <si>
    <t>Лобур Вікторія</t>
  </si>
  <si>
    <t>ZVPG_u_3622</t>
  </si>
  <si>
    <t>Корнілова Вікторія</t>
  </si>
  <si>
    <t>ZVPG_u_3623</t>
  </si>
  <si>
    <t>Дегтярьова Ксенія</t>
  </si>
  <si>
    <t>ZVPG_u_3624</t>
  </si>
  <si>
    <t>Шалухін Марк</t>
  </si>
  <si>
    <t>ZVPG_u_3625</t>
  </si>
  <si>
    <t>Баранов Максим</t>
  </si>
  <si>
    <t>ZVPG_u_3626</t>
  </si>
  <si>
    <t>Байда Єгор</t>
  </si>
  <si>
    <t>ZVPG_u_3627</t>
  </si>
  <si>
    <t>Воробйов Тимофій</t>
  </si>
  <si>
    <t>ZVPG_u_3628</t>
  </si>
  <si>
    <t>Терехов Арсеній</t>
  </si>
  <si>
    <t>ZVPG_u_3629</t>
  </si>
  <si>
    <t>Колесніков Денис</t>
  </si>
  <si>
    <t>ZVPG_u_3630</t>
  </si>
  <si>
    <t>Січковський Олексій</t>
  </si>
  <si>
    <t>ZVPG_u_3631</t>
  </si>
  <si>
    <t>Телештан Владислав</t>
  </si>
  <si>
    <t>ZVPG_u_3632</t>
  </si>
  <si>
    <t>Трапезникова Олена</t>
  </si>
  <si>
    <t>ZVPG_u_3633</t>
  </si>
  <si>
    <t>Малинко Назар</t>
  </si>
  <si>
    <t>Стайківський ліцей "Світоч"</t>
  </si>
  <si>
    <t>ZVPG_u_3634</t>
  </si>
  <si>
    <t>Чабан Ілля</t>
  </si>
  <si>
    <t>ZVPG_u_3635</t>
  </si>
  <si>
    <t>Приходько Дмитро</t>
  </si>
  <si>
    <t>ZVPG_u_3636</t>
  </si>
  <si>
    <t>Ковальчук Анна</t>
  </si>
  <si>
    <t>ZVPG_u_3637</t>
  </si>
  <si>
    <t>Конофольський Антон</t>
  </si>
  <si>
    <t>ZVPG_u_3638</t>
  </si>
  <si>
    <t>Терещенко Лілія</t>
  </si>
  <si>
    <t>ZVPG_u_3639</t>
  </si>
  <si>
    <t>Шевченко Денис</t>
  </si>
  <si>
    <t>ZVPG_u_3640</t>
  </si>
  <si>
    <t>Колісник Роман</t>
  </si>
  <si>
    <t>ZVPG_u_3641</t>
  </si>
  <si>
    <t>Цяпенко Діана</t>
  </si>
  <si>
    <t>ZVPG_u_3642</t>
  </si>
  <si>
    <t>Удод Даша</t>
  </si>
  <si>
    <t>ZVPG_u_3643</t>
  </si>
  <si>
    <t>Горяєва Тетяна</t>
  </si>
  <si>
    <t>ZVPG_u_3644</t>
  </si>
  <si>
    <t>Санду Вадим</t>
  </si>
  <si>
    <t>ZVPG_u_3645</t>
  </si>
  <si>
    <t>Антоненко Марія</t>
  </si>
  <si>
    <t>Ліцей 293 Деснянського району міста Києва</t>
  </si>
  <si>
    <t>ZVPG_u_3646</t>
  </si>
  <si>
    <t>Биховець Каміла</t>
  </si>
  <si>
    <t>ZVPG_u_3647</t>
  </si>
  <si>
    <t>Гура Злата</t>
  </si>
  <si>
    <t>ZVPG_u_3648</t>
  </si>
  <si>
    <t>Карпенко Микола</t>
  </si>
  <si>
    <t>ZVPG_u_3649</t>
  </si>
  <si>
    <t>Ковальчук Ярослав</t>
  </si>
  <si>
    <t>ZVPG_u_3650</t>
  </si>
  <si>
    <t>Комісаренко Роман</t>
  </si>
  <si>
    <t>ZVPG_u_3651</t>
  </si>
  <si>
    <t>Коротяєв Дмитро</t>
  </si>
  <si>
    <t>ZVPG_u_3652</t>
  </si>
  <si>
    <t>Кузьмич Катерина</t>
  </si>
  <si>
    <t>ZVPG_u_3653</t>
  </si>
  <si>
    <t>Максимчук Дар'я</t>
  </si>
  <si>
    <t>ZVPG_u_3654</t>
  </si>
  <si>
    <t>Наминач Аліса</t>
  </si>
  <si>
    <t>ZVPG_u_3655</t>
  </si>
  <si>
    <t>Наминач Анна</t>
  </si>
  <si>
    <t>ZVPG_u_3656</t>
  </si>
  <si>
    <t>Недошовенко Єва</t>
  </si>
  <si>
    <t>ZVPG_u_3657</t>
  </si>
  <si>
    <t>Некоз Дамір</t>
  </si>
  <si>
    <t>ZVPG_u_3658</t>
  </si>
  <si>
    <t>Осадча Єва</t>
  </si>
  <si>
    <t>ZVPG_u_3659</t>
  </si>
  <si>
    <t>Піщаний Захар</t>
  </si>
  <si>
    <t>ZVPG_u_3660</t>
  </si>
  <si>
    <t>Прокопчук Давид</t>
  </si>
  <si>
    <t>ZVPG_u_3661</t>
  </si>
  <si>
    <t>Рокоча Софія</t>
  </si>
  <si>
    <t>ZVPG_u_3662</t>
  </si>
  <si>
    <t>Скивка Кирил</t>
  </si>
  <si>
    <t>ZVPG_u_3663</t>
  </si>
  <si>
    <t>Стахорний Марк</t>
  </si>
  <si>
    <t>ZVPG_u_3664</t>
  </si>
  <si>
    <t>Яненко Поліна</t>
  </si>
  <si>
    <t>ZVPG_u_3665</t>
  </si>
  <si>
    <t xml:space="preserve">Огар Вікторія Дмитрівна </t>
  </si>
  <si>
    <t>Ліцей 101, м. Київ</t>
  </si>
  <si>
    <t>ZVPG_u_3666</t>
  </si>
  <si>
    <t xml:space="preserve">Щербініна Софія Костянтинівна </t>
  </si>
  <si>
    <t>ZVPG_u_3667</t>
  </si>
  <si>
    <t xml:space="preserve">Бородай Анастасія Сергіївна </t>
  </si>
  <si>
    <t>ZVPG_u_3668</t>
  </si>
  <si>
    <t xml:space="preserve">Малишев Данило Сергійович </t>
  </si>
  <si>
    <t>ZVPG_u_3669</t>
  </si>
  <si>
    <t xml:space="preserve">Угольніков Михайло Олексійович </t>
  </si>
  <si>
    <t>ZVPG_u_3670</t>
  </si>
  <si>
    <t>Симонець Анастасія</t>
  </si>
  <si>
    <t>Аджамський ліцей</t>
  </si>
  <si>
    <t>ZVPG_u_3671</t>
  </si>
  <si>
    <t>Бондар Мілана</t>
  </si>
  <si>
    <t>ZVPG_u_3672</t>
  </si>
  <si>
    <t>Тітова Дар'я</t>
  </si>
  <si>
    <t>ZVPG_u_3673</t>
  </si>
  <si>
    <t>Богданович Богдан Романович</t>
  </si>
  <si>
    <t>ВСП "Фаховий коледж інформаційних систем і технологій КНЕУ ім.В.Гетьмана"</t>
  </si>
  <si>
    <t>ZVPG_u_3674</t>
  </si>
  <si>
    <t>Зражевський Тимофій Олександрович</t>
  </si>
  <si>
    <t>ZVPG_u_3675</t>
  </si>
  <si>
    <t>Козенко Іван Анатолійович</t>
  </si>
  <si>
    <t>ZVPG_u_3676</t>
  </si>
  <si>
    <t>Нестерук Андрій Андрійович</t>
  </si>
  <si>
    <t>ZVPG_u_3677</t>
  </si>
  <si>
    <t>Полішвайко Лев Богданович</t>
  </si>
  <si>
    <t>ZVPG_u_3678</t>
  </si>
  <si>
    <t>Придиба Ярослав Вячеславович</t>
  </si>
  <si>
    <t>ZVPG_u_3679</t>
  </si>
  <si>
    <t>Ярушевський Ігнатій Юрійович</t>
  </si>
  <si>
    <t>ZVPG_u_3680</t>
  </si>
  <si>
    <t>Волкова Єва Віталіївна</t>
  </si>
  <si>
    <t>ZVPG_u_3681</t>
  </si>
  <si>
    <t>Гарматюк Павло Павлович</t>
  </si>
  <si>
    <t>ZVPG_u_3682</t>
  </si>
  <si>
    <t>Дуброва Катерина Олександрівна</t>
  </si>
  <si>
    <t>ZVPG_u_3683</t>
  </si>
  <si>
    <t xml:space="preserve">Калашніков Глєб Михайлович </t>
  </si>
  <si>
    <t>ZVPG_u_3684</t>
  </si>
  <si>
    <t>Міщанинець Анна Ігорівна</t>
  </si>
  <si>
    <t>ZVPG_u_3685</t>
  </si>
  <si>
    <t>Філонов Олександр Андрійович</t>
  </si>
  <si>
    <t>ZVPG_u_3686</t>
  </si>
  <si>
    <t>Знаменщикова Юліана Олександрівна</t>
  </si>
  <si>
    <t>ZVPG_u_3687</t>
  </si>
  <si>
    <t>Обозненко Олександр Ігорович</t>
  </si>
  <si>
    <t>ZVPG_u_3688</t>
  </si>
  <si>
    <t>Чуйко Ярослав Дмитрович</t>
  </si>
  <si>
    <t>ZVPG_u_3689</t>
  </si>
  <si>
    <t>Артем Кучеря</t>
  </si>
  <si>
    <t>ВСП "Фаховий коледж інформаційних систем і технолгій КНЕУ ім.В.Гетьмана"</t>
  </si>
  <si>
    <t>ZVPG_u_3690</t>
  </si>
  <si>
    <t>Віктор Даниленко</t>
  </si>
  <si>
    <t>ZVPG_u_3691</t>
  </si>
  <si>
    <t>Денис Сердюк</t>
  </si>
  <si>
    <t>ZVPG_u_3692</t>
  </si>
  <si>
    <t>Захарій Сус</t>
  </si>
  <si>
    <t>ZVPG_u_3693</t>
  </si>
  <si>
    <t>Лілія Фадєєва</t>
  </si>
  <si>
    <t>ZVPG_u_3694</t>
  </si>
  <si>
    <t>Максим Рибінський</t>
  </si>
  <si>
    <t>ZVPG_u_3695</t>
  </si>
  <si>
    <t>Мар'яна Майборода</t>
  </si>
  <si>
    <t>ZVPG_u_3696</t>
  </si>
  <si>
    <t>Ярина Левко</t>
  </si>
  <si>
    <t>ZVPG_u_3697</t>
  </si>
  <si>
    <t>Єгор Войцех</t>
  </si>
  <si>
    <t>ZVPG_u_3698</t>
  </si>
  <si>
    <t>Ілля Шаповал</t>
  </si>
  <si>
    <t>ZVPG_u_3699</t>
  </si>
  <si>
    <t>Валерія Малова</t>
  </si>
  <si>
    <t>ZVPG_u_3700</t>
  </si>
  <si>
    <t xml:space="preserve">Владислав Скоробогач </t>
  </si>
  <si>
    <t>ZVPG_u_3701</t>
  </si>
  <si>
    <t>Денис Мишко</t>
  </si>
  <si>
    <t>ZVPG_u_3702</t>
  </si>
  <si>
    <t>Марія Барська</t>
  </si>
  <si>
    <t>ZVPG_u_3703</t>
  </si>
  <si>
    <t>Микита Коссе</t>
  </si>
  <si>
    <t>ZVPG_u_3704</t>
  </si>
  <si>
    <t xml:space="preserve">Михайло Зборовський </t>
  </si>
  <si>
    <t>ZVPG_u_3705</t>
  </si>
  <si>
    <t>Михайло Тараненко</t>
  </si>
  <si>
    <t>ZVPG_u_3706</t>
  </si>
  <si>
    <t>Назар Руденко</t>
  </si>
  <si>
    <t>ZVPG_u_3707</t>
  </si>
  <si>
    <t>Сергій Саленко</t>
  </si>
  <si>
    <t>ZVPG_u_3708</t>
  </si>
  <si>
    <t>Діана Черненко</t>
  </si>
  <si>
    <t>ZVPG_u_3709</t>
  </si>
  <si>
    <t>Окіпнюк Катерина Вікторівна</t>
  </si>
  <si>
    <t>ZVPG_u_3710</t>
  </si>
  <si>
    <t>Корнійчук Максим Сергійович</t>
  </si>
  <si>
    <t>ZVPG_u_3711</t>
  </si>
  <si>
    <t>Костюченко Максим Іванович</t>
  </si>
  <si>
    <t>ZVPG_u_3712</t>
  </si>
  <si>
    <t xml:space="preserve">Савчук Олексій Олексійович </t>
  </si>
  <si>
    <t>ZVPG_u_3713</t>
  </si>
  <si>
    <t>Комишна Юлія Романівна</t>
  </si>
  <si>
    <t>ZVPG_u_3714</t>
  </si>
  <si>
    <t>Хлівний Богдан Анатолійович</t>
  </si>
  <si>
    <t>ZVPG_u_3715</t>
  </si>
  <si>
    <t>Цівак Владислав Юрійович</t>
  </si>
  <si>
    <t>ZVPG_u_3716</t>
  </si>
  <si>
    <t>Бондаренко Дмитро Юрійович</t>
  </si>
  <si>
    <t>ZVPG_u_3717</t>
  </si>
  <si>
    <t>Острогляд Леонід Олегович</t>
  </si>
  <si>
    <t>ZVPG_u_3718</t>
  </si>
  <si>
    <t>Сохацька Руслана Максимівна</t>
  </si>
  <si>
    <t>ZVPG_u_3719</t>
  </si>
  <si>
    <t>Корецька Аліса Денисівна</t>
  </si>
  <si>
    <t>ZVPG_u_3720</t>
  </si>
  <si>
    <t>Давидов Артем Євгенович</t>
  </si>
  <si>
    <t>ZVPG_u_3721</t>
  </si>
  <si>
    <t>Старіков Валерій Володимирович</t>
  </si>
  <si>
    <t>ZVPG_u_3722</t>
  </si>
  <si>
    <t>Куценко Софія Русланівна</t>
  </si>
  <si>
    <t>ZVPG_u_3723</t>
  </si>
  <si>
    <t>Савченко Тарас Олегович</t>
  </si>
  <si>
    <t>ZVPG_u_3724</t>
  </si>
  <si>
    <t>Хорошун Денис Вячеславович</t>
  </si>
  <si>
    <t>ZVPG_u_3725</t>
  </si>
  <si>
    <t>Кузнєцов Ілля Андрійович</t>
  </si>
  <si>
    <t>ZVPG_u_3726</t>
  </si>
  <si>
    <t>Підлужня Анастасія Іванівна</t>
  </si>
  <si>
    <t>Київський авіаційний фаховий коледж</t>
  </si>
  <si>
    <t>ZVPG_u_3727</t>
  </si>
  <si>
    <t>Герасименко Вікторія Вікторівна</t>
  </si>
  <si>
    <t>ZVPG_u_3728</t>
  </si>
  <si>
    <t>Береставенко Софія Ігорівна</t>
  </si>
  <si>
    <t>ZVPG_u_3729</t>
  </si>
  <si>
    <t>Петренко Дмитро Олексійович</t>
  </si>
  <si>
    <t>ZVPG_u_3730</t>
  </si>
  <si>
    <t>Смоля Ольга Олександрівна</t>
  </si>
  <si>
    <t>ZVPG_u_3731</t>
  </si>
  <si>
    <t>Бондаренко Вікторія Євгеніївна</t>
  </si>
  <si>
    <t>ZVPG_u_3732</t>
  </si>
  <si>
    <t>Паціюк Олександр Костянтинович</t>
  </si>
  <si>
    <t>ZVPG_u_3733</t>
  </si>
  <si>
    <t>Косян Катерина Олександрівна</t>
  </si>
  <si>
    <t>ZVPG_u_3734</t>
  </si>
  <si>
    <t>Бурак Любомир Олексійович</t>
  </si>
  <si>
    <t>Приватна школа Wonders</t>
  </si>
  <si>
    <t>ZVPG_u_3735</t>
  </si>
  <si>
    <t>Кулига Марія Євгенівна</t>
  </si>
  <si>
    <t>ZVPG_u_3736</t>
  </si>
  <si>
    <t>Коржова Аміна Олексіївна</t>
  </si>
  <si>
    <t>ZVPG_u_3737</t>
  </si>
  <si>
    <t>Вовченко Єлизавета Вячеславівна</t>
  </si>
  <si>
    <t>ZVPG_u_3738</t>
  </si>
  <si>
    <t>Колісник Святослав Олексійович</t>
  </si>
  <si>
    <t>ZVPG_u_3739</t>
  </si>
  <si>
    <t>Бурцева Варвара</t>
  </si>
  <si>
    <t>Олександрійський фаховий коледж культури і мистецтв</t>
  </si>
  <si>
    <t>ZVPG_u_3740</t>
  </si>
  <si>
    <t>Демешко Єлизавета</t>
  </si>
  <si>
    <t>ZVPG_u_3741</t>
  </si>
  <si>
    <t>Кірілова Анна</t>
  </si>
  <si>
    <t>ZVPG_u_3742</t>
  </si>
  <si>
    <t>Леонова Олена</t>
  </si>
  <si>
    <t>ZVPG_u_3743</t>
  </si>
  <si>
    <t>Мануйлова Катерина</t>
  </si>
  <si>
    <t>ZVPG_u_3744</t>
  </si>
  <si>
    <t>Метка Софія</t>
  </si>
  <si>
    <t>ZVPG_u_3745</t>
  </si>
  <si>
    <t>Романова Аліна</t>
  </si>
  <si>
    <t>ZVPG_u_3746</t>
  </si>
  <si>
    <t>Шишлова Валентина</t>
  </si>
  <si>
    <t>ZVPG_u_3747</t>
  </si>
  <si>
    <t>Богінська Марія</t>
  </si>
  <si>
    <t>ZVPG_u_3748</t>
  </si>
  <si>
    <t>Білоус Софія</t>
  </si>
  <si>
    <t>ZVPG_u_3749</t>
  </si>
  <si>
    <t>Божко Марія</t>
  </si>
  <si>
    <t>ZVPG_u_3750</t>
  </si>
  <si>
    <t>Дробязко Віра</t>
  </si>
  <si>
    <t>ZVPG_u_3751</t>
  </si>
  <si>
    <t>Зіноватна Марія</t>
  </si>
  <si>
    <t>ZVPG_u_3752</t>
  </si>
  <si>
    <t>Комлик Михайло</t>
  </si>
  <si>
    <t>ZVPG_u_3753</t>
  </si>
  <si>
    <t>Котяк Анастасія</t>
  </si>
  <si>
    <t>ZVPG_u_3754</t>
  </si>
  <si>
    <t>Цань Дарина</t>
  </si>
  <si>
    <t>ZVPG_u_3755</t>
  </si>
  <si>
    <t>Падалка Ксенія</t>
  </si>
  <si>
    <t>ZVPG_u_3756</t>
  </si>
  <si>
    <t>Вовк Аліна</t>
  </si>
  <si>
    <t>ZVPG_u_3757</t>
  </si>
  <si>
    <t>Криворучко Ірина</t>
  </si>
  <si>
    <t>ZVPG_u_3758</t>
  </si>
  <si>
    <t>Дуденко Діана</t>
  </si>
  <si>
    <t>ZVPG_u_3759</t>
  </si>
  <si>
    <t>Боклаг Марина</t>
  </si>
  <si>
    <t>ZVPG_u_3760</t>
  </si>
  <si>
    <t>Зубарєва Єлизавета</t>
  </si>
  <si>
    <t>ZVPG_u_3761</t>
  </si>
  <si>
    <t>Король Анна</t>
  </si>
  <si>
    <t>ZVPG_u_3762</t>
  </si>
  <si>
    <t>Маломуж Артем</t>
  </si>
  <si>
    <t>ZVPG_u_3763</t>
  </si>
  <si>
    <t>Моторна Ілона</t>
  </si>
  <si>
    <t>ZVPG_u_3764</t>
  </si>
  <si>
    <t>МІщенко Дар'я</t>
  </si>
  <si>
    <t>ZVPG_u_3765</t>
  </si>
  <si>
    <t>Кіяшко Валерія</t>
  </si>
  <si>
    <t>ZVPG_u_3766</t>
  </si>
  <si>
    <t>Апрод Катерина</t>
  </si>
  <si>
    <t>ZVPG_u_3767</t>
  </si>
  <si>
    <t>Белінський Єгор</t>
  </si>
  <si>
    <t>Гімназія №20 імені Сергія Єфремова Хмельницької міської ради</t>
  </si>
  <si>
    <t>ZVPG_u_3768</t>
  </si>
  <si>
    <t>Біга Єва</t>
  </si>
  <si>
    <t>ZVPG_u_3769</t>
  </si>
  <si>
    <t>Габбасова Рената</t>
  </si>
  <si>
    <t>ZVPG_u_3770</t>
  </si>
  <si>
    <t>Гуменна Анастасія</t>
  </si>
  <si>
    <t>ZVPG_u_3771</t>
  </si>
  <si>
    <t>Дядюк Анастасія</t>
  </si>
  <si>
    <t>ZVPG_u_3772</t>
  </si>
  <si>
    <t>Карташова Анастасія</t>
  </si>
  <si>
    <t>ZVPG_u_3773</t>
  </si>
  <si>
    <t>Кравчук Софія</t>
  </si>
  <si>
    <t>ZVPG_u_3774</t>
  </si>
  <si>
    <t>Кудашев Кирило</t>
  </si>
  <si>
    <t>ZVPG_u_3775</t>
  </si>
  <si>
    <t>Речін Ілля</t>
  </si>
  <si>
    <t>ZVPG_u_3776</t>
  </si>
  <si>
    <t>Рудик Єгор</t>
  </si>
  <si>
    <t>ZVPG_u_3777</t>
  </si>
  <si>
    <t>Сиркизюк Катерина</t>
  </si>
  <si>
    <t>ZVPG_u_3778</t>
  </si>
  <si>
    <t>Соколовський Дмитро</t>
  </si>
  <si>
    <t>ZVPG_u_3779</t>
  </si>
  <si>
    <t>Солодунова Лада</t>
  </si>
  <si>
    <t>ZVPG_u_3780</t>
  </si>
  <si>
    <t>Стецюк Максим</t>
  </si>
  <si>
    <t>ZVPG_u_3781</t>
  </si>
  <si>
    <t>Столаба Іван</t>
  </si>
  <si>
    <t>ZVPG_u_3782</t>
  </si>
  <si>
    <t>Таірова Вікторія</t>
  </si>
  <si>
    <t>ZVPG_u_3783</t>
  </si>
  <si>
    <t>Цвігун Соломія</t>
  </si>
  <si>
    <t>ZVPG_u_3784</t>
  </si>
  <si>
    <t>Цвігун Софія</t>
  </si>
  <si>
    <t>ZVPG_u_3785</t>
  </si>
  <si>
    <t>Чумак Данило</t>
  </si>
  <si>
    <t>ZVPG_u_3786</t>
  </si>
  <si>
    <t>Шевчук Артем</t>
  </si>
  <si>
    <t>ZVPG_u_3787</t>
  </si>
  <si>
    <t>Шевчук Даніїл</t>
  </si>
  <si>
    <t>ZVPG_u_3788</t>
  </si>
  <si>
    <t>Шемчук Валерія</t>
  </si>
  <si>
    <t>ZVPG_u_3789</t>
  </si>
  <si>
    <t>Василенко Емма</t>
  </si>
  <si>
    <t>ZVPG_u_3790</t>
  </si>
  <si>
    <t>Євсюнін Святозар</t>
  </si>
  <si>
    <t>ZVPG_u_3791</t>
  </si>
  <si>
    <t>Кудрявцев Єлисей</t>
  </si>
  <si>
    <t>ZVPG_u_3792</t>
  </si>
  <si>
    <t>Ніколенко Владислав</t>
  </si>
  <si>
    <t>ZVPG_u_3793</t>
  </si>
  <si>
    <t>Петровський Олександр</t>
  </si>
  <si>
    <t>ZVPG_u_3794</t>
  </si>
  <si>
    <t>Марченко Юлія Сергіївна</t>
  </si>
  <si>
    <t>Ямпільський ліцей №2 Ямпільської селищної ради Сумської області</t>
  </si>
  <si>
    <t>ZVPG_u_3795</t>
  </si>
  <si>
    <t>Міщенко Марія Артемівна</t>
  </si>
  <si>
    <t>ZVPG_u_3796</t>
  </si>
  <si>
    <t>Заболотна Валерія Олександрівна</t>
  </si>
  <si>
    <t>ZVPG_u_3797</t>
  </si>
  <si>
    <t>Терентьєва Валерія Олександрівна</t>
  </si>
  <si>
    <t>ZVPG_u_3798</t>
  </si>
  <si>
    <t>Синьогуб Марія Олександрівна</t>
  </si>
  <si>
    <t>ZVPG_u_3799</t>
  </si>
  <si>
    <t>Мельникова Софія Андріївна</t>
  </si>
  <si>
    <t>ZVPG_u_3800</t>
  </si>
  <si>
    <t>Мороз Владислав Миколайович</t>
  </si>
  <si>
    <t>ZVPG_u_3801</t>
  </si>
  <si>
    <t>Тригубченко Дар'я Єдуардівна</t>
  </si>
  <si>
    <t>ZVPG_u_3802</t>
  </si>
  <si>
    <t>Ольховик Єлизавета Володимирівна</t>
  </si>
  <si>
    <t>ZVPG_u_3803</t>
  </si>
  <si>
    <t>Кривошап Сергій Валерійович</t>
  </si>
  <si>
    <t>ZVPG_u_3804</t>
  </si>
  <si>
    <t>Злиденний Кирило Віталійович</t>
  </si>
  <si>
    <t>ZVPG_u_3805</t>
  </si>
  <si>
    <t>Харлашко Глєб Михайлович</t>
  </si>
  <si>
    <t>ZVPG_u_3806</t>
  </si>
  <si>
    <t>Ганага Дарина Володимирівна</t>
  </si>
  <si>
    <t>ZVPG_u_3807</t>
  </si>
  <si>
    <t>Коршок Дмитро Максимович</t>
  </si>
  <si>
    <t>ZVPG_u_3808</t>
  </si>
  <si>
    <t>Бородач Вікторія Олександрівна</t>
  </si>
  <si>
    <t>ZVPG_u_3809</t>
  </si>
  <si>
    <t>Бондарець Артем</t>
  </si>
  <si>
    <t>Нетішинський професійний ліцей</t>
  </si>
  <si>
    <t>ZVPG_u_3810</t>
  </si>
  <si>
    <t>Марчук Катерина</t>
  </si>
  <si>
    <t>ZVPG_u_3811</t>
  </si>
  <si>
    <t>Сєдов Олександр</t>
  </si>
  <si>
    <t>ZVPG_u_3812</t>
  </si>
  <si>
    <t xml:space="preserve">Надєждіна Богдана </t>
  </si>
  <si>
    <t>ZVPG_u_3813</t>
  </si>
  <si>
    <t>Савчук Дмитро</t>
  </si>
  <si>
    <t>ZVPG_u_3814</t>
  </si>
  <si>
    <t>Бачинська Анастасія Володимирівна</t>
  </si>
  <si>
    <t>КЗ НВК «Лозівська загальноосвітня школа І-ІІІ ст. - дошкільний навчальний заклад» Байковецької сільської ради Тернопільського району Тернопільської області</t>
  </si>
  <si>
    <t>ZVPG_u_3815</t>
  </si>
  <si>
    <t>Бринюк Анастасія Юріївна</t>
  </si>
  <si>
    <t>ZVPG_u_3816</t>
  </si>
  <si>
    <t>Стефанишин Артем Володимирович</t>
  </si>
  <si>
    <t>ZVPG_u_3817</t>
  </si>
  <si>
    <t>Рудий Станіслав Мирославович</t>
  </si>
  <si>
    <t>ZVPG_u_3818</t>
  </si>
  <si>
    <t>Швед Емілія Костянтинівна</t>
  </si>
  <si>
    <t>ZVPG_u_3819</t>
  </si>
  <si>
    <t>Карман Артем Петрович</t>
  </si>
  <si>
    <t>ZVPG_u_3820</t>
  </si>
  <si>
    <t>Васильчишин Христина Миколаївна</t>
  </si>
  <si>
    <t>ZVPG_u_3821</t>
  </si>
  <si>
    <t xml:space="preserve">Пастернак Софія Василівна </t>
  </si>
  <si>
    <t>ZVPG_u_3822</t>
  </si>
  <si>
    <t>Оскобойний Святослав Володимирович</t>
  </si>
  <si>
    <t>ZVPG_u_3823</t>
  </si>
  <si>
    <t>Сімора Олександр Олександрович</t>
  </si>
  <si>
    <t>ZVPG_u_3824</t>
  </si>
  <si>
    <t>Бриник Ілля Миколайович</t>
  </si>
  <si>
    <t>ZVPG_u_3825</t>
  </si>
  <si>
    <t>Кіндзерська Вікторія Василівна</t>
  </si>
  <si>
    <t>ZVPG_u_3826</t>
  </si>
  <si>
    <t>Богоста Арсеній Михайлович</t>
  </si>
  <si>
    <t>ZVPG_u_3827</t>
  </si>
  <si>
    <t>Киць Давид Тарасович</t>
  </si>
  <si>
    <t>ZVPG_u_3828</t>
  </si>
  <si>
    <t>Хархут Олег Петрович</t>
  </si>
  <si>
    <t>ZVPG_u_3829</t>
  </si>
  <si>
    <t>Процишин Владислав Валерійович</t>
  </si>
  <si>
    <t>ZVPG_u_3830</t>
  </si>
  <si>
    <t>Сісвадзе Давид Таріелович</t>
  </si>
  <si>
    <t>ZVPG_u_3831</t>
  </si>
  <si>
    <t>Рудак Анастасія Іванівна</t>
  </si>
  <si>
    <t>ZVPG_u_3832</t>
  </si>
  <si>
    <t>Єфименко Інна</t>
  </si>
  <si>
    <t>Нікопольська гімназія №25 Нікопольської міської ради</t>
  </si>
  <si>
    <t>ZVPG_u_3833</t>
  </si>
  <si>
    <t>Костильов Артем</t>
  </si>
  <si>
    <t>ZVPG_u_3834</t>
  </si>
  <si>
    <t>Леонова Альона</t>
  </si>
  <si>
    <t>ZVPG_u_3835</t>
  </si>
  <si>
    <t>Ліхолат Олександр</t>
  </si>
  <si>
    <t>ZVPG_u_3836</t>
  </si>
  <si>
    <t>Литвинова Софія</t>
  </si>
  <si>
    <t>ZVPG_u_3837</t>
  </si>
  <si>
    <t>Лещенко Юлія</t>
  </si>
  <si>
    <t>ZVPG_u_3838</t>
  </si>
  <si>
    <t>Мазай Дар'я</t>
  </si>
  <si>
    <t>ZVPG_u_3839</t>
  </si>
  <si>
    <t>Меновщикова Ангеліна</t>
  </si>
  <si>
    <t>ZVPG_u_3840</t>
  </si>
  <si>
    <t>Мірошниченко Анастасія</t>
  </si>
  <si>
    <t>ZVPG_u_3841</t>
  </si>
  <si>
    <t>Огородня Аліна</t>
  </si>
  <si>
    <t>ZVPG_u_3842</t>
  </si>
  <si>
    <t>Поган Богдана</t>
  </si>
  <si>
    <t>ZVPG_u_3843</t>
  </si>
  <si>
    <t>Бабин Володимир</t>
  </si>
  <si>
    <t>ОЗО «Клішковецький ЗЗСО І-ІІІ ст.»</t>
  </si>
  <si>
    <t>ZVPG_u_3844</t>
  </si>
  <si>
    <t>Бабина Таїсія</t>
  </si>
  <si>
    <t>ZVPG_u_3845</t>
  </si>
  <si>
    <t>Бабина Даша</t>
  </si>
  <si>
    <t>ZVPG_u_3846</t>
  </si>
  <si>
    <t>Безверхня Дарія</t>
  </si>
  <si>
    <t>ZVPG_u_3847</t>
  </si>
  <si>
    <t>Бобик Іван</t>
  </si>
  <si>
    <t>ZVPG_u_3848</t>
  </si>
  <si>
    <t>Бушлаков Давид</t>
  </si>
  <si>
    <t>ZVPG_u_3849</t>
  </si>
  <si>
    <t>Вітанчук Христина</t>
  </si>
  <si>
    <t>ZVPG_u_3850</t>
  </si>
  <si>
    <t>Гаврилян Богдан</t>
  </si>
  <si>
    <t>ZVPG_u_3851</t>
  </si>
  <si>
    <t>Гермаківський Денис</t>
  </si>
  <si>
    <t>ZVPG_u_3852</t>
  </si>
  <si>
    <t>Камбур Владислав</t>
  </si>
  <si>
    <t>ZVPG_u_3853</t>
  </si>
  <si>
    <t>Карвацький Микола</t>
  </si>
  <si>
    <t>ZVPG_u_3854</t>
  </si>
  <si>
    <t>Кушнір Авеліна</t>
  </si>
  <si>
    <t>ZVPG_u_3855</t>
  </si>
  <si>
    <t>Мельник Андрій</t>
  </si>
  <si>
    <t>ZVPG_u_3856</t>
  </si>
  <si>
    <t>Мусурівський Іван</t>
  </si>
  <si>
    <t>ZVPG_u_3857</t>
  </si>
  <si>
    <t>Неврянський Владислав</t>
  </si>
  <si>
    <t>ZVPG_u_3858</t>
  </si>
  <si>
    <t>Пінтяк Єва</t>
  </si>
  <si>
    <t>ZVPG_u_3859</t>
  </si>
  <si>
    <t>Турянська Евеліна</t>
  </si>
  <si>
    <t>ZVPG_u_3860</t>
  </si>
  <si>
    <t>Чебан Данило</t>
  </si>
  <si>
    <t>ZVPG_u_3861</t>
  </si>
  <si>
    <t>Балахтар Анастасія</t>
  </si>
  <si>
    <t>ZVPG_u_3862</t>
  </si>
  <si>
    <t>Богачик Дмитро</t>
  </si>
  <si>
    <t>ZVPG_u_3863</t>
  </si>
  <si>
    <t>Гаврилян Наталія</t>
  </si>
  <si>
    <t>ZVPG_u_3864</t>
  </si>
  <si>
    <t>Копусяк Валентина</t>
  </si>
  <si>
    <t>ZVPG_u_3865</t>
  </si>
  <si>
    <t>Корсун Олександр</t>
  </si>
  <si>
    <t>ZVPG_u_3866</t>
  </si>
  <si>
    <t>Крук Віталій</t>
  </si>
  <si>
    <t>ZVPG_u_3867</t>
  </si>
  <si>
    <t>Марчук Іванна</t>
  </si>
  <si>
    <t>ZVPG_u_3868</t>
  </si>
  <si>
    <t>Непийвода Софія</t>
  </si>
  <si>
    <t>ZVPG_u_3869</t>
  </si>
  <si>
    <t>Руснак Дмитро</t>
  </si>
  <si>
    <t>ZVPG_u_3870</t>
  </si>
  <si>
    <t>Скутельник Катерина</t>
  </si>
  <si>
    <t>ZVPG_u_3871</t>
  </si>
  <si>
    <t>Суслова Вероніка</t>
  </si>
  <si>
    <t>ZVPG_u_3872</t>
  </si>
  <si>
    <t>Чайник Ілля</t>
  </si>
  <si>
    <t>ZVPG_u_3873</t>
  </si>
  <si>
    <t>Юрій Софія</t>
  </si>
  <si>
    <t>ZVPG_u_3874</t>
  </si>
  <si>
    <t>Бобик Дмитро</t>
  </si>
  <si>
    <t>ZVPG_u_3875</t>
  </si>
  <si>
    <t>Боднар Ілля</t>
  </si>
  <si>
    <t>ZVPG_u_3876</t>
  </si>
  <si>
    <t>Велієва Альбіна</t>
  </si>
  <si>
    <t>ZVPG_u_3877</t>
  </si>
  <si>
    <t>Івлєв Олександр</t>
  </si>
  <si>
    <t>ZVPG_u_3878</t>
  </si>
  <si>
    <t>Івлєв Павло</t>
  </si>
  <si>
    <t>ZVPG_u_3879</t>
  </si>
  <si>
    <t>Костюк Олександр</t>
  </si>
  <si>
    <t>ZVPG_u_3880</t>
  </si>
  <si>
    <t>ZVPG_u_3881</t>
  </si>
  <si>
    <t>Мельник Катерина</t>
  </si>
  <si>
    <t>ZVPG_u_3882</t>
  </si>
  <si>
    <t>Музика Вікторія</t>
  </si>
  <si>
    <t>ZVPG_u_3883</t>
  </si>
  <si>
    <t>Скрипнікова Олександра</t>
  </si>
  <si>
    <t>ZVPG_u_3884</t>
  </si>
  <si>
    <t>Скутельник Оксана</t>
  </si>
  <si>
    <t>ZVPG_u_3885</t>
  </si>
  <si>
    <t>Тихенький Влад</t>
  </si>
  <si>
    <t>ZVPG_u_3886</t>
  </si>
  <si>
    <t>Бабина Олена</t>
  </si>
  <si>
    <t>ZVPG_u_3887</t>
  </si>
  <si>
    <t>Балан Василь</t>
  </si>
  <si>
    <t>ZVPG_u_3888</t>
  </si>
  <si>
    <t>Боярин Катерина</t>
  </si>
  <si>
    <t>ZVPG_u_3889</t>
  </si>
  <si>
    <t>Божик Катерина</t>
  </si>
  <si>
    <t>ZVPG_u_3890</t>
  </si>
  <si>
    <t>Бушлаков Михайло</t>
  </si>
  <si>
    <t>ZVPG_u_3891</t>
  </si>
  <si>
    <t>Вовківський Андрій</t>
  </si>
  <si>
    <t>ZVPG_u_3892</t>
  </si>
  <si>
    <t>Городенська Діана</t>
  </si>
  <si>
    <t>ZVPG_u_3893</t>
  </si>
  <si>
    <t>Дідич Дмитро</t>
  </si>
  <si>
    <t>ZVPG_u_3894</t>
  </si>
  <si>
    <t>Кирилюк Аліна</t>
  </si>
  <si>
    <t>ZVPG_u_3895</t>
  </si>
  <si>
    <t>Кирилюк Олександра</t>
  </si>
  <si>
    <t>ZVPG_u_3896</t>
  </si>
  <si>
    <t>Мазур Еліна</t>
  </si>
  <si>
    <t>ZVPG_u_3897</t>
  </si>
  <si>
    <t>Мартинюк Давид</t>
  </si>
  <si>
    <t>ZVPG_u_3898</t>
  </si>
  <si>
    <t>Матеїк Віталін</t>
  </si>
  <si>
    <t>ZVPG_u_3899</t>
  </si>
  <si>
    <t>Меленець Ольга</t>
  </si>
  <si>
    <t>ZVPG_u_3900</t>
  </si>
  <si>
    <t>Мельник Софія</t>
  </si>
  <si>
    <t>ZVPG_u_3901</t>
  </si>
  <si>
    <t>Митринюк Нікіта</t>
  </si>
  <si>
    <t>ZVPG_u_3902</t>
  </si>
  <si>
    <t>Палагнюк Дмитро</t>
  </si>
  <si>
    <t>ZVPG_u_3903</t>
  </si>
  <si>
    <t>Руснак Даниїл</t>
  </si>
  <si>
    <t>ZVPG_u_3904</t>
  </si>
  <si>
    <t>Сало Богдан</t>
  </si>
  <si>
    <t>ZVPG_u_3905</t>
  </si>
  <si>
    <t>Скутельник Іван</t>
  </si>
  <si>
    <t>ZVPG_u_3906</t>
  </si>
  <si>
    <t>Черній Станіслав</t>
  </si>
  <si>
    <t>ZVPG_u_3907</t>
  </si>
  <si>
    <t>Бобик Ростислав</t>
  </si>
  <si>
    <t>ZVPG_u_3908</t>
  </si>
  <si>
    <t>Велієва Каріна</t>
  </si>
  <si>
    <t>ZVPG_u_3909</t>
  </si>
  <si>
    <t>Горченко Вероніка</t>
  </si>
  <si>
    <t>ZVPG_u_3910</t>
  </si>
  <si>
    <t>Демко Софія</t>
  </si>
  <si>
    <t>ZVPG_u_3911</t>
  </si>
  <si>
    <t>Дудка Артем</t>
  </si>
  <si>
    <t>ZVPG_u_3912</t>
  </si>
  <si>
    <t>Ковтюк Семен</t>
  </si>
  <si>
    <t>ZVPG_u_3913</t>
  </si>
  <si>
    <t>Меренюк Микола</t>
  </si>
  <si>
    <t>ZVPG_u_3914</t>
  </si>
  <si>
    <t>Нижник Нікіта</t>
  </si>
  <si>
    <t>ZVPG_u_3915</t>
  </si>
  <si>
    <t>Руснак Владислав</t>
  </si>
  <si>
    <t>ZVPG_u_3916</t>
  </si>
  <si>
    <t>Сало Святослав</t>
  </si>
  <si>
    <t>ZVPG_u_3917</t>
  </si>
  <si>
    <t>Слободян Валерія</t>
  </si>
  <si>
    <t>ZVPG_u_3918</t>
  </si>
  <si>
    <t>Харицька Надія</t>
  </si>
  <si>
    <t>ZVPG_u_3919</t>
  </si>
  <si>
    <t>Чіхічіна Валерія</t>
  </si>
  <si>
    <t>ZVPG_u_3920</t>
  </si>
  <si>
    <t>Швець Іван</t>
  </si>
  <si>
    <t>ZVPG_u_3921</t>
  </si>
  <si>
    <t>Яловега Олександр</t>
  </si>
  <si>
    <t>ZVPG_u_3922</t>
  </si>
  <si>
    <t>Бабин Дмитро</t>
  </si>
  <si>
    <t>ZVPG_u_3923</t>
  </si>
  <si>
    <t>Балахтар Іван</t>
  </si>
  <si>
    <t>ZVPG_u_3924</t>
  </si>
  <si>
    <t>Геждеван Олександр</t>
  </si>
  <si>
    <t>ZVPG_u_3925</t>
  </si>
  <si>
    <t>Главацький Станіслав</t>
  </si>
  <si>
    <t>ZVPG_u_3926</t>
  </si>
  <si>
    <t>Горбатюк Каміла</t>
  </si>
  <si>
    <t>ZVPG_u_3927</t>
  </si>
  <si>
    <t>Карвацька Софія</t>
  </si>
  <si>
    <t>ZVPG_u_3928</t>
  </si>
  <si>
    <t>Митринюк Артем</t>
  </si>
  <si>
    <t>ZVPG_u_3929</t>
  </si>
  <si>
    <t>Непийвода Євген</t>
  </si>
  <si>
    <t>ZVPG_u_3930</t>
  </si>
  <si>
    <t>Пінтя Владислав</t>
  </si>
  <si>
    <t>ZVPG_u_3931</t>
  </si>
  <si>
    <t>Пінтя Ілля</t>
  </si>
  <si>
    <t>ZVPG_u_3932</t>
  </si>
  <si>
    <t>Руснак Сергій</t>
  </si>
  <si>
    <t>ZVPG_u_3933</t>
  </si>
  <si>
    <t>Рябой Максим</t>
  </si>
  <si>
    <t>ZVPG_u_3934</t>
  </si>
  <si>
    <t>Турянський Дмитро</t>
  </si>
  <si>
    <t>ZVPG_u_3935</t>
  </si>
  <si>
    <t>Бобик Петро</t>
  </si>
  <si>
    <t>ZVPG_u_3936</t>
  </si>
  <si>
    <t>Боднар Олена</t>
  </si>
  <si>
    <t>ZVPG_u_3937</t>
  </si>
  <si>
    <t>Вітанчук Андріана</t>
  </si>
  <si>
    <t>ZVPG_u_3938</t>
  </si>
  <si>
    <t>Грет Давид</t>
  </si>
  <si>
    <t>ZVPG_u_3939</t>
  </si>
  <si>
    <t>Дергач Соломія</t>
  </si>
  <si>
    <t>ZVPG_u_3940</t>
  </si>
  <si>
    <t>Жижина Вероніка</t>
  </si>
  <si>
    <t>ZVPG_u_3941</t>
  </si>
  <si>
    <t>Кукурузяк Софія</t>
  </si>
  <si>
    <t>ZVPG_u_3942</t>
  </si>
  <si>
    <t>Магдич Йосип</t>
  </si>
  <si>
    <t>ZVPG_u_3943</t>
  </si>
  <si>
    <t>Михайлюк Андрій</t>
  </si>
  <si>
    <t>ZVPG_u_3944</t>
  </si>
  <si>
    <t>Мороз Даніїл</t>
  </si>
  <si>
    <t>ZVPG_u_3945</t>
  </si>
  <si>
    <t>Пінтя Аріна</t>
  </si>
  <si>
    <t>ZVPG_u_3946</t>
  </si>
  <si>
    <t>Хромей Вікторія</t>
  </si>
  <si>
    <t>ZVPG_u_3947</t>
  </si>
  <si>
    <t>Лизун П. В.</t>
  </si>
  <si>
    <t>Полошківський НВК: ДНЗ-ЗОШ І-ІІІ ст. Глухівської міської ради</t>
  </si>
  <si>
    <t>ZVPG_u_3948</t>
  </si>
  <si>
    <t>Федоренко Я. А.</t>
  </si>
  <si>
    <t>ZVPG_u_3949</t>
  </si>
  <si>
    <t>Фокіна В. В.</t>
  </si>
  <si>
    <t>ZVPG_u_3950</t>
  </si>
  <si>
    <t>Хоменко І.</t>
  </si>
  <si>
    <t>ZVPG_u_3951</t>
  </si>
  <si>
    <t>Максимович Ю.М.</t>
  </si>
  <si>
    <t>ZVPG_u_3952</t>
  </si>
  <si>
    <t>Максимович М.М.</t>
  </si>
  <si>
    <t>ZVPG_u_3953</t>
  </si>
  <si>
    <t>Сугоняко К.В.</t>
  </si>
  <si>
    <t>ZVPG_u_3954</t>
  </si>
  <si>
    <t>Пташник Р. М.</t>
  </si>
  <si>
    <t>ZVPG_u_3955</t>
  </si>
  <si>
    <t>Солонець Д.</t>
  </si>
  <si>
    <t>ZVPG_u_3956</t>
  </si>
  <si>
    <t>Лук'яненко С. А.</t>
  </si>
  <si>
    <t>ZVPG_u_3957</t>
  </si>
  <si>
    <t>Туригін Євгеній</t>
  </si>
  <si>
    <t>Південноукраїнський ліцей №2 Південноукраїнської міської ради</t>
  </si>
  <si>
    <t>ZVPG_u_3958</t>
  </si>
  <si>
    <t>Сінтюк Денис</t>
  </si>
  <si>
    <t>ZVPG_u_3959</t>
  </si>
  <si>
    <t>Серцов Михайло</t>
  </si>
  <si>
    <t>ZVPG_u_3960</t>
  </si>
  <si>
    <t xml:space="preserve">Повар Анна </t>
  </si>
  <si>
    <t>ZVPG_u_3961</t>
  </si>
  <si>
    <t>Мокросноп Маргарита</t>
  </si>
  <si>
    <t>ZVPG_u_3962</t>
  </si>
  <si>
    <t>Малько Максим</t>
  </si>
  <si>
    <t>ZVPG_u_3963</t>
  </si>
  <si>
    <t xml:space="preserve">Кучнір Денис </t>
  </si>
  <si>
    <t>ZVPG_u_3964</t>
  </si>
  <si>
    <t>Кісь Павло</t>
  </si>
  <si>
    <t>ZVPG_u_3965</t>
  </si>
  <si>
    <t>Журавльова Аліна</t>
  </si>
  <si>
    <t>ZVPG_u_3966</t>
  </si>
  <si>
    <t>Дихта Максим</t>
  </si>
  <si>
    <t>ZVPG_u_3967</t>
  </si>
  <si>
    <t>Векшин Ігор</t>
  </si>
  <si>
    <t>ZVPG_u_3968</t>
  </si>
  <si>
    <t>Адаєва Аліна</t>
  </si>
  <si>
    <t>ZVPG_u_3969</t>
  </si>
  <si>
    <t>Гармаш Макар</t>
  </si>
  <si>
    <t>ZVPG_u_3970</t>
  </si>
  <si>
    <t>Кожедуб Антон</t>
  </si>
  <si>
    <t>ZVPG_u_3971</t>
  </si>
  <si>
    <t>Корня Софія</t>
  </si>
  <si>
    <t>ZVPG_u_3972</t>
  </si>
  <si>
    <t>Курлигіна Анна</t>
  </si>
  <si>
    <t>ZVPG_u_3973</t>
  </si>
  <si>
    <t>Панчошна Єва</t>
  </si>
  <si>
    <t>ZVPG_u_3974</t>
  </si>
  <si>
    <t>Пластунова Олександра</t>
  </si>
  <si>
    <t>ZVPG_u_3975</t>
  </si>
  <si>
    <t>Плужник Евеліна</t>
  </si>
  <si>
    <t>ZVPG_u_3976</t>
  </si>
  <si>
    <t>Полтавський Єгор</t>
  </si>
  <si>
    <t>ZVPG_u_3977</t>
  </si>
  <si>
    <t>Шевченко Кирило</t>
  </si>
  <si>
    <t>ZVPG_u_3978</t>
  </si>
  <si>
    <t>Ярошенко Діана</t>
  </si>
  <si>
    <t>ZVPG_u_3979</t>
  </si>
  <si>
    <t>Бровков Олександр</t>
  </si>
  <si>
    <t>ZVPG_u_3980</t>
  </si>
  <si>
    <t>Добросько Єлизавета</t>
  </si>
  <si>
    <t>ZVPG_u_3981</t>
  </si>
  <si>
    <t>Камратова Софія</t>
  </si>
  <si>
    <t>ZVPG_u_3982</t>
  </si>
  <si>
    <t>Кіскін Роман</t>
  </si>
  <si>
    <t>ZVPG_u_3983</t>
  </si>
  <si>
    <t>Клименко Єлизавета</t>
  </si>
  <si>
    <t>ZVPG_u_3984</t>
  </si>
  <si>
    <t>Купченко Діана</t>
  </si>
  <si>
    <t>ZVPG_u_3985</t>
  </si>
  <si>
    <t>Купченко Михайло</t>
  </si>
  <si>
    <t>ZVPG_u_3986</t>
  </si>
  <si>
    <t>Лоскутов Дмитро</t>
  </si>
  <si>
    <t>ZVPG_u_3987</t>
  </si>
  <si>
    <t>Партус Анна</t>
  </si>
  <si>
    <t>ZVPG_u_3988</t>
  </si>
  <si>
    <t>Рожкова Діана</t>
  </si>
  <si>
    <t>ZVPG_u_3989</t>
  </si>
  <si>
    <t>Рубінс Анна</t>
  </si>
  <si>
    <t>ZVPG_u_3990</t>
  </si>
  <si>
    <t>Хоменко Нікіта</t>
  </si>
  <si>
    <t>ZVPG_u_3991</t>
  </si>
  <si>
    <t>Козлов Антон</t>
  </si>
  <si>
    <t>КЗ "Маріупольська загальноосвітня школа І-ІІІ ступенів № 47 Маріупольської міської ради Донецької області"</t>
  </si>
  <si>
    <t>ZVPG_u_3992</t>
  </si>
  <si>
    <t>Тернова Вікторія</t>
  </si>
  <si>
    <t>ZVPG_u_3993</t>
  </si>
  <si>
    <t>Зайцев Георгій</t>
  </si>
  <si>
    <t>ZVPG_u_3994</t>
  </si>
  <si>
    <t>Плескачевський Сергій</t>
  </si>
  <si>
    <t>ZVPG_u_3995</t>
  </si>
  <si>
    <t>Бойченко Дарина</t>
  </si>
  <si>
    <t>ZVPG_u_3996</t>
  </si>
  <si>
    <t>Левша Кирило</t>
  </si>
  <si>
    <t>ZVPG_u_3997</t>
  </si>
  <si>
    <t>Семенюк Марія</t>
  </si>
  <si>
    <t>ZVPG_u_3998</t>
  </si>
  <si>
    <t>Шмельков Микола</t>
  </si>
  <si>
    <t>ZVPG_u_3999</t>
  </si>
  <si>
    <t>Глушець Михайло</t>
  </si>
  <si>
    <t>ZVPG_u_4000</t>
  </si>
  <si>
    <t>Горлова Поліна</t>
  </si>
  <si>
    <t>ZVPG_u_4001</t>
  </si>
  <si>
    <t>Хоренко Катя</t>
  </si>
  <si>
    <t>ZVPG_u_4002</t>
  </si>
  <si>
    <t>Хоренко Настя</t>
  </si>
  <si>
    <t>ZVPG_u_4003</t>
  </si>
  <si>
    <t>Макар Даша</t>
  </si>
  <si>
    <t>ZVPG_u_4004</t>
  </si>
  <si>
    <t>Сліпченко Катя</t>
  </si>
  <si>
    <t>ZVPG_u_4005</t>
  </si>
  <si>
    <t>Бирка Євгеній</t>
  </si>
  <si>
    <t>ZVPG_u_4006</t>
  </si>
  <si>
    <t>Швець Даніїл</t>
  </si>
  <si>
    <t>ZVPG_u_4007</t>
  </si>
  <si>
    <t>Ольга Єфименко</t>
  </si>
  <si>
    <t>ZVPG_u_4008</t>
  </si>
  <si>
    <t>Полшкова Валентина</t>
  </si>
  <si>
    <t>ZVPG_u_4009</t>
  </si>
  <si>
    <t xml:space="preserve">Полшкова Надія </t>
  </si>
  <si>
    <t>ZVPG_u_4010</t>
  </si>
  <si>
    <t>Максим Дмитрук</t>
  </si>
  <si>
    <t>ZVPG_u_4011</t>
  </si>
  <si>
    <t>Галата Катерина</t>
  </si>
  <si>
    <t>Кам'янський еколого-економічний ліцей Кам'янської міської ради Черкаської області</t>
  </si>
  <si>
    <t>ZVPG_u_4012</t>
  </si>
  <si>
    <t>Туз Борис</t>
  </si>
  <si>
    <t>ZVPG_u_4013</t>
  </si>
  <si>
    <t>Туз Глєб</t>
  </si>
  <si>
    <t>ZVPG_u_4014</t>
  </si>
  <si>
    <t>Пономар Поліна</t>
  </si>
  <si>
    <t>ZVPG_u_4015</t>
  </si>
  <si>
    <t>Туманов Андрій</t>
  </si>
  <si>
    <t>ZVPG_u_4016</t>
  </si>
  <si>
    <t>Волощенко Іван</t>
  </si>
  <si>
    <t>ZVPG_u_4017</t>
  </si>
  <si>
    <t>Фундомний Іван</t>
  </si>
  <si>
    <t>ZVPG_u_4018</t>
  </si>
  <si>
    <t>Гирєва Анастасія</t>
  </si>
  <si>
    <t>ZVPG_u_4019</t>
  </si>
  <si>
    <t>Таран Ксенія</t>
  </si>
  <si>
    <t>ZVPG_u_4020</t>
  </si>
  <si>
    <t>Харченко Сергій</t>
  </si>
  <si>
    <t>ZVPG_u_4021</t>
  </si>
  <si>
    <t>Дідковський Захар</t>
  </si>
  <si>
    <t>ZVPG_u_4022</t>
  </si>
  <si>
    <t>Іваночко Кароліна</t>
  </si>
  <si>
    <t>ZVPG_u_4023</t>
  </si>
  <si>
    <t>Поліщук Марія</t>
  </si>
  <si>
    <t>ZVPG_u_4024</t>
  </si>
  <si>
    <t>Харитонов Мирослав</t>
  </si>
  <si>
    <t>ZVPG_u_4025</t>
  </si>
  <si>
    <t>Воложанін Денис</t>
  </si>
  <si>
    <t>ZVPG_u_4026</t>
  </si>
  <si>
    <t>Докієнко Анастасія</t>
  </si>
  <si>
    <t>ZVPG_u_4027</t>
  </si>
  <si>
    <t>Пазенко Ангеліна</t>
  </si>
  <si>
    <t>ZVPG_u_4028</t>
  </si>
  <si>
    <t>ZVPG_u_4029</t>
  </si>
  <si>
    <t>Дяченко Станіслав</t>
  </si>
  <si>
    <t>ZVPG_u_4030</t>
  </si>
  <si>
    <t>Поліщук Акіліна</t>
  </si>
  <si>
    <t>ZVPG_u_4031</t>
  </si>
  <si>
    <t>Кодь Ілля</t>
  </si>
  <si>
    <t>ZVPG_u_4032</t>
  </si>
  <si>
    <t>Круковська Анна</t>
  </si>
  <si>
    <t>ZVPG_u_4033</t>
  </si>
  <si>
    <t>Коваленко Владислав</t>
  </si>
  <si>
    <t>ZVPG_u_4034</t>
  </si>
  <si>
    <t>Хомут Станіслав</t>
  </si>
  <si>
    <t>ZVPG_u_4035</t>
  </si>
  <si>
    <t>Ісакова Вікторія</t>
  </si>
  <si>
    <t>ZVPG_u_4036</t>
  </si>
  <si>
    <t>Білокінь Крістіна</t>
  </si>
  <si>
    <t>ZVPG_u_4037</t>
  </si>
  <si>
    <t>Марченко Кіра</t>
  </si>
  <si>
    <t>ZVPG_u_4038</t>
  </si>
  <si>
    <t>Чередніченко Анастасія</t>
  </si>
  <si>
    <t>ZVPG_u_4039</t>
  </si>
  <si>
    <t>Ковтун Олександр</t>
  </si>
  <si>
    <t>ZVPG_u_4040</t>
  </si>
  <si>
    <t>Погорілий Юрій</t>
  </si>
  <si>
    <t>ZVPG_u_4041</t>
  </si>
  <si>
    <t>Гавриленко Євгеній</t>
  </si>
  <si>
    <t>ZVPG_u_4042</t>
  </si>
  <si>
    <t>Шумакова Аліна</t>
  </si>
  <si>
    <t>ZVPG_u_4043</t>
  </si>
  <si>
    <t>Кіян Олександр</t>
  </si>
  <si>
    <t>ZVPG_u_4044</t>
  </si>
  <si>
    <t>Вінічук Уляна</t>
  </si>
  <si>
    <t>ZVPG_u_4045</t>
  </si>
  <si>
    <t>Воробйов Назар</t>
  </si>
  <si>
    <t>ZVPG_u_4046</t>
  </si>
  <si>
    <t>Лук'яненко Дарина</t>
  </si>
  <si>
    <t>ZVPG_u_4047</t>
  </si>
  <si>
    <t>Панчук Анна</t>
  </si>
  <si>
    <t>ZVPG_u_4048</t>
  </si>
  <si>
    <t>Майстренко Анна</t>
  </si>
  <si>
    <t>ZVPG_u_4049</t>
  </si>
  <si>
    <t>Вакуленко Ігор</t>
  </si>
  <si>
    <t>ZVPG_u_4050</t>
  </si>
  <si>
    <t>Кузько Артем</t>
  </si>
  <si>
    <t>ZVPG_u_4051</t>
  </si>
  <si>
    <t>Носюр Дарина</t>
  </si>
  <si>
    <t>ZVPG_u_4052</t>
  </si>
  <si>
    <t>Підгорний Володимир</t>
  </si>
  <si>
    <t>ZVPG_u_4053</t>
  </si>
  <si>
    <t>Боцман Софія</t>
  </si>
  <si>
    <t>ZVPG_u_4054</t>
  </si>
  <si>
    <t>Гевел Любомир</t>
  </si>
  <si>
    <t>ZVPG_u_4055</t>
  </si>
  <si>
    <t>Бандура Максим</t>
  </si>
  <si>
    <t>ZVPG_u_4056</t>
  </si>
  <si>
    <t>Підмогильний Димитрій</t>
  </si>
  <si>
    <t>ZVPG_u_4057</t>
  </si>
  <si>
    <t>ZVPG_u_4058</t>
  </si>
  <si>
    <t xml:space="preserve">Волошин Дмитро </t>
  </si>
  <si>
    <t>ZVPG_u_4059</t>
  </si>
  <si>
    <t>Летучій Каріна</t>
  </si>
  <si>
    <t>ZVPG_u_4060</t>
  </si>
  <si>
    <t>Кузьменко Олександр</t>
  </si>
  <si>
    <t>ZVPG_u_4061</t>
  </si>
  <si>
    <t>Сілєзньов Євгеній</t>
  </si>
  <si>
    <t>ZVPG_u_4062</t>
  </si>
  <si>
    <t>Бабенко Єлизавета</t>
  </si>
  <si>
    <t>ZVPG_u_4063</t>
  </si>
  <si>
    <t>Туз Іванна</t>
  </si>
  <si>
    <t>ZVPG_u_4064</t>
  </si>
  <si>
    <t>Ціперко Аліна</t>
  </si>
  <si>
    <t>ZVPG_u_4065</t>
  </si>
  <si>
    <t>Максименко Вікторія</t>
  </si>
  <si>
    <t>ZVPG_u_4066</t>
  </si>
  <si>
    <t>Власенко Дмитро</t>
  </si>
  <si>
    <t>ZVPG_u_4067</t>
  </si>
  <si>
    <t>Качур Маргарита</t>
  </si>
  <si>
    <t>ZVPG_u_4068</t>
  </si>
  <si>
    <t>Пономаренко Андрій</t>
  </si>
  <si>
    <t>ZVPG_u_4069</t>
  </si>
  <si>
    <t>Макогін Олена</t>
  </si>
  <si>
    <t>ZVPG_u_4070</t>
  </si>
  <si>
    <t>Прозор Катерина</t>
  </si>
  <si>
    <t>ZVPG_u_4071</t>
  </si>
  <si>
    <t>Драчук Сергій</t>
  </si>
  <si>
    <t>ZVPG_u_4072</t>
  </si>
  <si>
    <t>Юрченко Тетяна</t>
  </si>
  <si>
    <t>ZVPG_u_4073</t>
  </si>
  <si>
    <t>Січкар Катерина</t>
  </si>
  <si>
    <t>ZVPG_u_4074</t>
  </si>
  <si>
    <t>Монзуль Дарина</t>
  </si>
  <si>
    <t>ZVPG_u_4075</t>
  </si>
  <si>
    <t>Бондаренко Вікторія</t>
  </si>
  <si>
    <t>ZVPG_u_4076</t>
  </si>
  <si>
    <t>Доненко Анастасія</t>
  </si>
  <si>
    <t>ZVPG_u_4077</t>
  </si>
  <si>
    <t>Бойчук Данило</t>
  </si>
  <si>
    <t>ZVPG_u_4078</t>
  </si>
  <si>
    <t>Білан Владислав Віталійович</t>
  </si>
  <si>
    <t>Канівська загальноосвітня школа I - ІІІ ступенів №4 Канівської міської ради Черкаської області</t>
  </si>
  <si>
    <t>ZVPG_u_4079</t>
  </si>
  <si>
    <t>Васяк Валерія Русланівна</t>
  </si>
  <si>
    <t>ZVPG_u_4080</t>
  </si>
  <si>
    <t>Єременко Єлізавета Василівна</t>
  </si>
  <si>
    <t>ZVPG_u_4081</t>
  </si>
  <si>
    <t>Зозуля Крістіна Сергіївна</t>
  </si>
  <si>
    <t>ZVPG_u_4082</t>
  </si>
  <si>
    <t>Кукса Лука Васильович</t>
  </si>
  <si>
    <t>ZVPG_u_4083</t>
  </si>
  <si>
    <t>Левківська Ніка Миколаївна</t>
  </si>
  <si>
    <t>ZVPG_u_4084</t>
  </si>
  <si>
    <t>Литвинова Єлизавета Сергіївна</t>
  </si>
  <si>
    <t>ZVPG_u_4085</t>
  </si>
  <si>
    <t>Мороз Євгенія Олегівна</t>
  </si>
  <si>
    <t>ZVPG_u_4086</t>
  </si>
  <si>
    <t>Ревуцький Костянтин Олександрович</t>
  </si>
  <si>
    <t>ZVPG_u_4087</t>
  </si>
  <si>
    <t>Розвадовський Андрій Романович</t>
  </si>
  <si>
    <t>ZVPG_u_4088</t>
  </si>
  <si>
    <t>Руденко Павло Сергійович</t>
  </si>
  <si>
    <t>ZVPG_u_4089</t>
  </si>
  <si>
    <t>Сирота Михайло Андрійович</t>
  </si>
  <si>
    <t>ZVPG_u_4090</t>
  </si>
  <si>
    <t>Стуруа Каріна Варламівна</t>
  </si>
  <si>
    <t>ZVPG_u_4091</t>
  </si>
  <si>
    <t>Чамата Олександр Віталійович</t>
  </si>
  <si>
    <t>ZVPG_u_4092</t>
  </si>
  <si>
    <t>Барабоха Віктор Олексійович</t>
  </si>
  <si>
    <t>ZVPG_u_4093</t>
  </si>
  <si>
    <t>Бурдига Павло Сергійович</t>
  </si>
  <si>
    <t>ZVPG_u_4094</t>
  </si>
  <si>
    <t>Лопатецький Даніл Максимович</t>
  </si>
  <si>
    <t>ZVPG_u_4095</t>
  </si>
  <si>
    <t>Медведєва Ангеліна Сергіївна</t>
  </si>
  <si>
    <t>ZVPG_u_4096</t>
  </si>
  <si>
    <t>Ткач Софія Юріївна</t>
  </si>
  <si>
    <t>ZVPG_u_4097</t>
  </si>
  <si>
    <t>Тутунджян Сусанна Арсенівна</t>
  </si>
  <si>
    <t>ZVPG_u_4098</t>
  </si>
  <si>
    <t>Шевченко Олександра Олександрівна</t>
  </si>
  <si>
    <t>ZVPG_u_4099</t>
  </si>
  <si>
    <t>Бурчак Марія Юріївна</t>
  </si>
  <si>
    <t>ZVPG_u_4100</t>
  </si>
  <si>
    <t>Кругова Ніка Вадимівна</t>
  </si>
  <si>
    <t>ZVPG_u_4101</t>
  </si>
  <si>
    <t>Лук'яненко Анна Дмитрівна</t>
  </si>
  <si>
    <t>ZVPG_u_4102</t>
  </si>
  <si>
    <t>Малиновська Марта Тарасівна</t>
  </si>
  <si>
    <t>ZVPG_u_4103</t>
  </si>
  <si>
    <t>Мананкіна Владислава Володимирівна</t>
  </si>
  <si>
    <t>ZVPG_u_4104</t>
  </si>
  <si>
    <t>Манжара Діана Юріївна</t>
  </si>
  <si>
    <t>ZVPG_u_4105</t>
  </si>
  <si>
    <t>Рибальченко Вероніка Олегівна</t>
  </si>
  <si>
    <t>ZVPG_u_4106</t>
  </si>
  <si>
    <t>Скопець Єгор Петрович</t>
  </si>
  <si>
    <t>ZVPG_u_4107</t>
  </si>
  <si>
    <t>Шевченко Вікторія Юріївна</t>
  </si>
  <si>
    <t>ZVPG_u_4108</t>
  </si>
  <si>
    <t>Гоголь Євангеліна Вадимівна</t>
  </si>
  <si>
    <t>ZVPG_u_4109</t>
  </si>
  <si>
    <t>Андрієнко Нікіта</t>
  </si>
  <si>
    <t>Миколаївський ліцей №3 Миколаївської міської ради</t>
  </si>
  <si>
    <t>ZVPG_u_4110</t>
  </si>
  <si>
    <t>Богадиця Софія</t>
  </si>
  <si>
    <t>ZVPG_u_4111</t>
  </si>
  <si>
    <t>Булак Каріна</t>
  </si>
  <si>
    <t>ZVPG_u_4112</t>
  </si>
  <si>
    <t>Бутирський Володимир</t>
  </si>
  <si>
    <t>ZVPG_u_4113</t>
  </si>
  <si>
    <t>Волохов Олексій</t>
  </si>
  <si>
    <t>ZVPG_u_4114</t>
  </si>
  <si>
    <t>Голуб Катерина</t>
  </si>
  <si>
    <t>ZVPG_u_4115</t>
  </si>
  <si>
    <t>Дєрмєнєв Кирило</t>
  </si>
  <si>
    <t>ZVPG_u_4116</t>
  </si>
  <si>
    <t>Ігнатенко Діана</t>
  </si>
  <si>
    <t>ZVPG_u_4117</t>
  </si>
  <si>
    <t>Кадишева Аліса</t>
  </si>
  <si>
    <t>ZVPG_u_4118</t>
  </si>
  <si>
    <t>Клименко Артем</t>
  </si>
  <si>
    <t>ZVPG_u_4119</t>
  </si>
  <si>
    <t>Кузик Ксенія</t>
  </si>
  <si>
    <t>ZVPG_u_4120</t>
  </si>
  <si>
    <t>Кулаков Ілля</t>
  </si>
  <si>
    <t>ZVPG_u_4121</t>
  </si>
  <si>
    <t>Ловинський Дмитро</t>
  </si>
  <si>
    <t>ZVPG_u_4122</t>
  </si>
  <si>
    <t>Мельніков Олександр</t>
  </si>
  <si>
    <t>ZVPG_u_4123</t>
  </si>
  <si>
    <t>Мельнікова Анастасія</t>
  </si>
  <si>
    <t>ZVPG_u_4124</t>
  </si>
  <si>
    <t>Морозова Вероніка</t>
  </si>
  <si>
    <t>ZVPG_u_4125</t>
  </si>
  <si>
    <t>Паламарчук Віра</t>
  </si>
  <si>
    <t>ZVPG_u_4126</t>
  </si>
  <si>
    <t>Певзнер Артем</t>
  </si>
  <si>
    <t>ZVPG_u_4127</t>
  </si>
  <si>
    <t xml:space="preserve">Сінько Анна </t>
  </si>
  <si>
    <t>ZVPG_u_4128</t>
  </si>
  <si>
    <t>Суліменко Владислав</t>
  </si>
  <si>
    <t>ZVPG_u_4129</t>
  </si>
  <si>
    <t>Терентьєва Дар'я</t>
  </si>
  <si>
    <t>ZVPG_u_4130</t>
  </si>
  <si>
    <t>Березюк Артем</t>
  </si>
  <si>
    <t>ZVPG_u_4131</t>
  </si>
  <si>
    <t>Воловик Артем</t>
  </si>
  <si>
    <t>ZVPG_u_4132</t>
  </si>
  <si>
    <t>Демченко Дар'я</t>
  </si>
  <si>
    <t>ZVPG_u_4133</t>
  </si>
  <si>
    <t>Клочкова Дар'я</t>
  </si>
  <si>
    <t>ZVPG_u_4134</t>
  </si>
  <si>
    <t>Колесник Марія</t>
  </si>
  <si>
    <t>ZVPG_u_4135</t>
  </si>
  <si>
    <t>Колпакчі Ярослав</t>
  </si>
  <si>
    <t>ZVPG_u_4136</t>
  </si>
  <si>
    <t>Кравченко Тетяна</t>
  </si>
  <si>
    <t>ZVPG_u_4137</t>
  </si>
  <si>
    <t>Кудря Амєлія</t>
  </si>
  <si>
    <t>ZVPG_u_4138</t>
  </si>
  <si>
    <t>Кузьміна Маргарита</t>
  </si>
  <si>
    <t>ZVPG_u_4139</t>
  </si>
  <si>
    <t>Лебедєва Ангеліна</t>
  </si>
  <si>
    <t>ZVPG_u_4140</t>
  </si>
  <si>
    <t>Макаревич Андрій</t>
  </si>
  <si>
    <t>ZVPG_u_4141</t>
  </si>
  <si>
    <t>Мельник Віталіна</t>
  </si>
  <si>
    <t>ZVPG_u_4142</t>
  </si>
  <si>
    <t>Огородник Дар'я</t>
  </si>
  <si>
    <t>ZVPG_u_4143</t>
  </si>
  <si>
    <t>Параскун Даніл</t>
  </si>
  <si>
    <t>ZVPG_u_4144</t>
  </si>
  <si>
    <t>Пижевський Олександр</t>
  </si>
  <si>
    <t>ZVPG_u_4145</t>
  </si>
  <si>
    <t xml:space="preserve">Сидорович Анастасія </t>
  </si>
  <si>
    <t>ZVPG_u_4146</t>
  </si>
  <si>
    <t>Сушицький Володимир</t>
  </si>
  <si>
    <t>ZVPG_u_4147</t>
  </si>
  <si>
    <t>Татаренко Георгій</t>
  </si>
  <si>
    <t>ZVPG_u_4148</t>
  </si>
  <si>
    <t>Тіунов Роман</t>
  </si>
  <si>
    <t>ZVPG_u_4149</t>
  </si>
  <si>
    <t>Шевченко Дмитро</t>
  </si>
  <si>
    <t>ZVPG_u_4150</t>
  </si>
  <si>
    <t>Гаврилов Ілля</t>
  </si>
  <si>
    <t>ZVPG_u_4151</t>
  </si>
  <si>
    <t>Гутнік Віктор</t>
  </si>
  <si>
    <t>ZVPG_u_4152</t>
  </si>
  <si>
    <t>Гутнік Катерина</t>
  </si>
  <si>
    <t>ZVPG_u_4153</t>
  </si>
  <si>
    <t>Ізмайлова Аліна</t>
  </si>
  <si>
    <t>ZVPG_u_4154</t>
  </si>
  <si>
    <t xml:space="preserve">Ільїна Маргарита </t>
  </si>
  <si>
    <t>ZVPG_u_4155</t>
  </si>
  <si>
    <t>Іщук Максим</t>
  </si>
  <si>
    <t>ZVPG_u_4156</t>
  </si>
  <si>
    <t>Кандрашов Дмитро</t>
  </si>
  <si>
    <t>ZVPG_u_4157</t>
  </si>
  <si>
    <t>Карась Єгор</t>
  </si>
  <si>
    <t>ZVPG_u_4158</t>
  </si>
  <si>
    <t>Ковальов Даніїл</t>
  </si>
  <si>
    <t>ZVPG_u_4159</t>
  </si>
  <si>
    <t>Кошова Вікторія</t>
  </si>
  <si>
    <t>ZVPG_u_4160</t>
  </si>
  <si>
    <t>Кроха Степан</t>
  </si>
  <si>
    <t>ZVPG_u_4161</t>
  </si>
  <si>
    <t>Кроха Яна</t>
  </si>
  <si>
    <t>ZVPG_u_4162</t>
  </si>
  <si>
    <t>Лозенко Еліна</t>
  </si>
  <si>
    <t>ZVPG_u_4163</t>
  </si>
  <si>
    <t>Маєвський Олександр</t>
  </si>
  <si>
    <t>ZVPG_u_4164</t>
  </si>
  <si>
    <t>Малафєй Ауріка</t>
  </si>
  <si>
    <t>ZVPG_u_4165</t>
  </si>
  <si>
    <t>Матюшенко Матвій</t>
  </si>
  <si>
    <t>ZVPG_u_4166</t>
  </si>
  <si>
    <t>Павліченко Кірілл</t>
  </si>
  <si>
    <t>ZVPG_u_4167</t>
  </si>
  <si>
    <t>Підгайна Еліна</t>
  </si>
  <si>
    <t>ZVPG_u_4168</t>
  </si>
  <si>
    <t>Реландер Анастасія</t>
  </si>
  <si>
    <t>ZVPG_u_4169</t>
  </si>
  <si>
    <t>Сердюк Каріна</t>
  </si>
  <si>
    <t>ZVPG_u_4170</t>
  </si>
  <si>
    <t>Сидорук Дар'я</t>
  </si>
  <si>
    <t>ZVPG_u_4171</t>
  </si>
  <si>
    <t>Стрюкова Вероніка</t>
  </si>
  <si>
    <t>ZVPG_u_4172</t>
  </si>
  <si>
    <t>Шульга Дар'я</t>
  </si>
  <si>
    <t>ZVPG_u_4173</t>
  </si>
  <si>
    <t>Шульга Юліанна</t>
  </si>
  <si>
    <t>ZVPG_u_4174</t>
  </si>
  <si>
    <t>Алєксєєв Кірілл</t>
  </si>
  <si>
    <t>ZVPG_u_4175</t>
  </si>
  <si>
    <t>Гонта Поліна</t>
  </si>
  <si>
    <t>ZVPG_u_4176</t>
  </si>
  <si>
    <t>Гусарєв Микола</t>
  </si>
  <si>
    <t>ZVPG_u_4177</t>
  </si>
  <si>
    <t>Дудник Алевтина</t>
  </si>
  <si>
    <t>ZVPG_u_4178</t>
  </si>
  <si>
    <t>Іванов Іван</t>
  </si>
  <si>
    <t>ZVPG_u_4179</t>
  </si>
  <si>
    <t>Карапетян Ірина</t>
  </si>
  <si>
    <t>ZVPG_u_4180</t>
  </si>
  <si>
    <t>Ліфінцева Аліна</t>
  </si>
  <si>
    <t>ZVPG_u_4181</t>
  </si>
  <si>
    <t>Остапук Даніїл</t>
  </si>
  <si>
    <t>ZVPG_u_4182</t>
  </si>
  <si>
    <t>ZVPG_u_4183</t>
  </si>
  <si>
    <t>Пригорницька Аріна</t>
  </si>
  <si>
    <t>ZVPG_u_4184</t>
  </si>
  <si>
    <t>Самчук Анастасія</t>
  </si>
  <si>
    <t>ZVPG_u_4185</t>
  </si>
  <si>
    <t>Саросіян Ілля</t>
  </si>
  <si>
    <t>ZVPG_u_4186</t>
  </si>
  <si>
    <t>Сертакова Анна</t>
  </si>
  <si>
    <t>ZVPG_u_4187</t>
  </si>
  <si>
    <t>Тімкова Анастасія</t>
  </si>
  <si>
    <t>ZVPG_u_4188</t>
  </si>
  <si>
    <t>Толкачов Ілля</t>
  </si>
  <si>
    <t>ZVPG_u_4189</t>
  </si>
  <si>
    <t>Трифонов Андрій</t>
  </si>
  <si>
    <t>ZVPG_u_4190</t>
  </si>
  <si>
    <t>Федорчук Васіліса</t>
  </si>
  <si>
    <t>ZVPG_u_4191</t>
  </si>
  <si>
    <t>Хмелевська Аліна</t>
  </si>
  <si>
    <t>ZVPG_u_4192</t>
  </si>
  <si>
    <t>Щербина Нікіта</t>
  </si>
  <si>
    <t>ZVPG_u_4193</t>
  </si>
  <si>
    <t>Яценко Яна</t>
  </si>
  <si>
    <t>ZVPG_u_4194</t>
  </si>
  <si>
    <t>Балануца Марія</t>
  </si>
  <si>
    <t>ZVPG_u_4195</t>
  </si>
  <si>
    <t>Бондаренко Поліна</t>
  </si>
  <si>
    <t>ZVPG_u_4196</t>
  </si>
  <si>
    <t>Бухинник Ірина</t>
  </si>
  <si>
    <t>ZVPG_u_4197</t>
  </si>
  <si>
    <t>Григо Дмитро</t>
  </si>
  <si>
    <t>ZVPG_u_4198</t>
  </si>
  <si>
    <t>Дзись Нікіта</t>
  </si>
  <si>
    <t>ZVPG_u_4199</t>
  </si>
  <si>
    <t>Зорін Тимур</t>
  </si>
  <si>
    <t>ZVPG_u_4200</t>
  </si>
  <si>
    <t>Кочмарик Станіслав</t>
  </si>
  <si>
    <t>ZVPG_u_4201</t>
  </si>
  <si>
    <t>Кужильний Андрій</t>
  </si>
  <si>
    <t>ZVPG_u_4202</t>
  </si>
  <si>
    <t>Максименко Мілана</t>
  </si>
  <si>
    <t>ZVPG_u_4203</t>
  </si>
  <si>
    <t xml:space="preserve">Маленко Марія </t>
  </si>
  <si>
    <t>ZVPG_u_4204</t>
  </si>
  <si>
    <t>Малета Кірілл</t>
  </si>
  <si>
    <t>ZVPG_u_4205</t>
  </si>
  <si>
    <t>Милєв Олексій</t>
  </si>
  <si>
    <t>ZVPG_u_4206</t>
  </si>
  <si>
    <t>Регіда Валерія</t>
  </si>
  <si>
    <t>ZVPG_u_4207</t>
  </si>
  <si>
    <t>Стьопіна Марина</t>
  </si>
  <si>
    <t>ZVPG_u_4208</t>
  </si>
  <si>
    <t>Тітенкова Ірина</t>
  </si>
  <si>
    <t>ZVPG_u_4209</t>
  </si>
  <si>
    <t>Хлєбнікова Єва</t>
  </si>
  <si>
    <t>ZVPG_u_4210</t>
  </si>
  <si>
    <t>Цимбаліста Ангеліна</t>
  </si>
  <si>
    <t>ZVPG_u_4211</t>
  </si>
  <si>
    <t>Воєвітка Христина</t>
  </si>
  <si>
    <t>Чернівецький фаховий коледж технологій та дизайну</t>
  </si>
  <si>
    <t>ZVPG_u_4212</t>
  </si>
  <si>
    <t>Гайдук Адріана</t>
  </si>
  <si>
    <t>ZVPG_u_4213</t>
  </si>
  <si>
    <t>Галіщук Маркарита</t>
  </si>
  <si>
    <t>ZVPG_u_4214</t>
  </si>
  <si>
    <t>Горенко Михаєла</t>
  </si>
  <si>
    <t>ZVPG_u_4215</t>
  </si>
  <si>
    <t>Завацька Анастасія</t>
  </si>
  <si>
    <t>ZVPG_u_4216</t>
  </si>
  <si>
    <t>Іванчук Микола</t>
  </si>
  <si>
    <t>ZVPG_u_4217</t>
  </si>
  <si>
    <t>Климчук Мілана</t>
  </si>
  <si>
    <t>ZVPG_u_4218</t>
  </si>
  <si>
    <t>Козилян Анастасія</t>
  </si>
  <si>
    <t>ZVPG_u_4219</t>
  </si>
  <si>
    <t>Косован Анастасія</t>
  </si>
  <si>
    <t>ZVPG_u_4220</t>
  </si>
  <si>
    <t>Мазуркевич Марія</t>
  </si>
  <si>
    <t>ZVPG_u_4221</t>
  </si>
  <si>
    <t>Мігорян Оксана</t>
  </si>
  <si>
    <t>ZVPG_u_4222</t>
  </si>
  <si>
    <t>Піпеля Аліна</t>
  </si>
  <si>
    <t>ZVPG_u_4223</t>
  </si>
  <si>
    <t>Рімлянська Катерина</t>
  </si>
  <si>
    <t>ZVPG_u_4224</t>
  </si>
  <si>
    <t>Романюк Кароліна</t>
  </si>
  <si>
    <t>ZVPG_u_4225</t>
  </si>
  <si>
    <t>Филипчук Віктор</t>
  </si>
  <si>
    <t>ZVPG_u_4226</t>
  </si>
  <si>
    <t>Хамед Каріна</t>
  </si>
  <si>
    <t>ZVPG_u_4227</t>
  </si>
  <si>
    <t>Шапіро Софія</t>
  </si>
  <si>
    <t>ZVPG_u_4228</t>
  </si>
  <si>
    <t>Шотропа Лідія</t>
  </si>
  <si>
    <t>ZVPG_u_4229</t>
  </si>
  <si>
    <t>Бабій Артем</t>
  </si>
  <si>
    <t>ZVPG_u_4230</t>
  </si>
  <si>
    <t>Бідяк Олександр</t>
  </si>
  <si>
    <t>ZVPG_u_4231</t>
  </si>
  <si>
    <t>Гаврилюк Максим</t>
  </si>
  <si>
    <t>ZVPG_u_4232</t>
  </si>
  <si>
    <t>Гикава Тетяна</t>
  </si>
  <si>
    <t>ZVPG_u_4233</t>
  </si>
  <si>
    <t>Дкменко Сергій</t>
  </si>
  <si>
    <t>ZVPG_u_4234</t>
  </si>
  <si>
    <t>Логін Яна</t>
  </si>
  <si>
    <t>ZVPG_u_4235</t>
  </si>
  <si>
    <t>Мазур Олена</t>
  </si>
  <si>
    <t>ZVPG_u_4236</t>
  </si>
  <si>
    <t>Марченко Давід</t>
  </si>
  <si>
    <t>ZVPG_u_4237</t>
  </si>
  <si>
    <t>Мельник Михайло</t>
  </si>
  <si>
    <t>ZVPG_u_4238</t>
  </si>
  <si>
    <t xml:space="preserve">Митрик Даніела </t>
  </si>
  <si>
    <t>ZVPG_u_4239</t>
  </si>
  <si>
    <t>Некрич Катерина</t>
  </si>
  <si>
    <t>ZVPG_u_4240</t>
  </si>
  <si>
    <t>Никоряк Михайло</t>
  </si>
  <si>
    <t>ZVPG_u_4241</t>
  </si>
  <si>
    <t>Підгорецька Єва</t>
  </si>
  <si>
    <t>ZVPG_u_4242</t>
  </si>
  <si>
    <t>Сеник Луїза</t>
  </si>
  <si>
    <t>ZVPG_u_4243</t>
  </si>
  <si>
    <t>Скаженніков Назар</t>
  </si>
  <si>
    <t>ZVPG_u_4244</t>
  </si>
  <si>
    <t>Стрілецька Кароліна</t>
  </si>
  <si>
    <t>ZVPG_u_4245</t>
  </si>
  <si>
    <t>Ткачук Ольга</t>
  </si>
  <si>
    <t>ZVPG_u_4246</t>
  </si>
  <si>
    <t>Урсуляк Станіслав</t>
  </si>
  <si>
    <t>ZVPG_u_4247</t>
  </si>
  <si>
    <t>Френзин Денис</t>
  </si>
  <si>
    <t>ZVPG_u_4248</t>
  </si>
  <si>
    <t>Хромчак Нікіта</t>
  </si>
  <si>
    <t>ZVPG_u_4249</t>
  </si>
  <si>
    <t>Чернишова Анастасія</t>
  </si>
  <si>
    <t>ZVPG_u_4250</t>
  </si>
  <si>
    <t>Черняховська Вікторія</t>
  </si>
  <si>
    <t>ZVPG_u_4251</t>
  </si>
  <si>
    <t>Шевчук Вікторія</t>
  </si>
  <si>
    <t>ZVPG_u_4252</t>
  </si>
  <si>
    <t>Душенко Олександр</t>
  </si>
  <si>
    <t>ZVPG_u_4253</t>
  </si>
  <si>
    <t>Бежан Анастасія</t>
  </si>
  <si>
    <t>ZVPG_u_4254</t>
  </si>
  <si>
    <t>Гакман Анастасія</t>
  </si>
  <si>
    <t>ZVPG_u_4255</t>
  </si>
  <si>
    <t>Груба Галина</t>
  </si>
  <si>
    <t>ZVPG_u_4256</t>
  </si>
  <si>
    <t>Деліцой Світлана</t>
  </si>
  <si>
    <t>ZVPG_u_4257</t>
  </si>
  <si>
    <t>Купча Ілона</t>
  </si>
  <si>
    <t>ZVPG_u_4258</t>
  </si>
  <si>
    <t>Рихло Анастасія</t>
  </si>
  <si>
    <t>ZVPG_u_4259</t>
  </si>
  <si>
    <t>Самараш Дарія</t>
  </si>
  <si>
    <t>ZVPG_u_4260</t>
  </si>
  <si>
    <t>Грішина Галина</t>
  </si>
  <si>
    <t>ZVPG_u_4261</t>
  </si>
  <si>
    <t>Довганюк Анна</t>
  </si>
  <si>
    <t>ZVPG_u_4262</t>
  </si>
  <si>
    <t>Кінтор Єлизаветта</t>
  </si>
  <si>
    <t>ZVPG_u_4263</t>
  </si>
  <si>
    <t>Поніч Артем</t>
  </si>
  <si>
    <t>ZVPG_u_4264</t>
  </si>
  <si>
    <t>Дяк Олександра</t>
  </si>
  <si>
    <t>ZVPG_u_4265</t>
  </si>
  <si>
    <t xml:space="preserve">Прокопишена Ангеліна </t>
  </si>
  <si>
    <t>ZVPG_u_4266</t>
  </si>
  <si>
    <t>Салагуб Яна</t>
  </si>
  <si>
    <t>ZVPG_u_4267</t>
  </si>
  <si>
    <t>Тулик Ельвіра</t>
  </si>
  <si>
    <t>ZVPG_u_4268</t>
  </si>
  <si>
    <t>Кожушко Артем</t>
  </si>
  <si>
    <t>ЗЯзСО "Письмечівська гімназія" Солонянської селищної ради Дніпропетровської області</t>
  </si>
  <si>
    <t>ZVPG_u_4269</t>
  </si>
  <si>
    <t>Корнєєв Назар</t>
  </si>
  <si>
    <t>ZVPG_u_4270</t>
  </si>
  <si>
    <t>Гурін Василина</t>
  </si>
  <si>
    <t>ZVPG_u_4271</t>
  </si>
  <si>
    <t>Кирдань Каріна</t>
  </si>
  <si>
    <t>ZVPG_u_4272</t>
  </si>
  <si>
    <t>Король Марія</t>
  </si>
  <si>
    <t>ZVPG_u_4273</t>
  </si>
  <si>
    <t>Білозеров Михайло Миколайович</t>
  </si>
  <si>
    <t>Комунальний заклад "Харківська гімназія № 110 Харківської міської ради"</t>
  </si>
  <si>
    <t>ZVPG_u_4274</t>
  </si>
  <si>
    <t>Власов Артем Андрійович</t>
  </si>
  <si>
    <t>ZVPG_u_4275</t>
  </si>
  <si>
    <t>Гога Дмитро Сергійович</t>
  </si>
  <si>
    <t>ZVPG_u_4276</t>
  </si>
  <si>
    <t>Клінов Микита Ігорович</t>
  </si>
  <si>
    <t>ZVPG_u_4277</t>
  </si>
  <si>
    <t>Ковтун Єлизавета Денисівна</t>
  </si>
  <si>
    <t>ZVPG_u_4278</t>
  </si>
  <si>
    <t>Підгорна Анна Денисівна</t>
  </si>
  <si>
    <t>ZVPG_u_4279</t>
  </si>
  <si>
    <t>Ушаков Максим Володимирович</t>
  </si>
  <si>
    <t>ZVPG_u_4280</t>
  </si>
  <si>
    <t>Ходак Таміла Віталіївна</t>
  </si>
  <si>
    <t>ZVPG_u_4281</t>
  </si>
  <si>
    <t>Якименко Климентій Євгенович</t>
  </si>
  <si>
    <t>ZVPG_u_4282</t>
  </si>
  <si>
    <t>Глушак Дар'я Сергіївна</t>
  </si>
  <si>
    <t>ZVPG_u_4283</t>
  </si>
  <si>
    <t>Денисенко Олексій Юрійович</t>
  </si>
  <si>
    <t>ZVPG_u_4284</t>
  </si>
  <si>
    <t>Кауфман Данило Юрійович</t>
  </si>
  <si>
    <t>ZVPG_u_4285</t>
  </si>
  <si>
    <t>Малиш Уляна Сергіївна</t>
  </si>
  <si>
    <t>ZVPG_u_4286</t>
  </si>
  <si>
    <t>Сухорук Вікторія Сергіївна</t>
  </si>
  <si>
    <t>ZVPG_u_4287</t>
  </si>
  <si>
    <t>Ханумян Карен Русланович</t>
  </si>
  <si>
    <t>ZVPG_u_4288</t>
  </si>
  <si>
    <t>Хвесько Кірілл Олександрович</t>
  </si>
  <si>
    <t>ZVPG_u_4289</t>
  </si>
  <si>
    <t>Хвесько Макар Олександрович</t>
  </si>
  <si>
    <t>ZVPG_u_4290</t>
  </si>
  <si>
    <t>Тохтарова Мелек Рустемівна</t>
  </si>
  <si>
    <t>ZVPG_u_4291</t>
  </si>
  <si>
    <t>Ігумнова Анастасія Артемівна</t>
  </si>
  <si>
    <t>ZVPG_u_4292</t>
  </si>
  <si>
    <t>Ісмаїлова Майе Рустемівна</t>
  </si>
  <si>
    <t>ZVPG_u_4293</t>
  </si>
  <si>
    <t>Банарь Олександр</t>
  </si>
  <si>
    <t>НВК Чернігівська загальноосвітня школа І-ІІІ ступенів імені Героя Радянського Союзу А.М.Темника Чернігівської селищної ради Бердянського району Запорізької області</t>
  </si>
  <si>
    <t>ZVPG_u_4294</t>
  </si>
  <si>
    <t>Кіріченко Юлія</t>
  </si>
  <si>
    <t>ZVPG_u_4295</t>
  </si>
  <si>
    <t>Гребінець Крістіна</t>
  </si>
  <si>
    <t>ZVPG_u_4296</t>
  </si>
  <si>
    <t>Єременко Юлія</t>
  </si>
  <si>
    <t>ZVPG_u_4297</t>
  </si>
  <si>
    <t>Залужна Катерина</t>
  </si>
  <si>
    <t>ZVPG_u_4298</t>
  </si>
  <si>
    <t>Худич Каріна</t>
  </si>
  <si>
    <t>ZVPG_u_4299</t>
  </si>
  <si>
    <t>Чумак Крістіна</t>
  </si>
  <si>
    <t>ZVPG_u_4300</t>
  </si>
  <si>
    <t>ZVPG_u_4301</t>
  </si>
  <si>
    <t>Іванов Олександр</t>
  </si>
  <si>
    <t>ZVPG_u_4302</t>
  </si>
  <si>
    <t>Панін Артур</t>
  </si>
  <si>
    <t>ZVPG_u_4303</t>
  </si>
  <si>
    <t>Дереза Ілля</t>
  </si>
  <si>
    <t>ZVPG_u_4304</t>
  </si>
  <si>
    <t>Сохань Ярослав</t>
  </si>
  <si>
    <t>ZVPG_u_4305</t>
  </si>
  <si>
    <t>Дядя Ольга</t>
  </si>
  <si>
    <t>ZVPG_u_4306</t>
  </si>
  <si>
    <t>Шаповал Максим</t>
  </si>
  <si>
    <t>ZVPG_u_4307</t>
  </si>
  <si>
    <t>Ісмаілова Анастасія Сергіївна</t>
  </si>
  <si>
    <t>ZVPG_u_4308</t>
  </si>
  <si>
    <t>Ганчо Артем Андрійович</t>
  </si>
  <si>
    <t>ZVPG_u_4309</t>
  </si>
  <si>
    <t>Лішкевич Валерія Євгенівна</t>
  </si>
  <si>
    <t>ZVPG_u_4310</t>
  </si>
  <si>
    <t>Матвійчук Станіслав Віталійович</t>
  </si>
  <si>
    <t>ZVPG_u_4311</t>
  </si>
  <si>
    <t>Семенова Юлія Вікторівна</t>
  </si>
  <si>
    <t>ZVPG_u_4312</t>
  </si>
  <si>
    <t>Андрущенко Поліна Олександрівна</t>
  </si>
  <si>
    <t>ZVPG_u_4313</t>
  </si>
  <si>
    <t>Балабушкіна Софія Євгенівна</t>
  </si>
  <si>
    <t>ZVPG_u_4314</t>
  </si>
  <si>
    <t>Бережна Катерина Артурівна</t>
  </si>
  <si>
    <t>ZVPG_u_4315</t>
  </si>
  <si>
    <t>Богославець Марина Русланівна</t>
  </si>
  <si>
    <t>ZVPG_u_4316</t>
  </si>
  <si>
    <t>Гаркуша Олександра Євгеніївна</t>
  </si>
  <si>
    <t>ZVPG_u_4317</t>
  </si>
  <si>
    <t>Деркач Ксенія Олексіївна</t>
  </si>
  <si>
    <t>ZVPG_u_4318</t>
  </si>
  <si>
    <t>Запорожець Поліна Олегівна</t>
  </si>
  <si>
    <t>ZVPG_u_4319</t>
  </si>
  <si>
    <t>Івашина Марія Сергіївна</t>
  </si>
  <si>
    <t>ZVPG_u_4320</t>
  </si>
  <si>
    <t>Крюков Семен Олексійович</t>
  </si>
  <si>
    <t>ZVPG_u_4321</t>
  </si>
  <si>
    <t>Лучкевич Марія Ігорівна</t>
  </si>
  <si>
    <t>ZVPG_u_4322</t>
  </si>
  <si>
    <t>Маркевич Аліна Сергіївна</t>
  </si>
  <si>
    <t>ZVPG_u_4323</t>
  </si>
  <si>
    <t>Пенков Тимур Вячеславович</t>
  </si>
  <si>
    <t>ZVPG_u_4324</t>
  </si>
  <si>
    <t>Скляр Вікторія Дмитрівна</t>
  </si>
  <si>
    <t>ZVPG_u_4325</t>
  </si>
  <si>
    <t>Ткачук Каміла Дмитрівна</t>
  </si>
  <si>
    <t>ZVPG_u_4326</t>
  </si>
  <si>
    <t>Туркоман Матвій Олександрович</t>
  </si>
  <si>
    <t>ZVPG_u_4327</t>
  </si>
  <si>
    <t>Фіщенко Денис Андрійович</t>
  </si>
  <si>
    <t>ZVPG_u_4328</t>
  </si>
  <si>
    <t>Фіщенко Максим Андрійович</t>
  </si>
  <si>
    <t>ZVPG_u_4329</t>
  </si>
  <si>
    <t>Чаусенко Анна Юріївна</t>
  </si>
  <si>
    <t>ZVPG_u_4330</t>
  </si>
  <si>
    <t>Шевельова Марія Русланівна</t>
  </si>
  <si>
    <t>ZVPG_u_4331</t>
  </si>
  <si>
    <t xml:space="preserve">Шуваєва Марія Дмитрівна </t>
  </si>
  <si>
    <t>ZVPG_u_4332</t>
  </si>
  <si>
    <t>Гаврилюк Артем</t>
  </si>
  <si>
    <t>ZVPG_u_4333</t>
  </si>
  <si>
    <t>Галанчук Артем</t>
  </si>
  <si>
    <t>ZVPG_u_4334</t>
  </si>
  <si>
    <t>Дідевич Вероніка</t>
  </si>
  <si>
    <t>ZVPG_u_4335</t>
  </si>
  <si>
    <t xml:space="preserve">Дубовий Роман </t>
  </si>
  <si>
    <t>ZVPG_u_4336</t>
  </si>
  <si>
    <t>Єфремов Іван</t>
  </si>
  <si>
    <t>ZVPG_u_4337</t>
  </si>
  <si>
    <t>Мартинюк Єлизавета</t>
  </si>
  <si>
    <t>ZVPG_u_4338</t>
  </si>
  <si>
    <t>Матюха Роман</t>
  </si>
  <si>
    <t>ZVPG_u_4339</t>
  </si>
  <si>
    <t>Махмудов Тимур</t>
  </si>
  <si>
    <t>ZVPG_u_4340</t>
  </si>
  <si>
    <t>Мельник Віталій</t>
  </si>
  <si>
    <t>ZVPG_u_4341</t>
  </si>
  <si>
    <t>Муренко Аліна</t>
  </si>
  <si>
    <t>ZVPG_u_4342</t>
  </si>
  <si>
    <t>Побігай Арсеній</t>
  </si>
  <si>
    <t>ZVPG_u_4343</t>
  </si>
  <si>
    <t>Рожківська Мирослава</t>
  </si>
  <si>
    <t>ZVPG_u_4344</t>
  </si>
  <si>
    <t>Сисак Ангеліна</t>
  </si>
  <si>
    <t>ZVPG_u_4345</t>
  </si>
  <si>
    <t>Слободяник Дар'я</t>
  </si>
  <si>
    <t>ZVPG_u_4346</t>
  </si>
  <si>
    <t>Цирканюк Владислав</t>
  </si>
  <si>
    <t>ZVPG_u_4347</t>
  </si>
  <si>
    <t>Бакалінська Анна </t>
  </si>
  <si>
    <t>Опорний заклад Почаївська ЗОШ І-ІІІ ступенів Почаївської міської ради</t>
  </si>
  <si>
    <t>ZVPG_u_4348</t>
  </si>
  <si>
    <t>Бойко Софія </t>
  </si>
  <si>
    <t>ZVPG_u_4349</t>
  </si>
  <si>
    <t>Бондар Володимир </t>
  </si>
  <si>
    <t>ZVPG_u_4350</t>
  </si>
  <si>
    <t>Дмитрук Владислав </t>
  </si>
  <si>
    <t>ZVPG_u_4351</t>
  </si>
  <si>
    <t>Запоточний Дмитро </t>
  </si>
  <si>
    <t>ZVPG_u_4352</t>
  </si>
  <si>
    <t>Кваснюк Матвій </t>
  </si>
  <si>
    <t>ZVPG_u_4353</t>
  </si>
  <si>
    <t>Кушельник Петро </t>
  </si>
  <si>
    <t>ZVPG_u_4354</t>
  </si>
  <si>
    <t>Медвідь Олександр </t>
  </si>
  <si>
    <t>ZVPG_u_4355</t>
  </si>
  <si>
    <t>Стравінська Яна </t>
  </si>
  <si>
    <t>ZVPG_u_4356</t>
  </si>
  <si>
    <t>Струкало Денис </t>
  </si>
  <si>
    <t>ZVPG_u_4357</t>
  </si>
  <si>
    <t>Черепенко Максим </t>
  </si>
  <si>
    <t>ZVPG_u_4358</t>
  </si>
  <si>
    <t>Юзик Ілля  </t>
  </si>
  <si>
    <t>ZVPG_u_4359</t>
  </si>
  <si>
    <t>Ахтанін Марк </t>
  </si>
  <si>
    <t>ZVPG_u_4360</t>
  </si>
  <si>
    <t>Волошина Соломія </t>
  </si>
  <si>
    <t>ZVPG_u_4361</t>
  </si>
  <si>
    <t>Віннічук Ангеліна</t>
  </si>
  <si>
    <t>ZVPG_u_4362</t>
  </si>
  <si>
    <t>Данилюк Карина </t>
  </si>
  <si>
    <t>ZVPG_u_4363</t>
  </si>
  <si>
    <t>Іванова Анна</t>
  </si>
  <si>
    <t>ZVPG_u_4364</t>
  </si>
  <si>
    <t>Івницька Софія </t>
  </si>
  <si>
    <t>ZVPG_u_4365</t>
  </si>
  <si>
    <t>Коберник Ангеліна</t>
  </si>
  <si>
    <t>ZVPG_u_4366</t>
  </si>
  <si>
    <t>Колісник Лана </t>
  </si>
  <si>
    <t>ZVPG_u_4367</t>
  </si>
  <si>
    <t>Кравчук Соломія </t>
  </si>
  <si>
    <t>ZVPG_u_4368</t>
  </si>
  <si>
    <t>Лотоцький Гліб </t>
  </si>
  <si>
    <t>ZVPG_u_4369</t>
  </si>
  <si>
    <t>Мартиневич Софія </t>
  </si>
  <si>
    <t>ZVPG_u_4370</t>
  </si>
  <si>
    <t>Мінайлюк Антоніна </t>
  </si>
  <si>
    <t>ZVPG_u_4371</t>
  </si>
  <si>
    <t>Мінайлюк Ігнатій </t>
  </si>
  <si>
    <t>ZVPG_u_4372</t>
  </si>
  <si>
    <t>Музика Дмитро</t>
  </si>
  <si>
    <t>ZVPG_u_4373</t>
  </si>
  <si>
    <t>Нетеча Вероніка </t>
  </si>
  <si>
    <t>ZVPG_u_4374</t>
  </si>
  <si>
    <t>Павлюк Дарина </t>
  </si>
  <si>
    <t>ZVPG_u_4375</t>
  </si>
  <si>
    <t>Сирбу Анастасія </t>
  </si>
  <si>
    <t>ZVPG_u_4376</t>
  </si>
  <si>
    <t>Кулибаба Марія </t>
  </si>
  <si>
    <t>ZVPG_u_4377</t>
  </si>
  <si>
    <t>Харчук Дарія </t>
  </si>
  <si>
    <t>ZVPG_u_4378</t>
  </si>
  <si>
    <t>Цісар Дар’я </t>
  </si>
  <si>
    <t>ZVPG_u_4379</t>
  </si>
  <si>
    <t>Токарчук Андрій </t>
  </si>
  <si>
    <t>ZVPG_u_4380</t>
  </si>
  <si>
    <t>Бандурович Соломія</t>
  </si>
  <si>
    <t>ZVPG_u_4381</t>
  </si>
  <si>
    <t>Волинець Іларія</t>
  </si>
  <si>
    <t>ZVPG_u_4382</t>
  </si>
  <si>
    <t>Галанець Соломія</t>
  </si>
  <si>
    <t>ZVPG_u_4383</t>
  </si>
  <si>
    <t>Дубилко Анна </t>
  </si>
  <si>
    <t>ZVPG_u_4384</t>
  </si>
  <si>
    <t>Дубилко Борис </t>
  </si>
  <si>
    <t>ZVPG_u_4385</t>
  </si>
  <si>
    <t>Дубилко Гліб </t>
  </si>
  <si>
    <t>ZVPG_u_4386</t>
  </si>
  <si>
    <t>Євстафієва Аліна</t>
  </si>
  <si>
    <t>ZVPG_u_4387</t>
  </si>
  <si>
    <t>Ільницький Михайло </t>
  </si>
  <si>
    <t>ZVPG_u_4388</t>
  </si>
  <si>
    <t>Костюк Анна </t>
  </si>
  <si>
    <t>ZVPG_u_4389</t>
  </si>
  <si>
    <t>Кравець Надія </t>
  </si>
  <si>
    <t>ZVPG_u_4390</t>
  </si>
  <si>
    <t>Ляшенко Микола </t>
  </si>
  <si>
    <t>ZVPG_u_4391</t>
  </si>
  <si>
    <t>Недайхлєбов Артем </t>
  </si>
  <si>
    <t>ZVPG_u_4392</t>
  </si>
  <si>
    <t>Онук Ірина </t>
  </si>
  <si>
    <t>ZVPG_u_4393</t>
  </si>
  <si>
    <t>Панькевич Анастасія </t>
  </si>
  <si>
    <t>ZVPG_u_4394</t>
  </si>
  <si>
    <t>Погодаєв Дмитро </t>
  </si>
  <si>
    <t>ZVPG_u_4395</t>
  </si>
  <si>
    <t>Ратинський Сергій </t>
  </si>
  <si>
    <t>ZVPG_u_4396</t>
  </si>
  <si>
    <t>Романюк Андрій </t>
  </si>
  <si>
    <t>ZVPG_u_4397</t>
  </si>
  <si>
    <t>Саган Микола </t>
  </si>
  <si>
    <t>ZVPG_u_4398</t>
  </si>
  <si>
    <t>Смакоуз Ангеліна </t>
  </si>
  <si>
    <t>ZVPG_u_4399</t>
  </si>
  <si>
    <t>Соломонова Ульяна  </t>
  </si>
  <si>
    <t>ZVPG_u_4400</t>
  </si>
  <si>
    <t>Андрусюк Дарія </t>
  </si>
  <si>
    <t>ZVPG_u_4401</t>
  </si>
  <si>
    <t>Біланич Софія </t>
  </si>
  <si>
    <t>ZVPG_u_4402</t>
  </si>
  <si>
    <t>Білецький Ілля </t>
  </si>
  <si>
    <t>ZVPG_u_4403</t>
  </si>
  <si>
    <t>Бондарчук Карина </t>
  </si>
  <si>
    <t>ZVPG_u_4404</t>
  </si>
  <si>
    <t>Гриців Єва </t>
  </si>
  <si>
    <t>ZVPG_u_4405</t>
  </si>
  <si>
    <t>Грищук Арсен </t>
  </si>
  <si>
    <t>ZVPG_u_4406</t>
  </si>
  <si>
    <t>Гук Владислав </t>
  </si>
  <si>
    <t>ZVPG_u_4407</t>
  </si>
  <si>
    <t>Домницький Дмитро </t>
  </si>
  <si>
    <t>ZVPG_u_4408</t>
  </si>
  <si>
    <t>Дячук Анна </t>
  </si>
  <si>
    <t>ZVPG_u_4409</t>
  </si>
  <si>
    <t>Кліменчук Давид </t>
  </si>
  <si>
    <t>ZVPG_u_4410</t>
  </si>
  <si>
    <t>Коношевський Максим </t>
  </si>
  <si>
    <t>ZVPG_u_4411</t>
  </si>
  <si>
    <t>Лящук Марта </t>
  </si>
  <si>
    <t>ZVPG_u_4412</t>
  </si>
  <si>
    <t>Михайлова Юліна </t>
  </si>
  <si>
    <t>ZVPG_u_4413</t>
  </si>
  <si>
    <t>Нечай Дарія </t>
  </si>
  <si>
    <t>ZVPG_u_4414</t>
  </si>
  <si>
    <t>Ніколаєв Андрій </t>
  </si>
  <si>
    <t>ZVPG_u_4415</t>
  </si>
  <si>
    <t>Онищук Андрій </t>
  </si>
  <si>
    <t>ZVPG_u_4416</t>
  </si>
  <si>
    <t>Петровський Роман </t>
  </si>
  <si>
    <t>ZVPG_u_4417</t>
  </si>
  <si>
    <t>Плетюк Евеліна</t>
  </si>
  <si>
    <t>ZVPG_u_4418</t>
  </si>
  <si>
    <t>Повх Василина </t>
  </si>
  <si>
    <t>ZVPG_u_4419</t>
  </si>
  <si>
    <t>Притула Уляна </t>
  </si>
  <si>
    <t>ZVPG_u_4420</t>
  </si>
  <si>
    <t>Прокопчук Маргарита </t>
  </si>
  <si>
    <t>ZVPG_u_4421</t>
  </si>
  <si>
    <t>Процюк Єлизавета </t>
  </si>
  <si>
    <t>ZVPG_u_4422</t>
  </si>
  <si>
    <t>Пуренко Віталій </t>
  </si>
  <si>
    <t>ZVPG_u_4423</t>
  </si>
  <si>
    <t>Пуренко Олена </t>
  </si>
  <si>
    <t>ZVPG_u_4424</t>
  </si>
  <si>
    <t>Рожик Герман </t>
  </si>
  <si>
    <t>ZVPG_u_4425</t>
  </si>
  <si>
    <t>Северин Ірина </t>
  </si>
  <si>
    <t>ZVPG_u_4426</t>
  </si>
  <si>
    <t>Тригуба Анастасія </t>
  </si>
  <si>
    <t>ZVPG_u_4427</t>
  </si>
  <si>
    <t>Фандалюк Денис </t>
  </si>
  <si>
    <t>ZVPG_u_4428</t>
  </si>
  <si>
    <t>Шнайдрук Марія </t>
  </si>
  <si>
    <t>ZVPG_u_4429</t>
  </si>
  <si>
    <t>Юрцун Денис </t>
  </si>
  <si>
    <t>ZVPG_u_4430</t>
  </si>
  <si>
    <t>Антонюк Давид </t>
  </si>
  <si>
    <t>ZVPG_u_4431</t>
  </si>
  <si>
    <t>Бліщ Марта </t>
  </si>
  <si>
    <t>ZVPG_u_4432</t>
  </si>
  <si>
    <t>Богольницький Макарій </t>
  </si>
  <si>
    <t>ZVPG_u_4433</t>
  </si>
  <si>
    <t>Гичка Ніна</t>
  </si>
  <si>
    <t>ZVPG_u_4434</t>
  </si>
  <si>
    <t>Гладковський Арсен </t>
  </si>
  <si>
    <t>ZVPG_u_4435</t>
  </si>
  <si>
    <t>Гонтарук Костянтин </t>
  </si>
  <si>
    <t>ZVPG_u_4436</t>
  </si>
  <si>
    <t>Гончар Марія </t>
  </si>
  <si>
    <t>ZVPG_u_4437</t>
  </si>
  <si>
    <t>Горопаха Сергій </t>
  </si>
  <si>
    <t>ZVPG_u_4438</t>
  </si>
  <si>
    <t>Діхтяр Кирило </t>
  </si>
  <si>
    <t>ZVPG_u_4439</t>
  </si>
  <si>
    <t>Зубкевич Олександра </t>
  </si>
  <si>
    <t>ZVPG_u_4440</t>
  </si>
  <si>
    <t>Іськов Ангеліна </t>
  </si>
  <si>
    <t>ZVPG_u_4441</t>
  </si>
  <si>
    <t>Козак Аліна </t>
  </si>
  <si>
    <t>ZVPG_u_4442</t>
  </si>
  <si>
    <t>Кравчук Вероніка </t>
  </si>
  <si>
    <t>ZVPG_u_4443</t>
  </si>
  <si>
    <t>Кривоногова Єлизавета </t>
  </si>
  <si>
    <t>ZVPG_u_4444</t>
  </si>
  <si>
    <t>Крутяк Іларія </t>
  </si>
  <si>
    <t>ZVPG_u_4445</t>
  </si>
  <si>
    <t>Литвінчук Іван </t>
  </si>
  <si>
    <t>ZVPG_u_4446</t>
  </si>
  <si>
    <t>Пасічник Григорій </t>
  </si>
  <si>
    <t>ZVPG_u_4447</t>
  </si>
  <si>
    <t>Пашко Тетяна </t>
  </si>
  <si>
    <t>ZVPG_u_4448</t>
  </si>
  <si>
    <t>Підгурська Анастасія </t>
  </si>
  <si>
    <t>ZVPG_u_4449</t>
  </si>
  <si>
    <t>Присяжнюк Марк </t>
  </si>
  <si>
    <t>ZVPG_u_4450</t>
  </si>
  <si>
    <t>Рожик Марк </t>
  </si>
  <si>
    <t>ZVPG_u_4451</t>
  </si>
  <si>
    <t>Романюк Єва </t>
  </si>
  <si>
    <t>ZVPG_u_4452</t>
  </si>
  <si>
    <t>Сімора Костянтин </t>
  </si>
  <si>
    <t>ZVPG_u_4453</t>
  </si>
  <si>
    <t>Сімора Павло </t>
  </si>
  <si>
    <t>ZVPG_u_4454</t>
  </si>
  <si>
    <t>Стецюк  Давид  </t>
  </si>
  <si>
    <t>ZVPG_u_4455</t>
  </si>
  <si>
    <t>Стояновська Каріна </t>
  </si>
  <si>
    <t>ZVPG_u_4456</t>
  </si>
  <si>
    <t>Струсь Аніся </t>
  </si>
  <si>
    <t>ZVPG_u_4457</t>
  </si>
  <si>
    <t>Шафранський Роман</t>
  </si>
  <si>
    <t>ZVPG_u_4458</t>
  </si>
  <si>
    <t>Уляніцький Владислав </t>
  </si>
  <si>
    <t>ZVPG_u_4459</t>
  </si>
  <si>
    <t>Базилевський Максим </t>
  </si>
  <si>
    <t>ZVPG_u_4460</t>
  </si>
  <si>
    <t>Гичка Катерина </t>
  </si>
  <si>
    <t>ZVPG_u_4461</t>
  </si>
  <si>
    <t>Григорчук Анастасія </t>
  </si>
  <si>
    <t>ZVPG_u_4462</t>
  </si>
  <si>
    <t>Діуліна Єлизавета </t>
  </si>
  <si>
    <t>ZVPG_u_4463</t>
  </si>
  <si>
    <t>Довгушко Олексій </t>
  </si>
  <si>
    <t>ZVPG_u_4464</t>
  </si>
  <si>
    <t>Зубкевич Ліза </t>
  </si>
  <si>
    <t>ZVPG_u_4465</t>
  </si>
  <si>
    <t>Іванов Дем’ян </t>
  </si>
  <si>
    <t>ZVPG_u_4466</t>
  </si>
  <si>
    <t>Кобзар Вероніка </t>
  </si>
  <si>
    <t>ZVPG_u_4467</t>
  </si>
  <si>
    <t>Коваль Всеволод </t>
  </si>
  <si>
    <t>ZVPG_u_4468</t>
  </si>
  <si>
    <t>Кондратюк Іларіон</t>
  </si>
  <si>
    <t>ZVPG_u_4469</t>
  </si>
  <si>
    <t>Коношевська Кіра </t>
  </si>
  <si>
    <t>ZVPG_u_4470</t>
  </si>
  <si>
    <t>Коношевська Ріма </t>
  </si>
  <si>
    <t>ZVPG_u_4471</t>
  </si>
  <si>
    <t>Литвинчук Єлизавета </t>
  </si>
  <si>
    <t>ZVPG_u_4472</t>
  </si>
  <si>
    <t>Мартинюк Софія </t>
  </si>
  <si>
    <t>ZVPG_u_4473</t>
  </si>
  <si>
    <t>Міхєєв Даніїл </t>
  </si>
  <si>
    <t>ZVPG_u_4474</t>
  </si>
  <si>
    <t>Москвич Катерина </t>
  </si>
  <si>
    <t>ZVPG_u_4475</t>
  </si>
  <si>
    <t>Наклюцька Злата </t>
  </si>
  <si>
    <t>ZVPG_u_4476</t>
  </si>
  <si>
    <t>Недайхлєбов Назар </t>
  </si>
  <si>
    <t>ZVPG_u_4477</t>
  </si>
  <si>
    <t>Недайхлєбова Богдана </t>
  </si>
  <si>
    <t>ZVPG_u_4478</t>
  </si>
  <si>
    <t>Нецькар Софія </t>
  </si>
  <si>
    <t>ZVPG_u_4479</t>
  </si>
  <si>
    <t>Паляниця Богдана </t>
  </si>
  <si>
    <t>ZVPG_u_4480</t>
  </si>
  <si>
    <t>Саган Софія </t>
  </si>
  <si>
    <t>ZVPG_u_4481</t>
  </si>
  <si>
    <t>Соболевська Аліна </t>
  </si>
  <si>
    <t>ZVPG_u_4482</t>
  </si>
  <si>
    <t>Уйван Ніна </t>
  </si>
  <si>
    <t>ZVPG_u_4483</t>
  </si>
  <si>
    <t>Бернацька  Анстасія </t>
  </si>
  <si>
    <t>ZVPG_u_4484</t>
  </si>
  <si>
    <t> Булгарян Григорій </t>
  </si>
  <si>
    <t>ZVPG_u_4485</t>
  </si>
  <si>
    <t>Буц Павло </t>
  </si>
  <si>
    <t>ZVPG_u_4486</t>
  </si>
  <si>
    <t>Волошенюк Вероніка </t>
  </si>
  <si>
    <t>ZVPG_u_4487</t>
  </si>
  <si>
    <t>Гонтарук Ілля </t>
  </si>
  <si>
    <t>ZVPG_u_4488</t>
  </si>
  <si>
    <t>Домбровська  Єлизавета </t>
  </si>
  <si>
    <t>ZVPG_u_4489</t>
  </si>
  <si>
    <t>Домбровський Нестор </t>
  </si>
  <si>
    <t>ZVPG_u_4490</t>
  </si>
  <si>
    <t>Зелінка Антоніна </t>
  </si>
  <si>
    <t>ZVPG_u_4491</t>
  </si>
  <si>
    <t>Кваснюк   Сергій </t>
  </si>
  <si>
    <t>ZVPG_u_4492</t>
  </si>
  <si>
    <t>Мельничук  Мирослава</t>
  </si>
  <si>
    <t>ZVPG_u_4493</t>
  </si>
  <si>
    <t> Погодаєва Ангеліна </t>
  </si>
  <si>
    <t>ZVPG_u_4494</t>
  </si>
  <si>
    <t>Романюк Маргарита </t>
  </si>
  <si>
    <t>ZVPG_u_4495</t>
  </si>
  <si>
    <t>Романюк Роман</t>
  </si>
  <si>
    <t>ZVPG_u_4496</t>
  </si>
  <si>
    <t> Сімора Владислав </t>
  </si>
  <si>
    <t>ZVPG_u_4497</t>
  </si>
  <si>
    <t>Стравінський Ілля </t>
  </si>
  <si>
    <t>ZVPG_u_4498</t>
  </si>
  <si>
    <t>Топорович Євфімія </t>
  </si>
  <si>
    <t>ZVPG_u_4499</t>
  </si>
  <si>
    <t>Трофимлюк Іван </t>
  </si>
  <si>
    <t>ZVPG_u_4500</t>
  </si>
  <si>
    <t>Тук Анастасія </t>
  </si>
  <si>
    <t>ZVPG_u_4501</t>
  </si>
  <si>
    <t>Турчин Емілія </t>
  </si>
  <si>
    <t>ZVPG_u_4502</t>
  </si>
  <si>
    <t>Цьолка Максим </t>
  </si>
  <si>
    <t>ZVPG_u_4503</t>
  </si>
  <si>
    <t>Чучмай Євгенія </t>
  </si>
  <si>
    <t>ZVPG_u_4504</t>
  </si>
  <si>
    <t>Шкіль Давид </t>
  </si>
  <si>
    <t>ZVPG_u_4505</t>
  </si>
  <si>
    <t>Волинець Аріадна</t>
  </si>
  <si>
    <t>ZVPG_u_4506</t>
  </si>
  <si>
    <t>Голуб Іван</t>
  </si>
  <si>
    <t>ZVPG_u_4507</t>
  </si>
  <si>
    <t>Гур’єва Ніка</t>
  </si>
  <si>
    <t>ZVPG_u_4508</t>
  </si>
  <si>
    <t>Двигайло Софія</t>
  </si>
  <si>
    <t>ZVPG_u_4509</t>
  </si>
  <si>
    <t>Зубкевич Валерій </t>
  </si>
  <si>
    <t>ZVPG_u_4510</t>
  </si>
  <si>
    <t>Копач Кирил</t>
  </si>
  <si>
    <t>ZVPG_u_4511</t>
  </si>
  <si>
    <t>Кудляк Арсеній</t>
  </si>
  <si>
    <t>ZVPG_u_4512</t>
  </si>
  <si>
    <t>Кушнірова Крістіна</t>
  </si>
  <si>
    <t>ZVPG_u_4513</t>
  </si>
  <si>
    <t>Лівінюк Тарас</t>
  </si>
  <si>
    <t>ZVPG_u_4514</t>
  </si>
  <si>
    <t>Мисько Марк</t>
  </si>
  <si>
    <t>ZVPG_u_4515</t>
  </si>
  <si>
    <t>Обезюк Назар</t>
  </si>
  <si>
    <t>ZVPG_u_4516</t>
  </si>
  <si>
    <t>Осієвська Єлизавета</t>
  </si>
  <si>
    <t>ZVPG_u_4517</t>
  </si>
  <si>
    <t>Присяжнюк Адріана</t>
  </si>
  <si>
    <t>ZVPG_u_4518</t>
  </si>
  <si>
    <t>Сакара Андрій</t>
  </si>
  <si>
    <t>ZVPG_u_4519</t>
  </si>
  <si>
    <t>Стецюк Анастасія</t>
  </si>
  <si>
    <t>ZVPG_u_4520</t>
  </si>
  <si>
    <t>Скиба Денис</t>
  </si>
  <si>
    <t>ZVPG_u_4521</t>
  </si>
  <si>
    <t>Циганюк Єлизавета</t>
  </si>
  <si>
    <t>ZVPG_u_4522</t>
  </si>
  <si>
    <t>Черпалок Вікторія</t>
  </si>
  <si>
    <t>ZVPG_u_4523</t>
  </si>
  <si>
    <t>Климишин Ярина Михайлівна</t>
  </si>
  <si>
    <t>Шляхтинецька гімназія імені О.Г.Барвінського Байковецької сільської ради Тернопільського району Тернопільської області</t>
  </si>
  <si>
    <t>ZVPG_u_4524</t>
  </si>
  <si>
    <t>Вавричук Катерина Андріївна</t>
  </si>
  <si>
    <t>ZVPG_u_4525</t>
  </si>
  <si>
    <t>Іваніцька Ангеліна Павлівна</t>
  </si>
  <si>
    <t>ZVPG_u_4526</t>
  </si>
  <si>
    <t>Марусин Марія Андріївна</t>
  </si>
  <si>
    <t>ZVPG_u_4527</t>
  </si>
  <si>
    <t>Франчишин Анастасія Олегівна</t>
  </si>
  <si>
    <t>ZVPG_u_4528</t>
  </si>
  <si>
    <t>Штанькевич Яна Тарасівна</t>
  </si>
  <si>
    <t>ZVPG_u_4529</t>
  </si>
  <si>
    <t>Литвин Вікторія Євгенівна</t>
  </si>
  <si>
    <t>ZVPG_u_4530</t>
  </si>
  <si>
    <t>Зозуляк Дарія Павлівна</t>
  </si>
  <si>
    <t>ZVPG_u_4531</t>
  </si>
  <si>
    <t>Балабан Яна Григорівна</t>
  </si>
  <si>
    <t>ZVPG_u_4532</t>
  </si>
  <si>
    <t>Караванська Анастасія Василівна</t>
  </si>
  <si>
    <t>ZVPG_u_4533</t>
  </si>
  <si>
    <t>Травкін Максим Володимирович</t>
  </si>
  <si>
    <t>ZVPG_u_4534</t>
  </si>
  <si>
    <t>Тетяна Бучко</t>
  </si>
  <si>
    <t>ВСП "Бурштинський енергетичний фаховий коледж ІФНТУНГ"</t>
  </si>
  <si>
    <t>ZVPG_u_4535</t>
  </si>
  <si>
    <t>Наталя Макар</t>
  </si>
  <si>
    <t>ZVPG_u_4536</t>
  </si>
  <si>
    <t>Вероніка Воробець</t>
  </si>
  <si>
    <t>ZVPG_u_4537</t>
  </si>
  <si>
    <t>Анастасія Мазур</t>
  </si>
  <si>
    <t>ZVPG_u_4538</t>
  </si>
  <si>
    <t>Марія Тіцька</t>
  </si>
  <si>
    <t>ZVPG_u_4539</t>
  </si>
  <si>
    <t>Поведик Ангеліна Іванівна</t>
  </si>
  <si>
    <t>Опорний заклад загальної середньої освіти «Бужанський ліцей Бужанської сільської ради Звенигородського району Черкаської області»</t>
  </si>
  <si>
    <t>ZVPG_u_4540</t>
  </si>
  <si>
    <t>Шестеринська Ангеліна Романівна</t>
  </si>
  <si>
    <t>ZVPG_u_4541</t>
  </si>
  <si>
    <t>Огнивий Богдан Андрійович</t>
  </si>
  <si>
    <t>ZVPG_u_4542</t>
  </si>
  <si>
    <t>Кірова Валентина Юріївна</t>
  </si>
  <si>
    <t>ZVPG_u_4543</t>
  </si>
  <si>
    <t>Лесик Віталіна Володимирівна</t>
  </si>
  <si>
    <t>ZVPG_u_4544</t>
  </si>
  <si>
    <t>Тараненко Олександр Миколайович</t>
  </si>
  <si>
    <t>ZVPG_u_4545</t>
  </si>
  <si>
    <t>Волошаніна Сніжана Віджаївна</t>
  </si>
  <si>
    <t>ZVPG_u_4546</t>
  </si>
  <si>
    <t>Зінченко Софія Олександрівна</t>
  </si>
  <si>
    <t>ZVPG_u_4547</t>
  </si>
  <si>
    <t>Мирзак Станіслав Павлович</t>
  </si>
  <si>
    <t>ZVPG_u_4548</t>
  </si>
  <si>
    <t>Пономаренко Тимофій Олександрович</t>
  </si>
  <si>
    <t>ZVPG_u_4549</t>
  </si>
  <si>
    <t>Пахуща Уляна Олександрівна</t>
  </si>
  <si>
    <t>ZVPG_u_4550</t>
  </si>
  <si>
    <t>Трохименко Яків Ростиславович</t>
  </si>
  <si>
    <t>ZVPG_u_4551</t>
  </si>
  <si>
    <t>Хомяк Ярослав Олегович</t>
  </si>
  <si>
    <t>ZVPG_u_4552</t>
  </si>
  <si>
    <t>Костенко Аліна Олександрівна</t>
  </si>
  <si>
    <t>ZVPG_u_4553</t>
  </si>
  <si>
    <t>Труш Артем Віталійович</t>
  </si>
  <si>
    <t>ZVPG_u_4554</t>
  </si>
  <si>
    <t>Гевель Артур Володимирович</t>
  </si>
  <si>
    <t>ZVPG_u_4555</t>
  </si>
  <si>
    <t>Коннов Данило Юрійович</t>
  </si>
  <si>
    <t>ZVPG_u_4556</t>
  </si>
  <si>
    <t>Волошенко Марія Віталіївна</t>
  </si>
  <si>
    <t>ZVPG_u_4557</t>
  </si>
  <si>
    <t>Короленко Софія Артемівна</t>
  </si>
  <si>
    <t>ZVPG_u_4558</t>
  </si>
  <si>
    <t>Цвинтарна Юлія Олександрівна</t>
  </si>
  <si>
    <t>ZVPG_u_4559</t>
  </si>
  <si>
    <t>Мороз Анна Русланівна</t>
  </si>
  <si>
    <t>ZVPG_u_4560</t>
  </si>
  <si>
    <t>Коваль Віталій Юрійович</t>
  </si>
  <si>
    <t>ZVPG_u_4561</t>
  </si>
  <si>
    <t>Мельник Артем Володимирович</t>
  </si>
  <si>
    <t>Пединківська гімназія Любарськоі селищної ради</t>
  </si>
  <si>
    <t>ZVPG_u_4562</t>
  </si>
  <si>
    <t>Буценко Артем Петрович</t>
  </si>
  <si>
    <t>ZVPG_u_4563</t>
  </si>
  <si>
    <t>Серденюк Артем Олександрович</t>
  </si>
  <si>
    <t>ZVPG_u_4564</t>
  </si>
  <si>
    <t>Корнійчук Марина Вікторівна</t>
  </si>
  <si>
    <t>ZVPG_u_4565</t>
  </si>
  <si>
    <t>Євстигнєєв Андрій Євгенович</t>
  </si>
  <si>
    <t>ZVPG_u_4566</t>
  </si>
  <si>
    <t>Щерба Олег Олександрович</t>
  </si>
  <si>
    <t>ZVPG_u_4567</t>
  </si>
  <si>
    <t>Кузьмишина Тетяна Іванівна</t>
  </si>
  <si>
    <t>ZVPG_u_4568</t>
  </si>
  <si>
    <t>Русс Дарʼя Іванівна</t>
  </si>
  <si>
    <t>ZVPG_u_4569</t>
  </si>
  <si>
    <t>Макухова Христина Романівна</t>
  </si>
  <si>
    <t>ZVPG_u_4570</t>
  </si>
  <si>
    <t>Данилюк Віталій Олександрович</t>
  </si>
  <si>
    <t>ZVPG_u_4571</t>
  </si>
  <si>
    <t>Ковальчук Максим Миколайович</t>
  </si>
  <si>
    <t>ZVPG_u_4572</t>
  </si>
  <si>
    <t>Серденюк Микола Олексійович</t>
  </si>
  <si>
    <t>ZVPG_u_4573</t>
  </si>
  <si>
    <t>Крол Авіталь</t>
  </si>
  <si>
    <t>ТОВ Приватний заклад освіти «Київський ліцей «Сігма школа»</t>
  </si>
  <si>
    <t>ZVPG_u_4574</t>
  </si>
  <si>
    <t>Білецький Артем</t>
  </si>
  <si>
    <t>ZVPG_u_4575</t>
  </si>
  <si>
    <t>Ряднина Златослава</t>
  </si>
  <si>
    <t>ZVPG_u_4576</t>
  </si>
  <si>
    <t>ZVPG_u_4577</t>
  </si>
  <si>
    <t>Казанський Максим</t>
  </si>
  <si>
    <t>ZVPG_u_4578</t>
  </si>
  <si>
    <t>Іщенко Анна</t>
  </si>
  <si>
    <t>ZVPG_u_4579</t>
  </si>
  <si>
    <t>Кошельник Леонід</t>
  </si>
  <si>
    <t>ZVPG_u_4580</t>
  </si>
  <si>
    <t>ZVPG_u_4581</t>
  </si>
  <si>
    <t>Михайлова Варвара</t>
  </si>
  <si>
    <t>ZVPG_u_4582</t>
  </si>
  <si>
    <t>Рябініна Софія</t>
  </si>
  <si>
    <t>ZVPG_u_4583</t>
  </si>
  <si>
    <t>Матвієнко Софія</t>
  </si>
  <si>
    <t>ZVPG_u_4584</t>
  </si>
  <si>
    <t>Воробйова Аврора</t>
  </si>
  <si>
    <t>ZVPG_u_4585</t>
  </si>
  <si>
    <t>Чопик Тимофій</t>
  </si>
  <si>
    <t>ZVPG_u_4586</t>
  </si>
  <si>
    <t>Макаренко Кирил</t>
  </si>
  <si>
    <t>ZVPG_u_4587</t>
  </si>
  <si>
    <t>Мішина Софія</t>
  </si>
  <si>
    <t>ZVPG_u_4588</t>
  </si>
  <si>
    <t>Шестопалова Злата</t>
  </si>
  <si>
    <t>ZVPG_u_4589</t>
  </si>
  <si>
    <t>Наумик Анастасія</t>
  </si>
  <si>
    <t>ZVPG_u_4590</t>
  </si>
  <si>
    <t>Никоненко Олександр</t>
  </si>
  <si>
    <t>ZVPG_u_4591</t>
  </si>
  <si>
    <t>Левченко Тимофій</t>
  </si>
  <si>
    <t>ZVPG_u_4592</t>
  </si>
  <si>
    <t>Запорожець Андрій</t>
  </si>
  <si>
    <t>ZVPG_u_4593</t>
  </si>
  <si>
    <t>Горланова Анна</t>
  </si>
  <si>
    <t>ZVPG_u_4594</t>
  </si>
  <si>
    <t>Мазур Ілля</t>
  </si>
  <si>
    <t>ZVPG_u_4595</t>
  </si>
  <si>
    <t>Ілющеко Павло</t>
  </si>
  <si>
    <t>ZVPG_u_4596</t>
  </si>
  <si>
    <t>Бондаренко Ярослава</t>
  </si>
  <si>
    <t>ZVPG_u_4597</t>
  </si>
  <si>
    <t>Кошельник Михайло</t>
  </si>
  <si>
    <t>ZVPG_u_4598</t>
  </si>
  <si>
    <t>Михайлов Семен</t>
  </si>
  <si>
    <t>ZVPG_u_4599</t>
  </si>
  <si>
    <t>Хміль Марія</t>
  </si>
  <si>
    <t>ZVPG_u_4600</t>
  </si>
  <si>
    <t>Міхновська Маша</t>
  </si>
  <si>
    <t>ZVPG_u_4601</t>
  </si>
  <si>
    <t>Клюй Максим</t>
  </si>
  <si>
    <t>ZVPG_u_4602</t>
  </si>
  <si>
    <t>Середа Захарій</t>
  </si>
  <si>
    <t>ZVPG_u_4603</t>
  </si>
  <si>
    <t>Білецький Нікіта</t>
  </si>
  <si>
    <t>ZVPG_u_4604</t>
  </si>
  <si>
    <t>Шепетько Михайло</t>
  </si>
  <si>
    <t>ZVPG_u_4605</t>
  </si>
  <si>
    <t>Бєспалов Ніл</t>
  </si>
  <si>
    <t>ZVPG_u_4606</t>
  </si>
  <si>
    <t>Нелепова Єва</t>
  </si>
  <si>
    <t>ZVPG_u_4607</t>
  </si>
  <si>
    <t>Дементова Аліса</t>
  </si>
  <si>
    <t>ZVPG_u_4608</t>
  </si>
  <si>
    <t>Воробйова Діана</t>
  </si>
  <si>
    <t>ZVPG_u_4609</t>
  </si>
  <si>
    <t>Гребенюк Софія</t>
  </si>
  <si>
    <t>ZVPG_u_4610</t>
  </si>
  <si>
    <t>Всеволод Варипаєв</t>
  </si>
  <si>
    <t>Славутицький ЗЗСО І-ІІІ ст. №3 Славутицької міської ради Вишгородського району Київської області</t>
  </si>
  <si>
    <t>ZVPG_u_4611</t>
  </si>
  <si>
    <t>Максим Стрілецький</t>
  </si>
  <si>
    <t>ZVPG_u_4612</t>
  </si>
  <si>
    <t>Поліна Мельниченко</t>
  </si>
  <si>
    <t>ZVPG_u_4613</t>
  </si>
  <si>
    <t>Семен Макаренко</t>
  </si>
  <si>
    <t>ZVPG_u_4614</t>
  </si>
  <si>
    <t>Таїсія Рудя</t>
  </si>
  <si>
    <t>ZVPG_u_4615</t>
  </si>
  <si>
    <t>Віктор Мельник</t>
  </si>
  <si>
    <t>ZVPG_u_4616</t>
  </si>
  <si>
    <t>Маргарита Смокталь</t>
  </si>
  <si>
    <t>ZVPG_u_4617</t>
  </si>
  <si>
    <t>Дарина Коваленко</t>
  </si>
  <si>
    <t>ZVPG_u_4618</t>
  </si>
  <si>
    <t>Дрожжа Олександра</t>
  </si>
  <si>
    <t>Глухівська загальноосвітня школа І-ІІІ ступенів №6</t>
  </si>
  <si>
    <t>ZVPG_u_4619</t>
  </si>
  <si>
    <t>Ільченко Мілана</t>
  </si>
  <si>
    <t>Глухівська загальноосвітня школа І-ІІІ ступенів №7</t>
  </si>
  <si>
    <t>ZVPG_u_4620</t>
  </si>
  <si>
    <t>Карлова Арина</t>
  </si>
  <si>
    <t>Глухівська загальноосвітня школа І-ІІІ ступенів №8</t>
  </si>
  <si>
    <t>ZVPG_u_4621</t>
  </si>
  <si>
    <t>Москаленко Максим</t>
  </si>
  <si>
    <t>Глухівська загальноосвітня школа І-ІІІ ступенів №9</t>
  </si>
  <si>
    <t>ZVPG_u_4622</t>
  </si>
  <si>
    <t>Насоненко Ірина</t>
  </si>
  <si>
    <t>Глухівська загальноосвітня школа І-ІІІ ступенів №10</t>
  </si>
  <si>
    <t>ZVPG_u_4623</t>
  </si>
  <si>
    <t>Онищенко Альона</t>
  </si>
  <si>
    <t>Глухівська загальноосвітня школа І-ІІІ ступенів №11</t>
  </si>
  <si>
    <t>ZVPG_u_4624</t>
  </si>
  <si>
    <t>Плахова Поліна</t>
  </si>
  <si>
    <t>Глухівська загальноосвітня школа І-ІІІ ступенів №12</t>
  </si>
  <si>
    <t>ZVPG_u_4625</t>
  </si>
  <si>
    <t>Спаських Поліна</t>
  </si>
  <si>
    <t>Глухівська загальноосвітня школа І-ІІІ ступенів №13</t>
  </si>
  <si>
    <t>ZVPG_u_4626</t>
  </si>
  <si>
    <t>Стефанова Дар'я</t>
  </si>
  <si>
    <t>Глухівська загальноосвітня школа І-ІІІ ступенів №14</t>
  </si>
  <si>
    <t>ZVPG_u_4627</t>
  </si>
  <si>
    <t>Бабкін Микита Русланович</t>
  </si>
  <si>
    <t>Відокремлений структурний підрозділ Фаховий коледж економіки і технологій ДУЕТ</t>
  </si>
  <si>
    <t>ZVPG_u_4628</t>
  </si>
  <si>
    <t>Блінова Карина Ігорівна</t>
  </si>
  <si>
    <t>ZVPG_u_4629</t>
  </si>
  <si>
    <t>Волков Михайло Олександрович</t>
  </si>
  <si>
    <t>ZVPG_u_4630</t>
  </si>
  <si>
    <t>Заячук Радіон Михайлович</t>
  </si>
  <si>
    <t>ZVPG_u_4631</t>
  </si>
  <si>
    <t>Іванченко Софія Артемівна</t>
  </si>
  <si>
    <t>ZVPG_u_4632</t>
  </si>
  <si>
    <t>Ільченко Ангеліна Олександрівна</t>
  </si>
  <si>
    <t>ZVPG_u_4633</t>
  </si>
  <si>
    <t>Коваленко Кирило Костянтинович</t>
  </si>
  <si>
    <t>ZVPG_u_4634</t>
  </si>
  <si>
    <t>Коновалов Захар Русланович</t>
  </si>
  <si>
    <t>ZVPG_u_4635</t>
  </si>
  <si>
    <t>Купріков Данило Геннадійович</t>
  </si>
  <si>
    <t>ZVPG_u_4636</t>
  </si>
  <si>
    <t>Лепеха Крістіна Андріївна</t>
  </si>
  <si>
    <t>ZVPG_u_4637</t>
  </si>
  <si>
    <t>Мінько Дарина Вікторівна</t>
  </si>
  <si>
    <t>ZVPG_u_4638</t>
  </si>
  <si>
    <t>ZVPG_u_4639</t>
  </si>
  <si>
    <t>Пацель Тимовій Григорович</t>
  </si>
  <si>
    <t>ZVPG_u_4640</t>
  </si>
  <si>
    <t>Петрова Вікторія Вадимівна</t>
  </si>
  <si>
    <t>ZVPG_u_4641</t>
  </si>
  <si>
    <t xml:space="preserve">Прінь Кароліна Володимирівна </t>
  </si>
  <si>
    <t>ZVPG_u_4642</t>
  </si>
  <si>
    <t>Тиднюк Ганна Олегівна</t>
  </si>
  <si>
    <t>ZVPG_u_4643</t>
  </si>
  <si>
    <t>Ушаньова Вероніка Миколаївна</t>
  </si>
  <si>
    <t>ZVPG_u_4644</t>
  </si>
  <si>
    <t>Шаповал Ігор Васильович</t>
  </si>
  <si>
    <t>ZVPG_u_4645</t>
  </si>
  <si>
    <t>Новицький Максим Віталійович</t>
  </si>
  <si>
    <t>Ліцей "Всесвіт" Матвіївської сільської ради</t>
  </si>
  <si>
    <t>ZVPG_u_4646</t>
  </si>
  <si>
    <t>Любова Вікторія Віталіївна</t>
  </si>
  <si>
    <t>ZVPG_u_4647</t>
  </si>
  <si>
    <t>Чернова Валерія Андріївна</t>
  </si>
  <si>
    <t>ZVPG_u_4648</t>
  </si>
  <si>
    <t>Тихоновський Родіон Сергійович</t>
  </si>
  <si>
    <t>ZVPG_u_4649</t>
  </si>
  <si>
    <t>Федорченко Марк Ярославович</t>
  </si>
  <si>
    <t>ZVPG_u_4650</t>
  </si>
  <si>
    <t>Яценко Данило Олександрович</t>
  </si>
  <si>
    <t>ZVPG_u_4651</t>
  </si>
  <si>
    <t>Лубченко Аліна Андріївна</t>
  </si>
  <si>
    <t>ZVPG_u_4652</t>
  </si>
  <si>
    <t>Вербенко Анна Іванівна</t>
  </si>
  <si>
    <t>ZVPG_u_4653</t>
  </si>
  <si>
    <t>Левченко Антон Юрійович</t>
  </si>
  <si>
    <t>ZVPG_u_4654</t>
  </si>
  <si>
    <t>Ільчук Евеліна Станіславівна</t>
  </si>
  <si>
    <t>ZVPG_u_4655</t>
  </si>
  <si>
    <t>Зиза Ксенія Леонідівна</t>
  </si>
  <si>
    <t>ZVPG_u_4656</t>
  </si>
  <si>
    <t>Кот Мирослав Віталійович</t>
  </si>
  <si>
    <t>ZVPG_u_4657</t>
  </si>
  <si>
    <t>Мазуркевич Софія Анатоліївна</t>
  </si>
  <si>
    <t>ZVPG_u_4658</t>
  </si>
  <si>
    <t>Ібадова Таміла Мусаддігівна</t>
  </si>
  <si>
    <t>ZVPG_u_4659</t>
  </si>
  <si>
    <t>Кратенко Анастасія</t>
  </si>
  <si>
    <t>ВСП Хорольський агропромисловий фаховий коледж Полтавського державного аграрного університету</t>
  </si>
  <si>
    <t>ZVPG_u_4660</t>
  </si>
  <si>
    <t>Дудник Віталій</t>
  </si>
  <si>
    <t>ZVPG_u_4661</t>
  </si>
  <si>
    <t>Хоменко Мілана</t>
  </si>
  <si>
    <t>ZVPG_u_4662</t>
  </si>
  <si>
    <t>Мегеря Анастасія</t>
  </si>
  <si>
    <t>ZVPG_u_4663</t>
  </si>
  <si>
    <t>Тонконоженко Мар'яна</t>
  </si>
  <si>
    <t>ZVPG_u_4664</t>
  </si>
  <si>
    <t>Волощенко Аліна</t>
  </si>
  <si>
    <t>ZVPG_u_4665</t>
  </si>
  <si>
    <t>Ярощук Аліна</t>
  </si>
  <si>
    <t>ZVPG_u_4666</t>
  </si>
  <si>
    <t>Рогоча Каріна</t>
  </si>
  <si>
    <t>ZVPG_u_4667</t>
  </si>
  <si>
    <t>Яковець Ярослава</t>
  </si>
  <si>
    <t>ZVPG_u_4668</t>
  </si>
  <si>
    <t>Духота Діана</t>
  </si>
  <si>
    <t>Лютізький ліцей Петрівської сільської ради</t>
  </si>
  <si>
    <t>ZVPG_u_4669</t>
  </si>
  <si>
    <t>Запорожець Каріна</t>
  </si>
  <si>
    <t>ZVPG_u_4670</t>
  </si>
  <si>
    <t>Кірімова Марія</t>
  </si>
  <si>
    <t>ZVPG_u_4671</t>
  </si>
  <si>
    <t>Кирієнко Олександр</t>
  </si>
  <si>
    <t>ZVPG_u_4672</t>
  </si>
  <si>
    <t>Козир Денис</t>
  </si>
  <si>
    <t>ZVPG_u_4673</t>
  </si>
  <si>
    <t>Корольков Андрій</t>
  </si>
  <si>
    <t>ZVPG_u_4674</t>
  </si>
  <si>
    <t>Лазебник Дарина</t>
  </si>
  <si>
    <t>ZVPG_u_4675</t>
  </si>
  <si>
    <t>Мельниченко Софія</t>
  </si>
  <si>
    <t>ZVPG_u_4676</t>
  </si>
  <si>
    <t>Петрунь Діана</t>
  </si>
  <si>
    <t>ZVPG_u_4677</t>
  </si>
  <si>
    <t>Підлісна Поліна</t>
  </si>
  <si>
    <t>ZVPG_u_4678</t>
  </si>
  <si>
    <t>Полшкова Марія</t>
  </si>
  <si>
    <t>ZVPG_u_4679</t>
  </si>
  <si>
    <t>Стельмах Вероніка</t>
  </si>
  <si>
    <t>ZVPG_u_4680</t>
  </si>
  <si>
    <t>Тробюк Гліб</t>
  </si>
  <si>
    <t>ZVPG_u_4681</t>
  </si>
  <si>
    <t>Юрченко Софія</t>
  </si>
  <si>
    <t>ZVPG_u_4682</t>
  </si>
  <si>
    <t>Вдовцова Марія</t>
  </si>
  <si>
    <t>ZVPG_u_4683</t>
  </si>
  <si>
    <t>Віхлянцев Ілля</t>
  </si>
  <si>
    <t>ZVPG_u_4684</t>
  </si>
  <si>
    <t>Горбунцова Павло</t>
  </si>
  <si>
    <t>ZVPG_u_4685</t>
  </si>
  <si>
    <t>Гурський Кирило</t>
  </si>
  <si>
    <t>ZVPG_u_4686</t>
  </si>
  <si>
    <t>Домнич Микита</t>
  </si>
  <si>
    <t>ZVPG_u_4687</t>
  </si>
  <si>
    <t>Жидков Станіслав</t>
  </si>
  <si>
    <t>ZVPG_u_4688</t>
  </si>
  <si>
    <t>Жила Кірена</t>
  </si>
  <si>
    <t>ZVPG_u_4689</t>
  </si>
  <si>
    <t>Іванченко Альона</t>
  </si>
  <si>
    <t>ZVPG_u_4690</t>
  </si>
  <si>
    <t>Кириченко Марія</t>
  </si>
  <si>
    <t>ZVPG_u_4691</t>
  </si>
  <si>
    <t>Коваль Іван</t>
  </si>
  <si>
    <t>ZVPG_u_4692</t>
  </si>
  <si>
    <t>Кононенко Гліб</t>
  </si>
  <si>
    <t>ZVPG_u_4693</t>
  </si>
  <si>
    <t>Кульбашник Ярослав</t>
  </si>
  <si>
    <t>ZVPG_u_4694</t>
  </si>
  <si>
    <t>Кушніренко Катерина</t>
  </si>
  <si>
    <t>ZVPG_u_4695</t>
  </si>
  <si>
    <t>Нечепоренко Кристина</t>
  </si>
  <si>
    <t>ZVPG_u_4696</t>
  </si>
  <si>
    <t>Сірий Богдан</t>
  </si>
  <si>
    <t>ZVPG_u_4697</t>
  </si>
  <si>
    <t>Скотаренко Анна</t>
  </si>
  <si>
    <t>ZVPG_u_4698</t>
  </si>
  <si>
    <t>Соколенко Даниїл</t>
  </si>
  <si>
    <t>ZVPG_u_4699</t>
  </si>
  <si>
    <t>Шкаркба Альбіна</t>
  </si>
  <si>
    <t>ZVPG_u_4700</t>
  </si>
  <si>
    <t>Шостак Давид</t>
  </si>
  <si>
    <t>ZVPG_u_4701</t>
  </si>
  <si>
    <t>Василенко Анна</t>
  </si>
  <si>
    <t>Опорний заклад «Скороходівський ліцей» Скороходівськоі селищної ради Полтавської області</t>
  </si>
  <si>
    <t>ZVPG_u_4702</t>
  </si>
  <si>
    <t>Іващенко Денис</t>
  </si>
  <si>
    <t>ZVPG_u_4703</t>
  </si>
  <si>
    <t>Лупа Вікторія</t>
  </si>
  <si>
    <t>ZVPG_u_4704</t>
  </si>
  <si>
    <t>Кампова Ангеліна</t>
  </si>
  <si>
    <t>ZVPG_u_4705</t>
  </si>
  <si>
    <t>Пащенко Максим</t>
  </si>
  <si>
    <t>ZVPG_u_4706</t>
  </si>
  <si>
    <t>Таран Кіра</t>
  </si>
  <si>
    <t>ZVPG_u_4707</t>
  </si>
  <si>
    <t>Новицька Мілана</t>
  </si>
  <si>
    <t>ZVPG_u_4708</t>
  </si>
  <si>
    <t>Данильченко Тимофій</t>
  </si>
  <si>
    <t>ZVPG_u_4709</t>
  </si>
  <si>
    <t>Коломієць Маргарита</t>
  </si>
  <si>
    <t>ZVPG_u_4710</t>
  </si>
  <si>
    <t>Таран Вікторія</t>
  </si>
  <si>
    <t>ZVPG_u_4711</t>
  </si>
  <si>
    <t>Семеренко Віктор</t>
  </si>
  <si>
    <t>ZVPG_u_4712</t>
  </si>
  <si>
    <t>Роман Кіра</t>
  </si>
  <si>
    <t>ZVPG_u_4713</t>
  </si>
  <si>
    <t>Політько Нікіта</t>
  </si>
  <si>
    <t>ZVPG_u_4714</t>
  </si>
  <si>
    <t>Бейгул Назар</t>
  </si>
  <si>
    <t>ZVPG_u_4715</t>
  </si>
  <si>
    <t>Петров Владислав</t>
  </si>
  <si>
    <t>ZVPG_u_4716</t>
  </si>
  <si>
    <t>Голованюк Максим</t>
  </si>
  <si>
    <t>ZVPG_u_4717</t>
  </si>
  <si>
    <t>Сапула Богдан</t>
  </si>
  <si>
    <t>ZVPG_u_4718</t>
  </si>
  <si>
    <t>Островський Станіслав</t>
  </si>
  <si>
    <t>ZVPG_u_4719</t>
  </si>
  <si>
    <t>Боцвін Денис</t>
  </si>
  <si>
    <t>ZVPG_u_4720</t>
  </si>
  <si>
    <t>Супрун Вадим</t>
  </si>
  <si>
    <t>ZVPG_u_4721</t>
  </si>
  <si>
    <t>Ляшенко Альбіна</t>
  </si>
  <si>
    <t>ZVPG_u_4722</t>
  </si>
  <si>
    <t>Плюта Костянтин</t>
  </si>
  <si>
    <t>ZVPG_u_4723</t>
  </si>
  <si>
    <t>Гончар Вероніка</t>
  </si>
  <si>
    <t>ZVPG_u_4724</t>
  </si>
  <si>
    <t>Яресько Тихон</t>
  </si>
  <si>
    <t>ZVPG_u_4725</t>
  </si>
  <si>
    <t>Боровська Аделія</t>
  </si>
  <si>
    <t>ZVPG_u_4726</t>
  </si>
  <si>
    <t>Таран Таміла</t>
  </si>
  <si>
    <t>ZVPG_u_4727</t>
  </si>
  <si>
    <t>Таран Артем</t>
  </si>
  <si>
    <t>ZVPG_u_4728</t>
  </si>
  <si>
    <t>Андреєв Максим</t>
  </si>
  <si>
    <t>ZVPG_u_4729</t>
  </si>
  <si>
    <t>Ворона Влада</t>
  </si>
  <si>
    <t>ZVPG_u_4730</t>
  </si>
  <si>
    <t>Морозова Даша</t>
  </si>
  <si>
    <t>ZVPG_u_4731</t>
  </si>
  <si>
    <t>Філоненко Тимур</t>
  </si>
  <si>
    <t>ZVPG_u_4732</t>
  </si>
  <si>
    <t>Литвин Ілля</t>
  </si>
  <si>
    <t>ZVPG_u_4733</t>
  </si>
  <si>
    <t>Лисенко Ярослав</t>
  </si>
  <si>
    <t>ZVPG_u_4734</t>
  </si>
  <si>
    <t>ZVPG_u_4735</t>
  </si>
  <si>
    <t>Сакун Анна</t>
  </si>
  <si>
    <t>ZVPG_u_4736</t>
  </si>
  <si>
    <t>Петренко Вікторія</t>
  </si>
  <si>
    <t>ZVPG_u_4737</t>
  </si>
  <si>
    <t>Гончар Ірина</t>
  </si>
  <si>
    <t>ZVPG_u_4738</t>
  </si>
  <si>
    <t>Полевік Давид</t>
  </si>
  <si>
    <t>ZVPG_u_4739</t>
  </si>
  <si>
    <t>Домненко Максим</t>
  </si>
  <si>
    <t>ZVPG_u_4740</t>
  </si>
  <si>
    <t>Сосков Станіслав</t>
  </si>
  <si>
    <t>ZVPG_u_4741</t>
  </si>
  <si>
    <t>Аршинний Богдан</t>
  </si>
  <si>
    <t>ZVPG_u_4742</t>
  </si>
  <si>
    <t>Проценко Ярослав</t>
  </si>
  <si>
    <t>ZVPG_u_4743</t>
  </si>
  <si>
    <t>Боцвінок Тетяна Ігорівна</t>
  </si>
  <si>
    <t>ЗСШ І-ІІІ ступенів "Лідер" з різними формами навчання м.Львова</t>
  </si>
  <si>
    <t>ZVPG_u_4744</t>
  </si>
  <si>
    <t>Вовк Мар’яна Любомирівна</t>
  </si>
  <si>
    <t>ZVPG_u_4745</t>
  </si>
  <si>
    <t>Гунька Віталій Олександрович</t>
  </si>
  <si>
    <t>ZVPG_u_4746</t>
  </si>
  <si>
    <t>Жинтничка Тимофій Іванович</t>
  </si>
  <si>
    <t>ZVPG_u_4747</t>
  </si>
  <si>
    <t>Кіндратів Кароліна Русланівна</t>
  </si>
  <si>
    <t>ZVPG_u_4748</t>
  </si>
  <si>
    <t>Копоть Анастасія Святославівна</t>
  </si>
  <si>
    <t>ZVPG_u_4749</t>
  </si>
  <si>
    <t>Куніцька Вікторія Володимирівна</t>
  </si>
  <si>
    <t>ZVPG_u_4750</t>
  </si>
  <si>
    <t>Лучко Станіслав Андрійович</t>
  </si>
  <si>
    <t>ZVPG_u_4751</t>
  </si>
  <si>
    <t>Пастернак Анна Романівна</t>
  </si>
  <si>
    <t>ZVPG_u_4752</t>
  </si>
  <si>
    <t>Проців Евеліна Валентинівна</t>
  </si>
  <si>
    <t>ZVPG_u_4753</t>
  </si>
  <si>
    <t>Решетарська Яна Василівна</t>
  </si>
  <si>
    <t>ZVPG_u_4754</t>
  </si>
  <si>
    <t>Ролько Анна Олександрівна</t>
  </si>
  <si>
    <t>ZVPG_u_4755</t>
  </si>
  <si>
    <t>Хомин Анна Михайлівна</t>
  </si>
  <si>
    <t>ZVPG_u_4756</t>
  </si>
  <si>
    <t>Хршановський Данило Михайлович</t>
  </si>
  <si>
    <t>ZVPG_u_4757</t>
  </si>
  <si>
    <t>Шевчук Андрій Володимирович</t>
  </si>
  <si>
    <t>ZVPG_u_4758</t>
  </si>
  <si>
    <t>Шевчук Вікторія Юріївна</t>
  </si>
  <si>
    <t>ZVPG_u_4759</t>
  </si>
  <si>
    <t>Шуплат Олександр Тарасович</t>
  </si>
  <si>
    <t>ZVPG_u_4760</t>
  </si>
  <si>
    <t>Щирба Анна Ігорівна</t>
  </si>
  <si>
    <t>ZVPG_u_4761</t>
  </si>
  <si>
    <t>Білаш Маркіян Назарійович</t>
  </si>
  <si>
    <t>ZVPG_u_4762</t>
  </si>
  <si>
    <t>Білик Богдан Андрійович</t>
  </si>
  <si>
    <t>ZVPG_u_4763</t>
  </si>
  <si>
    <t>Варивода Маркіян Васильович</t>
  </si>
  <si>
    <t>ZVPG_u_4764</t>
  </si>
  <si>
    <t>Вовнянко Анастасія Артурівна</t>
  </si>
  <si>
    <t>ZVPG_u_4765</t>
  </si>
  <si>
    <t>Галайко Дем’ян Олегович</t>
  </si>
  <si>
    <t>ZVPG_u_4766</t>
  </si>
  <si>
    <t>Гвоздівська Соломія Володимирівна</t>
  </si>
  <si>
    <t>ZVPG_u_4767</t>
  </si>
  <si>
    <t>Григоришен Олександр Володимирович</t>
  </si>
  <si>
    <t>ZVPG_u_4768</t>
  </si>
  <si>
    <t>Гриньків Юрій Романович</t>
  </si>
  <si>
    <t>ZVPG_u_4769</t>
  </si>
  <si>
    <t>Гуральник Владислав Олександрович</t>
  </si>
  <si>
    <t>ZVPG_u_4770</t>
  </si>
  <si>
    <t>Жук Соломія Юріївна</t>
  </si>
  <si>
    <t>ZVPG_u_4771</t>
  </si>
  <si>
    <t>Климович Дарина Олегівна</t>
  </si>
  <si>
    <t>ZVPG_u_4772</t>
  </si>
  <si>
    <t>Климович Юстина Олегівна</t>
  </si>
  <si>
    <t>ZVPG_u_4773</t>
  </si>
  <si>
    <t>Нестер Соломія Іванівна</t>
  </si>
  <si>
    <t>ZVPG_u_4774</t>
  </si>
  <si>
    <t>Охота Божена Ігорівна</t>
  </si>
  <si>
    <t>ZVPG_u_4775</t>
  </si>
  <si>
    <t>Пелих Анастасія Богданівна</t>
  </si>
  <si>
    <t>ZVPG_u_4776</t>
  </si>
  <si>
    <t>Пирогова Катерина Олегівна</t>
  </si>
  <si>
    <t>ZVPG_u_4777</t>
  </si>
  <si>
    <t>Подольчак Кирило Назарович</t>
  </si>
  <si>
    <t>ZVPG_u_4778</t>
  </si>
  <si>
    <t>Токовчук Акім Родіонович</t>
  </si>
  <si>
    <t>ZVPG_u_4779</t>
  </si>
  <si>
    <t>Харісов Дамір Рустамович</t>
  </si>
  <si>
    <t>ZVPG_u_4780</t>
  </si>
  <si>
    <t>Хомишин Марко Остапович</t>
  </si>
  <si>
    <t>ZVPG_u_4781</t>
  </si>
  <si>
    <t>Ціхонь Маркіян Сергійович</t>
  </si>
  <si>
    <t>ZVPG_u_4782</t>
  </si>
  <si>
    <t>Шаповал Софія Михайлівна</t>
  </si>
  <si>
    <t>ZVPG_u_4783</t>
  </si>
  <si>
    <t>Шморгай Лук’ян Миколайович</t>
  </si>
  <si>
    <t>ZVPG_u_4784</t>
  </si>
  <si>
    <t>Василенко Вероніка</t>
  </si>
  <si>
    <t>Криворізька гімназія №15 ім. М. Решетняка Криворізької міської ради</t>
  </si>
  <si>
    <t>ZVPG_u_4785</t>
  </si>
  <si>
    <t>Зітуні Зенедін</t>
  </si>
  <si>
    <t>ZVPG_u_4786</t>
  </si>
  <si>
    <t>Іззатулаєва Діана</t>
  </si>
  <si>
    <t>ZVPG_u_4787</t>
  </si>
  <si>
    <t>Лантух Артем</t>
  </si>
  <si>
    <t>ZVPG_u_4788</t>
  </si>
  <si>
    <t>Тимченко Дмитро</t>
  </si>
  <si>
    <t>ZVPG_u_4789</t>
  </si>
  <si>
    <t xml:space="preserve">Целіщев Андрій </t>
  </si>
  <si>
    <t>ZVPG_u_4790</t>
  </si>
  <si>
    <t>Чумаченко Аліна</t>
  </si>
  <si>
    <t>ZVPG_u_4791</t>
  </si>
  <si>
    <t>Шаповал Кирило</t>
  </si>
  <si>
    <t>ZVPG_u_4792</t>
  </si>
  <si>
    <t>Дрига Маргарита</t>
  </si>
  <si>
    <t>ZVPG_u_4793</t>
  </si>
  <si>
    <t>Куряча Софія</t>
  </si>
  <si>
    <t>ZVPG_u_4794</t>
  </si>
  <si>
    <t>Лево Ростик</t>
  </si>
  <si>
    <t>ZVPG_u_4795</t>
  </si>
  <si>
    <t>Лево Ярослав</t>
  </si>
  <si>
    <t>ZVPG_u_4796</t>
  </si>
  <si>
    <t xml:space="preserve">Масаков Савелій </t>
  </si>
  <si>
    <t>ZVPG_u_4797</t>
  </si>
  <si>
    <t>Нікітенко Ксенія</t>
  </si>
  <si>
    <t>ZVPG_u_4798</t>
  </si>
  <si>
    <t>П'єнтак Софія</t>
  </si>
  <si>
    <t>ZVPG_u_4799</t>
  </si>
  <si>
    <t>Слободянюк Поліна</t>
  </si>
  <si>
    <t>ZVPG_u_4800</t>
  </si>
  <si>
    <t>Стужук Ярослав</t>
  </si>
  <si>
    <t>ZVPG_u_4801</t>
  </si>
  <si>
    <t>ZVPG_u_4802</t>
  </si>
  <si>
    <t>Абушадзе Ельшад</t>
  </si>
  <si>
    <t>ZVPG_u_4803</t>
  </si>
  <si>
    <t>Бірченко Григорій</t>
  </si>
  <si>
    <t>ZVPG_u_4804</t>
  </si>
  <si>
    <t>Бдєдних Данііл</t>
  </si>
  <si>
    <t>ZVPG_u_4805</t>
  </si>
  <si>
    <t>Брик Данило</t>
  </si>
  <si>
    <t>ZVPG_u_4806</t>
  </si>
  <si>
    <t>Віляй Вероніка</t>
  </si>
  <si>
    <t>ZVPG_u_4807</t>
  </si>
  <si>
    <t>Колодязна Анастасія</t>
  </si>
  <si>
    <t>ZVPG_u_4808</t>
  </si>
  <si>
    <t>Кошарський Нікіта</t>
  </si>
  <si>
    <t>ZVPG_u_4809</t>
  </si>
  <si>
    <t>Литвиненко Максим</t>
  </si>
  <si>
    <t>ZVPG_u_4810</t>
  </si>
  <si>
    <t>Коровій Марія</t>
  </si>
  <si>
    <t>КЗ "Вінницький технічний ліцей"</t>
  </si>
  <si>
    <t>ZVPG_u_4811</t>
  </si>
  <si>
    <t>Киришова Олена</t>
  </si>
  <si>
    <t>ZVPG_u_4812</t>
  </si>
  <si>
    <t>Рекшенюк Софія</t>
  </si>
  <si>
    <t>ZVPG_u_4813</t>
  </si>
  <si>
    <t>Горковенко Олександр</t>
  </si>
  <si>
    <t>ZVPG_u_4814</t>
  </si>
  <si>
    <t>Боцян Марина</t>
  </si>
  <si>
    <t>ZVPG_u_4815</t>
  </si>
  <si>
    <t>Антощук Маргарита</t>
  </si>
  <si>
    <t>ZVPG_u_4816</t>
  </si>
  <si>
    <t>Крицький Дмитро</t>
  </si>
  <si>
    <t>ZVPG_u_4817</t>
  </si>
  <si>
    <t>Демченко Альбін</t>
  </si>
  <si>
    <t>ZVPG_u_4818</t>
  </si>
  <si>
    <t>Дашкевич Анастасія</t>
  </si>
  <si>
    <t>ZVPG_u_4819</t>
  </si>
  <si>
    <t>Виговська Юлія</t>
  </si>
  <si>
    <t>ZVPG_u_4820</t>
  </si>
  <si>
    <t>Заверуга Юлія</t>
  </si>
  <si>
    <t>ZVPG_u_4821</t>
  </si>
  <si>
    <t>Франківська Софія</t>
  </si>
  <si>
    <t>ZVPG_u_4822</t>
  </si>
  <si>
    <t>Драпак Віталій</t>
  </si>
  <si>
    <t>ZVPG_u_4823</t>
  </si>
  <si>
    <t>Деревяга Ілля</t>
  </si>
  <si>
    <t>ZVPG_u_4824</t>
  </si>
  <si>
    <t>Нікольський Володимир</t>
  </si>
  <si>
    <t>ZVPG_u_4825</t>
  </si>
  <si>
    <t>Цвітайло Іванна</t>
  </si>
  <si>
    <t>ZVPG_u_4826</t>
  </si>
  <si>
    <t>Мацько Аліна</t>
  </si>
  <si>
    <t>ZVPG_u_4827</t>
  </si>
  <si>
    <t>Гамєєва Поліна</t>
  </si>
  <si>
    <t>ZVPG_u_4828</t>
  </si>
  <si>
    <t>Страхова Єва</t>
  </si>
  <si>
    <t>ZVPG_u_4829</t>
  </si>
  <si>
    <t>Лопушняк Артем</t>
  </si>
  <si>
    <t>ZVPG_u_4830</t>
  </si>
  <si>
    <t>Вапнярук Ілля</t>
  </si>
  <si>
    <t>ZVPG_u_4831</t>
  </si>
  <si>
    <t>Пояснюк Артем</t>
  </si>
  <si>
    <t>ZVPG_u_4832</t>
  </si>
  <si>
    <t>Грабенко Артем</t>
  </si>
  <si>
    <t>ZVPG_u_4833</t>
  </si>
  <si>
    <t>Саєнко Максим</t>
  </si>
  <si>
    <t>ZVPG_u_4834</t>
  </si>
  <si>
    <t>Андрусяк Олександр</t>
  </si>
  <si>
    <t>ZVPG_u_4835</t>
  </si>
  <si>
    <t>Сатановський Іван</t>
  </si>
  <si>
    <t>ZVPG_u_4836</t>
  </si>
  <si>
    <t>Ничопорук Маргаріта</t>
  </si>
  <si>
    <t>ZVPG_u_4837</t>
  </si>
  <si>
    <t>Кібальчук Каріна</t>
  </si>
  <si>
    <t>ZVPG_u_4838</t>
  </si>
  <si>
    <t>Возик Софія</t>
  </si>
  <si>
    <t>ZVPG_u_4839</t>
  </si>
  <si>
    <t>Демидюк Дарина</t>
  </si>
  <si>
    <t>ZVPG_u_4840</t>
  </si>
  <si>
    <t>Медведська Анастасія</t>
  </si>
  <si>
    <t>ZVPG_u_4841</t>
  </si>
  <si>
    <t>Молодецька Валерія</t>
  </si>
  <si>
    <t>ZVPG_u_4842</t>
  </si>
  <si>
    <t>Олійник Назар</t>
  </si>
  <si>
    <t>ZVPG_u_4843</t>
  </si>
  <si>
    <t>Черній Маргарита</t>
  </si>
  <si>
    <t>ZVPG_u_4844</t>
  </si>
  <si>
    <t>Перожик Анна</t>
  </si>
  <si>
    <t>ZVPG_u_4845</t>
  </si>
  <si>
    <t>Бурма Єлизавета</t>
  </si>
  <si>
    <t>ZVPG_u_4846</t>
  </si>
  <si>
    <t>Мартинюк Олександра</t>
  </si>
  <si>
    <t>ZVPG_u_4847</t>
  </si>
  <si>
    <t>Василю Ярослав</t>
  </si>
  <si>
    <t>ZVPG_u_4848</t>
  </si>
  <si>
    <t>Голубчик Марія</t>
  </si>
  <si>
    <t>ZVPG_u_4849</t>
  </si>
  <si>
    <t>Козачишина Марія</t>
  </si>
  <si>
    <t>ZVPG_u_4850</t>
  </si>
  <si>
    <t>Драченко Софія</t>
  </si>
  <si>
    <t>ZVPG_u_4851</t>
  </si>
  <si>
    <t>ZVPG_u_4852</t>
  </si>
  <si>
    <t>Коваль Владислав</t>
  </si>
  <si>
    <t>ZVPG_u_4853</t>
  </si>
  <si>
    <t>Потьомко Вероніка</t>
  </si>
  <si>
    <t>ZVPG_u_4854</t>
  </si>
  <si>
    <t>Василевська Аріна</t>
  </si>
  <si>
    <t>ZVPG_u_4855</t>
  </si>
  <si>
    <t>Кучевська Вероніка</t>
  </si>
  <si>
    <t>ZVPG_u_4856</t>
  </si>
  <si>
    <t>Мазай Уляна</t>
  </si>
  <si>
    <t>ZVPG_u_4857</t>
  </si>
  <si>
    <t>Ковтун Роман</t>
  </si>
  <si>
    <t>ZVPG_u_4858</t>
  </si>
  <si>
    <t>Харченко Владислав</t>
  </si>
  <si>
    <t>ZVPG_u_4859</t>
  </si>
  <si>
    <t>Олійник Христина</t>
  </si>
  <si>
    <t>ZVPG_u_4860</t>
  </si>
  <si>
    <t>Біляєва Єлизавета</t>
  </si>
  <si>
    <t>ZVPG_u_4861</t>
  </si>
  <si>
    <t>Міхтюк Микола</t>
  </si>
  <si>
    <t>ZVPG_u_4862</t>
  </si>
  <si>
    <t>Пошванюк Ірина</t>
  </si>
  <si>
    <t>ZVPG_u_4863</t>
  </si>
  <si>
    <t>Сиваченко Тимур</t>
  </si>
  <si>
    <t>ZVPG_u_4864</t>
  </si>
  <si>
    <t>Бевзюк Марія</t>
  </si>
  <si>
    <t>ZVPG_u_4865</t>
  </si>
  <si>
    <t>Грінчук Софія</t>
  </si>
  <si>
    <t>ZVPG_u_4866</t>
  </si>
  <si>
    <t>Муляр Платон</t>
  </si>
  <si>
    <t>ZVPG_u_4867</t>
  </si>
  <si>
    <t>Шпичка Максим</t>
  </si>
  <si>
    <t>ZVPG_u_4868</t>
  </si>
  <si>
    <t>Цибульська Юлія</t>
  </si>
  <si>
    <t>ZVPG_u_4869</t>
  </si>
  <si>
    <t>Химич Єлизавета</t>
  </si>
  <si>
    <t>ZVPG_u_4870</t>
  </si>
  <si>
    <t>Шаталюк Соломія</t>
  </si>
  <si>
    <t>ZVPG_u_4871</t>
  </si>
  <si>
    <t>Дучак Поліна</t>
  </si>
  <si>
    <t>Жашківський ліцей #1 Жашківської міської ради Черкаської області</t>
  </si>
  <si>
    <t>ZVPG_u_4872</t>
  </si>
  <si>
    <t>Білоконь Марія</t>
  </si>
  <si>
    <t>ZVPG_u_4873</t>
  </si>
  <si>
    <t>Степанюк Вероніка</t>
  </si>
  <si>
    <t>ZVPG_u_4874</t>
  </si>
  <si>
    <t>ZVPG_u_4875</t>
  </si>
  <si>
    <t>Ломачинський Михайло</t>
  </si>
  <si>
    <t>ZVPG_u_4876</t>
  </si>
  <si>
    <t>Стогній Антон</t>
  </si>
  <si>
    <t>ZVPG_u_4877</t>
  </si>
  <si>
    <t>Новогребельський Тимур</t>
  </si>
  <si>
    <t>ZVPG_u_4878</t>
  </si>
  <si>
    <t>Білоніг Аріна Денисівна</t>
  </si>
  <si>
    <t>Комунальний заклад "Черкаський академічний ліцей "Перспектива" Черкаської обласної ради"</t>
  </si>
  <si>
    <t>ZVPG_u_4879</t>
  </si>
  <si>
    <t>Бузько Софія Анатоліївна</t>
  </si>
  <si>
    <t>ZVPG_u_4880</t>
  </si>
  <si>
    <t>Миснік Дар’я Анатоліївна</t>
  </si>
  <si>
    <t>ZVPG_u_4881</t>
  </si>
  <si>
    <t>Попович Дар'я Сергіївна</t>
  </si>
  <si>
    <t>ZVPG_u_4882</t>
  </si>
  <si>
    <t>Яценко Елла Леонідівна</t>
  </si>
  <si>
    <t>ZVPG_u_4883</t>
  </si>
  <si>
    <t>Богдан Ірина Олександрівна</t>
  </si>
  <si>
    <t>ZVPG_u_4884</t>
  </si>
  <si>
    <t>Бойко Олександр Олександрович</t>
  </si>
  <si>
    <t>ZVPG_u_4885</t>
  </si>
  <si>
    <t>Булаткіна Катерина Сергіївна</t>
  </si>
  <si>
    <t>ZVPG_u_4886</t>
  </si>
  <si>
    <t>Галієва Кіра Зейнівна</t>
  </si>
  <si>
    <t>ZVPG_u_4887</t>
  </si>
  <si>
    <t>Данилевська Евеліна Романівна</t>
  </si>
  <si>
    <t>ZVPG_u_4888</t>
  </si>
  <si>
    <t>Зобенко Михайло Андрійович</t>
  </si>
  <si>
    <t>ZVPG_u_4889</t>
  </si>
  <si>
    <t>Карась Міра Андріївна</t>
  </si>
  <si>
    <t>ZVPG_u_4890</t>
  </si>
  <si>
    <t>Кравченко Анна Дмитрівна</t>
  </si>
  <si>
    <t>ZVPG_u_4891</t>
  </si>
  <si>
    <t>Крамар Кіра Олексіївна</t>
  </si>
  <si>
    <t>ZVPG_u_4892</t>
  </si>
  <si>
    <t>Левенець Аліса Олександрівна</t>
  </si>
  <si>
    <t>ZVPG_u_4893</t>
  </si>
  <si>
    <t>Привалова Марія Сергіївна</t>
  </si>
  <si>
    <t>ZVPG_u_4894</t>
  </si>
  <si>
    <t>Сіволдаєва Софія Максимівна</t>
  </si>
  <si>
    <t>ZVPG_u_4895</t>
  </si>
  <si>
    <t>Скороход Анна Сергіївна</t>
  </si>
  <si>
    <t>ZVPG_u_4896</t>
  </si>
  <si>
    <t>Хлізова Анастасія Юріївна</t>
  </si>
  <si>
    <t>ZVPG_u_4897</t>
  </si>
  <si>
    <t>Руслана Павук</t>
  </si>
  <si>
    <t>Сокальська загальноосвітня школа І-ІІІ ступенів № 2 Сокальської міської ради Львівської області</t>
  </si>
  <si>
    <t>ZVPG_u_4898</t>
  </si>
  <si>
    <t>Сидоринко Артем</t>
  </si>
  <si>
    <t>ZVPG_u_4899</t>
  </si>
  <si>
    <t>Огінська Єва</t>
  </si>
  <si>
    <t>ZVPG_u_4900</t>
  </si>
  <si>
    <t>Назар Максим</t>
  </si>
  <si>
    <t>ZVPG_u_4901</t>
  </si>
  <si>
    <t>Макогін Юра</t>
  </si>
  <si>
    <t>ZVPG_u_4902</t>
  </si>
  <si>
    <t>Соломатов Дмитро</t>
  </si>
  <si>
    <t>ZVPG_u_4903</t>
  </si>
  <si>
    <t>Клемба Дарина</t>
  </si>
  <si>
    <t>ZVPG_u_4904</t>
  </si>
  <si>
    <t>Граб Ірина</t>
  </si>
  <si>
    <t>ZVPG_u_4905</t>
  </si>
  <si>
    <t>Наталя Старушкевич</t>
  </si>
  <si>
    <t>ZVPG_u_4906</t>
  </si>
  <si>
    <t>Мащишин Юра</t>
  </si>
  <si>
    <t>ZVPG_u_4907</t>
  </si>
  <si>
    <t>Семенюк Богдан</t>
  </si>
  <si>
    <t>ZVPG_u_4908</t>
  </si>
  <si>
    <t>Собенникова Маргарита</t>
  </si>
  <si>
    <t>ZVPG_u_4909</t>
  </si>
  <si>
    <t>Драган Іванна</t>
  </si>
  <si>
    <t>Новоукраїнський ліцей №6</t>
  </si>
  <si>
    <t>ZVPG_u_4910</t>
  </si>
  <si>
    <t>Синьопуп Дар'я</t>
  </si>
  <si>
    <t>ZVPG_u_4911</t>
  </si>
  <si>
    <t>Шевчук Варвара</t>
  </si>
  <si>
    <t>ZVPG_u_4912</t>
  </si>
  <si>
    <t>Безродня Софія</t>
  </si>
  <si>
    <t>ZVPG_u_4913</t>
  </si>
  <si>
    <t>Бєсєдіна Марія</t>
  </si>
  <si>
    <t>ZVPG_u_4914</t>
  </si>
  <si>
    <t>Кучеренко Дарія</t>
  </si>
  <si>
    <t>ZVPG_u_4915</t>
  </si>
  <si>
    <t>Корж Крістіна</t>
  </si>
  <si>
    <t>ZVPG_u_4916</t>
  </si>
  <si>
    <t>Кулик Олег</t>
  </si>
  <si>
    <t>ZVPG_u_4917</t>
  </si>
  <si>
    <t>Комарь Кіра</t>
  </si>
  <si>
    <t>ZVPG_u_4918</t>
  </si>
  <si>
    <t>Колпак Денис</t>
  </si>
  <si>
    <t>ZVPG_u_4919</t>
  </si>
  <si>
    <t>Тикул Денис</t>
  </si>
  <si>
    <t>ZVPG_u_4920</t>
  </si>
  <si>
    <t>Жернова Олександра</t>
  </si>
  <si>
    <t>ZVPG_u_4921</t>
  </si>
  <si>
    <t>Аркан Андрій</t>
  </si>
  <si>
    <t>ZVPG_u_4922</t>
  </si>
  <si>
    <t>Кравченко Яна</t>
  </si>
  <si>
    <t>ZVPG_u_4923</t>
  </si>
  <si>
    <t>Ремез Олександра</t>
  </si>
  <si>
    <t>ZVPG_u_4924</t>
  </si>
  <si>
    <t>Правник Ілона</t>
  </si>
  <si>
    <t>ZVPG_u_4925</t>
  </si>
  <si>
    <t>Маркевич Дарія</t>
  </si>
  <si>
    <t>ZVPG_u_4926</t>
  </si>
  <si>
    <t>Петренко Софія</t>
  </si>
  <si>
    <t>ZVPG_u_4927</t>
  </si>
  <si>
    <t>Тараненко Надія</t>
  </si>
  <si>
    <t>ZVPG_u_4928</t>
  </si>
  <si>
    <t>Бирка Каміла</t>
  </si>
  <si>
    <t>Середня загальноосвітня школа 99 м Львова</t>
  </si>
  <si>
    <t>ZVPG_u_4929</t>
  </si>
  <si>
    <t>Марокишка Вікторія</t>
  </si>
  <si>
    <t>ZVPG_u_4930</t>
  </si>
  <si>
    <t>Пукман Тетяна</t>
  </si>
  <si>
    <t>ZVPG_u_4931</t>
  </si>
  <si>
    <t>Тарай Олена</t>
  </si>
  <si>
    <t>ZVPG_u_4932</t>
  </si>
  <si>
    <t xml:space="preserve">Щербатий Демʼян </t>
  </si>
  <si>
    <t>ZVPG_u_4933</t>
  </si>
  <si>
    <t>Данилюк Назар</t>
  </si>
  <si>
    <t>ZVPG_u_4934</t>
  </si>
  <si>
    <t>Думич Марія</t>
  </si>
  <si>
    <t>ZVPG_u_4935</t>
  </si>
  <si>
    <t>Приставський Остап</t>
  </si>
  <si>
    <t>ZVPG_u_4936</t>
  </si>
  <si>
    <t>Філюк Матвій</t>
  </si>
  <si>
    <t>ZVPG_u_4937</t>
  </si>
  <si>
    <t>Стень Злата-Марія</t>
  </si>
  <si>
    <t>ZVPG_u_4938</t>
  </si>
  <si>
    <t>Дякун Олександр</t>
  </si>
  <si>
    <t>ZVPG_u_4939</t>
  </si>
  <si>
    <t>Федорів Данило</t>
  </si>
  <si>
    <t>ZVPG_u_4940</t>
  </si>
  <si>
    <t>Кохан Роман</t>
  </si>
  <si>
    <t>ZVPG_u_4941</t>
  </si>
  <si>
    <t>Онищак Дмитро</t>
  </si>
  <si>
    <t>ZVPG_u_4942</t>
  </si>
  <si>
    <t xml:space="preserve">Атлахович Демʼян </t>
  </si>
  <si>
    <t>ZVPG_u_4943</t>
  </si>
  <si>
    <t>Будинкевич Квітка-Марія</t>
  </si>
  <si>
    <t>ZVPG_u_4944</t>
  </si>
  <si>
    <t>Василина Вероніка</t>
  </si>
  <si>
    <t>ZVPG_u_4945</t>
  </si>
  <si>
    <t>Войтович Михайло</t>
  </si>
  <si>
    <t>ZVPG_u_4946</t>
  </si>
  <si>
    <t>Гуменюк Микола</t>
  </si>
  <si>
    <t>ZVPG_u_4947</t>
  </si>
  <si>
    <t>Гупало Ілля</t>
  </si>
  <si>
    <t>ZVPG_u_4948</t>
  </si>
  <si>
    <t>Дропа Аліна</t>
  </si>
  <si>
    <t>ZVPG_u_4949</t>
  </si>
  <si>
    <t>Жигайло Дарина</t>
  </si>
  <si>
    <t>ZVPG_u_4950</t>
  </si>
  <si>
    <t>Задерецький Денис</t>
  </si>
  <si>
    <t>ZVPG_u_4951</t>
  </si>
  <si>
    <t xml:space="preserve">Копоть Марʼяна </t>
  </si>
  <si>
    <t>ZVPG_u_4952</t>
  </si>
  <si>
    <t>Крупка Аліна</t>
  </si>
  <si>
    <t>ZVPG_u_4953</t>
  </si>
  <si>
    <t>Куцмида Максим</t>
  </si>
  <si>
    <t>ZVPG_u_4954</t>
  </si>
  <si>
    <t>Левчук Макарій</t>
  </si>
  <si>
    <t>ZVPG_u_4955</t>
  </si>
  <si>
    <t>Морозевич Анна</t>
  </si>
  <si>
    <t>ZVPG_u_4956</t>
  </si>
  <si>
    <t>Мудрий Орест</t>
  </si>
  <si>
    <t>ZVPG_u_4957</t>
  </si>
  <si>
    <t>Паламар Анна</t>
  </si>
  <si>
    <t>ZVPG_u_4958</t>
  </si>
  <si>
    <t>Скрипичайко Сергій</t>
  </si>
  <si>
    <t>ZVPG_u_4959</t>
  </si>
  <si>
    <t>Стегура Маргарита</t>
  </si>
  <si>
    <t>ZVPG_u_4960</t>
  </si>
  <si>
    <t>Ткачук Каріна</t>
  </si>
  <si>
    <t>ZVPG_u_4961</t>
  </si>
  <si>
    <t>Хоминець Ірина</t>
  </si>
  <si>
    <t>ZVPG_u_4962</t>
  </si>
  <si>
    <t>Шамрай Андрій</t>
  </si>
  <si>
    <t>ZVPG_u_4963</t>
  </si>
  <si>
    <t>Яримович Злата</t>
  </si>
  <si>
    <t>ZVPG_u_4964</t>
  </si>
  <si>
    <t>Сулима Аліна</t>
  </si>
  <si>
    <t>ВСП Вінницький торговельно економічний фаховий коледж ДТЕУ</t>
  </si>
  <si>
    <t>ZVPG_u_4965</t>
  </si>
  <si>
    <t>Порохня Ангеліна</t>
  </si>
  <si>
    <t>ZVPG_u_4966</t>
  </si>
  <si>
    <t xml:space="preserve">Павліченко Наталія </t>
  </si>
  <si>
    <t>ZVPG_u_4967</t>
  </si>
  <si>
    <t>Глеба Аліна</t>
  </si>
  <si>
    <t>ZVPG_u_4968</t>
  </si>
  <si>
    <t>Сивак Інна</t>
  </si>
  <si>
    <t>ZVPG_u_4969</t>
  </si>
  <si>
    <t>Жидовкін Павло</t>
  </si>
  <si>
    <t>ZVPG_u_4970</t>
  </si>
  <si>
    <t>Крук Артем</t>
  </si>
  <si>
    <t>ZVPG_u_4971</t>
  </si>
  <si>
    <t>Мярковська Маргарита</t>
  </si>
  <si>
    <t>ZVPG_u_4972</t>
  </si>
  <si>
    <t>Яшан Юлія</t>
  </si>
  <si>
    <t>ZVPG_u_4973</t>
  </si>
  <si>
    <t>Яхно Маргарита</t>
  </si>
  <si>
    <t>ZVPG_u_4974</t>
  </si>
  <si>
    <t>Погорілець Аліна</t>
  </si>
  <si>
    <t>ZVPG_u_4975</t>
  </si>
  <si>
    <t>Гандюк Настя</t>
  </si>
  <si>
    <t>ZVPG_u_4976</t>
  </si>
  <si>
    <t>Козуля Анна</t>
  </si>
  <si>
    <t>КЗ "Жмеринський ліцей №6"</t>
  </si>
  <si>
    <t>ZVPG_u_4977</t>
  </si>
  <si>
    <t>Посвалюк Марія</t>
  </si>
  <si>
    <t>ZVPG_u_4978</t>
  </si>
  <si>
    <t>Болвох Дмитро</t>
  </si>
  <si>
    <t>ZVPG_u_4979</t>
  </si>
  <si>
    <t>Чмих Анна</t>
  </si>
  <si>
    <t>ZVPG_u_4980</t>
  </si>
  <si>
    <t>Паньков Назар</t>
  </si>
  <si>
    <t>ZVPG_u_4981</t>
  </si>
  <si>
    <t>Огоцька Дар'я</t>
  </si>
  <si>
    <t>ZVPG_u_4982</t>
  </si>
  <si>
    <t>Підопригора Артем</t>
  </si>
  <si>
    <t>ZVPG_u_4983</t>
  </si>
  <si>
    <t>Кабалюк Богдан</t>
  </si>
  <si>
    <t>ZVPG_u_4984</t>
  </si>
  <si>
    <t>Басенко Максим</t>
  </si>
  <si>
    <t>ZVPG_u_4985</t>
  </si>
  <si>
    <t>Лесь Антоніна</t>
  </si>
  <si>
    <t>ZVPG_u_4986</t>
  </si>
  <si>
    <t>ZVPG_u_4987</t>
  </si>
  <si>
    <t>Кін Анна</t>
  </si>
  <si>
    <t>КЗЗСО Рокинівська гімназія 38 Луцької міської Ради</t>
  </si>
  <si>
    <t>ZVPG_u_4988</t>
  </si>
  <si>
    <t>Бобицький Ілля</t>
  </si>
  <si>
    <t>ZVPG_u_4989</t>
  </si>
  <si>
    <t>Сюйва Влад</t>
  </si>
  <si>
    <t>ZVPG_u_4990</t>
  </si>
  <si>
    <t>Войтюк Анна</t>
  </si>
  <si>
    <t>ZVPG_u_4991</t>
  </si>
  <si>
    <t>Гринюк Анна</t>
  </si>
  <si>
    <t>ZVPG_u_4992</t>
  </si>
  <si>
    <t>Статник Дмитро</t>
  </si>
  <si>
    <t>ZVPG_u_4993</t>
  </si>
  <si>
    <t>Пилипчук Матвій</t>
  </si>
  <si>
    <t>ZVPG_u_4994</t>
  </si>
  <si>
    <t>Яблонська Єлизавета</t>
  </si>
  <si>
    <t>ZVPG_u_4995</t>
  </si>
  <si>
    <t>Ничипорук Денис</t>
  </si>
  <si>
    <t>ZVPG_u_4996</t>
  </si>
  <si>
    <t>Кухарик Станіслав</t>
  </si>
  <si>
    <t>ZVPG_u_4997</t>
  </si>
  <si>
    <t>Сілік Софія</t>
  </si>
  <si>
    <t>ZVPG_u_4998</t>
  </si>
  <si>
    <t>Куць Марія</t>
  </si>
  <si>
    <t>ZVPG_u_4999</t>
  </si>
  <si>
    <t>Бондарук Христина</t>
  </si>
  <si>
    <t>ZVPG_u_5000</t>
  </si>
  <si>
    <t>Максимчук Богдана</t>
  </si>
  <si>
    <t>ZVPG_u_5001</t>
  </si>
  <si>
    <t>Бень Артем</t>
  </si>
  <si>
    <t>Мокротинський ЗЗСО І-ІІІ ступенів</t>
  </si>
  <si>
    <t>ZVPG_u_5002</t>
  </si>
  <si>
    <t>Беднарський Максим</t>
  </si>
  <si>
    <t>ZVPG_u_5003</t>
  </si>
  <si>
    <t>Вега Марія</t>
  </si>
  <si>
    <t>ZVPG_u_5004</t>
  </si>
  <si>
    <t>Кунтий Дмитро</t>
  </si>
  <si>
    <t>ZVPG_u_5005</t>
  </si>
  <si>
    <t>Кунта Софія</t>
  </si>
  <si>
    <t>ZVPG_u_5006</t>
  </si>
  <si>
    <t>Левус Василь</t>
  </si>
  <si>
    <t>ZVPG_u_5007</t>
  </si>
  <si>
    <t>Пенцак Максим</t>
  </si>
  <si>
    <t>ZVPG_u_5008</t>
  </si>
  <si>
    <t>Процайло Матвій</t>
  </si>
  <si>
    <t>ZVPG_u_5009</t>
  </si>
  <si>
    <t>Свідрик Дем'ян</t>
  </si>
  <si>
    <t>ZVPG_u_5010</t>
  </si>
  <si>
    <t>Скіп Марія</t>
  </si>
  <si>
    <t>ZVPG_u_5011</t>
  </si>
  <si>
    <t>Тимків Анна</t>
  </si>
  <si>
    <t>Навчальний заклад</t>
  </si>
  <si>
    <t>ZVPG_u_5012</t>
  </si>
  <si>
    <t>16 жовтня 2025 р.</t>
  </si>
  <si>
    <t>Дубова Марія</t>
  </si>
  <si>
    <t>Вовчоцька гімназія Брацлавської селищної ради</t>
  </si>
  <si>
    <t>ZVPG_u_5013</t>
  </si>
  <si>
    <t>Задачін Віталій</t>
  </si>
  <si>
    <t>ZVPG_u_5014</t>
  </si>
  <si>
    <t>Зарудняк Вікторія</t>
  </si>
  <si>
    <t>ZVPG_u_5015</t>
  </si>
  <si>
    <t>Кобринчук Павло</t>
  </si>
  <si>
    <t>ZVPG_u_5016</t>
  </si>
  <si>
    <t xml:space="preserve">Колесницька Світлана </t>
  </si>
  <si>
    <t>ZVPG_u_5017</t>
  </si>
  <si>
    <t>Левандовський Костянтин</t>
  </si>
  <si>
    <t>ZVPG_u_5018</t>
  </si>
  <si>
    <t>Лісовик Олександр</t>
  </si>
  <si>
    <t>ZVPG_u_5019</t>
  </si>
  <si>
    <t>Метельський Олексій</t>
  </si>
  <si>
    <t>ZVPG_u_5020</t>
  </si>
  <si>
    <t>Моспанько Дмитро</t>
  </si>
  <si>
    <t>ZVPG_u_5021</t>
  </si>
  <si>
    <t>Притуляк Володимир</t>
  </si>
  <si>
    <t>ZVPG_u_5022</t>
  </si>
  <si>
    <t>Слободянюк Маргарита</t>
  </si>
  <si>
    <t>ZVPG_u_5023</t>
  </si>
  <si>
    <t>Фурман Максим</t>
  </si>
  <si>
    <t>ZVPG_u_5024</t>
  </si>
  <si>
    <t>Чернега Дар'я</t>
  </si>
  <si>
    <t>ZVPG_u_5025</t>
  </si>
  <si>
    <t>Ягніченко Валентин</t>
  </si>
  <si>
    <t>Шентова Яна Михайлівна</t>
  </si>
  <si>
    <t>Будніченко Каріна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</si>
</sst>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talan.bank.gov.ua/get-user-certificate/sec1eIE0pS37PjRStdBz" TargetMode="External"/><Relationship Id="rId3182" Type="http://schemas.openxmlformats.org/officeDocument/2006/relationships/hyperlink" Target="https://talan.bank.gov.ua/get-user-certificate/sec1ezWvkSrxwW0u8_UO" TargetMode="External"/><Relationship Id="rId4233" Type="http://schemas.openxmlformats.org/officeDocument/2006/relationships/hyperlink" Target="https://talan.bank.gov.ua/get-user-certificate/sec1eS4bcx-RuQRVAfRs" TargetMode="External"/><Relationship Id="rId3999" Type="http://schemas.openxmlformats.org/officeDocument/2006/relationships/hyperlink" Target="https://talan.bank.gov.ua/get-user-certificate/sec1ezhNu2t1wbbV-IVz" TargetMode="External"/><Relationship Id="rId4300" Type="http://schemas.openxmlformats.org/officeDocument/2006/relationships/hyperlink" Target="https://talan.bank.gov.ua/get-user-certificate/sec1eBoUhCcH-sJZGBqN" TargetMode="External"/><Relationship Id="rId170" Type="http://schemas.openxmlformats.org/officeDocument/2006/relationships/hyperlink" Target="https://talan.bank.gov.ua/get-user-certificate/sec1ecKMHHIw_nvGyg-K" TargetMode="External"/><Relationship Id="rId987" Type="http://schemas.openxmlformats.org/officeDocument/2006/relationships/hyperlink" Target="https://talan.bank.gov.ua/get-user-certificate/sec1eTLGQgQqJxEabCY1" TargetMode="External"/><Relationship Id="rId2668" Type="http://schemas.openxmlformats.org/officeDocument/2006/relationships/hyperlink" Target="https://talan.bank.gov.ua/get-user-certificate/sec1eo4qUGFmiL9d0MLv" TargetMode="External"/><Relationship Id="rId3719" Type="http://schemas.openxmlformats.org/officeDocument/2006/relationships/hyperlink" Target="https://talan.bank.gov.ua/get-user-certificate/sec1ef-YcE8fKLWXwVSC" TargetMode="External"/><Relationship Id="rId4090" Type="http://schemas.openxmlformats.org/officeDocument/2006/relationships/hyperlink" Target="https://talan.bank.gov.ua/get-user-certificate/sec1eFPvSiCFaVbuofBo" TargetMode="External"/><Relationship Id="rId1684" Type="http://schemas.openxmlformats.org/officeDocument/2006/relationships/hyperlink" Target="https://talan.bank.gov.ua/get-user-certificate/sec1eFMLPXSiiG3cbSM0" TargetMode="External"/><Relationship Id="rId2735" Type="http://schemas.openxmlformats.org/officeDocument/2006/relationships/hyperlink" Target="https://talan.bank.gov.ua/get-user-certificate/sec1e_k6D0foV7GrXuNF" TargetMode="External"/><Relationship Id="rId707" Type="http://schemas.openxmlformats.org/officeDocument/2006/relationships/hyperlink" Target="https://talan.bank.gov.ua/get-user-certificate/sec1eRLCk8WuboI8ol4N" TargetMode="External"/><Relationship Id="rId1337" Type="http://schemas.openxmlformats.org/officeDocument/2006/relationships/hyperlink" Target="https://talan.bank.gov.ua/get-user-certificate/sec1eLqjmF5TlQGvbSby" TargetMode="External"/><Relationship Id="rId1751" Type="http://schemas.openxmlformats.org/officeDocument/2006/relationships/hyperlink" Target="https://talan.bank.gov.ua/get-user-certificate/sec1esrezkgVKUYJTnFo" TargetMode="External"/><Relationship Id="rId2802" Type="http://schemas.openxmlformats.org/officeDocument/2006/relationships/hyperlink" Target="https://talan.bank.gov.ua/get-user-certificate/sec1ednBsxQQmoMRk7iT" TargetMode="External"/><Relationship Id="rId43" Type="http://schemas.openxmlformats.org/officeDocument/2006/relationships/hyperlink" Target="https://talan.bank.gov.ua/get-user-certificate/sec1eTKdgQA65ylesJAp" TargetMode="External"/><Relationship Id="rId1404" Type="http://schemas.openxmlformats.org/officeDocument/2006/relationships/hyperlink" Target="https://talan.bank.gov.ua/get-user-certificate/sec1efRHBPcj8WHJ9gtm" TargetMode="External"/><Relationship Id="rId3576" Type="http://schemas.openxmlformats.org/officeDocument/2006/relationships/hyperlink" Target="https://talan.bank.gov.ua/get-user-certificate/sec1e_0WU2nWS-rxcyoI" TargetMode="External"/><Relationship Id="rId4627" Type="http://schemas.openxmlformats.org/officeDocument/2006/relationships/hyperlink" Target="https://talan.bank.gov.ua/get-user-certificate/sec1eO5uwfP75RgJGtZU" TargetMode="External"/><Relationship Id="rId4974" Type="http://schemas.openxmlformats.org/officeDocument/2006/relationships/hyperlink" Target="https://talan.bank.gov.ua/get-user-certificate/sec1eTXArZO2xa3x6FQx" TargetMode="External"/><Relationship Id="rId497" Type="http://schemas.openxmlformats.org/officeDocument/2006/relationships/hyperlink" Target="https://talan.bank.gov.ua/get-user-certificate/sec1eWw3isVNhJvVoTiQ" TargetMode="External"/><Relationship Id="rId2178" Type="http://schemas.openxmlformats.org/officeDocument/2006/relationships/hyperlink" Target="https://talan.bank.gov.ua/get-user-certificate/sec1eU7hn45bCMDjX-Hx" TargetMode="External"/><Relationship Id="rId3229" Type="http://schemas.openxmlformats.org/officeDocument/2006/relationships/hyperlink" Target="https://talan.bank.gov.ua/get-user-certificate/sec1eZAJ55ieaIzv8ZZf" TargetMode="External"/><Relationship Id="rId3990" Type="http://schemas.openxmlformats.org/officeDocument/2006/relationships/hyperlink" Target="https://talan.bank.gov.ua/get-user-certificate/sec1e-HH7QK5vza8h4ll" TargetMode="External"/><Relationship Id="rId1194" Type="http://schemas.openxmlformats.org/officeDocument/2006/relationships/hyperlink" Target="https://talan.bank.gov.ua/get-user-certificate/sec1eYq2tLMPEnlJ6Cyd" TargetMode="External"/><Relationship Id="rId2592" Type="http://schemas.openxmlformats.org/officeDocument/2006/relationships/hyperlink" Target="https://talan.bank.gov.ua/get-user-certificate/sec1edhZGBnftkV2dc0N" TargetMode="External"/><Relationship Id="rId3643" Type="http://schemas.openxmlformats.org/officeDocument/2006/relationships/hyperlink" Target="https://talan.bank.gov.ua/get-user-certificate/sec1eqDA9elrgAM3YJ-U" TargetMode="External"/><Relationship Id="rId217" Type="http://schemas.openxmlformats.org/officeDocument/2006/relationships/hyperlink" Target="https://talan.bank.gov.ua/get-user-certificate/sec1e8jpY4VyErlbNnEg" TargetMode="External"/><Relationship Id="rId564" Type="http://schemas.openxmlformats.org/officeDocument/2006/relationships/hyperlink" Target="https://talan.bank.gov.ua/get-user-certificate/sec1epBRtqDFdtML2Ehv" TargetMode="External"/><Relationship Id="rId2245" Type="http://schemas.openxmlformats.org/officeDocument/2006/relationships/hyperlink" Target="https://talan.bank.gov.ua/get-user-certificate/sec1evi-U_5e1H2tPcs0" TargetMode="External"/><Relationship Id="rId3710" Type="http://schemas.openxmlformats.org/officeDocument/2006/relationships/hyperlink" Target="https://talan.bank.gov.ua/get-user-certificate/sec1e3oD0EbqXnMpxd2I" TargetMode="External"/><Relationship Id="rId631" Type="http://schemas.openxmlformats.org/officeDocument/2006/relationships/hyperlink" Target="https://talan.bank.gov.ua/get-user-certificate/sec1efhdeJvFn6HW-ITb" TargetMode="External"/><Relationship Id="rId1261" Type="http://schemas.openxmlformats.org/officeDocument/2006/relationships/hyperlink" Target="https://talan.bank.gov.ua/get-user-certificate/sec1enuNer3_WJPwa1Hb" TargetMode="External"/><Relationship Id="rId2312" Type="http://schemas.openxmlformats.org/officeDocument/2006/relationships/hyperlink" Target="https://talan.bank.gov.ua/get-user-certificate/sec1e7x5qPQ2oiGxOKWu" TargetMode="External"/><Relationship Id="rId4484" Type="http://schemas.openxmlformats.org/officeDocument/2006/relationships/hyperlink" Target="https://talan.bank.gov.ua/get-user-certificate/sec1e9BB6zVfOAUx77fH" TargetMode="External"/><Relationship Id="rId3086" Type="http://schemas.openxmlformats.org/officeDocument/2006/relationships/hyperlink" Target="https://talan.bank.gov.ua/get-user-certificate/sec1eOWekEIo57mF7T1X" TargetMode="External"/><Relationship Id="rId4137" Type="http://schemas.openxmlformats.org/officeDocument/2006/relationships/hyperlink" Target="https://talan.bank.gov.ua/get-user-certificate/sec1ezImZSycI0agE-4S" TargetMode="External"/><Relationship Id="rId4551" Type="http://schemas.openxmlformats.org/officeDocument/2006/relationships/hyperlink" Target="https://talan.bank.gov.ua/get-user-certificate/sec1efnuszmOEC8tHPms" TargetMode="External"/><Relationship Id="rId3153" Type="http://schemas.openxmlformats.org/officeDocument/2006/relationships/hyperlink" Target="https://talan.bank.gov.ua/get-user-certificate/sec1eO7jiV1Iej29ae4U" TargetMode="External"/><Relationship Id="rId4204" Type="http://schemas.openxmlformats.org/officeDocument/2006/relationships/hyperlink" Target="https://talan.bank.gov.ua/get-user-certificate/sec1ekQNy0iHzptymP2_" TargetMode="External"/><Relationship Id="rId141" Type="http://schemas.openxmlformats.org/officeDocument/2006/relationships/hyperlink" Target="https://talan.bank.gov.ua/get-user-certificate/sec1eLpolFEV4EIYoPut" TargetMode="External"/><Relationship Id="rId3220" Type="http://schemas.openxmlformats.org/officeDocument/2006/relationships/hyperlink" Target="https://talan.bank.gov.ua/get-user-certificate/sec1evHxSsG-Mb5cUcbS" TargetMode="External"/><Relationship Id="rId7" Type="http://schemas.openxmlformats.org/officeDocument/2006/relationships/hyperlink" Target="https://talan.bank.gov.ua/get-user-certificate/sec1eBqMo02VAlU_zMiQ" TargetMode="External"/><Relationship Id="rId2986" Type="http://schemas.openxmlformats.org/officeDocument/2006/relationships/hyperlink" Target="https://talan.bank.gov.ua/get-user-certificate/sec1eNz3ylI0_cVjn1pS" TargetMode="External"/><Relationship Id="rId958" Type="http://schemas.openxmlformats.org/officeDocument/2006/relationships/hyperlink" Target="https://talan.bank.gov.ua/get-user-certificate/sec1ets0ZRgiMklPfN9o" TargetMode="External"/><Relationship Id="rId1588" Type="http://schemas.openxmlformats.org/officeDocument/2006/relationships/hyperlink" Target="https://talan.bank.gov.ua/get-user-certificate/sec1eFsRJQqgfEzjBaBk" TargetMode="External"/><Relationship Id="rId2639" Type="http://schemas.openxmlformats.org/officeDocument/2006/relationships/hyperlink" Target="https://talan.bank.gov.ua/get-user-certificate/sec1eeem8HpyBCb10MEE" TargetMode="External"/><Relationship Id="rId1655" Type="http://schemas.openxmlformats.org/officeDocument/2006/relationships/hyperlink" Target="https://talan.bank.gov.ua/get-user-certificate/sec1e-1gaFhUua2Fd4dg" TargetMode="External"/><Relationship Id="rId2706" Type="http://schemas.openxmlformats.org/officeDocument/2006/relationships/hyperlink" Target="https://talan.bank.gov.ua/get-user-certificate/sec1ekHd6sR97vjBKYeD" TargetMode="External"/><Relationship Id="rId4061" Type="http://schemas.openxmlformats.org/officeDocument/2006/relationships/hyperlink" Target="https://talan.bank.gov.ua/get-user-certificate/sec1eXtxPiLICaV5GB2B" TargetMode="External"/><Relationship Id="rId1308" Type="http://schemas.openxmlformats.org/officeDocument/2006/relationships/hyperlink" Target="https://talan.bank.gov.ua/get-user-certificate/sec1eCRIeolhTr88mEEa" TargetMode="External"/><Relationship Id="rId1722" Type="http://schemas.openxmlformats.org/officeDocument/2006/relationships/hyperlink" Target="https://talan.bank.gov.ua/get-user-certificate/sec1eE5AU4o7As4CvXCB" TargetMode="External"/><Relationship Id="rId4878" Type="http://schemas.openxmlformats.org/officeDocument/2006/relationships/hyperlink" Target="https://talan.bank.gov.ua/get-user-certificate/sec1eQSV0yxXPQ4McCnG" TargetMode="External"/><Relationship Id="rId14" Type="http://schemas.openxmlformats.org/officeDocument/2006/relationships/hyperlink" Target="https://talan.bank.gov.ua/get-user-certificate/sec1eGncZzS2tPwprZKm" TargetMode="External"/><Relationship Id="rId3894" Type="http://schemas.openxmlformats.org/officeDocument/2006/relationships/hyperlink" Target="https://talan.bank.gov.ua/get-user-certificate/sec1et07Rz9GkNzvoLDr" TargetMode="External"/><Relationship Id="rId4945" Type="http://schemas.openxmlformats.org/officeDocument/2006/relationships/hyperlink" Target="https://talan.bank.gov.ua/get-user-certificate/sec1eih-U2Cp_FWf83Ka" TargetMode="External"/><Relationship Id="rId2496" Type="http://schemas.openxmlformats.org/officeDocument/2006/relationships/hyperlink" Target="https://talan.bank.gov.ua/get-user-certificate/sec1eGInW17MLPQJSojz" TargetMode="External"/><Relationship Id="rId3547" Type="http://schemas.openxmlformats.org/officeDocument/2006/relationships/hyperlink" Target="https://talan.bank.gov.ua/get-user-certificate/sec1erxYJNLN0ozL2cGl" TargetMode="External"/><Relationship Id="rId3961" Type="http://schemas.openxmlformats.org/officeDocument/2006/relationships/hyperlink" Target="https://talan.bank.gov.ua/get-user-certificate/sec1eykMhonjyV_M8QcF" TargetMode="External"/><Relationship Id="rId468" Type="http://schemas.openxmlformats.org/officeDocument/2006/relationships/hyperlink" Target="https://talan.bank.gov.ua/get-user-certificate/sec1eihCVHsXZsw8RPOA" TargetMode="External"/><Relationship Id="rId882" Type="http://schemas.openxmlformats.org/officeDocument/2006/relationships/hyperlink" Target="https://talan.bank.gov.ua/get-user-certificate/sec1eJq9WqIoVOL3fgZd" TargetMode="External"/><Relationship Id="rId1098" Type="http://schemas.openxmlformats.org/officeDocument/2006/relationships/hyperlink" Target="https://talan.bank.gov.ua/get-user-certificate/sec1ezJln6IZ9CjtVI76" TargetMode="External"/><Relationship Id="rId2149" Type="http://schemas.openxmlformats.org/officeDocument/2006/relationships/hyperlink" Target="https://talan.bank.gov.ua/get-user-certificate/sec1enS_72g-oz-lsrJb" TargetMode="External"/><Relationship Id="rId2563" Type="http://schemas.openxmlformats.org/officeDocument/2006/relationships/hyperlink" Target="https://talan.bank.gov.ua/get-user-certificate/sec1ei3Id5O-fyx5K8E-" TargetMode="External"/><Relationship Id="rId3614" Type="http://schemas.openxmlformats.org/officeDocument/2006/relationships/hyperlink" Target="https://talan.bank.gov.ua/get-user-certificate/sec1edi6KVPBmtdu_-F_" TargetMode="External"/><Relationship Id="rId535" Type="http://schemas.openxmlformats.org/officeDocument/2006/relationships/hyperlink" Target="https://talan.bank.gov.ua/get-user-certificate/sec1e59jHpKAOyYmtNGb" TargetMode="External"/><Relationship Id="rId1165" Type="http://schemas.openxmlformats.org/officeDocument/2006/relationships/hyperlink" Target="https://talan.bank.gov.ua/get-user-certificate/sec1eE3cSo7l0-NvftRb" TargetMode="External"/><Relationship Id="rId2216" Type="http://schemas.openxmlformats.org/officeDocument/2006/relationships/hyperlink" Target="https://talan.bank.gov.ua/get-user-certificate/sec1e6fTx9NZ-i9SjUc1" TargetMode="External"/><Relationship Id="rId2630" Type="http://schemas.openxmlformats.org/officeDocument/2006/relationships/hyperlink" Target="https://talan.bank.gov.ua/get-user-certificate/sec1eeDepyMbjkexUpYv" TargetMode="External"/><Relationship Id="rId602" Type="http://schemas.openxmlformats.org/officeDocument/2006/relationships/hyperlink" Target="https://talan.bank.gov.ua/get-user-certificate/sec1eAVWCm0vLV8aX50-" TargetMode="External"/><Relationship Id="rId1232" Type="http://schemas.openxmlformats.org/officeDocument/2006/relationships/hyperlink" Target="https://talan.bank.gov.ua/get-user-certificate/sec1eyxxNn90KI4LapA6" TargetMode="External"/><Relationship Id="rId4388" Type="http://schemas.openxmlformats.org/officeDocument/2006/relationships/hyperlink" Target="https://talan.bank.gov.ua/get-user-certificate/sec1etf8qXc2kaaEgM7V" TargetMode="External"/><Relationship Id="rId3057" Type="http://schemas.openxmlformats.org/officeDocument/2006/relationships/hyperlink" Target="https://talan.bank.gov.ua/get-user-certificate/sec1elCkSmM5j3JBGPlU" TargetMode="External"/><Relationship Id="rId4108" Type="http://schemas.openxmlformats.org/officeDocument/2006/relationships/hyperlink" Target="https://talan.bank.gov.ua/get-user-certificate/sec1eyEoxB94deKt2jEd" TargetMode="External"/><Relationship Id="rId4455" Type="http://schemas.openxmlformats.org/officeDocument/2006/relationships/hyperlink" Target="https://talan.bank.gov.ua/get-user-certificate/sec1eULJVB8LBeQEJyRk" TargetMode="External"/><Relationship Id="rId3471" Type="http://schemas.openxmlformats.org/officeDocument/2006/relationships/hyperlink" Target="https://talan.bank.gov.ua/get-user-certificate/sec1e0XbNcApP3558oYn" TargetMode="External"/><Relationship Id="rId4522" Type="http://schemas.openxmlformats.org/officeDocument/2006/relationships/hyperlink" Target="https://talan.bank.gov.ua/get-user-certificate/sec1ewgPJDHIUI8Rrzg4" TargetMode="External"/><Relationship Id="rId392" Type="http://schemas.openxmlformats.org/officeDocument/2006/relationships/hyperlink" Target="https://talan.bank.gov.ua/get-user-certificate/sec1e8VsjOm0NbiItBUf" TargetMode="External"/><Relationship Id="rId2073" Type="http://schemas.openxmlformats.org/officeDocument/2006/relationships/hyperlink" Target="https://talan.bank.gov.ua/get-user-certificate/sec1eao1DPMVBjVz50aY" TargetMode="External"/><Relationship Id="rId3124" Type="http://schemas.openxmlformats.org/officeDocument/2006/relationships/hyperlink" Target="https://talan.bank.gov.ua/get-user-certificate/sec1exsbF3rTJgz6gp0J" TargetMode="External"/><Relationship Id="rId2140" Type="http://schemas.openxmlformats.org/officeDocument/2006/relationships/hyperlink" Target="https://talan.bank.gov.ua/get-user-certificate/sec1eQ4slAmXV9_TIBsx" TargetMode="External"/><Relationship Id="rId112" Type="http://schemas.openxmlformats.org/officeDocument/2006/relationships/hyperlink" Target="https://talan.bank.gov.ua/get-user-certificate/sec1eblaeYCH7gXqQacS" TargetMode="External"/><Relationship Id="rId2957" Type="http://schemas.openxmlformats.org/officeDocument/2006/relationships/hyperlink" Target="https://talan.bank.gov.ua/get-user-certificate/sec1epUdnCZWktSTPP34" TargetMode="External"/><Relationship Id="rId5016" Type="http://schemas.openxmlformats.org/officeDocument/2006/relationships/hyperlink" Target="https://talan.bank.gov.ua/get-user-certificate/f7i-sXAqvaMrmdZP4UBG" TargetMode="External"/><Relationship Id="rId929" Type="http://schemas.openxmlformats.org/officeDocument/2006/relationships/hyperlink" Target="https://talan.bank.gov.ua/get-user-certificate/sec1eYJf7RYlR80fbMOO" TargetMode="External"/><Relationship Id="rId1559" Type="http://schemas.openxmlformats.org/officeDocument/2006/relationships/hyperlink" Target="https://talan.bank.gov.ua/get-user-certificate/sec1e6RQR5FQij9IeWMg" TargetMode="External"/><Relationship Id="rId1973" Type="http://schemas.openxmlformats.org/officeDocument/2006/relationships/hyperlink" Target="https://talan.bank.gov.ua/get-user-certificate/sec1eM8q7pWKfz5QQ3Ku" TargetMode="External"/><Relationship Id="rId4032" Type="http://schemas.openxmlformats.org/officeDocument/2006/relationships/hyperlink" Target="https://talan.bank.gov.ua/get-user-certificate/sec1ePWA0mPowmZDAGDM" TargetMode="External"/><Relationship Id="rId1626" Type="http://schemas.openxmlformats.org/officeDocument/2006/relationships/hyperlink" Target="https://talan.bank.gov.ua/get-user-certificate/sec1eOMZAUP379FO_-Lf" TargetMode="External"/><Relationship Id="rId3798" Type="http://schemas.openxmlformats.org/officeDocument/2006/relationships/hyperlink" Target="https://talan.bank.gov.ua/get-user-certificate/sec1epEVe0Apqm89NAz4" TargetMode="External"/><Relationship Id="rId4849" Type="http://schemas.openxmlformats.org/officeDocument/2006/relationships/hyperlink" Target="https://talan.bank.gov.ua/get-user-certificate/sec1eAh4rhw3aJlDk0z7" TargetMode="External"/><Relationship Id="rId3865" Type="http://schemas.openxmlformats.org/officeDocument/2006/relationships/hyperlink" Target="https://talan.bank.gov.ua/get-user-certificate/sec1eiZd6jb5-3kNFTwO" TargetMode="External"/><Relationship Id="rId4916" Type="http://schemas.openxmlformats.org/officeDocument/2006/relationships/hyperlink" Target="https://talan.bank.gov.ua/get-user-certificate/sec1eZ9OS0wFo1LHmPvY" TargetMode="External"/><Relationship Id="rId786" Type="http://schemas.openxmlformats.org/officeDocument/2006/relationships/hyperlink" Target="https://talan.bank.gov.ua/get-user-certificate/sec1el1SN0PAectXUDPd" TargetMode="External"/><Relationship Id="rId2467" Type="http://schemas.openxmlformats.org/officeDocument/2006/relationships/hyperlink" Target="https://talan.bank.gov.ua/get-user-certificate/sec1eLojjjIpMwysaq2_" TargetMode="External"/><Relationship Id="rId3518" Type="http://schemas.openxmlformats.org/officeDocument/2006/relationships/hyperlink" Target="https://talan.bank.gov.ua/get-user-certificate/sec1eRCWqbOjFb91KuPy" TargetMode="External"/><Relationship Id="rId439" Type="http://schemas.openxmlformats.org/officeDocument/2006/relationships/hyperlink" Target="https://talan.bank.gov.ua/get-user-certificate/sec1eevnOa3bNrzsr4cu" TargetMode="External"/><Relationship Id="rId1069" Type="http://schemas.openxmlformats.org/officeDocument/2006/relationships/hyperlink" Target="https://talan.bank.gov.ua/get-user-certificate/sec1ez6A3Os47ARrcSao" TargetMode="External"/><Relationship Id="rId1483" Type="http://schemas.openxmlformats.org/officeDocument/2006/relationships/hyperlink" Target="https://talan.bank.gov.ua/get-user-certificate/sec1eZinStcQwTk0Wj3c" TargetMode="External"/><Relationship Id="rId2881" Type="http://schemas.openxmlformats.org/officeDocument/2006/relationships/hyperlink" Target="https://talan.bank.gov.ua/get-user-certificate/sec1elpl5WW4tzL6MSTu" TargetMode="External"/><Relationship Id="rId3932" Type="http://schemas.openxmlformats.org/officeDocument/2006/relationships/hyperlink" Target="https://talan.bank.gov.ua/get-user-certificate/sec1eAnZ-pboxnZmKs64" TargetMode="External"/><Relationship Id="rId506" Type="http://schemas.openxmlformats.org/officeDocument/2006/relationships/hyperlink" Target="https://talan.bank.gov.ua/get-user-certificate/sec1eK-HW_lsCrdWns58" TargetMode="External"/><Relationship Id="rId853" Type="http://schemas.openxmlformats.org/officeDocument/2006/relationships/hyperlink" Target="https://talan.bank.gov.ua/get-user-certificate/sec1eS0x30lKGZsv0x_d" TargetMode="External"/><Relationship Id="rId1136" Type="http://schemas.openxmlformats.org/officeDocument/2006/relationships/hyperlink" Target="https://talan.bank.gov.ua/get-user-certificate/sec1ezUT6MaDJv6Z-6-T" TargetMode="External"/><Relationship Id="rId2534" Type="http://schemas.openxmlformats.org/officeDocument/2006/relationships/hyperlink" Target="https://talan.bank.gov.ua/get-user-certificate/sec1e0dA3bB34ktkiTsJ" TargetMode="External"/><Relationship Id="rId920" Type="http://schemas.openxmlformats.org/officeDocument/2006/relationships/hyperlink" Target="https://talan.bank.gov.ua/get-user-certificate/sec1eQSGwk55DMgBdUjP" TargetMode="External"/><Relationship Id="rId1550" Type="http://schemas.openxmlformats.org/officeDocument/2006/relationships/hyperlink" Target="https://talan.bank.gov.ua/get-user-certificate/sec1etuGriqzwa6hExtN" TargetMode="External"/><Relationship Id="rId2601" Type="http://schemas.openxmlformats.org/officeDocument/2006/relationships/hyperlink" Target="https://talan.bank.gov.ua/get-user-certificate/sec1euFglZl4CYupVNsY" TargetMode="External"/><Relationship Id="rId1203" Type="http://schemas.openxmlformats.org/officeDocument/2006/relationships/hyperlink" Target="https://talan.bank.gov.ua/get-user-certificate/sec1eqDU5uO9ZIZwvGvO" TargetMode="External"/><Relationship Id="rId4359" Type="http://schemas.openxmlformats.org/officeDocument/2006/relationships/hyperlink" Target="https://talan.bank.gov.ua/get-user-certificate/sec1evFcweTE2S5Atwd_" TargetMode="External"/><Relationship Id="rId4773" Type="http://schemas.openxmlformats.org/officeDocument/2006/relationships/hyperlink" Target="https://talan.bank.gov.ua/get-user-certificate/sec1eiJE9rXn6OIfJnml" TargetMode="External"/><Relationship Id="rId3375" Type="http://schemas.openxmlformats.org/officeDocument/2006/relationships/hyperlink" Target="https://talan.bank.gov.ua/get-user-certificate/sec1eIE9oscZVxqwALvq" TargetMode="External"/><Relationship Id="rId4426" Type="http://schemas.openxmlformats.org/officeDocument/2006/relationships/hyperlink" Target="https://talan.bank.gov.ua/get-user-certificate/sec1e22NHmDRFS99phYz" TargetMode="External"/><Relationship Id="rId4840" Type="http://schemas.openxmlformats.org/officeDocument/2006/relationships/hyperlink" Target="https://talan.bank.gov.ua/get-user-certificate/sec1ennPRtOilFJVPKlw" TargetMode="External"/><Relationship Id="rId296" Type="http://schemas.openxmlformats.org/officeDocument/2006/relationships/hyperlink" Target="https://talan.bank.gov.ua/get-user-certificate/sec1er1gl6yHNsVDCTjf" TargetMode="External"/><Relationship Id="rId2391" Type="http://schemas.openxmlformats.org/officeDocument/2006/relationships/hyperlink" Target="https://talan.bank.gov.ua/get-user-certificate/sec1eQsaw7xFbshjGv0e" TargetMode="External"/><Relationship Id="rId3028" Type="http://schemas.openxmlformats.org/officeDocument/2006/relationships/hyperlink" Target="https://talan.bank.gov.ua/get-user-certificate/sec1ec1zYxL5T_Ad0L_n" TargetMode="External"/><Relationship Id="rId3442" Type="http://schemas.openxmlformats.org/officeDocument/2006/relationships/hyperlink" Target="https://talan.bank.gov.ua/get-user-certificate/sec1ekXrcCjja1apGn_E" TargetMode="External"/><Relationship Id="rId363" Type="http://schemas.openxmlformats.org/officeDocument/2006/relationships/hyperlink" Target="https://talan.bank.gov.ua/get-user-certificate/sec1evMwZQKvSrcftpBw" TargetMode="External"/><Relationship Id="rId2044" Type="http://schemas.openxmlformats.org/officeDocument/2006/relationships/hyperlink" Target="https://talan.bank.gov.ua/get-user-certificate/sec1emxtGGC-3TwzAJEL" TargetMode="External"/><Relationship Id="rId430" Type="http://schemas.openxmlformats.org/officeDocument/2006/relationships/hyperlink" Target="https://talan.bank.gov.ua/get-user-certificate/sec1eWWO7YbjqN-YECE0" TargetMode="External"/><Relationship Id="rId1060" Type="http://schemas.openxmlformats.org/officeDocument/2006/relationships/hyperlink" Target="https://talan.bank.gov.ua/get-user-certificate/sec1ekNlMRwCpvrD8EH0" TargetMode="External"/><Relationship Id="rId2111" Type="http://schemas.openxmlformats.org/officeDocument/2006/relationships/hyperlink" Target="https://talan.bank.gov.ua/get-user-certificate/sec1eJ1VSi-OfeHGelWn" TargetMode="External"/><Relationship Id="rId1877" Type="http://schemas.openxmlformats.org/officeDocument/2006/relationships/hyperlink" Target="https://talan.bank.gov.ua/get-user-certificate/sec1eWMJfs_mYHCpLgkR" TargetMode="External"/><Relationship Id="rId2928" Type="http://schemas.openxmlformats.org/officeDocument/2006/relationships/hyperlink" Target="https://talan.bank.gov.ua/get-user-certificate/sec1eYb4oY2iLHNFyzzj" TargetMode="External"/><Relationship Id="rId4283" Type="http://schemas.openxmlformats.org/officeDocument/2006/relationships/hyperlink" Target="https://talan.bank.gov.ua/get-user-certificate/sec1egW7xlzo1Bh7QFj7" TargetMode="External"/><Relationship Id="rId1944" Type="http://schemas.openxmlformats.org/officeDocument/2006/relationships/hyperlink" Target="https://talan.bank.gov.ua/get-user-certificate/sec1emHbB1GN5aobNP20" TargetMode="External"/><Relationship Id="rId4350" Type="http://schemas.openxmlformats.org/officeDocument/2006/relationships/hyperlink" Target="https://talan.bank.gov.ua/get-user-certificate/sec1e6Dm2BAEggX4Bjy0" TargetMode="External"/><Relationship Id="rId4003" Type="http://schemas.openxmlformats.org/officeDocument/2006/relationships/hyperlink" Target="https://talan.bank.gov.ua/get-user-certificate/sec1es3NJbzyMBWP2PT1" TargetMode="External"/><Relationship Id="rId3769" Type="http://schemas.openxmlformats.org/officeDocument/2006/relationships/hyperlink" Target="https://talan.bank.gov.ua/get-user-certificate/sec1een773gXVjOvPnCx" TargetMode="External"/><Relationship Id="rId2785" Type="http://schemas.openxmlformats.org/officeDocument/2006/relationships/hyperlink" Target="https://talan.bank.gov.ua/get-user-certificate/sec1eBfZUjXUk--AUPz6" TargetMode="External"/><Relationship Id="rId3836" Type="http://schemas.openxmlformats.org/officeDocument/2006/relationships/hyperlink" Target="https://talan.bank.gov.ua/get-user-certificate/sec1eMtOio4l96dkAuTi" TargetMode="External"/><Relationship Id="rId757" Type="http://schemas.openxmlformats.org/officeDocument/2006/relationships/hyperlink" Target="https://talan.bank.gov.ua/get-user-certificate/sec1eCHwMfO_EWhKWtvE" TargetMode="External"/><Relationship Id="rId1387" Type="http://schemas.openxmlformats.org/officeDocument/2006/relationships/hyperlink" Target="https://talan.bank.gov.ua/get-user-certificate/sec1ecuecEw6MOYz8j0S" TargetMode="External"/><Relationship Id="rId2438" Type="http://schemas.openxmlformats.org/officeDocument/2006/relationships/hyperlink" Target="https://talan.bank.gov.ua/get-user-certificate/sec1ec8ur_x70PsHZhHQ" TargetMode="External"/><Relationship Id="rId2852" Type="http://schemas.openxmlformats.org/officeDocument/2006/relationships/hyperlink" Target="https://talan.bank.gov.ua/get-user-certificate/sec1e_QrKPC4l37ftwcP" TargetMode="External"/><Relationship Id="rId3903" Type="http://schemas.openxmlformats.org/officeDocument/2006/relationships/hyperlink" Target="https://talan.bank.gov.ua/get-user-certificate/sec1eQgSfkx9VyAWKxcz" TargetMode="External"/><Relationship Id="rId93" Type="http://schemas.openxmlformats.org/officeDocument/2006/relationships/hyperlink" Target="https://talan.bank.gov.ua/get-user-certificate/sec1e8p_P2tBcJQ_Eq8h" TargetMode="External"/><Relationship Id="rId824" Type="http://schemas.openxmlformats.org/officeDocument/2006/relationships/hyperlink" Target="https://talan.bank.gov.ua/get-user-certificate/sec1ehceL39859u6MsVW" TargetMode="External"/><Relationship Id="rId1454" Type="http://schemas.openxmlformats.org/officeDocument/2006/relationships/hyperlink" Target="https://talan.bank.gov.ua/get-user-certificate/sec1eMxnPJJSZYlHQOlG" TargetMode="External"/><Relationship Id="rId2505" Type="http://schemas.openxmlformats.org/officeDocument/2006/relationships/hyperlink" Target="https://talan.bank.gov.ua/get-user-certificate/sec1eHpt5ARkv_FcQkvO" TargetMode="External"/><Relationship Id="rId1107" Type="http://schemas.openxmlformats.org/officeDocument/2006/relationships/hyperlink" Target="https://talan.bank.gov.ua/get-user-certificate/sec1eN091r7i-bTyXuiI" TargetMode="External"/><Relationship Id="rId1521" Type="http://schemas.openxmlformats.org/officeDocument/2006/relationships/hyperlink" Target="https://talan.bank.gov.ua/get-user-certificate/sec1ezZlLPR9v2Mxxhav" TargetMode="External"/><Relationship Id="rId4677" Type="http://schemas.openxmlformats.org/officeDocument/2006/relationships/hyperlink" Target="https://talan.bank.gov.ua/get-user-certificate/sec1e-eZUW-jC_pUVx05" TargetMode="External"/><Relationship Id="rId3279" Type="http://schemas.openxmlformats.org/officeDocument/2006/relationships/hyperlink" Target="https://talan.bank.gov.ua/get-user-certificate/sec1ew2Gpak1wpzeXMjG" TargetMode="External"/><Relationship Id="rId3693" Type="http://schemas.openxmlformats.org/officeDocument/2006/relationships/hyperlink" Target="https://talan.bank.gov.ua/get-user-certificate/sec1eK52wll7eU04RC47" TargetMode="External"/><Relationship Id="rId2295" Type="http://schemas.openxmlformats.org/officeDocument/2006/relationships/hyperlink" Target="https://talan.bank.gov.ua/get-user-certificate/sec1eyKnh0fGI1Xn0psg" TargetMode="External"/><Relationship Id="rId3346" Type="http://schemas.openxmlformats.org/officeDocument/2006/relationships/hyperlink" Target="https://talan.bank.gov.ua/get-user-certificate/sec1ez9aVNngyj2QDZu1" TargetMode="External"/><Relationship Id="rId4744" Type="http://schemas.openxmlformats.org/officeDocument/2006/relationships/hyperlink" Target="https://talan.bank.gov.ua/get-user-certificate/sec1eZuFurFxQSQLreYD" TargetMode="External"/><Relationship Id="rId267" Type="http://schemas.openxmlformats.org/officeDocument/2006/relationships/hyperlink" Target="https://talan.bank.gov.ua/get-user-certificate/sec1eGG15A0Sds9TxKuE" TargetMode="External"/><Relationship Id="rId3760" Type="http://schemas.openxmlformats.org/officeDocument/2006/relationships/hyperlink" Target="https://talan.bank.gov.ua/get-user-certificate/sec1eR4iTSrRR0oJcp-7" TargetMode="External"/><Relationship Id="rId4811" Type="http://schemas.openxmlformats.org/officeDocument/2006/relationships/hyperlink" Target="https://talan.bank.gov.ua/get-user-certificate/sec1ejLP96K9kzzDsUGk" TargetMode="External"/><Relationship Id="rId681" Type="http://schemas.openxmlformats.org/officeDocument/2006/relationships/hyperlink" Target="https://talan.bank.gov.ua/get-user-certificate/sec1efEoOR_ImvtLVW5H" TargetMode="External"/><Relationship Id="rId2362" Type="http://schemas.openxmlformats.org/officeDocument/2006/relationships/hyperlink" Target="https://talan.bank.gov.ua/get-user-certificate/sec1e_64SOWwvZHcGlBO" TargetMode="External"/><Relationship Id="rId3413" Type="http://schemas.openxmlformats.org/officeDocument/2006/relationships/hyperlink" Target="https://talan.bank.gov.ua/get-user-certificate/sec1eo-ysSOqRajQ4Ck1" TargetMode="External"/><Relationship Id="rId334" Type="http://schemas.openxmlformats.org/officeDocument/2006/relationships/hyperlink" Target="https://talan.bank.gov.ua/get-user-certificate/sec1eYIsz0EudA-84tIx" TargetMode="External"/><Relationship Id="rId2015" Type="http://schemas.openxmlformats.org/officeDocument/2006/relationships/hyperlink" Target="https://talan.bank.gov.ua/get-user-certificate/sec1e0wbCGNCATf7QcTA" TargetMode="External"/><Relationship Id="rId401" Type="http://schemas.openxmlformats.org/officeDocument/2006/relationships/hyperlink" Target="https://talan.bank.gov.ua/get-user-certificate/sec1eg_u8bvQmJoxZPx6" TargetMode="External"/><Relationship Id="rId1031" Type="http://schemas.openxmlformats.org/officeDocument/2006/relationships/hyperlink" Target="https://talan.bank.gov.ua/get-user-certificate/sec1exGdcwWo1qjCW9YE" TargetMode="External"/><Relationship Id="rId4187" Type="http://schemas.openxmlformats.org/officeDocument/2006/relationships/hyperlink" Target="https://talan.bank.gov.ua/get-user-certificate/sec1eKwWfATigl0MBWac" TargetMode="External"/><Relationship Id="rId4254" Type="http://schemas.openxmlformats.org/officeDocument/2006/relationships/hyperlink" Target="https://talan.bank.gov.ua/get-user-certificate/sec1eZojQRBXQEag4nLU" TargetMode="External"/><Relationship Id="rId1848" Type="http://schemas.openxmlformats.org/officeDocument/2006/relationships/hyperlink" Target="https://talan.bank.gov.ua/get-user-certificate/sec1eKiJUDCmN2ACDjN8" TargetMode="External"/><Relationship Id="rId3270" Type="http://schemas.openxmlformats.org/officeDocument/2006/relationships/hyperlink" Target="https://talan.bank.gov.ua/get-user-certificate/sec1eT8txoEM4bkEyMlt" TargetMode="External"/><Relationship Id="rId4321" Type="http://schemas.openxmlformats.org/officeDocument/2006/relationships/hyperlink" Target="https://talan.bank.gov.ua/get-user-certificate/sec1edFlMzSh-ewxPXpt" TargetMode="External"/><Relationship Id="rId191" Type="http://schemas.openxmlformats.org/officeDocument/2006/relationships/hyperlink" Target="https://talan.bank.gov.ua/get-user-certificate/sec1eTDF2YkojO0gfLQO" TargetMode="External"/><Relationship Id="rId1915" Type="http://schemas.openxmlformats.org/officeDocument/2006/relationships/hyperlink" Target="https://talan.bank.gov.ua/get-user-certificate/sec1eFYHfn3RZZBIkKHU" TargetMode="External"/><Relationship Id="rId2689" Type="http://schemas.openxmlformats.org/officeDocument/2006/relationships/hyperlink" Target="https://talan.bank.gov.ua/get-user-certificate/sec1eRYOfnhGdFqxUGhZ" TargetMode="External"/><Relationship Id="rId2756" Type="http://schemas.openxmlformats.org/officeDocument/2006/relationships/hyperlink" Target="https://talan.bank.gov.ua/get-user-certificate/sec1eBRbRXf5JBl500Lg" TargetMode="External"/><Relationship Id="rId3807" Type="http://schemas.openxmlformats.org/officeDocument/2006/relationships/hyperlink" Target="https://talan.bank.gov.ua/get-user-certificate/sec1eectMWbfKmNVZitj" TargetMode="External"/><Relationship Id="rId728" Type="http://schemas.openxmlformats.org/officeDocument/2006/relationships/hyperlink" Target="https://talan.bank.gov.ua/get-user-certificate/sec1ewhB6yDmArQIk2o-" TargetMode="External"/><Relationship Id="rId1358" Type="http://schemas.openxmlformats.org/officeDocument/2006/relationships/hyperlink" Target="https://talan.bank.gov.ua/get-user-certificate/sec1eM0x1SWGswcrSJUM" TargetMode="External"/><Relationship Id="rId1772" Type="http://schemas.openxmlformats.org/officeDocument/2006/relationships/hyperlink" Target="https://talan.bank.gov.ua/get-user-certificate/sec1ePbHb3BZDIQKrKa1" TargetMode="External"/><Relationship Id="rId2409" Type="http://schemas.openxmlformats.org/officeDocument/2006/relationships/hyperlink" Target="https://talan.bank.gov.ua/get-user-certificate/sec1eblB60BfC8q42RgB" TargetMode="External"/><Relationship Id="rId64" Type="http://schemas.openxmlformats.org/officeDocument/2006/relationships/hyperlink" Target="https://talan.bank.gov.ua/get-user-certificate/sec1ePArwvtlUPAWHevh" TargetMode="External"/><Relationship Id="rId1425" Type="http://schemas.openxmlformats.org/officeDocument/2006/relationships/hyperlink" Target="https://talan.bank.gov.ua/get-user-certificate/sec1eP8zv-16yF5gwZ7K" TargetMode="External"/><Relationship Id="rId2823" Type="http://schemas.openxmlformats.org/officeDocument/2006/relationships/hyperlink" Target="https://talan.bank.gov.ua/get-user-certificate/sec1eU-d_8ebfu9HzG84" TargetMode="External"/><Relationship Id="rId4995" Type="http://schemas.openxmlformats.org/officeDocument/2006/relationships/hyperlink" Target="https://talan.bank.gov.ua/get-user-certificate/sec1ecuX0QRmIme-GPdX" TargetMode="External"/><Relationship Id="rId2199" Type="http://schemas.openxmlformats.org/officeDocument/2006/relationships/hyperlink" Target="https://talan.bank.gov.ua/get-user-certificate/sec1ewjBY_pub9na74_0" TargetMode="External"/><Relationship Id="rId3597" Type="http://schemas.openxmlformats.org/officeDocument/2006/relationships/hyperlink" Target="https://talan.bank.gov.ua/get-user-certificate/sec1eEWeG8fxIEEsRWeS" TargetMode="External"/><Relationship Id="rId4648" Type="http://schemas.openxmlformats.org/officeDocument/2006/relationships/hyperlink" Target="https://talan.bank.gov.ua/get-user-certificate/sec1eLV0lwJTr6S9tjuf" TargetMode="External"/><Relationship Id="rId3664" Type="http://schemas.openxmlformats.org/officeDocument/2006/relationships/hyperlink" Target="https://talan.bank.gov.ua/get-user-certificate/sec1e7HvjlBeVgXUfner" TargetMode="External"/><Relationship Id="rId4715" Type="http://schemas.openxmlformats.org/officeDocument/2006/relationships/hyperlink" Target="https://talan.bank.gov.ua/get-user-certificate/sec1e5T4EXbfMQlIgRIc" TargetMode="External"/><Relationship Id="rId585" Type="http://schemas.openxmlformats.org/officeDocument/2006/relationships/hyperlink" Target="https://talan.bank.gov.ua/get-user-certificate/sec1eZwh1F3vMujeBFuH" TargetMode="External"/><Relationship Id="rId2266" Type="http://schemas.openxmlformats.org/officeDocument/2006/relationships/hyperlink" Target="https://talan.bank.gov.ua/get-user-certificate/sec1e4_pv-kzbZvnnzvJ" TargetMode="External"/><Relationship Id="rId2680" Type="http://schemas.openxmlformats.org/officeDocument/2006/relationships/hyperlink" Target="https://talan.bank.gov.ua/get-user-certificate/sec1enDpng_Cyjd0kPIC" TargetMode="External"/><Relationship Id="rId3317" Type="http://schemas.openxmlformats.org/officeDocument/2006/relationships/hyperlink" Target="https://talan.bank.gov.ua/get-user-certificate/sec1eKguvFDuws6IUgbW" TargetMode="External"/><Relationship Id="rId3731" Type="http://schemas.openxmlformats.org/officeDocument/2006/relationships/hyperlink" Target="https://talan.bank.gov.ua/get-user-certificate/sec1eY2ok8P3wNK87LVF" TargetMode="External"/><Relationship Id="rId238" Type="http://schemas.openxmlformats.org/officeDocument/2006/relationships/hyperlink" Target="https://talan.bank.gov.ua/get-user-certificate/sec1eqOrCHRG_0Z2Gd9G" TargetMode="External"/><Relationship Id="rId652" Type="http://schemas.openxmlformats.org/officeDocument/2006/relationships/hyperlink" Target="https://talan.bank.gov.ua/get-user-certificate/sec1eU6SFO9mHcLhXQH7" TargetMode="External"/><Relationship Id="rId1282" Type="http://schemas.openxmlformats.org/officeDocument/2006/relationships/hyperlink" Target="https://talan.bank.gov.ua/get-user-certificate/sec1egV_h8vV0kVeRykM" TargetMode="External"/><Relationship Id="rId2333" Type="http://schemas.openxmlformats.org/officeDocument/2006/relationships/hyperlink" Target="https://talan.bank.gov.ua/get-user-certificate/sec1eMdI1qRDDwAzBgjr" TargetMode="External"/><Relationship Id="rId305" Type="http://schemas.openxmlformats.org/officeDocument/2006/relationships/hyperlink" Target="https://talan.bank.gov.ua/get-user-certificate/sec1eFat1qXRTt8XURxf" TargetMode="External"/><Relationship Id="rId2400" Type="http://schemas.openxmlformats.org/officeDocument/2006/relationships/hyperlink" Target="https://talan.bank.gov.ua/get-user-certificate/sec1eB_BTvog3kQRY7Fl" TargetMode="External"/><Relationship Id="rId1002" Type="http://schemas.openxmlformats.org/officeDocument/2006/relationships/hyperlink" Target="https://talan.bank.gov.ua/get-user-certificate/sec1euXha33xpdNImP0m" TargetMode="External"/><Relationship Id="rId4158" Type="http://schemas.openxmlformats.org/officeDocument/2006/relationships/hyperlink" Target="https://talan.bank.gov.ua/get-user-certificate/sec1elu0QQ-CjDkZMp3r" TargetMode="External"/><Relationship Id="rId3174" Type="http://schemas.openxmlformats.org/officeDocument/2006/relationships/hyperlink" Target="https://talan.bank.gov.ua/get-user-certificate/sec1e9rJLye49w6fd7it" TargetMode="External"/><Relationship Id="rId4572" Type="http://schemas.openxmlformats.org/officeDocument/2006/relationships/hyperlink" Target="https://talan.bank.gov.ua/get-user-certificate/sec1eFN0FJ8djRwLRIVu" TargetMode="External"/><Relationship Id="rId1819" Type="http://schemas.openxmlformats.org/officeDocument/2006/relationships/hyperlink" Target="https://talan.bank.gov.ua/get-user-certificate/sec1e5J7JPiIpJIUY2ID" TargetMode="External"/><Relationship Id="rId4225" Type="http://schemas.openxmlformats.org/officeDocument/2006/relationships/hyperlink" Target="https://talan.bank.gov.ua/get-user-certificate/sec1e1x_chE66u0g_neE" TargetMode="External"/><Relationship Id="rId2190" Type="http://schemas.openxmlformats.org/officeDocument/2006/relationships/hyperlink" Target="https://talan.bank.gov.ua/get-user-certificate/sec1eMJGbhnQfd27FweC" TargetMode="External"/><Relationship Id="rId3241" Type="http://schemas.openxmlformats.org/officeDocument/2006/relationships/hyperlink" Target="https://talan.bank.gov.ua/get-user-certificate/sec1ev-ge3EPOmnlv2hQ" TargetMode="External"/><Relationship Id="rId162" Type="http://schemas.openxmlformats.org/officeDocument/2006/relationships/hyperlink" Target="https://talan.bank.gov.ua/get-user-certificate/sec1eLwNNjq4WJpSpnjs" TargetMode="External"/><Relationship Id="rId979" Type="http://schemas.openxmlformats.org/officeDocument/2006/relationships/hyperlink" Target="https://talan.bank.gov.ua/get-user-certificate/sec1evl_baAONHIJS2oi" TargetMode="External"/><Relationship Id="rId4082" Type="http://schemas.openxmlformats.org/officeDocument/2006/relationships/hyperlink" Target="https://talan.bank.gov.ua/get-user-certificate/sec1em7kPukqGbIE7sta" TargetMode="External"/><Relationship Id="rId1676" Type="http://schemas.openxmlformats.org/officeDocument/2006/relationships/hyperlink" Target="https://talan.bank.gov.ua/get-user-certificate/sec1eaNrNA_3SVm8dE8Q" TargetMode="External"/><Relationship Id="rId2727" Type="http://schemas.openxmlformats.org/officeDocument/2006/relationships/hyperlink" Target="https://talan.bank.gov.ua/get-user-certificate/sec1egxobfpuiqNSFAOF" TargetMode="External"/><Relationship Id="rId1329" Type="http://schemas.openxmlformats.org/officeDocument/2006/relationships/hyperlink" Target="https://talan.bank.gov.ua/get-user-certificate/sec1e5_SBj2o7gBqXhFF" TargetMode="External"/><Relationship Id="rId1743" Type="http://schemas.openxmlformats.org/officeDocument/2006/relationships/hyperlink" Target="https://talan.bank.gov.ua/get-user-certificate/sec1eiX-YlfQT28OEAdB" TargetMode="External"/><Relationship Id="rId4899" Type="http://schemas.openxmlformats.org/officeDocument/2006/relationships/hyperlink" Target="https://talan.bank.gov.ua/get-user-certificate/sec1epJ1id0_x9J2RnH6" TargetMode="External"/><Relationship Id="rId35" Type="http://schemas.openxmlformats.org/officeDocument/2006/relationships/hyperlink" Target="https://talan.bank.gov.ua/get-user-certificate/sec1ey9N0IirMvgzxzd3" TargetMode="External"/><Relationship Id="rId1810" Type="http://schemas.openxmlformats.org/officeDocument/2006/relationships/hyperlink" Target="https://talan.bank.gov.ua/get-user-certificate/sec1efkAH4dMcXd84X2J" TargetMode="External"/><Relationship Id="rId4966" Type="http://schemas.openxmlformats.org/officeDocument/2006/relationships/hyperlink" Target="https://talan.bank.gov.ua/get-user-certificate/sec1emKav-fGOMI0logS" TargetMode="External"/><Relationship Id="rId3568" Type="http://schemas.openxmlformats.org/officeDocument/2006/relationships/hyperlink" Target="https://talan.bank.gov.ua/get-user-certificate/sec1errhAlRipQj-HvVJ" TargetMode="External"/><Relationship Id="rId3982" Type="http://schemas.openxmlformats.org/officeDocument/2006/relationships/hyperlink" Target="https://talan.bank.gov.ua/get-user-certificate/sec1elDPoF8JrSf2E-RH" TargetMode="External"/><Relationship Id="rId4619" Type="http://schemas.openxmlformats.org/officeDocument/2006/relationships/hyperlink" Target="https://talan.bank.gov.ua/get-user-certificate/sec1eEPgCNxPkwmkGDZj" TargetMode="External"/><Relationship Id="rId489" Type="http://schemas.openxmlformats.org/officeDocument/2006/relationships/hyperlink" Target="https://talan.bank.gov.ua/get-user-certificate/sec1eA8slSPB_WGyFjQT" TargetMode="External"/><Relationship Id="rId2584" Type="http://schemas.openxmlformats.org/officeDocument/2006/relationships/hyperlink" Target="https://talan.bank.gov.ua/get-user-certificate/sec1e-MwswUnkpYXsiM1" TargetMode="External"/><Relationship Id="rId3635" Type="http://schemas.openxmlformats.org/officeDocument/2006/relationships/hyperlink" Target="https://talan.bank.gov.ua/get-user-certificate/sec1eIi0Dmibha80aHYF" TargetMode="External"/><Relationship Id="rId556" Type="http://schemas.openxmlformats.org/officeDocument/2006/relationships/hyperlink" Target="https://talan.bank.gov.ua/get-user-certificate/sec1e1Vqx_y09Td0kn4g" TargetMode="External"/><Relationship Id="rId1186" Type="http://schemas.openxmlformats.org/officeDocument/2006/relationships/hyperlink" Target="https://talan.bank.gov.ua/get-user-certificate/sec1e1GpwwbwxaCFCY5t" TargetMode="External"/><Relationship Id="rId2237" Type="http://schemas.openxmlformats.org/officeDocument/2006/relationships/hyperlink" Target="https://talan.bank.gov.ua/get-user-certificate/sec1ejHQ_jgNaN0WbrTV" TargetMode="External"/><Relationship Id="rId209" Type="http://schemas.openxmlformats.org/officeDocument/2006/relationships/hyperlink" Target="https://talan.bank.gov.ua/get-user-certificate/sec1eIKLRH34ShhSCt01" TargetMode="External"/><Relationship Id="rId970" Type="http://schemas.openxmlformats.org/officeDocument/2006/relationships/hyperlink" Target="https://talan.bank.gov.ua/get-user-certificate/sec1ef2BrRsQ_7TQNZvv" TargetMode="External"/><Relationship Id="rId1253" Type="http://schemas.openxmlformats.org/officeDocument/2006/relationships/hyperlink" Target="https://talan.bank.gov.ua/get-user-certificate/sec1eb2A7sAEJ3Le0ou1" TargetMode="External"/><Relationship Id="rId2651" Type="http://schemas.openxmlformats.org/officeDocument/2006/relationships/hyperlink" Target="https://talan.bank.gov.ua/get-user-certificate/sec1ezbA8pqUQ-Ns0l-6" TargetMode="External"/><Relationship Id="rId3702" Type="http://schemas.openxmlformats.org/officeDocument/2006/relationships/hyperlink" Target="https://talan.bank.gov.ua/get-user-certificate/sec1ed1fQpLio9XqixyB" TargetMode="External"/><Relationship Id="rId623" Type="http://schemas.openxmlformats.org/officeDocument/2006/relationships/hyperlink" Target="https://talan.bank.gov.ua/get-user-certificate/sec1evnIkgZ4Ys-z9aih" TargetMode="External"/><Relationship Id="rId2304" Type="http://schemas.openxmlformats.org/officeDocument/2006/relationships/hyperlink" Target="https://talan.bank.gov.ua/get-user-certificate/sec1eUlcNXj0w2PgAEci" TargetMode="External"/><Relationship Id="rId1320" Type="http://schemas.openxmlformats.org/officeDocument/2006/relationships/hyperlink" Target="https://talan.bank.gov.ua/get-user-certificate/sec1ebbuAD2e1T6QWsww" TargetMode="External"/><Relationship Id="rId4476" Type="http://schemas.openxmlformats.org/officeDocument/2006/relationships/hyperlink" Target="https://talan.bank.gov.ua/get-user-certificate/sec1ecatQcCpuEi9YL8O" TargetMode="External"/><Relationship Id="rId4890" Type="http://schemas.openxmlformats.org/officeDocument/2006/relationships/hyperlink" Target="https://talan.bank.gov.ua/get-user-certificate/sec1eGB2UqCAXXoJ3vNn" TargetMode="External"/><Relationship Id="rId3078" Type="http://schemas.openxmlformats.org/officeDocument/2006/relationships/hyperlink" Target="https://talan.bank.gov.ua/get-user-certificate/sec1eVXr7fl5BO3V3IXh" TargetMode="External"/><Relationship Id="rId3492" Type="http://schemas.openxmlformats.org/officeDocument/2006/relationships/hyperlink" Target="https://talan.bank.gov.ua/get-user-certificate/sec1e43697qEu8-njWvH" TargetMode="External"/><Relationship Id="rId4129" Type="http://schemas.openxmlformats.org/officeDocument/2006/relationships/hyperlink" Target="https://talan.bank.gov.ua/get-user-certificate/sec1e3omiOlpwRc1ZU78" TargetMode="External"/><Relationship Id="rId4543" Type="http://schemas.openxmlformats.org/officeDocument/2006/relationships/hyperlink" Target="https://talan.bank.gov.ua/get-user-certificate/sec1eg9lSl0Wk0Vf1J-Q" TargetMode="External"/><Relationship Id="rId2094" Type="http://schemas.openxmlformats.org/officeDocument/2006/relationships/hyperlink" Target="https://talan.bank.gov.ua/get-user-certificate/sec1eaei_VglxaffDewJ" TargetMode="External"/><Relationship Id="rId3145" Type="http://schemas.openxmlformats.org/officeDocument/2006/relationships/hyperlink" Target="https://talan.bank.gov.ua/get-user-certificate/sec1e944VA8IjLq-6hLv" TargetMode="External"/><Relationship Id="rId4610" Type="http://schemas.openxmlformats.org/officeDocument/2006/relationships/hyperlink" Target="https://talan.bank.gov.ua/get-user-certificate/sec1eNdmrVzkerC8xjQN" TargetMode="External"/><Relationship Id="rId480" Type="http://schemas.openxmlformats.org/officeDocument/2006/relationships/hyperlink" Target="https://talan.bank.gov.ua/get-user-certificate/sec1e_Lo8b12gXk_Odab" TargetMode="External"/><Relationship Id="rId2161" Type="http://schemas.openxmlformats.org/officeDocument/2006/relationships/hyperlink" Target="https://talan.bank.gov.ua/get-user-certificate/sec1eNC2QKJ6B8_Yvnrc" TargetMode="External"/><Relationship Id="rId3212" Type="http://schemas.openxmlformats.org/officeDocument/2006/relationships/hyperlink" Target="https://talan.bank.gov.ua/get-user-certificate/sec1e4MDJT3scuWpUaZw" TargetMode="External"/><Relationship Id="rId133" Type="http://schemas.openxmlformats.org/officeDocument/2006/relationships/hyperlink" Target="https://talan.bank.gov.ua/get-user-certificate/sec1etpXr8A5qWJqtRJi" TargetMode="External"/><Relationship Id="rId200" Type="http://schemas.openxmlformats.org/officeDocument/2006/relationships/hyperlink" Target="https://talan.bank.gov.ua/get-user-certificate/sec1eKv_1U6NfqdFEf2S" TargetMode="External"/><Relationship Id="rId2978" Type="http://schemas.openxmlformats.org/officeDocument/2006/relationships/hyperlink" Target="https://talan.bank.gov.ua/get-user-certificate/sec1eEZHH1CTLGpdXBFE" TargetMode="External"/><Relationship Id="rId1994" Type="http://schemas.openxmlformats.org/officeDocument/2006/relationships/hyperlink" Target="https://talan.bank.gov.ua/get-user-certificate/sec1eK6OLWtlp5uxY5m0" TargetMode="External"/><Relationship Id="rId1647" Type="http://schemas.openxmlformats.org/officeDocument/2006/relationships/hyperlink" Target="https://talan.bank.gov.ua/get-user-certificate/sec1eDn-m4qRSmrIMBgS" TargetMode="External"/><Relationship Id="rId4053" Type="http://schemas.openxmlformats.org/officeDocument/2006/relationships/hyperlink" Target="https://talan.bank.gov.ua/get-user-certificate/sec1e6auzKAFLyprHmF_" TargetMode="External"/><Relationship Id="rId1714" Type="http://schemas.openxmlformats.org/officeDocument/2006/relationships/hyperlink" Target="https://talan.bank.gov.ua/get-user-certificate/sec1eN7UWVepwTYsz4x2" TargetMode="External"/><Relationship Id="rId4120" Type="http://schemas.openxmlformats.org/officeDocument/2006/relationships/hyperlink" Target="https://talan.bank.gov.ua/get-user-certificate/sec1eK4f31W2IvxXbRhA" TargetMode="External"/><Relationship Id="rId2488" Type="http://schemas.openxmlformats.org/officeDocument/2006/relationships/hyperlink" Target="https://talan.bank.gov.ua/get-user-certificate/sec1eeo-dV1CaGRYbOzp" TargetMode="External"/><Relationship Id="rId3886" Type="http://schemas.openxmlformats.org/officeDocument/2006/relationships/hyperlink" Target="https://talan.bank.gov.ua/get-user-certificate/sec1eimxsE1K7cOI0NVo" TargetMode="External"/><Relationship Id="rId4937" Type="http://schemas.openxmlformats.org/officeDocument/2006/relationships/hyperlink" Target="https://talan.bank.gov.ua/get-user-certificate/sec1eisOAExLDHkdYtQV" TargetMode="External"/><Relationship Id="rId3539" Type="http://schemas.openxmlformats.org/officeDocument/2006/relationships/hyperlink" Target="https://talan.bank.gov.ua/get-user-certificate/sec1eiy1nkkA2dC9OJuS" TargetMode="External"/><Relationship Id="rId3953" Type="http://schemas.openxmlformats.org/officeDocument/2006/relationships/hyperlink" Target="https://talan.bank.gov.ua/get-user-certificate/sec1ey1fwdKL7LotZKCN" TargetMode="External"/><Relationship Id="rId874" Type="http://schemas.openxmlformats.org/officeDocument/2006/relationships/hyperlink" Target="https://talan.bank.gov.ua/get-user-certificate/sec1eCjh0boVQVaQ5wqe" TargetMode="External"/><Relationship Id="rId2555" Type="http://schemas.openxmlformats.org/officeDocument/2006/relationships/hyperlink" Target="https://talan.bank.gov.ua/get-user-certificate/sec1eqLU5CQXiWqkp7QN" TargetMode="External"/><Relationship Id="rId3606" Type="http://schemas.openxmlformats.org/officeDocument/2006/relationships/hyperlink" Target="https://talan.bank.gov.ua/get-user-certificate/sec1enyRZ7-NdV64egzA" TargetMode="External"/><Relationship Id="rId527" Type="http://schemas.openxmlformats.org/officeDocument/2006/relationships/hyperlink" Target="https://talan.bank.gov.ua/get-user-certificate/sec1eYxO3ntOiHDQR8i7" TargetMode="External"/><Relationship Id="rId941" Type="http://schemas.openxmlformats.org/officeDocument/2006/relationships/hyperlink" Target="https://talan.bank.gov.ua/get-user-certificate/sec1eX2gCSwA5AxM-Zl0" TargetMode="External"/><Relationship Id="rId1157" Type="http://schemas.openxmlformats.org/officeDocument/2006/relationships/hyperlink" Target="https://talan.bank.gov.ua/get-user-certificate/sec1eWxPy5o0uurCQPFI" TargetMode="External"/><Relationship Id="rId1571" Type="http://schemas.openxmlformats.org/officeDocument/2006/relationships/hyperlink" Target="https://talan.bank.gov.ua/get-user-certificate/sec1eqNn5dbflrtnVtK_" TargetMode="External"/><Relationship Id="rId2208" Type="http://schemas.openxmlformats.org/officeDocument/2006/relationships/hyperlink" Target="https://talan.bank.gov.ua/get-user-certificate/sec1eqPEHUfdMNC8PxFV" TargetMode="External"/><Relationship Id="rId2622" Type="http://schemas.openxmlformats.org/officeDocument/2006/relationships/hyperlink" Target="https://talan.bank.gov.ua/get-user-certificate/sec1eVgxA9LW1qVRLyIu" TargetMode="External"/><Relationship Id="rId1224" Type="http://schemas.openxmlformats.org/officeDocument/2006/relationships/hyperlink" Target="https://talan.bank.gov.ua/get-user-certificate/sec1eg_667dJco0JaCwv" TargetMode="External"/><Relationship Id="rId4794" Type="http://schemas.openxmlformats.org/officeDocument/2006/relationships/hyperlink" Target="https://talan.bank.gov.ua/get-user-certificate/sec1err0_zerpjyQRY93" TargetMode="External"/><Relationship Id="rId3396" Type="http://schemas.openxmlformats.org/officeDocument/2006/relationships/hyperlink" Target="https://talan.bank.gov.ua/get-user-certificate/sec1e2SSiDeGMtRPMVBg" TargetMode="External"/><Relationship Id="rId4447" Type="http://schemas.openxmlformats.org/officeDocument/2006/relationships/hyperlink" Target="https://talan.bank.gov.ua/get-user-certificate/sec1ewpfyxJKuOLchbnW" TargetMode="External"/><Relationship Id="rId3049" Type="http://schemas.openxmlformats.org/officeDocument/2006/relationships/hyperlink" Target="https://talan.bank.gov.ua/get-user-certificate/sec1eFh6n-yFThfH424x" TargetMode="External"/><Relationship Id="rId3463" Type="http://schemas.openxmlformats.org/officeDocument/2006/relationships/hyperlink" Target="https://talan.bank.gov.ua/get-user-certificate/sec1eFaYtHWemB4vIGbx" TargetMode="External"/><Relationship Id="rId4861" Type="http://schemas.openxmlformats.org/officeDocument/2006/relationships/hyperlink" Target="https://talan.bank.gov.ua/get-user-certificate/sec1e3kf0pP7Imsdo-Jr" TargetMode="External"/><Relationship Id="rId384" Type="http://schemas.openxmlformats.org/officeDocument/2006/relationships/hyperlink" Target="https://talan.bank.gov.ua/get-user-certificate/sec1epN6tEmaUCuqkK0B" TargetMode="External"/><Relationship Id="rId2065" Type="http://schemas.openxmlformats.org/officeDocument/2006/relationships/hyperlink" Target="https://talan.bank.gov.ua/get-user-certificate/sec1e5NILzVh81GCKs0X" TargetMode="External"/><Relationship Id="rId3116" Type="http://schemas.openxmlformats.org/officeDocument/2006/relationships/hyperlink" Target="https://talan.bank.gov.ua/get-user-certificate/sec1e4tZpYGV8vrDaOIq" TargetMode="External"/><Relationship Id="rId4514" Type="http://schemas.openxmlformats.org/officeDocument/2006/relationships/hyperlink" Target="https://talan.bank.gov.ua/get-user-certificate/sec1evDxs-XkOmxIHXXd" TargetMode="External"/><Relationship Id="rId1081" Type="http://schemas.openxmlformats.org/officeDocument/2006/relationships/hyperlink" Target="https://talan.bank.gov.ua/get-user-certificate/sec1eNA2KL9_nMxQKp35" TargetMode="External"/><Relationship Id="rId3530" Type="http://schemas.openxmlformats.org/officeDocument/2006/relationships/hyperlink" Target="https://talan.bank.gov.ua/get-user-certificate/sec1ef5MXpskKESwO-Rn" TargetMode="External"/><Relationship Id="rId451" Type="http://schemas.openxmlformats.org/officeDocument/2006/relationships/hyperlink" Target="https://talan.bank.gov.ua/get-user-certificate/sec1eIrLDJUwY2EmmQFm" TargetMode="External"/><Relationship Id="rId2132" Type="http://schemas.openxmlformats.org/officeDocument/2006/relationships/hyperlink" Target="https://talan.bank.gov.ua/get-user-certificate/sec1eAildyKrtQEWUYRR" TargetMode="External"/><Relationship Id="rId104" Type="http://schemas.openxmlformats.org/officeDocument/2006/relationships/hyperlink" Target="https://talan.bank.gov.ua/get-user-certificate/sec1em5-Brcj7nXqW7ND" TargetMode="External"/><Relationship Id="rId1898" Type="http://schemas.openxmlformats.org/officeDocument/2006/relationships/hyperlink" Target="https://talan.bank.gov.ua/get-user-certificate/sec1esCzC3TJO3tMnnHw" TargetMode="External"/><Relationship Id="rId2949" Type="http://schemas.openxmlformats.org/officeDocument/2006/relationships/hyperlink" Target="https://talan.bank.gov.ua/get-user-certificate/sec1eoxcOFr7sdAnkSi-" TargetMode="External"/><Relationship Id="rId4371" Type="http://schemas.openxmlformats.org/officeDocument/2006/relationships/hyperlink" Target="https://talan.bank.gov.ua/get-user-certificate/sec1eniC5UvDyXm8mlz9" TargetMode="External"/><Relationship Id="rId5008" Type="http://schemas.openxmlformats.org/officeDocument/2006/relationships/hyperlink" Target="https://talan.bank.gov.ua/get-user-certificate/sec1ekN6XH40rYt7dUd-" TargetMode="External"/><Relationship Id="rId1965" Type="http://schemas.openxmlformats.org/officeDocument/2006/relationships/hyperlink" Target="https://talan.bank.gov.ua/get-user-certificate/sec1eUjnZoTfwCsrCLg0" TargetMode="External"/><Relationship Id="rId4024" Type="http://schemas.openxmlformats.org/officeDocument/2006/relationships/hyperlink" Target="https://talan.bank.gov.ua/get-user-certificate/sec1eQPjpInOrld4RnJ-" TargetMode="External"/><Relationship Id="rId1618" Type="http://schemas.openxmlformats.org/officeDocument/2006/relationships/hyperlink" Target="https://talan.bank.gov.ua/get-user-certificate/sec1emqsKE2bvZ2mrWMk" TargetMode="External"/><Relationship Id="rId3040" Type="http://schemas.openxmlformats.org/officeDocument/2006/relationships/hyperlink" Target="https://talan.bank.gov.ua/get-user-certificate/sec1e7f8xKeyjAMm1vrw" TargetMode="External"/><Relationship Id="rId3857" Type="http://schemas.openxmlformats.org/officeDocument/2006/relationships/hyperlink" Target="https://talan.bank.gov.ua/get-user-certificate/sec1eziRcUBxQqbX8mQC" TargetMode="External"/><Relationship Id="rId4908" Type="http://schemas.openxmlformats.org/officeDocument/2006/relationships/hyperlink" Target="https://talan.bank.gov.ua/get-user-certificate/sec1em2uoy3fY100Tset" TargetMode="External"/><Relationship Id="rId778" Type="http://schemas.openxmlformats.org/officeDocument/2006/relationships/hyperlink" Target="https://talan.bank.gov.ua/get-user-certificate/sec1ewMUMEciFwmlYVg3" TargetMode="External"/><Relationship Id="rId2459" Type="http://schemas.openxmlformats.org/officeDocument/2006/relationships/hyperlink" Target="https://talan.bank.gov.ua/get-user-certificate/sec1ebKFhr5F-NA0vrN8" TargetMode="External"/><Relationship Id="rId2873" Type="http://schemas.openxmlformats.org/officeDocument/2006/relationships/hyperlink" Target="https://talan.bank.gov.ua/get-user-certificate/sec1e2TzKfoo2Ebi7-ex" TargetMode="External"/><Relationship Id="rId3924" Type="http://schemas.openxmlformats.org/officeDocument/2006/relationships/hyperlink" Target="https://talan.bank.gov.ua/get-user-certificate/sec1eY5oEBiKCPpj1RpB" TargetMode="External"/><Relationship Id="rId845" Type="http://schemas.openxmlformats.org/officeDocument/2006/relationships/hyperlink" Target="https://talan.bank.gov.ua/get-user-certificate/sec1e_OiGTaNFC7KpGgq" TargetMode="External"/><Relationship Id="rId1475" Type="http://schemas.openxmlformats.org/officeDocument/2006/relationships/hyperlink" Target="https://talan.bank.gov.ua/get-user-certificate/sec1esTpu2nGP6Kk81tl" TargetMode="External"/><Relationship Id="rId2526" Type="http://schemas.openxmlformats.org/officeDocument/2006/relationships/hyperlink" Target="https://talan.bank.gov.ua/get-user-certificate/sec1eRdDe6dWflIn-06I" TargetMode="External"/><Relationship Id="rId1128" Type="http://schemas.openxmlformats.org/officeDocument/2006/relationships/hyperlink" Target="https://talan.bank.gov.ua/get-user-certificate/sec1eyNOYYgHTSHJHzqT" TargetMode="External"/><Relationship Id="rId1542" Type="http://schemas.openxmlformats.org/officeDocument/2006/relationships/hyperlink" Target="https://talan.bank.gov.ua/get-user-certificate/sec1eEFrJo9SuQw-xiKq" TargetMode="External"/><Relationship Id="rId2940" Type="http://schemas.openxmlformats.org/officeDocument/2006/relationships/hyperlink" Target="https://talan.bank.gov.ua/get-user-certificate/sec1etVzve-YjOKoVynH" TargetMode="External"/><Relationship Id="rId4698" Type="http://schemas.openxmlformats.org/officeDocument/2006/relationships/hyperlink" Target="https://talan.bank.gov.ua/get-user-certificate/sec1eLSzqfWdvCVChJ5y" TargetMode="External"/><Relationship Id="rId912" Type="http://schemas.openxmlformats.org/officeDocument/2006/relationships/hyperlink" Target="https://talan.bank.gov.ua/get-user-certificate/sec1e4lRmJyyKiHB5C8a" TargetMode="External"/><Relationship Id="rId4765" Type="http://schemas.openxmlformats.org/officeDocument/2006/relationships/hyperlink" Target="https://talan.bank.gov.ua/get-user-certificate/sec1eGdr_hWMq0MxW5BZ" TargetMode="External"/><Relationship Id="rId288" Type="http://schemas.openxmlformats.org/officeDocument/2006/relationships/hyperlink" Target="https://talan.bank.gov.ua/get-user-certificate/sec1eV_ah9VCNuhf9ffF" TargetMode="External"/><Relationship Id="rId3367" Type="http://schemas.openxmlformats.org/officeDocument/2006/relationships/hyperlink" Target="https://talan.bank.gov.ua/get-user-certificate/sec1e_ZGso9m57cWJt1i" TargetMode="External"/><Relationship Id="rId3781" Type="http://schemas.openxmlformats.org/officeDocument/2006/relationships/hyperlink" Target="https://talan.bank.gov.ua/get-user-certificate/sec1esU-oligYw7r8mdU" TargetMode="External"/><Relationship Id="rId4418" Type="http://schemas.openxmlformats.org/officeDocument/2006/relationships/hyperlink" Target="https://talan.bank.gov.ua/get-user-certificate/sec1eAfIsJshY0USYsRW" TargetMode="External"/><Relationship Id="rId4832" Type="http://schemas.openxmlformats.org/officeDocument/2006/relationships/hyperlink" Target="https://talan.bank.gov.ua/get-user-certificate/sec1eXDTo8c09wq7vNM-" TargetMode="External"/><Relationship Id="rId2383" Type="http://schemas.openxmlformats.org/officeDocument/2006/relationships/hyperlink" Target="https://talan.bank.gov.ua/get-user-certificate/sec1e5zJZo_IwmbPtlyE" TargetMode="External"/><Relationship Id="rId3434" Type="http://schemas.openxmlformats.org/officeDocument/2006/relationships/hyperlink" Target="https://talan.bank.gov.ua/get-user-certificate/sec1esUpSya-hUMxZ5Pt" TargetMode="External"/><Relationship Id="rId355" Type="http://schemas.openxmlformats.org/officeDocument/2006/relationships/hyperlink" Target="https://talan.bank.gov.ua/get-user-certificate/sec1ervOmI4Liir2pLxq" TargetMode="External"/><Relationship Id="rId2036" Type="http://schemas.openxmlformats.org/officeDocument/2006/relationships/hyperlink" Target="https://talan.bank.gov.ua/get-user-certificate/sec1esrtQ1WooAK69cIj" TargetMode="External"/><Relationship Id="rId2450" Type="http://schemas.openxmlformats.org/officeDocument/2006/relationships/hyperlink" Target="https://talan.bank.gov.ua/get-user-certificate/sec1eLi_QwnJ0ddb2Mo3" TargetMode="External"/><Relationship Id="rId3501" Type="http://schemas.openxmlformats.org/officeDocument/2006/relationships/hyperlink" Target="https://talan.bank.gov.ua/get-user-certificate/sec1erpgrWx-0VALqbrd" TargetMode="External"/><Relationship Id="rId422" Type="http://schemas.openxmlformats.org/officeDocument/2006/relationships/hyperlink" Target="https://talan.bank.gov.ua/get-user-certificate/sec1eqnmkc7X3bu73Ctr" TargetMode="External"/><Relationship Id="rId1052" Type="http://schemas.openxmlformats.org/officeDocument/2006/relationships/hyperlink" Target="https://talan.bank.gov.ua/get-user-certificate/sec1en3t0DAz6OW0Zl06" TargetMode="External"/><Relationship Id="rId2103" Type="http://schemas.openxmlformats.org/officeDocument/2006/relationships/hyperlink" Target="https://talan.bank.gov.ua/get-user-certificate/sec1exlXbCkYyu0e2OY3" TargetMode="External"/><Relationship Id="rId4275" Type="http://schemas.openxmlformats.org/officeDocument/2006/relationships/hyperlink" Target="https://talan.bank.gov.ua/get-user-certificate/sec1eBPjq0XMABM7dxnb" TargetMode="External"/><Relationship Id="rId1869" Type="http://schemas.openxmlformats.org/officeDocument/2006/relationships/hyperlink" Target="https://talan.bank.gov.ua/get-user-certificate/sec1eCbbr9DvuPLKtvvA" TargetMode="External"/><Relationship Id="rId3291" Type="http://schemas.openxmlformats.org/officeDocument/2006/relationships/hyperlink" Target="https://talan.bank.gov.ua/get-user-certificate/sec1etSFtApqsreYNYKg" TargetMode="External"/><Relationship Id="rId1936" Type="http://schemas.openxmlformats.org/officeDocument/2006/relationships/hyperlink" Target="https://talan.bank.gov.ua/get-user-certificate/sec1e2UboXW8SvdaoIac" TargetMode="External"/><Relationship Id="rId4342" Type="http://schemas.openxmlformats.org/officeDocument/2006/relationships/hyperlink" Target="https://talan.bank.gov.ua/get-user-certificate/sec1eUByGph1FOKhJTQ4" TargetMode="External"/><Relationship Id="rId3011" Type="http://schemas.openxmlformats.org/officeDocument/2006/relationships/hyperlink" Target="https://talan.bank.gov.ua/get-user-certificate/sec1epvWxhLA5kMpwqZu" TargetMode="External"/><Relationship Id="rId2777" Type="http://schemas.openxmlformats.org/officeDocument/2006/relationships/hyperlink" Target="https://talan.bank.gov.ua/get-user-certificate/sec1ecLkyLj5El61u142" TargetMode="External"/><Relationship Id="rId749" Type="http://schemas.openxmlformats.org/officeDocument/2006/relationships/hyperlink" Target="https://talan.bank.gov.ua/get-user-certificate/sec1etx1o73akpo5uvB-" TargetMode="External"/><Relationship Id="rId1379" Type="http://schemas.openxmlformats.org/officeDocument/2006/relationships/hyperlink" Target="https://talan.bank.gov.ua/get-user-certificate/sec1e9dRXvIVpqvn745s" TargetMode="External"/><Relationship Id="rId3828" Type="http://schemas.openxmlformats.org/officeDocument/2006/relationships/hyperlink" Target="https://talan.bank.gov.ua/get-user-certificate/sec1eJqxUPJHfxMuGmIq" TargetMode="External"/><Relationship Id="rId1793" Type="http://schemas.openxmlformats.org/officeDocument/2006/relationships/hyperlink" Target="https://talan.bank.gov.ua/get-user-certificate/sec1e4M0Pg7plfHawRq7" TargetMode="External"/><Relationship Id="rId2844" Type="http://schemas.openxmlformats.org/officeDocument/2006/relationships/hyperlink" Target="https://talan.bank.gov.ua/get-user-certificate/sec1eRmrz9K-JJgzJOZN" TargetMode="External"/><Relationship Id="rId85" Type="http://schemas.openxmlformats.org/officeDocument/2006/relationships/hyperlink" Target="https://talan.bank.gov.ua/get-user-certificate/sec1eznww_8QccaUcUHH" TargetMode="External"/><Relationship Id="rId816" Type="http://schemas.openxmlformats.org/officeDocument/2006/relationships/hyperlink" Target="https://talan.bank.gov.ua/get-user-certificate/sec1eITfM10cOfnvE8xu" TargetMode="External"/><Relationship Id="rId1446" Type="http://schemas.openxmlformats.org/officeDocument/2006/relationships/hyperlink" Target="https://talan.bank.gov.ua/get-user-certificate/sec1eO7BfRwcJZy4B7Xt" TargetMode="External"/><Relationship Id="rId1860" Type="http://schemas.openxmlformats.org/officeDocument/2006/relationships/hyperlink" Target="https://talan.bank.gov.ua/get-user-certificate/sec1eJjtS0fkh9uOXUC4" TargetMode="External"/><Relationship Id="rId2911" Type="http://schemas.openxmlformats.org/officeDocument/2006/relationships/hyperlink" Target="https://talan.bank.gov.ua/get-user-certificate/sec1evaew0qAD4vu4irw" TargetMode="External"/><Relationship Id="rId1513" Type="http://schemas.openxmlformats.org/officeDocument/2006/relationships/hyperlink" Target="https://talan.bank.gov.ua/get-user-certificate/sec1eT549WmG4ub40cpZ" TargetMode="External"/><Relationship Id="rId4669" Type="http://schemas.openxmlformats.org/officeDocument/2006/relationships/hyperlink" Target="https://talan.bank.gov.ua/get-user-certificate/sec1eM4rJW1oGnsWZ_SB" TargetMode="External"/><Relationship Id="rId3685" Type="http://schemas.openxmlformats.org/officeDocument/2006/relationships/hyperlink" Target="https://talan.bank.gov.ua/get-user-certificate/sec1ev-SoHdvmtDmTqV1" TargetMode="External"/><Relationship Id="rId4736" Type="http://schemas.openxmlformats.org/officeDocument/2006/relationships/hyperlink" Target="https://talan.bank.gov.ua/get-user-certificate/sec1eiCsUgDrEM0cgBCs" TargetMode="External"/><Relationship Id="rId2287" Type="http://schemas.openxmlformats.org/officeDocument/2006/relationships/hyperlink" Target="https://talan.bank.gov.ua/get-user-certificate/sec1e8fICqwrWRV0GYbV" TargetMode="External"/><Relationship Id="rId3338" Type="http://schemas.openxmlformats.org/officeDocument/2006/relationships/hyperlink" Target="https://talan.bank.gov.ua/get-user-certificate/sec1eBbxg7yxn8j9KBx2" TargetMode="External"/><Relationship Id="rId3752" Type="http://schemas.openxmlformats.org/officeDocument/2006/relationships/hyperlink" Target="https://talan.bank.gov.ua/get-user-certificate/sec1e6pCclYHcJzfDkE8" TargetMode="External"/><Relationship Id="rId259" Type="http://schemas.openxmlformats.org/officeDocument/2006/relationships/hyperlink" Target="https://talan.bank.gov.ua/get-user-certificate/sec1eYXxjIuXolH9nJAq" TargetMode="External"/><Relationship Id="rId673" Type="http://schemas.openxmlformats.org/officeDocument/2006/relationships/hyperlink" Target="https://talan.bank.gov.ua/get-user-certificate/sec1e7zn6lSSKeiFGfW5" TargetMode="External"/><Relationship Id="rId2354" Type="http://schemas.openxmlformats.org/officeDocument/2006/relationships/hyperlink" Target="https://talan.bank.gov.ua/get-user-certificate/sec1eivQexrPVek7E9TL" TargetMode="External"/><Relationship Id="rId3405" Type="http://schemas.openxmlformats.org/officeDocument/2006/relationships/hyperlink" Target="https://talan.bank.gov.ua/get-user-certificate/sec1e4fPbnJt5YeWj3JI" TargetMode="External"/><Relationship Id="rId4803" Type="http://schemas.openxmlformats.org/officeDocument/2006/relationships/hyperlink" Target="https://talan.bank.gov.ua/get-user-certificate/sec1eVGQLreI5AMKthD2" TargetMode="External"/><Relationship Id="rId326" Type="http://schemas.openxmlformats.org/officeDocument/2006/relationships/hyperlink" Target="https://talan.bank.gov.ua/get-user-certificate/sec1esQc91gyepL-rWhW" TargetMode="External"/><Relationship Id="rId1370" Type="http://schemas.openxmlformats.org/officeDocument/2006/relationships/hyperlink" Target="https://talan.bank.gov.ua/get-user-certificate/sec1e48CrqwD-yqnuKUV" TargetMode="External"/><Relationship Id="rId2007" Type="http://schemas.openxmlformats.org/officeDocument/2006/relationships/hyperlink" Target="https://talan.bank.gov.ua/get-user-certificate/sec1e7_jaBzEVrnYwDC0" TargetMode="External"/><Relationship Id="rId740" Type="http://schemas.openxmlformats.org/officeDocument/2006/relationships/hyperlink" Target="https://talan.bank.gov.ua/get-user-certificate/sec1eKl3IhT2YE27iqeS" TargetMode="External"/><Relationship Id="rId1023" Type="http://schemas.openxmlformats.org/officeDocument/2006/relationships/hyperlink" Target="https://talan.bank.gov.ua/get-user-certificate/sec1egcBhG8oJh2H8pjv" TargetMode="External"/><Relationship Id="rId2421" Type="http://schemas.openxmlformats.org/officeDocument/2006/relationships/hyperlink" Target="https://talan.bank.gov.ua/get-user-certificate/sec1edlN63CMyvvdtF5_" TargetMode="External"/><Relationship Id="rId4179" Type="http://schemas.openxmlformats.org/officeDocument/2006/relationships/hyperlink" Target="https://talan.bank.gov.ua/get-user-certificate/sec1eR8YyoLkkAEU41PE" TargetMode="External"/><Relationship Id="rId4593" Type="http://schemas.openxmlformats.org/officeDocument/2006/relationships/hyperlink" Target="https://talan.bank.gov.ua/get-user-certificate/sec1e2YOOsnoTTDsbRpt" TargetMode="External"/><Relationship Id="rId3195" Type="http://schemas.openxmlformats.org/officeDocument/2006/relationships/hyperlink" Target="https://talan.bank.gov.ua/get-user-certificate/sec1e6Hv1GAKmz8hZErv" TargetMode="External"/><Relationship Id="rId4246" Type="http://schemas.openxmlformats.org/officeDocument/2006/relationships/hyperlink" Target="https://talan.bank.gov.ua/get-user-certificate/sec1e1ftuxykyKixIr5B" TargetMode="External"/><Relationship Id="rId4660" Type="http://schemas.openxmlformats.org/officeDocument/2006/relationships/hyperlink" Target="https://talan.bank.gov.ua/get-user-certificate/sec1elxmUL8IL2o4Qy2c" TargetMode="External"/><Relationship Id="rId3262" Type="http://schemas.openxmlformats.org/officeDocument/2006/relationships/hyperlink" Target="https://talan.bank.gov.ua/get-user-certificate/sec1eyahUVuD60aHZ23W" TargetMode="External"/><Relationship Id="rId4313" Type="http://schemas.openxmlformats.org/officeDocument/2006/relationships/hyperlink" Target="https://talan.bank.gov.ua/get-user-certificate/sec1eoEM1Qs_WLDrtYnL" TargetMode="External"/><Relationship Id="rId183" Type="http://schemas.openxmlformats.org/officeDocument/2006/relationships/hyperlink" Target="https://talan.bank.gov.ua/get-user-certificate/sec1eV9TarvctebKS1MQ" TargetMode="External"/><Relationship Id="rId1907" Type="http://schemas.openxmlformats.org/officeDocument/2006/relationships/hyperlink" Target="https://talan.bank.gov.ua/get-user-certificate/sec1euT2VOeKCNYcqvhg" TargetMode="External"/><Relationship Id="rId250" Type="http://schemas.openxmlformats.org/officeDocument/2006/relationships/hyperlink" Target="https://talan.bank.gov.ua/get-user-certificate/sec1eXEMm7Nmoq0qbdWY" TargetMode="External"/><Relationship Id="rId1697" Type="http://schemas.openxmlformats.org/officeDocument/2006/relationships/hyperlink" Target="https://talan.bank.gov.ua/get-user-certificate/sec1eq-uKc4G3jmI2jP3" TargetMode="External"/><Relationship Id="rId2748" Type="http://schemas.openxmlformats.org/officeDocument/2006/relationships/hyperlink" Target="https://talan.bank.gov.ua/get-user-certificate/sec1ehBaSSiOOT8GeCNq" TargetMode="External"/><Relationship Id="rId1764" Type="http://schemas.openxmlformats.org/officeDocument/2006/relationships/hyperlink" Target="https://talan.bank.gov.ua/get-user-certificate/sec1eajjCssPcc9vML6F" TargetMode="External"/><Relationship Id="rId2815" Type="http://schemas.openxmlformats.org/officeDocument/2006/relationships/hyperlink" Target="https://talan.bank.gov.ua/get-user-certificate/sec1e9GHBpHDJr84XW-a" TargetMode="External"/><Relationship Id="rId4170" Type="http://schemas.openxmlformats.org/officeDocument/2006/relationships/hyperlink" Target="https://talan.bank.gov.ua/get-user-certificate/sec1eMwVX7EUQdYu3txu" TargetMode="External"/><Relationship Id="rId56" Type="http://schemas.openxmlformats.org/officeDocument/2006/relationships/hyperlink" Target="https://talan.bank.gov.ua/get-user-certificate/sec1ePCjDQXmLIUgv25l" TargetMode="External"/><Relationship Id="rId1417" Type="http://schemas.openxmlformats.org/officeDocument/2006/relationships/hyperlink" Target="https://talan.bank.gov.ua/get-user-certificate/sec1eshSwuYV6DNH5w46" TargetMode="External"/><Relationship Id="rId1831" Type="http://schemas.openxmlformats.org/officeDocument/2006/relationships/hyperlink" Target="https://talan.bank.gov.ua/get-user-certificate/sec1eXXzQsU-gDuKaQQW" TargetMode="External"/><Relationship Id="rId4987" Type="http://schemas.openxmlformats.org/officeDocument/2006/relationships/hyperlink" Target="https://talan.bank.gov.ua/get-user-certificate/sec1eSU9qXc_yvLhTggI" TargetMode="External"/><Relationship Id="rId3589" Type="http://schemas.openxmlformats.org/officeDocument/2006/relationships/hyperlink" Target="https://talan.bank.gov.ua/get-user-certificate/sec1emNFLVxu35w7w5k5" TargetMode="External"/><Relationship Id="rId577" Type="http://schemas.openxmlformats.org/officeDocument/2006/relationships/hyperlink" Target="https://talan.bank.gov.ua/get-user-certificate/sec1eg9WjCvP4Fi-clQr" TargetMode="External"/><Relationship Id="rId2258" Type="http://schemas.openxmlformats.org/officeDocument/2006/relationships/hyperlink" Target="https://talan.bank.gov.ua/get-user-certificate/sec1eg8zPOqrsIjjIRgu" TargetMode="External"/><Relationship Id="rId3656" Type="http://schemas.openxmlformats.org/officeDocument/2006/relationships/hyperlink" Target="https://talan.bank.gov.ua/get-user-certificate/sec1eE3KI2HpFeUHkKJ9" TargetMode="External"/><Relationship Id="rId4707" Type="http://schemas.openxmlformats.org/officeDocument/2006/relationships/hyperlink" Target="https://talan.bank.gov.ua/get-user-certificate/sec1edP0TFAFV14RQVxC" TargetMode="External"/><Relationship Id="rId991" Type="http://schemas.openxmlformats.org/officeDocument/2006/relationships/hyperlink" Target="https://talan.bank.gov.ua/get-user-certificate/sec1e9g2T7H79N6zNUIb" TargetMode="External"/><Relationship Id="rId2672" Type="http://schemas.openxmlformats.org/officeDocument/2006/relationships/hyperlink" Target="https://talan.bank.gov.ua/get-user-certificate/sec1eMkYuOCaM6IoXOpm" TargetMode="External"/><Relationship Id="rId3309" Type="http://schemas.openxmlformats.org/officeDocument/2006/relationships/hyperlink" Target="https://talan.bank.gov.ua/get-user-certificate/sec1e471Fygqdiz5Vzkz" TargetMode="External"/><Relationship Id="rId3723" Type="http://schemas.openxmlformats.org/officeDocument/2006/relationships/hyperlink" Target="https://talan.bank.gov.ua/get-user-certificate/sec1eiaXSCWGw4xFBOFF" TargetMode="External"/><Relationship Id="rId644" Type="http://schemas.openxmlformats.org/officeDocument/2006/relationships/hyperlink" Target="https://talan.bank.gov.ua/get-user-certificate/sec1eYigmUjY5UKgr32t" TargetMode="External"/><Relationship Id="rId1274" Type="http://schemas.openxmlformats.org/officeDocument/2006/relationships/hyperlink" Target="https://talan.bank.gov.ua/get-user-certificate/sec1egqR2JlpPPXNEPaa" TargetMode="External"/><Relationship Id="rId2325" Type="http://schemas.openxmlformats.org/officeDocument/2006/relationships/hyperlink" Target="https://talan.bank.gov.ua/get-user-certificate/sec1eo1hWshArvQHM59Y" TargetMode="External"/><Relationship Id="rId711" Type="http://schemas.openxmlformats.org/officeDocument/2006/relationships/hyperlink" Target="https://talan.bank.gov.ua/get-user-certificate/sec1eKMT3RB0QJz9xH-z" TargetMode="External"/><Relationship Id="rId1341" Type="http://schemas.openxmlformats.org/officeDocument/2006/relationships/hyperlink" Target="https://talan.bank.gov.ua/get-user-certificate/sec1eekzuogPecZqOHOJ" TargetMode="External"/><Relationship Id="rId4497" Type="http://schemas.openxmlformats.org/officeDocument/2006/relationships/hyperlink" Target="https://talan.bank.gov.ua/get-user-certificate/sec1eOIWi5nfPGVfYuqr" TargetMode="External"/><Relationship Id="rId3099" Type="http://schemas.openxmlformats.org/officeDocument/2006/relationships/hyperlink" Target="https://talan.bank.gov.ua/get-user-certificate/sec1eAW-yhNJm6v1ST2m" TargetMode="External"/><Relationship Id="rId4564" Type="http://schemas.openxmlformats.org/officeDocument/2006/relationships/hyperlink" Target="https://talan.bank.gov.ua/get-user-certificate/sec1eYZ9CV2DbB3kOPlj" TargetMode="External"/><Relationship Id="rId3166" Type="http://schemas.openxmlformats.org/officeDocument/2006/relationships/hyperlink" Target="https://talan.bank.gov.ua/get-user-certificate/sec1ebUhtinH_M82EFjD" TargetMode="External"/><Relationship Id="rId3580" Type="http://schemas.openxmlformats.org/officeDocument/2006/relationships/hyperlink" Target="https://talan.bank.gov.ua/get-user-certificate/sec1eOTdUrCmql1K64-T" TargetMode="External"/><Relationship Id="rId4217" Type="http://schemas.openxmlformats.org/officeDocument/2006/relationships/hyperlink" Target="https://talan.bank.gov.ua/get-user-certificate/sec1evm495KgGnRUYnIG" TargetMode="External"/><Relationship Id="rId2182" Type="http://schemas.openxmlformats.org/officeDocument/2006/relationships/hyperlink" Target="https://talan.bank.gov.ua/get-user-certificate/sec1eYasR8xQm5093Ta9" TargetMode="External"/><Relationship Id="rId3233" Type="http://schemas.openxmlformats.org/officeDocument/2006/relationships/hyperlink" Target="https://talan.bank.gov.ua/get-user-certificate/sec1eySh_PEBTG5c5K-i" TargetMode="External"/><Relationship Id="rId4631" Type="http://schemas.openxmlformats.org/officeDocument/2006/relationships/hyperlink" Target="https://talan.bank.gov.ua/get-user-certificate/sec1ev2odzw51oo-j6wk" TargetMode="External"/><Relationship Id="rId154" Type="http://schemas.openxmlformats.org/officeDocument/2006/relationships/hyperlink" Target="https://talan.bank.gov.ua/get-user-certificate/sec1e9GH_3fZnOM7gAIq" TargetMode="External"/><Relationship Id="rId2999" Type="http://schemas.openxmlformats.org/officeDocument/2006/relationships/hyperlink" Target="https://talan.bank.gov.ua/get-user-certificate/sec1ePVK7MKzjoX_TsAc" TargetMode="External"/><Relationship Id="rId3300" Type="http://schemas.openxmlformats.org/officeDocument/2006/relationships/hyperlink" Target="https://talan.bank.gov.ua/get-user-certificate/sec1eHty80MwsuMnz8-v" TargetMode="External"/><Relationship Id="rId221" Type="http://schemas.openxmlformats.org/officeDocument/2006/relationships/hyperlink" Target="https://talan.bank.gov.ua/get-user-certificate/sec1e5xrtsvROyldjisk" TargetMode="External"/><Relationship Id="rId1668" Type="http://schemas.openxmlformats.org/officeDocument/2006/relationships/hyperlink" Target="https://talan.bank.gov.ua/get-user-certificate/sec1ePLxqaDAQDC-NrsP" TargetMode="External"/><Relationship Id="rId2719" Type="http://schemas.openxmlformats.org/officeDocument/2006/relationships/hyperlink" Target="https://talan.bank.gov.ua/get-user-certificate/sec1eXJevPLWmM8IGFP5" TargetMode="External"/><Relationship Id="rId4074" Type="http://schemas.openxmlformats.org/officeDocument/2006/relationships/hyperlink" Target="https://talan.bank.gov.ua/get-user-certificate/sec1eas4eZyhh3PdXCyY" TargetMode="External"/><Relationship Id="rId3090" Type="http://schemas.openxmlformats.org/officeDocument/2006/relationships/hyperlink" Target="https://talan.bank.gov.ua/get-user-certificate/sec1exuMPJ0LMEu7wES6" TargetMode="External"/><Relationship Id="rId4141" Type="http://schemas.openxmlformats.org/officeDocument/2006/relationships/hyperlink" Target="https://talan.bank.gov.ua/get-user-certificate/sec1eyGnHSthYfh65IZg" TargetMode="External"/><Relationship Id="rId1735" Type="http://schemas.openxmlformats.org/officeDocument/2006/relationships/hyperlink" Target="https://talan.bank.gov.ua/get-user-certificate/sec1ePA3mO8OEVMqgQiM" TargetMode="External"/><Relationship Id="rId27" Type="http://schemas.openxmlformats.org/officeDocument/2006/relationships/hyperlink" Target="https://talan.bank.gov.ua/get-user-certificate/sec1eXheQG7MfR9FTZwf" TargetMode="External"/><Relationship Id="rId1802" Type="http://schemas.openxmlformats.org/officeDocument/2006/relationships/hyperlink" Target="https://talan.bank.gov.ua/get-user-certificate/sec1erY9WU4Pu_kCXt5P" TargetMode="External"/><Relationship Id="rId4958" Type="http://schemas.openxmlformats.org/officeDocument/2006/relationships/hyperlink" Target="https://talan.bank.gov.ua/get-user-certificate/sec1eh-rP8sXjmLW_0G0" TargetMode="External"/><Relationship Id="rId3974" Type="http://schemas.openxmlformats.org/officeDocument/2006/relationships/hyperlink" Target="https://talan.bank.gov.ua/get-user-certificate/sec1eFsMDHi3I1e2Wk0e" TargetMode="External"/><Relationship Id="rId895" Type="http://schemas.openxmlformats.org/officeDocument/2006/relationships/hyperlink" Target="https://talan.bank.gov.ua/get-user-certificate/sec1e6sZIeueoAQTuq3m" TargetMode="External"/><Relationship Id="rId2576" Type="http://schemas.openxmlformats.org/officeDocument/2006/relationships/hyperlink" Target="https://talan.bank.gov.ua/get-user-certificate/sec1ehkVsO1_aSRhvm7G" TargetMode="External"/><Relationship Id="rId2990" Type="http://schemas.openxmlformats.org/officeDocument/2006/relationships/hyperlink" Target="https://talan.bank.gov.ua/get-user-certificate/sec1ejXPdMnrQDopsP1t" TargetMode="External"/><Relationship Id="rId3627" Type="http://schemas.openxmlformats.org/officeDocument/2006/relationships/hyperlink" Target="https://talan.bank.gov.ua/get-user-certificate/sec1emS6ubrIB2cLpxnp" TargetMode="External"/><Relationship Id="rId548" Type="http://schemas.openxmlformats.org/officeDocument/2006/relationships/hyperlink" Target="https://talan.bank.gov.ua/get-user-certificate/sec1eDQR6u3CB969a3zt" TargetMode="External"/><Relationship Id="rId962" Type="http://schemas.openxmlformats.org/officeDocument/2006/relationships/hyperlink" Target="https://talan.bank.gov.ua/get-user-certificate/sec1eoEQ0NzjY9GMBo6a" TargetMode="External"/><Relationship Id="rId1178" Type="http://schemas.openxmlformats.org/officeDocument/2006/relationships/hyperlink" Target="https://talan.bank.gov.ua/get-user-certificate/sec1ehlIRguYzBgl11aZ" TargetMode="External"/><Relationship Id="rId1592" Type="http://schemas.openxmlformats.org/officeDocument/2006/relationships/hyperlink" Target="https://talan.bank.gov.ua/get-user-certificate/sec1e51nUPq55vZKXqEO" TargetMode="External"/><Relationship Id="rId2229" Type="http://schemas.openxmlformats.org/officeDocument/2006/relationships/hyperlink" Target="https://talan.bank.gov.ua/get-user-certificate/sec1ewrgH9IS43nSuLPi" TargetMode="External"/><Relationship Id="rId2643" Type="http://schemas.openxmlformats.org/officeDocument/2006/relationships/hyperlink" Target="https://talan.bank.gov.ua/get-user-certificate/sec1elPDV9CMAJHMf7dV" TargetMode="External"/><Relationship Id="rId615" Type="http://schemas.openxmlformats.org/officeDocument/2006/relationships/hyperlink" Target="https://talan.bank.gov.ua/get-user-certificate/sec1e9V01MXgKmLPsgaK" TargetMode="External"/><Relationship Id="rId1245" Type="http://schemas.openxmlformats.org/officeDocument/2006/relationships/hyperlink" Target="https://talan.bank.gov.ua/get-user-certificate/sec1eEUEtK4IVBUsb0pl" TargetMode="External"/><Relationship Id="rId1312" Type="http://schemas.openxmlformats.org/officeDocument/2006/relationships/hyperlink" Target="https://talan.bank.gov.ua/get-user-certificate/sec1ee-RPjN9HQAANLP1" TargetMode="External"/><Relationship Id="rId2710" Type="http://schemas.openxmlformats.org/officeDocument/2006/relationships/hyperlink" Target="https://talan.bank.gov.ua/get-user-certificate/sec1eV3ge8ldzGHnMa-_" TargetMode="External"/><Relationship Id="rId4468" Type="http://schemas.openxmlformats.org/officeDocument/2006/relationships/hyperlink" Target="https://talan.bank.gov.ua/get-user-certificate/sec1e7qAbiqgJUXTu-K8" TargetMode="External"/><Relationship Id="rId4882" Type="http://schemas.openxmlformats.org/officeDocument/2006/relationships/hyperlink" Target="https://talan.bank.gov.ua/get-user-certificate/sec1ec7ZKy-8WV-Tix1w" TargetMode="External"/><Relationship Id="rId2086" Type="http://schemas.openxmlformats.org/officeDocument/2006/relationships/hyperlink" Target="https://talan.bank.gov.ua/get-user-certificate/sec1e97bxZBtKi00wPzx" TargetMode="External"/><Relationship Id="rId3484" Type="http://schemas.openxmlformats.org/officeDocument/2006/relationships/hyperlink" Target="https://talan.bank.gov.ua/get-user-certificate/sec1eLAUsX_Psi5ETni-" TargetMode="External"/><Relationship Id="rId4535" Type="http://schemas.openxmlformats.org/officeDocument/2006/relationships/hyperlink" Target="https://talan.bank.gov.ua/get-user-certificate/sec1esHDSn87GRIiVlYe" TargetMode="External"/><Relationship Id="rId3137" Type="http://schemas.openxmlformats.org/officeDocument/2006/relationships/hyperlink" Target="https://talan.bank.gov.ua/get-user-certificate/sec1e7d4S0ne03Sm5iKq" TargetMode="External"/><Relationship Id="rId3551" Type="http://schemas.openxmlformats.org/officeDocument/2006/relationships/hyperlink" Target="https://talan.bank.gov.ua/get-user-certificate/sec1edKDdlFo8lmsHDhF" TargetMode="External"/><Relationship Id="rId4602" Type="http://schemas.openxmlformats.org/officeDocument/2006/relationships/hyperlink" Target="https://talan.bank.gov.ua/get-user-certificate/sec1e5uWgyx5loAnC7rC" TargetMode="External"/><Relationship Id="rId472" Type="http://schemas.openxmlformats.org/officeDocument/2006/relationships/hyperlink" Target="https://talan.bank.gov.ua/get-user-certificate/sec1exlgm37CCoFxAdUT" TargetMode="External"/><Relationship Id="rId2153" Type="http://schemas.openxmlformats.org/officeDocument/2006/relationships/hyperlink" Target="https://talan.bank.gov.ua/get-user-certificate/sec1evUakYoE6I-xUeeZ" TargetMode="External"/><Relationship Id="rId3204" Type="http://schemas.openxmlformats.org/officeDocument/2006/relationships/hyperlink" Target="https://talan.bank.gov.ua/get-user-certificate/sec1end8JahmeYVGsEiF" TargetMode="External"/><Relationship Id="rId125" Type="http://schemas.openxmlformats.org/officeDocument/2006/relationships/hyperlink" Target="https://talan.bank.gov.ua/get-user-certificate/sec1eyZG6DT0n8iQ0z1k" TargetMode="External"/><Relationship Id="rId2220" Type="http://schemas.openxmlformats.org/officeDocument/2006/relationships/hyperlink" Target="https://talan.bank.gov.ua/get-user-certificate/sec1eb1jkBUsc-48RTEP" TargetMode="External"/><Relationship Id="rId4392" Type="http://schemas.openxmlformats.org/officeDocument/2006/relationships/hyperlink" Target="https://talan.bank.gov.ua/get-user-certificate/sec1eKKWZy153PeMYCdl" TargetMode="External"/><Relationship Id="rId1986" Type="http://schemas.openxmlformats.org/officeDocument/2006/relationships/hyperlink" Target="https://talan.bank.gov.ua/get-user-certificate/sec1etmsrumlf74xkc4O" TargetMode="External"/><Relationship Id="rId4045" Type="http://schemas.openxmlformats.org/officeDocument/2006/relationships/hyperlink" Target="https://talan.bank.gov.ua/get-user-certificate/sec1eydX5uE5BbxTRLsE" TargetMode="External"/><Relationship Id="rId1639" Type="http://schemas.openxmlformats.org/officeDocument/2006/relationships/hyperlink" Target="https://talan.bank.gov.ua/get-user-certificate/sec1eF4joZykeTnwqDpG" TargetMode="External"/><Relationship Id="rId3061" Type="http://schemas.openxmlformats.org/officeDocument/2006/relationships/hyperlink" Target="https://talan.bank.gov.ua/get-user-certificate/sec1erHDXhMcXojCOsRC" TargetMode="External"/><Relationship Id="rId1706" Type="http://schemas.openxmlformats.org/officeDocument/2006/relationships/hyperlink" Target="https://talan.bank.gov.ua/get-user-certificate/sec1er32M_o_RQZ5qlh5" TargetMode="External"/><Relationship Id="rId4112" Type="http://schemas.openxmlformats.org/officeDocument/2006/relationships/hyperlink" Target="https://talan.bank.gov.ua/get-user-certificate/sec1et7oKUYZc7yGZWMA" TargetMode="External"/><Relationship Id="rId3878" Type="http://schemas.openxmlformats.org/officeDocument/2006/relationships/hyperlink" Target="https://talan.bank.gov.ua/get-user-certificate/sec1ermMSdmYEfKYpm5i" TargetMode="External"/><Relationship Id="rId4929" Type="http://schemas.openxmlformats.org/officeDocument/2006/relationships/hyperlink" Target="https://talan.bank.gov.ua/get-user-certificate/sec1eYLADFoOYsV8B06X" TargetMode="External"/><Relationship Id="rId799" Type="http://schemas.openxmlformats.org/officeDocument/2006/relationships/hyperlink" Target="https://talan.bank.gov.ua/get-user-certificate/sec1e03JX5HxBMNmfYVM" TargetMode="External"/><Relationship Id="rId2894" Type="http://schemas.openxmlformats.org/officeDocument/2006/relationships/hyperlink" Target="https://talan.bank.gov.ua/get-user-certificate/sec1e0VdwUrz1zloKhY_" TargetMode="External"/><Relationship Id="rId866" Type="http://schemas.openxmlformats.org/officeDocument/2006/relationships/hyperlink" Target="https://talan.bank.gov.ua/get-user-certificate/sec1e5SWP_81X3767JGV" TargetMode="External"/><Relationship Id="rId1496" Type="http://schemas.openxmlformats.org/officeDocument/2006/relationships/hyperlink" Target="https://talan.bank.gov.ua/get-user-certificate/sec1ev_aHV_C5ujvzIXO" TargetMode="External"/><Relationship Id="rId2547" Type="http://schemas.openxmlformats.org/officeDocument/2006/relationships/hyperlink" Target="https://talan.bank.gov.ua/get-user-certificate/sec1eQsQVGPo9lgUm6yS" TargetMode="External"/><Relationship Id="rId3945" Type="http://schemas.openxmlformats.org/officeDocument/2006/relationships/hyperlink" Target="https://talan.bank.gov.ua/get-user-certificate/sec1esy32F5y_WqO3OQt" TargetMode="External"/><Relationship Id="rId519" Type="http://schemas.openxmlformats.org/officeDocument/2006/relationships/hyperlink" Target="https://talan.bank.gov.ua/get-user-certificate/sec1eMjar32Lio7zuMXG" TargetMode="External"/><Relationship Id="rId1149" Type="http://schemas.openxmlformats.org/officeDocument/2006/relationships/hyperlink" Target="https://talan.bank.gov.ua/get-user-certificate/sec1ead-X-_LEy-m5RRX" TargetMode="External"/><Relationship Id="rId2961" Type="http://schemas.openxmlformats.org/officeDocument/2006/relationships/hyperlink" Target="https://talan.bank.gov.ua/get-user-certificate/sec1eshl0kyoBcr8LXjv" TargetMode="External"/><Relationship Id="rId5020" Type="http://schemas.openxmlformats.org/officeDocument/2006/relationships/hyperlink" Target="https://talan.bank.gov.ua/get-user-certificate/f7i-sUVf287ajfLJas6q" TargetMode="External"/><Relationship Id="rId933" Type="http://schemas.openxmlformats.org/officeDocument/2006/relationships/hyperlink" Target="https://talan.bank.gov.ua/get-user-certificate/sec1eKgw04nKCfFRrNer" TargetMode="External"/><Relationship Id="rId1563" Type="http://schemas.openxmlformats.org/officeDocument/2006/relationships/hyperlink" Target="https://talan.bank.gov.ua/get-user-certificate/sec1eatTRa3d-9iVsu66" TargetMode="External"/><Relationship Id="rId2614" Type="http://schemas.openxmlformats.org/officeDocument/2006/relationships/hyperlink" Target="https://talan.bank.gov.ua/get-user-certificate/sec1e54vi-ziV7TXobzd" TargetMode="External"/><Relationship Id="rId1216" Type="http://schemas.openxmlformats.org/officeDocument/2006/relationships/hyperlink" Target="https://talan.bank.gov.ua/get-user-certificate/sec1evkkZ2I42I6Sm9kT" TargetMode="External"/><Relationship Id="rId1630" Type="http://schemas.openxmlformats.org/officeDocument/2006/relationships/hyperlink" Target="https://talan.bank.gov.ua/get-user-certificate/sec1e7x9m9VdxHs1kb5F" TargetMode="External"/><Relationship Id="rId4786" Type="http://schemas.openxmlformats.org/officeDocument/2006/relationships/hyperlink" Target="https://talan.bank.gov.ua/get-user-certificate/sec1ewk8GJt8ahj1IkFC" TargetMode="External"/><Relationship Id="rId3388" Type="http://schemas.openxmlformats.org/officeDocument/2006/relationships/hyperlink" Target="https://talan.bank.gov.ua/get-user-certificate/sec1eMVqOCU0aC8icCTo" TargetMode="External"/><Relationship Id="rId4439" Type="http://schemas.openxmlformats.org/officeDocument/2006/relationships/hyperlink" Target="https://talan.bank.gov.ua/get-user-certificate/sec1e1DIANRPkklLhAwp" TargetMode="External"/><Relationship Id="rId4853" Type="http://schemas.openxmlformats.org/officeDocument/2006/relationships/hyperlink" Target="https://talan.bank.gov.ua/get-user-certificate/sec1ex_PXxg1RE1dmUdE" TargetMode="External"/><Relationship Id="rId3455" Type="http://schemas.openxmlformats.org/officeDocument/2006/relationships/hyperlink" Target="https://talan.bank.gov.ua/get-user-certificate/sec1e1KnQKAxuAe9SMJ5" TargetMode="External"/><Relationship Id="rId4506" Type="http://schemas.openxmlformats.org/officeDocument/2006/relationships/hyperlink" Target="https://talan.bank.gov.ua/get-user-certificate/sec1eid66M2LNzDsNkcJ" TargetMode="External"/><Relationship Id="rId376" Type="http://schemas.openxmlformats.org/officeDocument/2006/relationships/hyperlink" Target="https://talan.bank.gov.ua/get-user-certificate/sec1e3RUAKiIm5YQ0ZnT" TargetMode="External"/><Relationship Id="rId790" Type="http://schemas.openxmlformats.org/officeDocument/2006/relationships/hyperlink" Target="https://talan.bank.gov.ua/get-user-certificate/sec1ePJWsMjinWMeRHQP" TargetMode="External"/><Relationship Id="rId2057" Type="http://schemas.openxmlformats.org/officeDocument/2006/relationships/hyperlink" Target="https://talan.bank.gov.ua/get-user-certificate/sec1e6aImJp32oElQieX" TargetMode="External"/><Relationship Id="rId2471" Type="http://schemas.openxmlformats.org/officeDocument/2006/relationships/hyperlink" Target="https://talan.bank.gov.ua/get-user-certificate/sec1euMxiyc_WQZHIsqA" TargetMode="External"/><Relationship Id="rId3108" Type="http://schemas.openxmlformats.org/officeDocument/2006/relationships/hyperlink" Target="https://talan.bank.gov.ua/get-user-certificate/sec1eYCI4qPBVLopB8nB" TargetMode="External"/><Relationship Id="rId3522" Type="http://schemas.openxmlformats.org/officeDocument/2006/relationships/hyperlink" Target="https://talan.bank.gov.ua/get-user-certificate/sec1eprSXENVT8AlxxRP" TargetMode="External"/><Relationship Id="rId4920" Type="http://schemas.openxmlformats.org/officeDocument/2006/relationships/hyperlink" Target="https://talan.bank.gov.ua/get-user-certificate/sec1ehD6ENMnoV3wq7qy" TargetMode="External"/><Relationship Id="rId443" Type="http://schemas.openxmlformats.org/officeDocument/2006/relationships/hyperlink" Target="https://talan.bank.gov.ua/get-user-certificate/sec1eiyEQjKw4q9GB1a2" TargetMode="External"/><Relationship Id="rId1073" Type="http://schemas.openxmlformats.org/officeDocument/2006/relationships/hyperlink" Target="https://talan.bank.gov.ua/get-user-certificate/sec1egLVNA9B2-1_pzzt" TargetMode="External"/><Relationship Id="rId2124" Type="http://schemas.openxmlformats.org/officeDocument/2006/relationships/hyperlink" Target="https://talan.bank.gov.ua/get-user-certificate/sec1eRd5VC7oBEY_qiI9" TargetMode="External"/><Relationship Id="rId1140" Type="http://schemas.openxmlformats.org/officeDocument/2006/relationships/hyperlink" Target="https://talan.bank.gov.ua/get-user-certificate/sec1eUacKzzUrXPODOs3" TargetMode="External"/><Relationship Id="rId4296" Type="http://schemas.openxmlformats.org/officeDocument/2006/relationships/hyperlink" Target="https://talan.bank.gov.ua/get-user-certificate/sec1eJBBBfuIpwQtQGsB" TargetMode="External"/><Relationship Id="rId510" Type="http://schemas.openxmlformats.org/officeDocument/2006/relationships/hyperlink" Target="https://talan.bank.gov.ua/get-user-certificate/sec1ecBhZHS18E7y41sy" TargetMode="External"/><Relationship Id="rId1957" Type="http://schemas.openxmlformats.org/officeDocument/2006/relationships/hyperlink" Target="https://talan.bank.gov.ua/get-user-certificate/sec1ekEamdKbix6GZSPl" TargetMode="External"/><Relationship Id="rId4363" Type="http://schemas.openxmlformats.org/officeDocument/2006/relationships/hyperlink" Target="https://talan.bank.gov.ua/get-user-certificate/sec1eZSoJX7KuJQytTZO" TargetMode="External"/><Relationship Id="rId4016" Type="http://schemas.openxmlformats.org/officeDocument/2006/relationships/hyperlink" Target="https://talan.bank.gov.ua/get-user-certificate/sec1eML-98PQ6wYXdddm" TargetMode="External"/><Relationship Id="rId4430" Type="http://schemas.openxmlformats.org/officeDocument/2006/relationships/hyperlink" Target="https://talan.bank.gov.ua/get-user-certificate/sec1eTHCynw__yjyWU-d" TargetMode="External"/><Relationship Id="rId3032" Type="http://schemas.openxmlformats.org/officeDocument/2006/relationships/hyperlink" Target="https://talan.bank.gov.ua/get-user-certificate/sec1eG_cQwQnu0sd95bQ" TargetMode="External"/><Relationship Id="rId2798" Type="http://schemas.openxmlformats.org/officeDocument/2006/relationships/hyperlink" Target="https://talan.bank.gov.ua/get-user-certificate/sec1e3pJMbgT_cemndTG" TargetMode="External"/><Relationship Id="rId3849" Type="http://schemas.openxmlformats.org/officeDocument/2006/relationships/hyperlink" Target="https://talan.bank.gov.ua/get-user-certificate/sec1ebzvQS5TaV4W0gi5" TargetMode="External"/><Relationship Id="rId2865" Type="http://schemas.openxmlformats.org/officeDocument/2006/relationships/hyperlink" Target="https://talan.bank.gov.ua/get-user-certificate/sec1exHEo5S3Et3uikEZ" TargetMode="External"/><Relationship Id="rId3916" Type="http://schemas.openxmlformats.org/officeDocument/2006/relationships/hyperlink" Target="https://talan.bank.gov.ua/get-user-certificate/sec1ekcWVFLx5UxKm6xd" TargetMode="External"/><Relationship Id="rId837" Type="http://schemas.openxmlformats.org/officeDocument/2006/relationships/hyperlink" Target="https://talan.bank.gov.ua/get-user-certificate/sec1et_DzrEOioiUF_CM" TargetMode="External"/><Relationship Id="rId1467" Type="http://schemas.openxmlformats.org/officeDocument/2006/relationships/hyperlink" Target="https://talan.bank.gov.ua/get-user-certificate/sec1eQ4Ux597oDNJUxHc" TargetMode="External"/><Relationship Id="rId1881" Type="http://schemas.openxmlformats.org/officeDocument/2006/relationships/hyperlink" Target="https://talan.bank.gov.ua/get-user-certificate/sec1eqPPUCwrRgoveaVx" TargetMode="External"/><Relationship Id="rId2518" Type="http://schemas.openxmlformats.org/officeDocument/2006/relationships/hyperlink" Target="https://talan.bank.gov.ua/get-user-certificate/sec1eS3lbnVdZn62qceB" TargetMode="External"/><Relationship Id="rId2932" Type="http://schemas.openxmlformats.org/officeDocument/2006/relationships/hyperlink" Target="https://talan.bank.gov.ua/get-user-certificate/sec1exVDWXwyHr8GANHg" TargetMode="External"/><Relationship Id="rId904" Type="http://schemas.openxmlformats.org/officeDocument/2006/relationships/hyperlink" Target="https://talan.bank.gov.ua/get-user-certificate/sec1eBzXoQQJKBHNHsC7" TargetMode="External"/><Relationship Id="rId1534" Type="http://schemas.openxmlformats.org/officeDocument/2006/relationships/hyperlink" Target="https://talan.bank.gov.ua/get-user-certificate/sec1eFLzrx61XM7wTyE7" TargetMode="External"/><Relationship Id="rId1601" Type="http://schemas.openxmlformats.org/officeDocument/2006/relationships/hyperlink" Target="https://talan.bank.gov.ua/get-user-certificate/sec1enCuYRGW09Bcmy3F" TargetMode="External"/><Relationship Id="rId4757" Type="http://schemas.openxmlformats.org/officeDocument/2006/relationships/hyperlink" Target="https://talan.bank.gov.ua/get-user-certificate/sec1eMoAAC4Gp6hDHRdr" TargetMode="External"/><Relationship Id="rId3359" Type="http://schemas.openxmlformats.org/officeDocument/2006/relationships/hyperlink" Target="https://talan.bank.gov.ua/get-user-certificate/sec1euC8_fnotM0Nd_1i" TargetMode="External"/><Relationship Id="rId694" Type="http://schemas.openxmlformats.org/officeDocument/2006/relationships/hyperlink" Target="https://talan.bank.gov.ua/get-user-certificate/sec1eKQGfKv4H5GoZC1B" TargetMode="External"/><Relationship Id="rId2375" Type="http://schemas.openxmlformats.org/officeDocument/2006/relationships/hyperlink" Target="https://talan.bank.gov.ua/get-user-certificate/sec1eWE-yhHnI59hdRd7" TargetMode="External"/><Relationship Id="rId3773" Type="http://schemas.openxmlformats.org/officeDocument/2006/relationships/hyperlink" Target="https://talan.bank.gov.ua/get-user-certificate/sec1eWy3R-QWsjcENE2v" TargetMode="External"/><Relationship Id="rId4824" Type="http://schemas.openxmlformats.org/officeDocument/2006/relationships/hyperlink" Target="https://talan.bank.gov.ua/get-user-certificate/sec1e7C3kcfB5ZtR-IFf" TargetMode="External"/><Relationship Id="rId347" Type="http://schemas.openxmlformats.org/officeDocument/2006/relationships/hyperlink" Target="https://talan.bank.gov.ua/get-user-certificate/sec1eM4PbEC1WNcVDm2f" TargetMode="External"/><Relationship Id="rId2028" Type="http://schemas.openxmlformats.org/officeDocument/2006/relationships/hyperlink" Target="https://talan.bank.gov.ua/get-user-certificate/sec1e49oXM1B6BvVDBMX" TargetMode="External"/><Relationship Id="rId3426" Type="http://schemas.openxmlformats.org/officeDocument/2006/relationships/hyperlink" Target="https://talan.bank.gov.ua/get-user-certificate/sec1eOLs5jJjNygyH6h6" TargetMode="External"/><Relationship Id="rId3840" Type="http://schemas.openxmlformats.org/officeDocument/2006/relationships/hyperlink" Target="https://talan.bank.gov.ua/get-user-certificate/sec1e33gTmSUSjq9Odkw" TargetMode="External"/><Relationship Id="rId761" Type="http://schemas.openxmlformats.org/officeDocument/2006/relationships/hyperlink" Target="https://talan.bank.gov.ua/get-user-certificate/sec1e_4_AB2ckirfiVOw" TargetMode="External"/><Relationship Id="rId1391" Type="http://schemas.openxmlformats.org/officeDocument/2006/relationships/hyperlink" Target="https://talan.bank.gov.ua/get-user-certificate/sec1e0XfuHuHLibejJxT" TargetMode="External"/><Relationship Id="rId2442" Type="http://schemas.openxmlformats.org/officeDocument/2006/relationships/hyperlink" Target="https://talan.bank.gov.ua/get-user-certificate/sec1eg29O0GAupzWklak" TargetMode="External"/><Relationship Id="rId414" Type="http://schemas.openxmlformats.org/officeDocument/2006/relationships/hyperlink" Target="https://talan.bank.gov.ua/get-user-certificate/sec1eYhUuEAipkbDUvaS" TargetMode="External"/><Relationship Id="rId1044" Type="http://schemas.openxmlformats.org/officeDocument/2006/relationships/hyperlink" Target="https://talan.bank.gov.ua/get-user-certificate/sec1eV40t6Hx8aaZirln" TargetMode="External"/><Relationship Id="rId1111" Type="http://schemas.openxmlformats.org/officeDocument/2006/relationships/hyperlink" Target="https://talan.bank.gov.ua/get-user-certificate/sec1eLNRm58DqcuTmLxL" TargetMode="External"/><Relationship Id="rId4267" Type="http://schemas.openxmlformats.org/officeDocument/2006/relationships/hyperlink" Target="https://talan.bank.gov.ua/get-user-certificate/sec1eQV_lelJ0pPU07MT" TargetMode="External"/><Relationship Id="rId4681" Type="http://schemas.openxmlformats.org/officeDocument/2006/relationships/hyperlink" Target="https://talan.bank.gov.ua/get-user-certificate/sec1eyRmbNRiBwHTrw7b" TargetMode="External"/><Relationship Id="rId3283" Type="http://schemas.openxmlformats.org/officeDocument/2006/relationships/hyperlink" Target="https://talan.bank.gov.ua/get-user-certificate/sec1e-2znHVfErmuS9FR" TargetMode="External"/><Relationship Id="rId4334" Type="http://schemas.openxmlformats.org/officeDocument/2006/relationships/hyperlink" Target="https://talan.bank.gov.ua/get-user-certificate/sec1eUeNn3DWZzZ92qHK" TargetMode="External"/><Relationship Id="rId1928" Type="http://schemas.openxmlformats.org/officeDocument/2006/relationships/hyperlink" Target="https://talan.bank.gov.ua/get-user-certificate/sec1eClCErVcYEO1qYyj" TargetMode="External"/><Relationship Id="rId3350" Type="http://schemas.openxmlformats.org/officeDocument/2006/relationships/hyperlink" Target="https://talan.bank.gov.ua/get-user-certificate/sec1eJkmgIiS9Ai9l2Th" TargetMode="External"/><Relationship Id="rId271" Type="http://schemas.openxmlformats.org/officeDocument/2006/relationships/hyperlink" Target="https://talan.bank.gov.ua/get-user-certificate/sec1esQOPYeQZkleCl8x" TargetMode="External"/><Relationship Id="rId3003" Type="http://schemas.openxmlformats.org/officeDocument/2006/relationships/hyperlink" Target="https://talan.bank.gov.ua/get-user-certificate/sec1emszx2P_iddhLEPX" TargetMode="External"/><Relationship Id="rId4401" Type="http://schemas.openxmlformats.org/officeDocument/2006/relationships/hyperlink" Target="https://talan.bank.gov.ua/get-user-certificate/sec1eNefP7GNq1fZCQur" TargetMode="External"/><Relationship Id="rId2769" Type="http://schemas.openxmlformats.org/officeDocument/2006/relationships/hyperlink" Target="https://talan.bank.gov.ua/get-user-certificate/sec1eG6rh6GUC6h6tG2U" TargetMode="External"/><Relationship Id="rId1785" Type="http://schemas.openxmlformats.org/officeDocument/2006/relationships/hyperlink" Target="https://talan.bank.gov.ua/get-user-certificate/sec1eQfId_CNwBpxn6Me" TargetMode="External"/><Relationship Id="rId2836" Type="http://schemas.openxmlformats.org/officeDocument/2006/relationships/hyperlink" Target="https://talan.bank.gov.ua/get-user-certificate/sec1ebHqSoNH1FK1d7-2" TargetMode="External"/><Relationship Id="rId4191" Type="http://schemas.openxmlformats.org/officeDocument/2006/relationships/hyperlink" Target="https://talan.bank.gov.ua/get-user-certificate/sec1eXfyI8x0A_IJCJuQ" TargetMode="External"/><Relationship Id="rId77" Type="http://schemas.openxmlformats.org/officeDocument/2006/relationships/hyperlink" Target="https://talan.bank.gov.ua/get-user-certificate/sec1eOSrSRhgW2iPEC5k" TargetMode="External"/><Relationship Id="rId808" Type="http://schemas.openxmlformats.org/officeDocument/2006/relationships/hyperlink" Target="https://talan.bank.gov.ua/get-user-certificate/sec1exCpoAxailOOg6Q4" TargetMode="External"/><Relationship Id="rId1438" Type="http://schemas.openxmlformats.org/officeDocument/2006/relationships/hyperlink" Target="https://talan.bank.gov.ua/get-user-certificate/sec1eZaAKJyGYIzthiu3" TargetMode="External"/><Relationship Id="rId1852" Type="http://schemas.openxmlformats.org/officeDocument/2006/relationships/hyperlink" Target="https://talan.bank.gov.ua/get-user-certificate/sec1eENiIzbkkHELC164" TargetMode="External"/><Relationship Id="rId2903" Type="http://schemas.openxmlformats.org/officeDocument/2006/relationships/hyperlink" Target="https://talan.bank.gov.ua/get-user-certificate/sec1ezroFz0FUFYPQuku" TargetMode="External"/><Relationship Id="rId1505" Type="http://schemas.openxmlformats.org/officeDocument/2006/relationships/hyperlink" Target="https://talan.bank.gov.ua/get-user-certificate/sec1e740c5-cmBrRR8Ae" TargetMode="External"/><Relationship Id="rId3677" Type="http://schemas.openxmlformats.org/officeDocument/2006/relationships/hyperlink" Target="https://talan.bank.gov.ua/get-user-certificate/sec1e2dKx56fFKqKkKfT" TargetMode="External"/><Relationship Id="rId4728" Type="http://schemas.openxmlformats.org/officeDocument/2006/relationships/hyperlink" Target="https://talan.bank.gov.ua/get-user-certificate/sec1ezxVaUMeE2wugZg6" TargetMode="External"/><Relationship Id="rId598" Type="http://schemas.openxmlformats.org/officeDocument/2006/relationships/hyperlink" Target="https://talan.bank.gov.ua/get-user-certificate/sec1er65J4X8sizAkzxk" TargetMode="External"/><Relationship Id="rId2279" Type="http://schemas.openxmlformats.org/officeDocument/2006/relationships/hyperlink" Target="https://talan.bank.gov.ua/get-user-certificate/sec1e6EzlGWnkH-OqUxG" TargetMode="External"/><Relationship Id="rId2693" Type="http://schemas.openxmlformats.org/officeDocument/2006/relationships/hyperlink" Target="https://talan.bank.gov.ua/get-user-certificate/sec1e3q5KP_xGsMZP3Q2" TargetMode="External"/><Relationship Id="rId3744" Type="http://schemas.openxmlformats.org/officeDocument/2006/relationships/hyperlink" Target="https://talan.bank.gov.ua/get-user-certificate/sec1exqGiUvn2dwVK9ja" TargetMode="External"/><Relationship Id="rId665" Type="http://schemas.openxmlformats.org/officeDocument/2006/relationships/hyperlink" Target="https://talan.bank.gov.ua/get-user-certificate/sec1ec84cI-f9Vypo9nf" TargetMode="External"/><Relationship Id="rId1295" Type="http://schemas.openxmlformats.org/officeDocument/2006/relationships/hyperlink" Target="https://talan.bank.gov.ua/get-user-certificate/sec1eHp6pAr0N2uMGVT-" TargetMode="External"/><Relationship Id="rId2346" Type="http://schemas.openxmlformats.org/officeDocument/2006/relationships/hyperlink" Target="https://talan.bank.gov.ua/get-user-certificate/sec1eqShMMuB1pHMH0p7" TargetMode="External"/><Relationship Id="rId2760" Type="http://schemas.openxmlformats.org/officeDocument/2006/relationships/hyperlink" Target="https://talan.bank.gov.ua/get-user-certificate/sec1eLCAihCxC0notSVz" TargetMode="External"/><Relationship Id="rId3811" Type="http://schemas.openxmlformats.org/officeDocument/2006/relationships/hyperlink" Target="https://talan.bank.gov.ua/get-user-certificate/sec1evJ8GzwfolL78n7c" TargetMode="External"/><Relationship Id="rId318" Type="http://schemas.openxmlformats.org/officeDocument/2006/relationships/hyperlink" Target="https://talan.bank.gov.ua/get-user-certificate/sec1egQT0oU1EhKKWWSw" TargetMode="External"/><Relationship Id="rId732" Type="http://schemas.openxmlformats.org/officeDocument/2006/relationships/hyperlink" Target="https://talan.bank.gov.ua/get-user-certificate/sec1e2KFFhK7UfuhC0Qz" TargetMode="External"/><Relationship Id="rId1362" Type="http://schemas.openxmlformats.org/officeDocument/2006/relationships/hyperlink" Target="https://talan.bank.gov.ua/get-user-certificate/sec1eDjPX8oe1iFRPt4m" TargetMode="External"/><Relationship Id="rId2413" Type="http://schemas.openxmlformats.org/officeDocument/2006/relationships/hyperlink" Target="https://talan.bank.gov.ua/get-user-certificate/sec1e-4cjOA6nN9kRVwf" TargetMode="External"/><Relationship Id="rId1015" Type="http://schemas.openxmlformats.org/officeDocument/2006/relationships/hyperlink" Target="https://talan.bank.gov.ua/get-user-certificate/sec1eS6zBM7V0z6XIu2v" TargetMode="External"/><Relationship Id="rId4585" Type="http://schemas.openxmlformats.org/officeDocument/2006/relationships/hyperlink" Target="https://talan.bank.gov.ua/get-user-certificate/sec1eVvaSITb9nhtSKpu" TargetMode="External"/><Relationship Id="rId3187" Type="http://schemas.openxmlformats.org/officeDocument/2006/relationships/hyperlink" Target="https://talan.bank.gov.ua/get-user-certificate/sec1e1xS1ygfOt-4B0Bq" TargetMode="External"/><Relationship Id="rId4238" Type="http://schemas.openxmlformats.org/officeDocument/2006/relationships/hyperlink" Target="https://talan.bank.gov.ua/get-user-certificate/sec1eAUQtZCyt442qSa2" TargetMode="External"/><Relationship Id="rId4652" Type="http://schemas.openxmlformats.org/officeDocument/2006/relationships/hyperlink" Target="https://talan.bank.gov.ua/get-user-certificate/sec1evx-L2Mh0zVlm5fV" TargetMode="External"/><Relationship Id="rId175" Type="http://schemas.openxmlformats.org/officeDocument/2006/relationships/hyperlink" Target="https://talan.bank.gov.ua/get-user-certificate/sec1e-OrZUxvtgch21OK" TargetMode="External"/><Relationship Id="rId3254" Type="http://schemas.openxmlformats.org/officeDocument/2006/relationships/hyperlink" Target="https://talan.bank.gov.ua/get-user-certificate/sec1e7Txpj006ncWNX3i" TargetMode="External"/><Relationship Id="rId4305" Type="http://schemas.openxmlformats.org/officeDocument/2006/relationships/hyperlink" Target="https://talan.bank.gov.ua/get-user-certificate/sec1e3aM21eJ_AQ3hkQX" TargetMode="External"/><Relationship Id="rId2270" Type="http://schemas.openxmlformats.org/officeDocument/2006/relationships/hyperlink" Target="https://talan.bank.gov.ua/get-user-certificate/sec1eOoEcXgY1dsWwG6i" TargetMode="External"/><Relationship Id="rId3321" Type="http://schemas.openxmlformats.org/officeDocument/2006/relationships/hyperlink" Target="https://talan.bank.gov.ua/get-user-certificate/sec1eNgk7QK30CctKZqK" TargetMode="External"/><Relationship Id="rId242" Type="http://schemas.openxmlformats.org/officeDocument/2006/relationships/hyperlink" Target="https://talan.bank.gov.ua/get-user-certificate/sec1ej4s8J2NaJyIp7JD" TargetMode="External"/><Relationship Id="rId1689" Type="http://schemas.openxmlformats.org/officeDocument/2006/relationships/hyperlink" Target="https://talan.bank.gov.ua/get-user-certificate/sec1eTclZugpt0aS_yJK" TargetMode="External"/><Relationship Id="rId4095" Type="http://schemas.openxmlformats.org/officeDocument/2006/relationships/hyperlink" Target="https://talan.bank.gov.ua/get-user-certificate/sec1eoURqk4W3nIeACHi" TargetMode="External"/><Relationship Id="rId4162" Type="http://schemas.openxmlformats.org/officeDocument/2006/relationships/hyperlink" Target="https://talan.bank.gov.ua/get-user-certificate/sec1eQo2soS538S6l3wB" TargetMode="External"/><Relationship Id="rId1756" Type="http://schemas.openxmlformats.org/officeDocument/2006/relationships/hyperlink" Target="https://talan.bank.gov.ua/get-user-certificate/sec1eAVwVWyjlnZH8cyR" TargetMode="External"/><Relationship Id="rId2807" Type="http://schemas.openxmlformats.org/officeDocument/2006/relationships/hyperlink" Target="https://talan.bank.gov.ua/get-user-certificate/sec1eGP5ZSA4VX8gVyY9" TargetMode="External"/><Relationship Id="rId48" Type="http://schemas.openxmlformats.org/officeDocument/2006/relationships/hyperlink" Target="https://talan.bank.gov.ua/get-user-certificate/sec1epktbFIfItI0CUBf" TargetMode="External"/><Relationship Id="rId1409" Type="http://schemas.openxmlformats.org/officeDocument/2006/relationships/hyperlink" Target="https://talan.bank.gov.ua/get-user-certificate/sec1eAYDBAqYWYs9Y096" TargetMode="External"/><Relationship Id="rId1823" Type="http://schemas.openxmlformats.org/officeDocument/2006/relationships/hyperlink" Target="https://talan.bank.gov.ua/get-user-certificate/sec1eKVrEYVL-UNuhIVK" TargetMode="External"/><Relationship Id="rId4979" Type="http://schemas.openxmlformats.org/officeDocument/2006/relationships/hyperlink" Target="https://talan.bank.gov.ua/get-user-certificate/sec1eQ77ilfCIwzs_hGs" TargetMode="External"/><Relationship Id="rId3995" Type="http://schemas.openxmlformats.org/officeDocument/2006/relationships/hyperlink" Target="https://talan.bank.gov.ua/get-user-certificate/sec1eBR9axjMi-vJbMDW" TargetMode="External"/><Relationship Id="rId2597" Type="http://schemas.openxmlformats.org/officeDocument/2006/relationships/hyperlink" Target="https://talan.bank.gov.ua/get-user-certificate/sec1eyEI8JA26kWiQFQA" TargetMode="External"/><Relationship Id="rId3648" Type="http://schemas.openxmlformats.org/officeDocument/2006/relationships/hyperlink" Target="https://talan.bank.gov.ua/get-user-certificate/sec1eCte-XDFoZjy_b5S" TargetMode="External"/><Relationship Id="rId3855" Type="http://schemas.openxmlformats.org/officeDocument/2006/relationships/hyperlink" Target="https://talan.bank.gov.ua/get-user-certificate/sec1ekXeN84w7w8knowI" TargetMode="External"/><Relationship Id="rId569" Type="http://schemas.openxmlformats.org/officeDocument/2006/relationships/hyperlink" Target="https://talan.bank.gov.ua/get-user-certificate/sec1eyCrkczyd68-9dYU" TargetMode="External"/><Relationship Id="rId776" Type="http://schemas.openxmlformats.org/officeDocument/2006/relationships/hyperlink" Target="https://talan.bank.gov.ua/get-user-certificate/sec1e3eW_FORjmIqoScb" TargetMode="External"/><Relationship Id="rId983" Type="http://schemas.openxmlformats.org/officeDocument/2006/relationships/hyperlink" Target="https://talan.bank.gov.ua/get-user-certificate/sec1esWoy6LMbrVZ1c_5" TargetMode="External"/><Relationship Id="rId1199" Type="http://schemas.openxmlformats.org/officeDocument/2006/relationships/hyperlink" Target="https://talan.bank.gov.ua/get-user-certificate/sec1ejLG7L8Mm-rWb9St" TargetMode="External"/><Relationship Id="rId2457" Type="http://schemas.openxmlformats.org/officeDocument/2006/relationships/hyperlink" Target="https://talan.bank.gov.ua/get-user-certificate/sec1e5TQBqy8HmFaVex7" TargetMode="External"/><Relationship Id="rId2664" Type="http://schemas.openxmlformats.org/officeDocument/2006/relationships/hyperlink" Target="https://talan.bank.gov.ua/get-user-certificate/sec1ezzBa8Rt-WBqyVWX" TargetMode="External"/><Relationship Id="rId3508" Type="http://schemas.openxmlformats.org/officeDocument/2006/relationships/hyperlink" Target="https://talan.bank.gov.ua/get-user-certificate/sec1eNmgNCRBr2uOIsqA" TargetMode="External"/><Relationship Id="rId4906" Type="http://schemas.openxmlformats.org/officeDocument/2006/relationships/hyperlink" Target="https://talan.bank.gov.ua/get-user-certificate/sec1eJ3fCTOHqPNrqp9E" TargetMode="External"/><Relationship Id="rId429" Type="http://schemas.openxmlformats.org/officeDocument/2006/relationships/hyperlink" Target="https://talan.bank.gov.ua/get-user-certificate/sec1eKGY7hDu5eD0GmhH" TargetMode="External"/><Relationship Id="rId636" Type="http://schemas.openxmlformats.org/officeDocument/2006/relationships/hyperlink" Target="https://talan.bank.gov.ua/get-user-certificate/sec1eeCIP-LG3Yrsrxgr" TargetMode="External"/><Relationship Id="rId1059" Type="http://schemas.openxmlformats.org/officeDocument/2006/relationships/hyperlink" Target="https://talan.bank.gov.ua/get-user-certificate/sec1eJ5Dg9j0cNeBBOju" TargetMode="External"/><Relationship Id="rId1266" Type="http://schemas.openxmlformats.org/officeDocument/2006/relationships/hyperlink" Target="https://talan.bank.gov.ua/get-user-certificate/sec1eh75_Lp-UQQXIKAl" TargetMode="External"/><Relationship Id="rId1473" Type="http://schemas.openxmlformats.org/officeDocument/2006/relationships/hyperlink" Target="https://talan.bank.gov.ua/get-user-certificate/sec1eib9hO7GF5tI_joW" TargetMode="External"/><Relationship Id="rId2317" Type="http://schemas.openxmlformats.org/officeDocument/2006/relationships/hyperlink" Target="https://talan.bank.gov.ua/get-user-certificate/sec1erecmTFgnF-7d2DF" TargetMode="External"/><Relationship Id="rId2871" Type="http://schemas.openxmlformats.org/officeDocument/2006/relationships/hyperlink" Target="https://talan.bank.gov.ua/get-user-certificate/sec1eNrGUxbwtRVrFzpO" TargetMode="External"/><Relationship Id="rId3715" Type="http://schemas.openxmlformats.org/officeDocument/2006/relationships/hyperlink" Target="https://talan.bank.gov.ua/get-user-certificate/sec1eRvlnZwCwfiIqYEo" TargetMode="External"/><Relationship Id="rId3922" Type="http://schemas.openxmlformats.org/officeDocument/2006/relationships/hyperlink" Target="https://talan.bank.gov.ua/get-user-certificate/sec1ex99wxiQbpyhhqZ5" TargetMode="External"/><Relationship Id="rId843" Type="http://schemas.openxmlformats.org/officeDocument/2006/relationships/hyperlink" Target="https://talan.bank.gov.ua/get-user-certificate/sec1eA_NOdAzhtxRin9h" TargetMode="External"/><Relationship Id="rId1126" Type="http://schemas.openxmlformats.org/officeDocument/2006/relationships/hyperlink" Target="https://talan.bank.gov.ua/get-user-certificate/sec1eOz3ug0IYWTdsS74" TargetMode="External"/><Relationship Id="rId1680" Type="http://schemas.openxmlformats.org/officeDocument/2006/relationships/hyperlink" Target="https://talan.bank.gov.ua/get-user-certificate/sec1eUGD2drwMYFd8fVk" TargetMode="External"/><Relationship Id="rId2524" Type="http://schemas.openxmlformats.org/officeDocument/2006/relationships/hyperlink" Target="https://talan.bank.gov.ua/get-user-certificate/sec1e8VsCxzVMd43Q4u0" TargetMode="External"/><Relationship Id="rId2731" Type="http://schemas.openxmlformats.org/officeDocument/2006/relationships/hyperlink" Target="https://talan.bank.gov.ua/get-user-certificate/sec1etzGnobETxkVmaqU" TargetMode="External"/><Relationship Id="rId703" Type="http://schemas.openxmlformats.org/officeDocument/2006/relationships/hyperlink" Target="https://talan.bank.gov.ua/get-user-certificate/sec1e9AQEPAhJS0kgpJK" TargetMode="External"/><Relationship Id="rId910" Type="http://schemas.openxmlformats.org/officeDocument/2006/relationships/hyperlink" Target="https://talan.bank.gov.ua/get-user-certificate/sec1eQgVnQmEDiCatisj" TargetMode="External"/><Relationship Id="rId1333" Type="http://schemas.openxmlformats.org/officeDocument/2006/relationships/hyperlink" Target="https://talan.bank.gov.ua/get-user-certificate/sec1eddp49wm7GnYToap" TargetMode="External"/><Relationship Id="rId1540" Type="http://schemas.openxmlformats.org/officeDocument/2006/relationships/hyperlink" Target="https://talan.bank.gov.ua/get-user-certificate/sec1eX2kb1Ke7oJqoru4" TargetMode="External"/><Relationship Id="rId4489" Type="http://schemas.openxmlformats.org/officeDocument/2006/relationships/hyperlink" Target="https://talan.bank.gov.ua/get-user-certificate/sec1eLKkW8BEdBzKAIbt" TargetMode="External"/><Relationship Id="rId4696" Type="http://schemas.openxmlformats.org/officeDocument/2006/relationships/hyperlink" Target="https://talan.bank.gov.ua/get-user-certificate/sec1exz6bsrOwyU70OIP" TargetMode="External"/><Relationship Id="rId1400" Type="http://schemas.openxmlformats.org/officeDocument/2006/relationships/hyperlink" Target="https://talan.bank.gov.ua/get-user-certificate/sec1ejH3-ifT7hqwMCnQ" TargetMode="External"/><Relationship Id="rId3298" Type="http://schemas.openxmlformats.org/officeDocument/2006/relationships/hyperlink" Target="https://talan.bank.gov.ua/get-user-certificate/sec1e5uU6JnpS1vjO5ot" TargetMode="External"/><Relationship Id="rId4349" Type="http://schemas.openxmlformats.org/officeDocument/2006/relationships/hyperlink" Target="https://talan.bank.gov.ua/get-user-certificate/sec1eF_13WdBojaFaDfX" TargetMode="External"/><Relationship Id="rId4556" Type="http://schemas.openxmlformats.org/officeDocument/2006/relationships/hyperlink" Target="https://talan.bank.gov.ua/get-user-certificate/sec1e-hnrN9iH94f8WgQ" TargetMode="External"/><Relationship Id="rId4763" Type="http://schemas.openxmlformats.org/officeDocument/2006/relationships/hyperlink" Target="https://talan.bank.gov.ua/get-user-certificate/sec1esm0yIPeCmiV19lA" TargetMode="External"/><Relationship Id="rId4970" Type="http://schemas.openxmlformats.org/officeDocument/2006/relationships/hyperlink" Target="https://talan.bank.gov.ua/get-user-certificate/sec1efHW9_iK8IN1BX8W" TargetMode="External"/><Relationship Id="rId3158" Type="http://schemas.openxmlformats.org/officeDocument/2006/relationships/hyperlink" Target="https://talan.bank.gov.ua/get-user-certificate/sec1ea1EGlvAKQ2K9_Wt" TargetMode="External"/><Relationship Id="rId3365" Type="http://schemas.openxmlformats.org/officeDocument/2006/relationships/hyperlink" Target="https://talan.bank.gov.ua/get-user-certificate/sec1eTZOjgD_TNxB4_Ot" TargetMode="External"/><Relationship Id="rId3572" Type="http://schemas.openxmlformats.org/officeDocument/2006/relationships/hyperlink" Target="https://talan.bank.gov.ua/get-user-certificate/sec1e_P1mKa_2-mnBfV-" TargetMode="External"/><Relationship Id="rId4209" Type="http://schemas.openxmlformats.org/officeDocument/2006/relationships/hyperlink" Target="https://talan.bank.gov.ua/get-user-certificate/sec1eRWrNTbENhFyKuJ6" TargetMode="External"/><Relationship Id="rId4416" Type="http://schemas.openxmlformats.org/officeDocument/2006/relationships/hyperlink" Target="https://talan.bank.gov.ua/get-user-certificate/sec1eScDGqx9BUaCeQJJ" TargetMode="External"/><Relationship Id="rId4623" Type="http://schemas.openxmlformats.org/officeDocument/2006/relationships/hyperlink" Target="https://talan.bank.gov.ua/get-user-certificate/sec1ellnev9rEcqyw37I" TargetMode="External"/><Relationship Id="rId4830" Type="http://schemas.openxmlformats.org/officeDocument/2006/relationships/hyperlink" Target="https://talan.bank.gov.ua/get-user-certificate/sec1eYJhzgv5zaY53RDK" TargetMode="External"/><Relationship Id="rId286" Type="http://schemas.openxmlformats.org/officeDocument/2006/relationships/hyperlink" Target="https://talan.bank.gov.ua/get-user-certificate/sec1ePZM60mKW4jCeYMY" TargetMode="External"/><Relationship Id="rId493" Type="http://schemas.openxmlformats.org/officeDocument/2006/relationships/hyperlink" Target="https://talan.bank.gov.ua/get-user-certificate/sec1eAlDACcqxCyzUF9p" TargetMode="External"/><Relationship Id="rId2174" Type="http://schemas.openxmlformats.org/officeDocument/2006/relationships/hyperlink" Target="https://talan.bank.gov.ua/get-user-certificate/sec1eMbHRwSP46ATj4nP" TargetMode="External"/><Relationship Id="rId2381" Type="http://schemas.openxmlformats.org/officeDocument/2006/relationships/hyperlink" Target="https://talan.bank.gov.ua/get-user-certificate/sec1er1H0xfCiHjYa6d5" TargetMode="External"/><Relationship Id="rId3018" Type="http://schemas.openxmlformats.org/officeDocument/2006/relationships/hyperlink" Target="https://talan.bank.gov.ua/get-user-certificate/sec1eSte3QCj1k9-neyM" TargetMode="External"/><Relationship Id="rId3225" Type="http://schemas.openxmlformats.org/officeDocument/2006/relationships/hyperlink" Target="https://talan.bank.gov.ua/get-user-certificate/sec1egzK0xSKs1XvzSuZ" TargetMode="External"/><Relationship Id="rId3432" Type="http://schemas.openxmlformats.org/officeDocument/2006/relationships/hyperlink" Target="https://talan.bank.gov.ua/get-user-certificate/sec1eT2olurxyTxdU1pR" TargetMode="External"/><Relationship Id="rId146" Type="http://schemas.openxmlformats.org/officeDocument/2006/relationships/hyperlink" Target="https://talan.bank.gov.ua/get-user-certificate/sec1ep141touBBCS7oYT" TargetMode="External"/><Relationship Id="rId353" Type="http://schemas.openxmlformats.org/officeDocument/2006/relationships/hyperlink" Target="https://talan.bank.gov.ua/get-user-certificate/sec1eh2gKCn9qfQyqZD2" TargetMode="External"/><Relationship Id="rId560" Type="http://schemas.openxmlformats.org/officeDocument/2006/relationships/hyperlink" Target="https://talan.bank.gov.ua/get-user-certificate/sec1e1Y0rA3twAD2iL7i" TargetMode="External"/><Relationship Id="rId1190" Type="http://schemas.openxmlformats.org/officeDocument/2006/relationships/hyperlink" Target="https://talan.bank.gov.ua/get-user-certificate/sec1eBrjxJLYvO4nosaY" TargetMode="External"/><Relationship Id="rId2034" Type="http://schemas.openxmlformats.org/officeDocument/2006/relationships/hyperlink" Target="https://talan.bank.gov.ua/get-user-certificate/sec1eaKPHvuFRSc4dPpW" TargetMode="External"/><Relationship Id="rId2241" Type="http://schemas.openxmlformats.org/officeDocument/2006/relationships/hyperlink" Target="https://talan.bank.gov.ua/get-user-certificate/sec1e9EYpH2D_BpeNYnS" TargetMode="External"/><Relationship Id="rId213" Type="http://schemas.openxmlformats.org/officeDocument/2006/relationships/hyperlink" Target="https://talan.bank.gov.ua/get-user-certificate/sec1exVXY3TZfSEHQH4E" TargetMode="External"/><Relationship Id="rId420" Type="http://schemas.openxmlformats.org/officeDocument/2006/relationships/hyperlink" Target="https://talan.bank.gov.ua/get-user-certificate/sec1eHqVxddUM6RUd3fn" TargetMode="External"/><Relationship Id="rId1050" Type="http://schemas.openxmlformats.org/officeDocument/2006/relationships/hyperlink" Target="https://talan.bank.gov.ua/get-user-certificate/sec1erUkyw39I8mX3iqv" TargetMode="External"/><Relationship Id="rId2101" Type="http://schemas.openxmlformats.org/officeDocument/2006/relationships/hyperlink" Target="https://talan.bank.gov.ua/get-user-certificate/sec1e6PpWQbyjFQIgPbR" TargetMode="External"/><Relationship Id="rId4066" Type="http://schemas.openxmlformats.org/officeDocument/2006/relationships/hyperlink" Target="https://talan.bank.gov.ua/get-user-certificate/sec1eo-vZWT2qtYrmoib" TargetMode="External"/><Relationship Id="rId1867" Type="http://schemas.openxmlformats.org/officeDocument/2006/relationships/hyperlink" Target="https://talan.bank.gov.ua/get-user-certificate/sec1eGDSdJEuwFCCtV3k" TargetMode="External"/><Relationship Id="rId2918" Type="http://schemas.openxmlformats.org/officeDocument/2006/relationships/hyperlink" Target="https://talan.bank.gov.ua/get-user-certificate/sec1eqQjK7Pogk_DxhbK" TargetMode="External"/><Relationship Id="rId4273" Type="http://schemas.openxmlformats.org/officeDocument/2006/relationships/hyperlink" Target="https://talan.bank.gov.ua/get-user-certificate/sec1eJqN5XWw-xN9h2vZ" TargetMode="External"/><Relationship Id="rId4480" Type="http://schemas.openxmlformats.org/officeDocument/2006/relationships/hyperlink" Target="https://talan.bank.gov.ua/get-user-certificate/sec1eBjyUBrybK5mph5y" TargetMode="External"/><Relationship Id="rId1727" Type="http://schemas.openxmlformats.org/officeDocument/2006/relationships/hyperlink" Target="https://talan.bank.gov.ua/get-user-certificate/sec1eWYT7OedAgmXn07H" TargetMode="External"/><Relationship Id="rId1934" Type="http://schemas.openxmlformats.org/officeDocument/2006/relationships/hyperlink" Target="https://talan.bank.gov.ua/get-user-certificate/sec1eyc7-96ukgzr7eWJ" TargetMode="External"/><Relationship Id="rId3082" Type="http://schemas.openxmlformats.org/officeDocument/2006/relationships/hyperlink" Target="https://talan.bank.gov.ua/get-user-certificate/sec1ekIvjY4r-G8O2Lai" TargetMode="External"/><Relationship Id="rId4133" Type="http://schemas.openxmlformats.org/officeDocument/2006/relationships/hyperlink" Target="https://talan.bank.gov.ua/get-user-certificate/sec1ef1czvhv5THK-7Rc" TargetMode="External"/><Relationship Id="rId4340" Type="http://schemas.openxmlformats.org/officeDocument/2006/relationships/hyperlink" Target="https://talan.bank.gov.ua/get-user-certificate/sec1eJkqFVIzbPhhIT1a" TargetMode="External"/><Relationship Id="rId19" Type="http://schemas.openxmlformats.org/officeDocument/2006/relationships/hyperlink" Target="https://talan.bank.gov.ua/get-user-certificate/sec1eQbMQ7y8bG6Vj7ZF" TargetMode="External"/><Relationship Id="rId3899" Type="http://schemas.openxmlformats.org/officeDocument/2006/relationships/hyperlink" Target="https://talan.bank.gov.ua/get-user-certificate/sec1ef6iEzSYOoBv204W" TargetMode="External"/><Relationship Id="rId4200" Type="http://schemas.openxmlformats.org/officeDocument/2006/relationships/hyperlink" Target="https://talan.bank.gov.ua/get-user-certificate/sec1eRURZrJmAAl7h3P4" TargetMode="External"/><Relationship Id="rId3759" Type="http://schemas.openxmlformats.org/officeDocument/2006/relationships/hyperlink" Target="https://talan.bank.gov.ua/get-user-certificate/sec1eP4LT6j6N9lOOEy3" TargetMode="External"/><Relationship Id="rId3966" Type="http://schemas.openxmlformats.org/officeDocument/2006/relationships/hyperlink" Target="https://talan.bank.gov.ua/get-user-certificate/sec1e_ses-RLnQEdcRg8" TargetMode="External"/><Relationship Id="rId3" Type="http://schemas.openxmlformats.org/officeDocument/2006/relationships/hyperlink" Target="https://talan.bank.gov.ua/get-user-certificate/sec1eI40Dz2zN4pORiFu" TargetMode="External"/><Relationship Id="rId887" Type="http://schemas.openxmlformats.org/officeDocument/2006/relationships/hyperlink" Target="https://talan.bank.gov.ua/get-user-certificate/sec1epX4Tvb7Q1xyWAkC" TargetMode="External"/><Relationship Id="rId2568" Type="http://schemas.openxmlformats.org/officeDocument/2006/relationships/hyperlink" Target="https://talan.bank.gov.ua/get-user-certificate/sec1eMem1vwiysGs7Z4O" TargetMode="External"/><Relationship Id="rId2775" Type="http://schemas.openxmlformats.org/officeDocument/2006/relationships/hyperlink" Target="https://talan.bank.gov.ua/get-user-certificate/sec1eDs0wIcG3_mhiHuT" TargetMode="External"/><Relationship Id="rId2982" Type="http://schemas.openxmlformats.org/officeDocument/2006/relationships/hyperlink" Target="https://talan.bank.gov.ua/get-user-certificate/sec1e89tiev7wF6FDrGZ" TargetMode="External"/><Relationship Id="rId3619" Type="http://schemas.openxmlformats.org/officeDocument/2006/relationships/hyperlink" Target="https://talan.bank.gov.ua/get-user-certificate/sec1e7SOaWy7MsD8ZX-i" TargetMode="External"/><Relationship Id="rId3826" Type="http://schemas.openxmlformats.org/officeDocument/2006/relationships/hyperlink" Target="https://talan.bank.gov.ua/get-user-certificate/sec1eKpYDxHogsa6Lsvo" TargetMode="External"/><Relationship Id="rId747" Type="http://schemas.openxmlformats.org/officeDocument/2006/relationships/hyperlink" Target="https://talan.bank.gov.ua/get-user-certificate/sec1eI27Dx1OC4jfgIYQ" TargetMode="External"/><Relationship Id="rId954" Type="http://schemas.openxmlformats.org/officeDocument/2006/relationships/hyperlink" Target="https://talan.bank.gov.ua/get-user-certificate/sec1eZvLvCY15Qr2lVFH" TargetMode="External"/><Relationship Id="rId1377" Type="http://schemas.openxmlformats.org/officeDocument/2006/relationships/hyperlink" Target="https://talan.bank.gov.ua/get-user-certificate/sec1eTNtAJVHumRDKgWk" TargetMode="External"/><Relationship Id="rId1584" Type="http://schemas.openxmlformats.org/officeDocument/2006/relationships/hyperlink" Target="https://talan.bank.gov.ua/get-user-certificate/sec1eDObGZkAPbQ2jDoO" TargetMode="External"/><Relationship Id="rId1791" Type="http://schemas.openxmlformats.org/officeDocument/2006/relationships/hyperlink" Target="https://talan.bank.gov.ua/get-user-certificate/sec1euSCSHaeGIIG13Ex" TargetMode="External"/><Relationship Id="rId2428" Type="http://schemas.openxmlformats.org/officeDocument/2006/relationships/hyperlink" Target="https://talan.bank.gov.ua/get-user-certificate/sec1eUSolMGPofdUru3O" TargetMode="External"/><Relationship Id="rId2635" Type="http://schemas.openxmlformats.org/officeDocument/2006/relationships/hyperlink" Target="https://talan.bank.gov.ua/get-user-certificate/sec1edmgaZHy-OMMikal" TargetMode="External"/><Relationship Id="rId2842" Type="http://schemas.openxmlformats.org/officeDocument/2006/relationships/hyperlink" Target="https://talan.bank.gov.ua/get-user-certificate/sec1eivR9XAst7Lnqjgl" TargetMode="External"/><Relationship Id="rId83" Type="http://schemas.openxmlformats.org/officeDocument/2006/relationships/hyperlink" Target="https://talan.bank.gov.ua/get-user-certificate/sec1el-9mlrptVQcuumt" TargetMode="External"/><Relationship Id="rId607" Type="http://schemas.openxmlformats.org/officeDocument/2006/relationships/hyperlink" Target="https://talan.bank.gov.ua/get-user-certificate/sec1ew7_py2sY0SdsnFE" TargetMode="External"/><Relationship Id="rId814" Type="http://schemas.openxmlformats.org/officeDocument/2006/relationships/hyperlink" Target="https://talan.bank.gov.ua/get-user-certificate/sec1eNP6FFSVJqw4jswO" TargetMode="External"/><Relationship Id="rId1237" Type="http://schemas.openxmlformats.org/officeDocument/2006/relationships/hyperlink" Target="https://talan.bank.gov.ua/get-user-certificate/sec1e93CxzcZ8ylfztye" TargetMode="External"/><Relationship Id="rId1444" Type="http://schemas.openxmlformats.org/officeDocument/2006/relationships/hyperlink" Target="https://talan.bank.gov.ua/get-user-certificate/sec1eByHdd4qu2S8qxWh" TargetMode="External"/><Relationship Id="rId1651" Type="http://schemas.openxmlformats.org/officeDocument/2006/relationships/hyperlink" Target="https://talan.bank.gov.ua/get-user-certificate/sec1eLMaoWq5UGzOvJFj" TargetMode="External"/><Relationship Id="rId2702" Type="http://schemas.openxmlformats.org/officeDocument/2006/relationships/hyperlink" Target="https://talan.bank.gov.ua/get-user-certificate/sec1eOTFjZY5hWvRg56S" TargetMode="External"/><Relationship Id="rId1304" Type="http://schemas.openxmlformats.org/officeDocument/2006/relationships/hyperlink" Target="https://talan.bank.gov.ua/get-user-certificate/sec1eFaWb48-G8JtrVSA" TargetMode="External"/><Relationship Id="rId1511" Type="http://schemas.openxmlformats.org/officeDocument/2006/relationships/hyperlink" Target="https://talan.bank.gov.ua/get-user-certificate/sec1e254Gc_zdMMM3HDV" TargetMode="External"/><Relationship Id="rId4667" Type="http://schemas.openxmlformats.org/officeDocument/2006/relationships/hyperlink" Target="https://talan.bank.gov.ua/get-user-certificate/sec1e-RdsMkDG-3gvReh" TargetMode="External"/><Relationship Id="rId4874" Type="http://schemas.openxmlformats.org/officeDocument/2006/relationships/hyperlink" Target="https://talan.bank.gov.ua/get-user-certificate/sec1egmETsy2xy8xmO-f" TargetMode="External"/><Relationship Id="rId3269" Type="http://schemas.openxmlformats.org/officeDocument/2006/relationships/hyperlink" Target="https://talan.bank.gov.ua/get-user-certificate/sec1eCrI6jnYO8WzgmUP" TargetMode="External"/><Relationship Id="rId3476" Type="http://schemas.openxmlformats.org/officeDocument/2006/relationships/hyperlink" Target="https://talan.bank.gov.ua/get-user-certificate/sec1eypKwHcO6Udwhym_" TargetMode="External"/><Relationship Id="rId3683" Type="http://schemas.openxmlformats.org/officeDocument/2006/relationships/hyperlink" Target="https://talan.bank.gov.ua/get-user-certificate/sec1eB8kZ0aVQZUccacT" TargetMode="External"/><Relationship Id="rId4527" Type="http://schemas.openxmlformats.org/officeDocument/2006/relationships/hyperlink" Target="https://talan.bank.gov.ua/get-user-certificate/sec1ejpuu37l_v8-dBaU" TargetMode="External"/><Relationship Id="rId10" Type="http://schemas.openxmlformats.org/officeDocument/2006/relationships/hyperlink" Target="https://talan.bank.gov.ua/get-user-certificate/sec1evRwqcnVTkbn53Yb" TargetMode="External"/><Relationship Id="rId397" Type="http://schemas.openxmlformats.org/officeDocument/2006/relationships/hyperlink" Target="https://talan.bank.gov.ua/get-user-certificate/sec1eDgXjjCCPpaKhZbp" TargetMode="External"/><Relationship Id="rId2078" Type="http://schemas.openxmlformats.org/officeDocument/2006/relationships/hyperlink" Target="https://talan.bank.gov.ua/get-user-certificate/sec1eEtFB5gO0Cvq58lE" TargetMode="External"/><Relationship Id="rId2285" Type="http://schemas.openxmlformats.org/officeDocument/2006/relationships/hyperlink" Target="https://talan.bank.gov.ua/get-user-certificate/sec1ePvjCQUoaIOWX14V" TargetMode="External"/><Relationship Id="rId2492" Type="http://schemas.openxmlformats.org/officeDocument/2006/relationships/hyperlink" Target="https://talan.bank.gov.ua/get-user-certificate/sec1eEWTxq2phZX74P7K" TargetMode="External"/><Relationship Id="rId3129" Type="http://schemas.openxmlformats.org/officeDocument/2006/relationships/hyperlink" Target="https://talan.bank.gov.ua/get-user-certificate/sec1emexT6DVy49d33bW" TargetMode="External"/><Relationship Id="rId3336" Type="http://schemas.openxmlformats.org/officeDocument/2006/relationships/hyperlink" Target="https://talan.bank.gov.ua/get-user-certificate/sec1eZs1-zETz6hU2yLA" TargetMode="External"/><Relationship Id="rId3890" Type="http://schemas.openxmlformats.org/officeDocument/2006/relationships/hyperlink" Target="https://talan.bank.gov.ua/get-user-certificate/sec1eKM0twba0Q6Keskj" TargetMode="External"/><Relationship Id="rId4734" Type="http://schemas.openxmlformats.org/officeDocument/2006/relationships/hyperlink" Target="https://talan.bank.gov.ua/get-user-certificate/sec1exWe0it6vyomdYfN" TargetMode="External"/><Relationship Id="rId4941" Type="http://schemas.openxmlformats.org/officeDocument/2006/relationships/hyperlink" Target="https://talan.bank.gov.ua/get-user-certificate/sec1ebT85EfTuZpK_lXo" TargetMode="External"/><Relationship Id="rId257" Type="http://schemas.openxmlformats.org/officeDocument/2006/relationships/hyperlink" Target="https://talan.bank.gov.ua/get-user-certificate/sec1e1ybNCZCkwRl4Xqa" TargetMode="External"/><Relationship Id="rId464" Type="http://schemas.openxmlformats.org/officeDocument/2006/relationships/hyperlink" Target="https://talan.bank.gov.ua/get-user-certificate/sec1eynmn3qBxZ4xEVlc" TargetMode="External"/><Relationship Id="rId1094" Type="http://schemas.openxmlformats.org/officeDocument/2006/relationships/hyperlink" Target="https://talan.bank.gov.ua/get-user-certificate/sec1eA5LnJU3kPc77Bsw" TargetMode="External"/><Relationship Id="rId2145" Type="http://schemas.openxmlformats.org/officeDocument/2006/relationships/hyperlink" Target="https://talan.bank.gov.ua/get-user-certificate/sec1eDQZyysNBFXU-78m" TargetMode="External"/><Relationship Id="rId3543" Type="http://schemas.openxmlformats.org/officeDocument/2006/relationships/hyperlink" Target="https://talan.bank.gov.ua/get-user-certificate/sec1eflb9vkMHofq2M_T" TargetMode="External"/><Relationship Id="rId3750" Type="http://schemas.openxmlformats.org/officeDocument/2006/relationships/hyperlink" Target="https://talan.bank.gov.ua/get-user-certificate/sec1edQiW8GztcfPUWrA" TargetMode="External"/><Relationship Id="rId4801" Type="http://schemas.openxmlformats.org/officeDocument/2006/relationships/hyperlink" Target="https://talan.bank.gov.ua/get-user-certificate/sec1eitcczMHsavlNUCy" TargetMode="External"/><Relationship Id="rId117" Type="http://schemas.openxmlformats.org/officeDocument/2006/relationships/hyperlink" Target="https://talan.bank.gov.ua/get-user-certificate/sec1e5spDMRf2NCWAqgc" TargetMode="External"/><Relationship Id="rId671" Type="http://schemas.openxmlformats.org/officeDocument/2006/relationships/hyperlink" Target="https://talan.bank.gov.ua/get-user-certificate/sec1ewiS3nKQHh529mj6" TargetMode="External"/><Relationship Id="rId2352" Type="http://schemas.openxmlformats.org/officeDocument/2006/relationships/hyperlink" Target="https://talan.bank.gov.ua/get-user-certificate/sec1egcwAZbMT7SzLitC" TargetMode="External"/><Relationship Id="rId3403" Type="http://schemas.openxmlformats.org/officeDocument/2006/relationships/hyperlink" Target="https://talan.bank.gov.ua/get-user-certificate/sec1eXRXJyYkB6xrpN1J" TargetMode="External"/><Relationship Id="rId3610" Type="http://schemas.openxmlformats.org/officeDocument/2006/relationships/hyperlink" Target="https://talan.bank.gov.ua/get-user-certificate/sec1ezMl1aQIxlnah7Rk" TargetMode="External"/><Relationship Id="rId324" Type="http://schemas.openxmlformats.org/officeDocument/2006/relationships/hyperlink" Target="https://talan.bank.gov.ua/get-user-certificate/sec1eIK3m7Ai5qvOCW6G" TargetMode="External"/><Relationship Id="rId531" Type="http://schemas.openxmlformats.org/officeDocument/2006/relationships/hyperlink" Target="https://talan.bank.gov.ua/get-user-certificate/sec1eKdZpmILjcmxTUjg" TargetMode="External"/><Relationship Id="rId1161" Type="http://schemas.openxmlformats.org/officeDocument/2006/relationships/hyperlink" Target="https://talan.bank.gov.ua/get-user-certificate/sec1eQP9qb-ouBwv5v69" TargetMode="External"/><Relationship Id="rId2005" Type="http://schemas.openxmlformats.org/officeDocument/2006/relationships/hyperlink" Target="https://talan.bank.gov.ua/get-user-certificate/sec1e5LiTXuu5srhXdBB" TargetMode="External"/><Relationship Id="rId2212" Type="http://schemas.openxmlformats.org/officeDocument/2006/relationships/hyperlink" Target="https://talan.bank.gov.ua/get-user-certificate/sec1eZ_ph0H_mu_NWvRI" TargetMode="External"/><Relationship Id="rId1021" Type="http://schemas.openxmlformats.org/officeDocument/2006/relationships/hyperlink" Target="https://talan.bank.gov.ua/get-user-certificate/sec1eA7ksUZOq_9oVscn" TargetMode="External"/><Relationship Id="rId1978" Type="http://schemas.openxmlformats.org/officeDocument/2006/relationships/hyperlink" Target="https://talan.bank.gov.ua/get-user-certificate/sec1eMK0_665B8PK4axc" TargetMode="External"/><Relationship Id="rId4177" Type="http://schemas.openxmlformats.org/officeDocument/2006/relationships/hyperlink" Target="https://talan.bank.gov.ua/get-user-certificate/sec1e5oVT8x94vdIXlVh" TargetMode="External"/><Relationship Id="rId4384" Type="http://schemas.openxmlformats.org/officeDocument/2006/relationships/hyperlink" Target="https://talan.bank.gov.ua/get-user-certificate/sec1eqlF4b7ce0hsQ9vt" TargetMode="External"/><Relationship Id="rId4591" Type="http://schemas.openxmlformats.org/officeDocument/2006/relationships/hyperlink" Target="https://talan.bank.gov.ua/get-user-certificate/sec1eQECEZhENQxqQpDZ" TargetMode="External"/><Relationship Id="rId3193" Type="http://schemas.openxmlformats.org/officeDocument/2006/relationships/hyperlink" Target="https://talan.bank.gov.ua/get-user-certificate/sec1e7F8JFh73kISFp1_" TargetMode="External"/><Relationship Id="rId4037" Type="http://schemas.openxmlformats.org/officeDocument/2006/relationships/hyperlink" Target="https://talan.bank.gov.ua/get-user-certificate/sec1e5dOtGpecmrPu6yU" TargetMode="External"/><Relationship Id="rId4244" Type="http://schemas.openxmlformats.org/officeDocument/2006/relationships/hyperlink" Target="https://talan.bank.gov.ua/get-user-certificate/sec1ervX2nA3klB63xJo" TargetMode="External"/><Relationship Id="rId4451" Type="http://schemas.openxmlformats.org/officeDocument/2006/relationships/hyperlink" Target="https://talan.bank.gov.ua/get-user-certificate/sec1esM5d9EYB9B2Voy3" TargetMode="External"/><Relationship Id="rId1838" Type="http://schemas.openxmlformats.org/officeDocument/2006/relationships/hyperlink" Target="https://talan.bank.gov.ua/get-user-certificate/sec1eNlGpIs98v02oYnm" TargetMode="External"/><Relationship Id="rId3053" Type="http://schemas.openxmlformats.org/officeDocument/2006/relationships/hyperlink" Target="https://talan.bank.gov.ua/get-user-certificate/sec1eLpuh1aFJ7aiirz7" TargetMode="External"/><Relationship Id="rId3260" Type="http://schemas.openxmlformats.org/officeDocument/2006/relationships/hyperlink" Target="https://talan.bank.gov.ua/get-user-certificate/sec1eNL_6es7ByqNC37a" TargetMode="External"/><Relationship Id="rId4104" Type="http://schemas.openxmlformats.org/officeDocument/2006/relationships/hyperlink" Target="https://talan.bank.gov.ua/get-user-certificate/sec1ew4XYKmmm5n0PTWl" TargetMode="External"/><Relationship Id="rId4311" Type="http://schemas.openxmlformats.org/officeDocument/2006/relationships/hyperlink" Target="https://talan.bank.gov.ua/get-user-certificate/sec1eBnFKfdlSfT0k1NG" TargetMode="External"/><Relationship Id="rId181" Type="http://schemas.openxmlformats.org/officeDocument/2006/relationships/hyperlink" Target="https://talan.bank.gov.ua/get-user-certificate/sec1e7xDWjtYitqt8krg" TargetMode="External"/><Relationship Id="rId1905" Type="http://schemas.openxmlformats.org/officeDocument/2006/relationships/hyperlink" Target="https://talan.bank.gov.ua/get-user-certificate/sec1eXfM3bSnPVMJbWWc" TargetMode="External"/><Relationship Id="rId3120" Type="http://schemas.openxmlformats.org/officeDocument/2006/relationships/hyperlink" Target="https://talan.bank.gov.ua/get-user-certificate/sec1eMl_O-e4Qa6j6nEz" TargetMode="External"/><Relationship Id="rId998" Type="http://schemas.openxmlformats.org/officeDocument/2006/relationships/hyperlink" Target="https://talan.bank.gov.ua/get-user-certificate/sec1e7nipRx_48IxLo0c" TargetMode="External"/><Relationship Id="rId2679" Type="http://schemas.openxmlformats.org/officeDocument/2006/relationships/hyperlink" Target="https://talan.bank.gov.ua/get-user-certificate/sec1eveWVtl1DwEK7KaN" TargetMode="External"/><Relationship Id="rId2886" Type="http://schemas.openxmlformats.org/officeDocument/2006/relationships/hyperlink" Target="https://talan.bank.gov.ua/get-user-certificate/sec1e4XavvhYb9t2s36e" TargetMode="External"/><Relationship Id="rId3937" Type="http://schemas.openxmlformats.org/officeDocument/2006/relationships/hyperlink" Target="https://talan.bank.gov.ua/get-user-certificate/sec1eMe9VWnZlYkVg8xS" TargetMode="External"/><Relationship Id="rId858" Type="http://schemas.openxmlformats.org/officeDocument/2006/relationships/hyperlink" Target="https://talan.bank.gov.ua/get-user-certificate/sec1et_tQgRjnrpwruiN" TargetMode="External"/><Relationship Id="rId1488" Type="http://schemas.openxmlformats.org/officeDocument/2006/relationships/hyperlink" Target="https://talan.bank.gov.ua/get-user-certificate/sec1ewKaMlXCsY-ItxY5" TargetMode="External"/><Relationship Id="rId1695" Type="http://schemas.openxmlformats.org/officeDocument/2006/relationships/hyperlink" Target="https://talan.bank.gov.ua/get-user-certificate/sec1eCosZs0v_oQvntDs" TargetMode="External"/><Relationship Id="rId2539" Type="http://schemas.openxmlformats.org/officeDocument/2006/relationships/hyperlink" Target="https://talan.bank.gov.ua/get-user-certificate/sec1eX7pjzMhzmqHOudC" TargetMode="External"/><Relationship Id="rId2746" Type="http://schemas.openxmlformats.org/officeDocument/2006/relationships/hyperlink" Target="https://talan.bank.gov.ua/get-user-certificate/sec1enmJYuAlcmVJUx4w" TargetMode="External"/><Relationship Id="rId2953" Type="http://schemas.openxmlformats.org/officeDocument/2006/relationships/hyperlink" Target="https://talan.bank.gov.ua/get-user-certificate/sec1eIAcz4-B_HbrwN5V" TargetMode="External"/><Relationship Id="rId718" Type="http://schemas.openxmlformats.org/officeDocument/2006/relationships/hyperlink" Target="https://talan.bank.gov.ua/get-user-certificate/sec1eugKwUTVzcyzKBsk" TargetMode="External"/><Relationship Id="rId925" Type="http://schemas.openxmlformats.org/officeDocument/2006/relationships/hyperlink" Target="https://talan.bank.gov.ua/get-user-certificate/sec1eViWUEY6Tzey3wTZ" TargetMode="External"/><Relationship Id="rId1348" Type="http://schemas.openxmlformats.org/officeDocument/2006/relationships/hyperlink" Target="https://talan.bank.gov.ua/get-user-certificate/sec1egdETDO-gDR0y5Wm" TargetMode="External"/><Relationship Id="rId1555" Type="http://schemas.openxmlformats.org/officeDocument/2006/relationships/hyperlink" Target="https://talan.bank.gov.ua/get-user-certificate/sec1eF0ikp8LXuAR_9Rm" TargetMode="External"/><Relationship Id="rId1762" Type="http://schemas.openxmlformats.org/officeDocument/2006/relationships/hyperlink" Target="https://talan.bank.gov.ua/get-user-certificate/sec1eBnJSgp_zgJIvIC4" TargetMode="External"/><Relationship Id="rId2606" Type="http://schemas.openxmlformats.org/officeDocument/2006/relationships/hyperlink" Target="https://talan.bank.gov.ua/get-user-certificate/sec1eRBWEXDg-8JQu6LD" TargetMode="External"/><Relationship Id="rId5012" Type="http://schemas.openxmlformats.org/officeDocument/2006/relationships/hyperlink" Target="https://talan.bank.gov.ua/get-user-certificate/f7i-sYgQKVCZXtb82shh" TargetMode="External"/><Relationship Id="rId1208" Type="http://schemas.openxmlformats.org/officeDocument/2006/relationships/hyperlink" Target="https://talan.bank.gov.ua/get-user-certificate/sec1eLyAWc2rSIaPC6ZT" TargetMode="External"/><Relationship Id="rId1415" Type="http://schemas.openxmlformats.org/officeDocument/2006/relationships/hyperlink" Target="https://talan.bank.gov.ua/get-user-certificate/sec1e22Qi7zFpl64wWb4" TargetMode="External"/><Relationship Id="rId2813" Type="http://schemas.openxmlformats.org/officeDocument/2006/relationships/hyperlink" Target="https://talan.bank.gov.ua/get-user-certificate/sec1eoLsDr-Y7KRQJCpS" TargetMode="External"/><Relationship Id="rId54" Type="http://schemas.openxmlformats.org/officeDocument/2006/relationships/hyperlink" Target="https://talan.bank.gov.ua/get-user-certificate/sec1e6r_Ki7wz2-AjATw" TargetMode="External"/><Relationship Id="rId1622" Type="http://schemas.openxmlformats.org/officeDocument/2006/relationships/hyperlink" Target="https://talan.bank.gov.ua/get-user-certificate/sec1eh_KBB3w_KmqGgXK" TargetMode="External"/><Relationship Id="rId4778" Type="http://schemas.openxmlformats.org/officeDocument/2006/relationships/hyperlink" Target="https://talan.bank.gov.ua/get-user-certificate/sec1eG-UCnhkAOjNWUnZ" TargetMode="External"/><Relationship Id="rId4985" Type="http://schemas.openxmlformats.org/officeDocument/2006/relationships/hyperlink" Target="https://talan.bank.gov.ua/get-user-certificate/sec1e-GayVqSovA9RQwv" TargetMode="External"/><Relationship Id="rId2189" Type="http://schemas.openxmlformats.org/officeDocument/2006/relationships/hyperlink" Target="https://talan.bank.gov.ua/get-user-certificate/sec1egPvr1uSsSncbqRN" TargetMode="External"/><Relationship Id="rId3587" Type="http://schemas.openxmlformats.org/officeDocument/2006/relationships/hyperlink" Target="https://talan.bank.gov.ua/get-user-certificate/sec1e0qrtnNjw4nV2JAw" TargetMode="External"/><Relationship Id="rId3794" Type="http://schemas.openxmlformats.org/officeDocument/2006/relationships/hyperlink" Target="https://talan.bank.gov.ua/get-user-certificate/sec1eKwV0QsRQA4PfDez" TargetMode="External"/><Relationship Id="rId4638" Type="http://schemas.openxmlformats.org/officeDocument/2006/relationships/hyperlink" Target="https://talan.bank.gov.ua/get-user-certificate/sec1e3yt2wW2GXpQ4eVZ" TargetMode="External"/><Relationship Id="rId4845" Type="http://schemas.openxmlformats.org/officeDocument/2006/relationships/hyperlink" Target="https://talan.bank.gov.ua/get-user-certificate/sec1e1JeMdzr7Jf4dPY_" TargetMode="External"/><Relationship Id="rId2396" Type="http://schemas.openxmlformats.org/officeDocument/2006/relationships/hyperlink" Target="https://talan.bank.gov.ua/get-user-certificate/sec1ep8vYxMpXTzMfPjY" TargetMode="External"/><Relationship Id="rId3447" Type="http://schemas.openxmlformats.org/officeDocument/2006/relationships/hyperlink" Target="https://talan.bank.gov.ua/get-user-certificate/sec1eUlK5MT4sQpE6FFx" TargetMode="External"/><Relationship Id="rId3654" Type="http://schemas.openxmlformats.org/officeDocument/2006/relationships/hyperlink" Target="https://talan.bank.gov.ua/get-user-certificate/sec1eh5otmc4qSsEp6yJ" TargetMode="External"/><Relationship Id="rId3861" Type="http://schemas.openxmlformats.org/officeDocument/2006/relationships/hyperlink" Target="https://talan.bank.gov.ua/get-user-certificate/sec1e2riVOaHz1E1Q9yp" TargetMode="External"/><Relationship Id="rId4705" Type="http://schemas.openxmlformats.org/officeDocument/2006/relationships/hyperlink" Target="https://talan.bank.gov.ua/get-user-certificate/sec1eK7-G8iN5eltd1jh" TargetMode="External"/><Relationship Id="rId4912" Type="http://schemas.openxmlformats.org/officeDocument/2006/relationships/hyperlink" Target="https://talan.bank.gov.ua/get-user-certificate/sec1egeBYsboESBPa4Me" TargetMode="External"/><Relationship Id="rId368" Type="http://schemas.openxmlformats.org/officeDocument/2006/relationships/hyperlink" Target="https://talan.bank.gov.ua/get-user-certificate/sec1evwqPTw1lNuZpjBw" TargetMode="External"/><Relationship Id="rId575" Type="http://schemas.openxmlformats.org/officeDocument/2006/relationships/hyperlink" Target="https://talan.bank.gov.ua/get-user-certificate/sec1ec0dXbkUE9Qz7QJx" TargetMode="External"/><Relationship Id="rId782" Type="http://schemas.openxmlformats.org/officeDocument/2006/relationships/hyperlink" Target="https://talan.bank.gov.ua/get-user-certificate/sec1e3o4KzbyQH-wIx5k" TargetMode="External"/><Relationship Id="rId2049" Type="http://schemas.openxmlformats.org/officeDocument/2006/relationships/hyperlink" Target="https://talan.bank.gov.ua/get-user-certificate/sec1eRnosWM8RUPyWEB3" TargetMode="External"/><Relationship Id="rId2256" Type="http://schemas.openxmlformats.org/officeDocument/2006/relationships/hyperlink" Target="https://talan.bank.gov.ua/get-user-certificate/sec1e70V87m77xJv0ytI" TargetMode="External"/><Relationship Id="rId2463" Type="http://schemas.openxmlformats.org/officeDocument/2006/relationships/hyperlink" Target="https://talan.bank.gov.ua/get-user-certificate/sec1eXqXA1GUY9wb8B97" TargetMode="External"/><Relationship Id="rId2670" Type="http://schemas.openxmlformats.org/officeDocument/2006/relationships/hyperlink" Target="https://talan.bank.gov.ua/get-user-certificate/sec1eX7QEMpUBA_mPyhL" TargetMode="External"/><Relationship Id="rId3307" Type="http://schemas.openxmlformats.org/officeDocument/2006/relationships/hyperlink" Target="https://talan.bank.gov.ua/get-user-certificate/sec1ewCmCoB0NxU4liAD" TargetMode="External"/><Relationship Id="rId3514" Type="http://schemas.openxmlformats.org/officeDocument/2006/relationships/hyperlink" Target="https://talan.bank.gov.ua/get-user-certificate/sec1eRWms9eOIY6feKy5" TargetMode="External"/><Relationship Id="rId3721" Type="http://schemas.openxmlformats.org/officeDocument/2006/relationships/hyperlink" Target="https://talan.bank.gov.ua/get-user-certificate/sec1ebK2YsKJPbQT7m-p" TargetMode="External"/><Relationship Id="rId228" Type="http://schemas.openxmlformats.org/officeDocument/2006/relationships/hyperlink" Target="https://talan.bank.gov.ua/get-user-certificate/sec1eDvUMjxd8peCRzGs" TargetMode="External"/><Relationship Id="rId435" Type="http://schemas.openxmlformats.org/officeDocument/2006/relationships/hyperlink" Target="https://talan.bank.gov.ua/get-user-certificate/sec1ecMUZNgb8ypgEniK" TargetMode="External"/><Relationship Id="rId642" Type="http://schemas.openxmlformats.org/officeDocument/2006/relationships/hyperlink" Target="https://talan.bank.gov.ua/get-user-certificate/sec1eOiyO-E1tAteS4gq" TargetMode="External"/><Relationship Id="rId1065" Type="http://schemas.openxmlformats.org/officeDocument/2006/relationships/hyperlink" Target="https://talan.bank.gov.ua/get-user-certificate/sec1eNsUvkiBNVJSzElW" TargetMode="External"/><Relationship Id="rId1272" Type="http://schemas.openxmlformats.org/officeDocument/2006/relationships/hyperlink" Target="https://talan.bank.gov.ua/get-user-certificate/sec1eO2SQtjCyDd8SHu-" TargetMode="External"/><Relationship Id="rId2116" Type="http://schemas.openxmlformats.org/officeDocument/2006/relationships/hyperlink" Target="https://talan.bank.gov.ua/get-user-certificate/sec1eNj9kk70GwO_7Zxf" TargetMode="External"/><Relationship Id="rId2323" Type="http://schemas.openxmlformats.org/officeDocument/2006/relationships/hyperlink" Target="https://talan.bank.gov.ua/get-user-certificate/sec1e63-Lvb8nyJQvUsB" TargetMode="External"/><Relationship Id="rId2530" Type="http://schemas.openxmlformats.org/officeDocument/2006/relationships/hyperlink" Target="https://talan.bank.gov.ua/get-user-certificate/sec1e1osvQdZhgVx_vbH" TargetMode="External"/><Relationship Id="rId502" Type="http://schemas.openxmlformats.org/officeDocument/2006/relationships/hyperlink" Target="https://talan.bank.gov.ua/get-user-certificate/sec1eRuoG2zXIzNHKu2I" TargetMode="External"/><Relationship Id="rId1132" Type="http://schemas.openxmlformats.org/officeDocument/2006/relationships/hyperlink" Target="https://talan.bank.gov.ua/get-user-certificate/sec1eZGP3ID40BAX8Tjq" TargetMode="External"/><Relationship Id="rId4288" Type="http://schemas.openxmlformats.org/officeDocument/2006/relationships/hyperlink" Target="https://talan.bank.gov.ua/get-user-certificate/sec1eqwpIkqCxcAHRkV0" TargetMode="External"/><Relationship Id="rId4495" Type="http://schemas.openxmlformats.org/officeDocument/2006/relationships/hyperlink" Target="https://talan.bank.gov.ua/get-user-certificate/sec1eM0fiIdhl6Fth3iL" TargetMode="External"/><Relationship Id="rId3097" Type="http://schemas.openxmlformats.org/officeDocument/2006/relationships/hyperlink" Target="https://talan.bank.gov.ua/get-user-certificate/sec1ehCeiG9giVieClDV" TargetMode="External"/><Relationship Id="rId4148" Type="http://schemas.openxmlformats.org/officeDocument/2006/relationships/hyperlink" Target="https://talan.bank.gov.ua/get-user-certificate/sec1ezGmWumUezDmax3V" TargetMode="External"/><Relationship Id="rId4355" Type="http://schemas.openxmlformats.org/officeDocument/2006/relationships/hyperlink" Target="https://talan.bank.gov.ua/get-user-certificate/sec1eyA2qpdRZZRFkCuc" TargetMode="External"/><Relationship Id="rId1949" Type="http://schemas.openxmlformats.org/officeDocument/2006/relationships/hyperlink" Target="https://talan.bank.gov.ua/get-user-certificate/sec1eckRQiz-vnnLmuNr" TargetMode="External"/><Relationship Id="rId3164" Type="http://schemas.openxmlformats.org/officeDocument/2006/relationships/hyperlink" Target="https://talan.bank.gov.ua/get-user-certificate/sec1el_e_B-os3BNtxOU" TargetMode="External"/><Relationship Id="rId4008" Type="http://schemas.openxmlformats.org/officeDocument/2006/relationships/hyperlink" Target="https://talan.bank.gov.ua/get-user-certificate/sec1e2cYdWN-dS3p4AOf" TargetMode="External"/><Relationship Id="rId4562" Type="http://schemas.openxmlformats.org/officeDocument/2006/relationships/hyperlink" Target="https://talan.bank.gov.ua/get-user-certificate/sec1ezH3i1KJgegiGyys" TargetMode="External"/><Relationship Id="rId292" Type="http://schemas.openxmlformats.org/officeDocument/2006/relationships/hyperlink" Target="https://talan.bank.gov.ua/get-user-certificate/sec1eJ4ajpSmhDUQ9gHl" TargetMode="External"/><Relationship Id="rId1809" Type="http://schemas.openxmlformats.org/officeDocument/2006/relationships/hyperlink" Target="https://talan.bank.gov.ua/get-user-certificate/sec1e08OfzjTMB4INAOM" TargetMode="External"/><Relationship Id="rId3371" Type="http://schemas.openxmlformats.org/officeDocument/2006/relationships/hyperlink" Target="https://talan.bank.gov.ua/get-user-certificate/sec1eRHMU-yfn24yl7Va" TargetMode="External"/><Relationship Id="rId4215" Type="http://schemas.openxmlformats.org/officeDocument/2006/relationships/hyperlink" Target="https://talan.bank.gov.ua/get-user-certificate/sec1ewTHpqtYFxFWT12P" TargetMode="External"/><Relationship Id="rId4422" Type="http://schemas.openxmlformats.org/officeDocument/2006/relationships/hyperlink" Target="https://talan.bank.gov.ua/get-user-certificate/sec1e_G-vwgEiN65kr_V" TargetMode="External"/><Relationship Id="rId2180" Type="http://schemas.openxmlformats.org/officeDocument/2006/relationships/hyperlink" Target="https://talan.bank.gov.ua/get-user-certificate/sec1e__OGDKLRy5hSdUz" TargetMode="External"/><Relationship Id="rId3024" Type="http://schemas.openxmlformats.org/officeDocument/2006/relationships/hyperlink" Target="https://talan.bank.gov.ua/get-user-certificate/sec1ev0KJoCKf_q6befT" TargetMode="External"/><Relationship Id="rId3231" Type="http://schemas.openxmlformats.org/officeDocument/2006/relationships/hyperlink" Target="https://talan.bank.gov.ua/get-user-certificate/sec1exGH0-q0N-i41uzR" TargetMode="External"/><Relationship Id="rId152" Type="http://schemas.openxmlformats.org/officeDocument/2006/relationships/hyperlink" Target="https://talan.bank.gov.ua/get-user-certificate/sec1e9O_yimUX74fTZHA" TargetMode="External"/><Relationship Id="rId2040" Type="http://schemas.openxmlformats.org/officeDocument/2006/relationships/hyperlink" Target="https://talan.bank.gov.ua/get-user-certificate/sec1eKXczszVKj35DZrl" TargetMode="External"/><Relationship Id="rId2997" Type="http://schemas.openxmlformats.org/officeDocument/2006/relationships/hyperlink" Target="https://talan.bank.gov.ua/get-user-certificate/sec1e-XqW1r-ixDVkGDJ" TargetMode="External"/><Relationship Id="rId969" Type="http://schemas.openxmlformats.org/officeDocument/2006/relationships/hyperlink" Target="https://talan.bank.gov.ua/get-user-certificate/sec1erz81ole28ugwMAK" TargetMode="External"/><Relationship Id="rId1599" Type="http://schemas.openxmlformats.org/officeDocument/2006/relationships/hyperlink" Target="https://talan.bank.gov.ua/get-user-certificate/sec1e94OGTWX8V__fKsj" TargetMode="External"/><Relationship Id="rId1459" Type="http://schemas.openxmlformats.org/officeDocument/2006/relationships/hyperlink" Target="https://talan.bank.gov.ua/get-user-certificate/sec1e8npu6RuIucQIRRb" TargetMode="External"/><Relationship Id="rId2857" Type="http://schemas.openxmlformats.org/officeDocument/2006/relationships/hyperlink" Target="https://talan.bank.gov.ua/get-user-certificate/sec1eFwmhfxAD7uhpv00" TargetMode="External"/><Relationship Id="rId3908" Type="http://schemas.openxmlformats.org/officeDocument/2006/relationships/hyperlink" Target="https://talan.bank.gov.ua/get-user-certificate/sec1eN1GHymydgnxH7QF" TargetMode="External"/><Relationship Id="rId4072" Type="http://schemas.openxmlformats.org/officeDocument/2006/relationships/hyperlink" Target="https://talan.bank.gov.ua/get-user-certificate/sec1ekMtd4203YxcpM6m" TargetMode="External"/><Relationship Id="rId98" Type="http://schemas.openxmlformats.org/officeDocument/2006/relationships/hyperlink" Target="https://talan.bank.gov.ua/get-user-certificate/sec1ej5laonce-_wF02t" TargetMode="External"/><Relationship Id="rId829" Type="http://schemas.openxmlformats.org/officeDocument/2006/relationships/hyperlink" Target="https://talan.bank.gov.ua/get-user-certificate/sec1ekNWEWk8_ngmchJW" TargetMode="External"/><Relationship Id="rId1666" Type="http://schemas.openxmlformats.org/officeDocument/2006/relationships/hyperlink" Target="https://talan.bank.gov.ua/get-user-certificate/sec1e37Lm-ocJg21qwWs" TargetMode="External"/><Relationship Id="rId1873" Type="http://schemas.openxmlformats.org/officeDocument/2006/relationships/hyperlink" Target="https://talan.bank.gov.ua/get-user-certificate/sec1eUlX7O1zwtLvmZH8" TargetMode="External"/><Relationship Id="rId2717" Type="http://schemas.openxmlformats.org/officeDocument/2006/relationships/hyperlink" Target="https://talan.bank.gov.ua/get-user-certificate/sec1exaIG29FPEL-DjGN" TargetMode="External"/><Relationship Id="rId2924" Type="http://schemas.openxmlformats.org/officeDocument/2006/relationships/hyperlink" Target="https://talan.bank.gov.ua/get-user-certificate/sec1eIuzv1wBdnKfUvim" TargetMode="External"/><Relationship Id="rId1319" Type="http://schemas.openxmlformats.org/officeDocument/2006/relationships/hyperlink" Target="https://talan.bank.gov.ua/get-user-certificate/sec1eTvlJJfFXSwiM2cT" TargetMode="External"/><Relationship Id="rId1526" Type="http://schemas.openxmlformats.org/officeDocument/2006/relationships/hyperlink" Target="https://talan.bank.gov.ua/get-user-certificate/sec1es6sCxn7SMIhVY-s" TargetMode="External"/><Relationship Id="rId1733" Type="http://schemas.openxmlformats.org/officeDocument/2006/relationships/hyperlink" Target="https://talan.bank.gov.ua/get-user-certificate/sec1eZwyQIT05Kj4Z2f6" TargetMode="External"/><Relationship Id="rId1940" Type="http://schemas.openxmlformats.org/officeDocument/2006/relationships/hyperlink" Target="https://talan.bank.gov.ua/get-user-certificate/sec1e7vSkA8VELqLbrL7" TargetMode="External"/><Relationship Id="rId4889" Type="http://schemas.openxmlformats.org/officeDocument/2006/relationships/hyperlink" Target="https://talan.bank.gov.ua/get-user-certificate/sec1eoduWb6Wh3vq0giv" TargetMode="External"/><Relationship Id="rId25" Type="http://schemas.openxmlformats.org/officeDocument/2006/relationships/hyperlink" Target="https://talan.bank.gov.ua/get-user-certificate/sec1eL1pLxtm6x9VLnQ-" TargetMode="External"/><Relationship Id="rId1800" Type="http://schemas.openxmlformats.org/officeDocument/2006/relationships/hyperlink" Target="https://talan.bank.gov.ua/get-user-certificate/sec1eH_7Bk3FYXyHVALH" TargetMode="External"/><Relationship Id="rId3698" Type="http://schemas.openxmlformats.org/officeDocument/2006/relationships/hyperlink" Target="https://talan.bank.gov.ua/get-user-certificate/sec1e17Lv-VrKt8CWMVA" TargetMode="External"/><Relationship Id="rId4749" Type="http://schemas.openxmlformats.org/officeDocument/2006/relationships/hyperlink" Target="https://talan.bank.gov.ua/get-user-certificate/sec1e-dcrd1wsqbm-ScU" TargetMode="External"/><Relationship Id="rId4956" Type="http://schemas.openxmlformats.org/officeDocument/2006/relationships/hyperlink" Target="https://talan.bank.gov.ua/get-user-certificate/sec1edhwJKur2HFS2C4Q" TargetMode="External"/><Relationship Id="rId3558" Type="http://schemas.openxmlformats.org/officeDocument/2006/relationships/hyperlink" Target="https://talan.bank.gov.ua/get-user-certificate/sec1eD8N-PqpwN1gYsaH" TargetMode="External"/><Relationship Id="rId3765" Type="http://schemas.openxmlformats.org/officeDocument/2006/relationships/hyperlink" Target="https://talan.bank.gov.ua/get-user-certificate/sec1eBl9-gLTGwKsnhZ_" TargetMode="External"/><Relationship Id="rId3972" Type="http://schemas.openxmlformats.org/officeDocument/2006/relationships/hyperlink" Target="https://talan.bank.gov.ua/get-user-certificate/sec1eFRHiDGiRl5cDQ17" TargetMode="External"/><Relationship Id="rId4609" Type="http://schemas.openxmlformats.org/officeDocument/2006/relationships/hyperlink" Target="https://talan.bank.gov.ua/get-user-certificate/sec1eb7pEXKClTKj6x5S" TargetMode="External"/><Relationship Id="rId4816" Type="http://schemas.openxmlformats.org/officeDocument/2006/relationships/hyperlink" Target="https://talan.bank.gov.ua/get-user-certificate/sec1eZ-3ZY6hti8NrdNr" TargetMode="External"/><Relationship Id="rId479" Type="http://schemas.openxmlformats.org/officeDocument/2006/relationships/hyperlink" Target="https://talan.bank.gov.ua/get-user-certificate/sec1eXEcdO4lhK-sC-Nb" TargetMode="External"/><Relationship Id="rId686" Type="http://schemas.openxmlformats.org/officeDocument/2006/relationships/hyperlink" Target="https://talan.bank.gov.ua/get-user-certificate/sec1efVgGFNPrNdkJmFq" TargetMode="External"/><Relationship Id="rId893" Type="http://schemas.openxmlformats.org/officeDocument/2006/relationships/hyperlink" Target="https://talan.bank.gov.ua/get-user-certificate/sec1ernxuYOLJ9Kczdz2" TargetMode="External"/><Relationship Id="rId2367" Type="http://schemas.openxmlformats.org/officeDocument/2006/relationships/hyperlink" Target="https://talan.bank.gov.ua/get-user-certificate/sec1eRuW8KkmWpvwoayQ" TargetMode="External"/><Relationship Id="rId2574" Type="http://schemas.openxmlformats.org/officeDocument/2006/relationships/hyperlink" Target="https://talan.bank.gov.ua/get-user-certificate/sec1eUOMOW9pDGlb2Luu" TargetMode="External"/><Relationship Id="rId2781" Type="http://schemas.openxmlformats.org/officeDocument/2006/relationships/hyperlink" Target="https://talan.bank.gov.ua/get-user-certificate/sec1emE_DffPK1L-_TnC" TargetMode="External"/><Relationship Id="rId3418" Type="http://schemas.openxmlformats.org/officeDocument/2006/relationships/hyperlink" Target="https://talan.bank.gov.ua/get-user-certificate/sec1ePUhfHqDXnjmeu3i" TargetMode="External"/><Relationship Id="rId3625" Type="http://schemas.openxmlformats.org/officeDocument/2006/relationships/hyperlink" Target="https://talan.bank.gov.ua/get-user-certificate/sec1e2bLIGz7HX0mOAJf" TargetMode="External"/><Relationship Id="rId339" Type="http://schemas.openxmlformats.org/officeDocument/2006/relationships/hyperlink" Target="https://talan.bank.gov.ua/get-user-certificate/sec1eOd4peToqA-jCzg-" TargetMode="External"/><Relationship Id="rId546" Type="http://schemas.openxmlformats.org/officeDocument/2006/relationships/hyperlink" Target="https://talan.bank.gov.ua/get-user-certificate/sec1eCDmAxFO0BQQOUF8" TargetMode="External"/><Relationship Id="rId753" Type="http://schemas.openxmlformats.org/officeDocument/2006/relationships/hyperlink" Target="https://talan.bank.gov.ua/get-user-certificate/sec1eswdNv6cz5hWu8qJ" TargetMode="External"/><Relationship Id="rId1176" Type="http://schemas.openxmlformats.org/officeDocument/2006/relationships/hyperlink" Target="https://talan.bank.gov.ua/get-user-certificate/sec1etMtctkMjfbD3cgl" TargetMode="External"/><Relationship Id="rId1383" Type="http://schemas.openxmlformats.org/officeDocument/2006/relationships/hyperlink" Target="https://talan.bank.gov.ua/get-user-certificate/sec1eI2rcxu0ryZzIgEf" TargetMode="External"/><Relationship Id="rId2227" Type="http://schemas.openxmlformats.org/officeDocument/2006/relationships/hyperlink" Target="https://talan.bank.gov.ua/get-user-certificate/sec1eV8xtlHio0hWGxQt" TargetMode="External"/><Relationship Id="rId2434" Type="http://schemas.openxmlformats.org/officeDocument/2006/relationships/hyperlink" Target="https://talan.bank.gov.ua/get-user-certificate/sec1eHOlNMDMJTAu8GnS" TargetMode="External"/><Relationship Id="rId3832" Type="http://schemas.openxmlformats.org/officeDocument/2006/relationships/hyperlink" Target="https://talan.bank.gov.ua/get-user-certificate/sec1e_7MX41lSah98sz_" TargetMode="External"/><Relationship Id="rId406" Type="http://schemas.openxmlformats.org/officeDocument/2006/relationships/hyperlink" Target="https://talan.bank.gov.ua/get-user-certificate/sec1emFXMXgz3cc8xMBy" TargetMode="External"/><Relationship Id="rId960" Type="http://schemas.openxmlformats.org/officeDocument/2006/relationships/hyperlink" Target="https://talan.bank.gov.ua/get-user-certificate/sec1eFWvASOY5GqSQL9E" TargetMode="External"/><Relationship Id="rId1036" Type="http://schemas.openxmlformats.org/officeDocument/2006/relationships/hyperlink" Target="https://talan.bank.gov.ua/get-user-certificate/sec1eijruMZqG_tp-O_M" TargetMode="External"/><Relationship Id="rId1243" Type="http://schemas.openxmlformats.org/officeDocument/2006/relationships/hyperlink" Target="https://talan.bank.gov.ua/get-user-certificate/sec1ewj6_aaGivI210gz" TargetMode="External"/><Relationship Id="rId1590" Type="http://schemas.openxmlformats.org/officeDocument/2006/relationships/hyperlink" Target="https://talan.bank.gov.ua/get-user-certificate/sec1ethWqPXGFpGk9erJ" TargetMode="External"/><Relationship Id="rId2641" Type="http://schemas.openxmlformats.org/officeDocument/2006/relationships/hyperlink" Target="https://talan.bank.gov.ua/get-user-certificate/sec1eLewdrnAUNeCJunu" TargetMode="External"/><Relationship Id="rId4399" Type="http://schemas.openxmlformats.org/officeDocument/2006/relationships/hyperlink" Target="https://talan.bank.gov.ua/get-user-certificate/sec1eYoJIFtay1e9ZeEc" TargetMode="External"/><Relationship Id="rId613" Type="http://schemas.openxmlformats.org/officeDocument/2006/relationships/hyperlink" Target="https://talan.bank.gov.ua/get-user-certificate/sec1efoIH42GJFW2HW7t" TargetMode="External"/><Relationship Id="rId820" Type="http://schemas.openxmlformats.org/officeDocument/2006/relationships/hyperlink" Target="https://talan.bank.gov.ua/get-user-certificate/sec1eQ52zqifuQvQusw-" TargetMode="External"/><Relationship Id="rId1450" Type="http://schemas.openxmlformats.org/officeDocument/2006/relationships/hyperlink" Target="https://talan.bank.gov.ua/get-user-certificate/sec1el8DqRoX8ciX_A3e" TargetMode="External"/><Relationship Id="rId2501" Type="http://schemas.openxmlformats.org/officeDocument/2006/relationships/hyperlink" Target="https://talan.bank.gov.ua/get-user-certificate/sec1eilplPt37lIl0isV" TargetMode="External"/><Relationship Id="rId1103" Type="http://schemas.openxmlformats.org/officeDocument/2006/relationships/hyperlink" Target="https://talan.bank.gov.ua/get-user-certificate/sec1edJIjznnTlHTns3E" TargetMode="External"/><Relationship Id="rId1310" Type="http://schemas.openxmlformats.org/officeDocument/2006/relationships/hyperlink" Target="https://talan.bank.gov.ua/get-user-certificate/sec1eqr8V8GueL2gcQsx" TargetMode="External"/><Relationship Id="rId4259" Type="http://schemas.openxmlformats.org/officeDocument/2006/relationships/hyperlink" Target="https://talan.bank.gov.ua/get-user-certificate/sec1egUOtJuGTPB0T9pA" TargetMode="External"/><Relationship Id="rId4466" Type="http://schemas.openxmlformats.org/officeDocument/2006/relationships/hyperlink" Target="https://talan.bank.gov.ua/get-user-certificate/sec1eMONPPxnPmfFV1ER" TargetMode="External"/><Relationship Id="rId4673" Type="http://schemas.openxmlformats.org/officeDocument/2006/relationships/hyperlink" Target="https://talan.bank.gov.ua/get-user-certificate/sec1eD7kK-eq3nWCIPf9" TargetMode="External"/><Relationship Id="rId4880" Type="http://schemas.openxmlformats.org/officeDocument/2006/relationships/hyperlink" Target="https://talan.bank.gov.ua/get-user-certificate/sec1eDzZbEnAhko2mAOL" TargetMode="External"/><Relationship Id="rId3068" Type="http://schemas.openxmlformats.org/officeDocument/2006/relationships/hyperlink" Target="https://talan.bank.gov.ua/get-user-certificate/sec1eWzbj_pvC8s5e2o8" TargetMode="External"/><Relationship Id="rId3275" Type="http://schemas.openxmlformats.org/officeDocument/2006/relationships/hyperlink" Target="https://talan.bank.gov.ua/get-user-certificate/sec1eFLIlMAExIY-wsFI" TargetMode="External"/><Relationship Id="rId3482" Type="http://schemas.openxmlformats.org/officeDocument/2006/relationships/hyperlink" Target="https://talan.bank.gov.ua/get-user-certificate/sec1ekujHDh6SbxZFE1E" TargetMode="External"/><Relationship Id="rId4119" Type="http://schemas.openxmlformats.org/officeDocument/2006/relationships/hyperlink" Target="https://talan.bank.gov.ua/get-user-certificate/sec1eUacRIKKyHNIDdrD" TargetMode="External"/><Relationship Id="rId4326" Type="http://schemas.openxmlformats.org/officeDocument/2006/relationships/hyperlink" Target="https://talan.bank.gov.ua/get-user-certificate/sec1eGcUCvOLd6l_o2fO" TargetMode="External"/><Relationship Id="rId4533" Type="http://schemas.openxmlformats.org/officeDocument/2006/relationships/hyperlink" Target="https://talan.bank.gov.ua/get-user-certificate/sec1eg6lVOl6qS5myGgd" TargetMode="External"/><Relationship Id="rId4740" Type="http://schemas.openxmlformats.org/officeDocument/2006/relationships/hyperlink" Target="https://talan.bank.gov.ua/get-user-certificate/sec1e4DwILrGXQquYS3B" TargetMode="External"/><Relationship Id="rId196" Type="http://schemas.openxmlformats.org/officeDocument/2006/relationships/hyperlink" Target="https://talan.bank.gov.ua/get-user-certificate/sec1eAiOeeSWSwDNgf-A" TargetMode="External"/><Relationship Id="rId2084" Type="http://schemas.openxmlformats.org/officeDocument/2006/relationships/hyperlink" Target="https://talan.bank.gov.ua/get-user-certificate/sec1eMOwPIntvTyiq2mp" TargetMode="External"/><Relationship Id="rId2291" Type="http://schemas.openxmlformats.org/officeDocument/2006/relationships/hyperlink" Target="https://talan.bank.gov.ua/get-user-certificate/sec1e8eCIfKuntQ70r_V" TargetMode="External"/><Relationship Id="rId3135" Type="http://schemas.openxmlformats.org/officeDocument/2006/relationships/hyperlink" Target="https://talan.bank.gov.ua/get-user-certificate/sec1ePZrjNeQ7gd7ELsv" TargetMode="External"/><Relationship Id="rId3342" Type="http://schemas.openxmlformats.org/officeDocument/2006/relationships/hyperlink" Target="https://talan.bank.gov.ua/get-user-certificate/sec1eVCWZUDtsnhXBpci" TargetMode="External"/><Relationship Id="rId4600" Type="http://schemas.openxmlformats.org/officeDocument/2006/relationships/hyperlink" Target="https://talan.bank.gov.ua/get-user-certificate/sec1eSvcRB1DKeW2rSGq" TargetMode="External"/><Relationship Id="rId263" Type="http://schemas.openxmlformats.org/officeDocument/2006/relationships/hyperlink" Target="https://talan.bank.gov.ua/get-user-certificate/sec1e4My-Ml39s50LubZ" TargetMode="External"/><Relationship Id="rId470" Type="http://schemas.openxmlformats.org/officeDocument/2006/relationships/hyperlink" Target="https://talan.bank.gov.ua/get-user-certificate/sec1e8i-Sf0np6opSi2v" TargetMode="External"/><Relationship Id="rId2151" Type="http://schemas.openxmlformats.org/officeDocument/2006/relationships/hyperlink" Target="https://talan.bank.gov.ua/get-user-certificate/sec1eduD4zyw8sV887ru" TargetMode="External"/><Relationship Id="rId3202" Type="http://schemas.openxmlformats.org/officeDocument/2006/relationships/hyperlink" Target="https://talan.bank.gov.ua/get-user-certificate/sec1ezllhjxyFFfU-bgS" TargetMode="External"/><Relationship Id="rId123" Type="http://schemas.openxmlformats.org/officeDocument/2006/relationships/hyperlink" Target="https://talan.bank.gov.ua/get-user-certificate/sec1ezEUMB0ULTmLxkB2" TargetMode="External"/><Relationship Id="rId330" Type="http://schemas.openxmlformats.org/officeDocument/2006/relationships/hyperlink" Target="https://talan.bank.gov.ua/get-user-certificate/sec1enLrps-vAAdLXbyd" TargetMode="External"/><Relationship Id="rId2011" Type="http://schemas.openxmlformats.org/officeDocument/2006/relationships/hyperlink" Target="https://talan.bank.gov.ua/get-user-certificate/sec1e_VpcNYmdQ0cHoMH" TargetMode="External"/><Relationship Id="rId2968" Type="http://schemas.openxmlformats.org/officeDocument/2006/relationships/hyperlink" Target="https://talan.bank.gov.ua/get-user-certificate/sec1ecLcQHz8pN7OP8zd" TargetMode="External"/><Relationship Id="rId4183" Type="http://schemas.openxmlformats.org/officeDocument/2006/relationships/hyperlink" Target="https://talan.bank.gov.ua/get-user-certificate/sec1ecYgxijbcTTf9NEq" TargetMode="External"/><Relationship Id="rId1777" Type="http://schemas.openxmlformats.org/officeDocument/2006/relationships/hyperlink" Target="https://talan.bank.gov.ua/get-user-certificate/sec1eGinTDW73QYsSkV_" TargetMode="External"/><Relationship Id="rId1984" Type="http://schemas.openxmlformats.org/officeDocument/2006/relationships/hyperlink" Target="https://talan.bank.gov.ua/get-user-certificate/sec1eyp-DNqS8HIsJAFt" TargetMode="External"/><Relationship Id="rId2828" Type="http://schemas.openxmlformats.org/officeDocument/2006/relationships/hyperlink" Target="https://talan.bank.gov.ua/get-user-certificate/sec1eOQnu9rjT02RHZ8X" TargetMode="External"/><Relationship Id="rId4390" Type="http://schemas.openxmlformats.org/officeDocument/2006/relationships/hyperlink" Target="https://talan.bank.gov.ua/get-user-certificate/sec1ejEdfWU8g732FW-b" TargetMode="External"/><Relationship Id="rId69" Type="http://schemas.openxmlformats.org/officeDocument/2006/relationships/hyperlink" Target="https://talan.bank.gov.ua/get-user-certificate/sec1eywRx_IXok_vE6QO" TargetMode="External"/><Relationship Id="rId1637" Type="http://schemas.openxmlformats.org/officeDocument/2006/relationships/hyperlink" Target="https://talan.bank.gov.ua/get-user-certificate/sec1es4gd7vb1hbxRqJ_" TargetMode="External"/><Relationship Id="rId1844" Type="http://schemas.openxmlformats.org/officeDocument/2006/relationships/hyperlink" Target="https://talan.bank.gov.ua/get-user-certificate/sec1eiOlLntRcXcVr7EO" TargetMode="External"/><Relationship Id="rId4043" Type="http://schemas.openxmlformats.org/officeDocument/2006/relationships/hyperlink" Target="https://talan.bank.gov.ua/get-user-certificate/sec1eZqvctcV-eU3n9aj" TargetMode="External"/><Relationship Id="rId4250" Type="http://schemas.openxmlformats.org/officeDocument/2006/relationships/hyperlink" Target="https://talan.bank.gov.ua/get-user-certificate/sec1eFcDPR2Hl5Qhh7zo" TargetMode="External"/><Relationship Id="rId1704" Type="http://schemas.openxmlformats.org/officeDocument/2006/relationships/hyperlink" Target="https://talan.bank.gov.ua/get-user-certificate/sec1eo7-wTItoSjYBKr1" TargetMode="External"/><Relationship Id="rId4110" Type="http://schemas.openxmlformats.org/officeDocument/2006/relationships/hyperlink" Target="https://talan.bank.gov.ua/get-user-certificate/sec1e-zF0QMsrrjFUXJT" TargetMode="External"/><Relationship Id="rId1911" Type="http://schemas.openxmlformats.org/officeDocument/2006/relationships/hyperlink" Target="https://talan.bank.gov.ua/get-user-certificate/sec1ebA4waaE-_C1249q" TargetMode="External"/><Relationship Id="rId3669" Type="http://schemas.openxmlformats.org/officeDocument/2006/relationships/hyperlink" Target="https://talan.bank.gov.ua/get-user-certificate/sec1edcQ_99ZFCh-NGtk" TargetMode="External"/><Relationship Id="rId797" Type="http://schemas.openxmlformats.org/officeDocument/2006/relationships/hyperlink" Target="https://talan.bank.gov.ua/get-user-certificate/sec1ezSaVioEuHtwnJTf" TargetMode="External"/><Relationship Id="rId2478" Type="http://schemas.openxmlformats.org/officeDocument/2006/relationships/hyperlink" Target="https://talan.bank.gov.ua/get-user-certificate/sec1e86ZTvi5BdUR_A9R" TargetMode="External"/><Relationship Id="rId3876" Type="http://schemas.openxmlformats.org/officeDocument/2006/relationships/hyperlink" Target="https://talan.bank.gov.ua/get-user-certificate/sec1efm8V11H3jK7CgG4" TargetMode="External"/><Relationship Id="rId4927" Type="http://schemas.openxmlformats.org/officeDocument/2006/relationships/hyperlink" Target="https://talan.bank.gov.ua/get-user-certificate/sec1engMX1eZhvr_zpEv" TargetMode="External"/><Relationship Id="rId1287" Type="http://schemas.openxmlformats.org/officeDocument/2006/relationships/hyperlink" Target="https://talan.bank.gov.ua/get-user-certificate/sec1ednf8d5a9Tras3XB" TargetMode="External"/><Relationship Id="rId2685" Type="http://schemas.openxmlformats.org/officeDocument/2006/relationships/hyperlink" Target="https://talan.bank.gov.ua/get-user-certificate/sec1eCfa3Q3rGpuHzsoy" TargetMode="External"/><Relationship Id="rId2892" Type="http://schemas.openxmlformats.org/officeDocument/2006/relationships/hyperlink" Target="https://talan.bank.gov.ua/get-user-certificate/sec1eUJAzt2bEEmJ05fW" TargetMode="External"/><Relationship Id="rId3529" Type="http://schemas.openxmlformats.org/officeDocument/2006/relationships/hyperlink" Target="https://talan.bank.gov.ua/get-user-certificate/sec1eHLw0RWrXLyhgdT9" TargetMode="External"/><Relationship Id="rId3736" Type="http://schemas.openxmlformats.org/officeDocument/2006/relationships/hyperlink" Target="https://talan.bank.gov.ua/get-user-certificate/sec1eiyYWusNUBM1IP6k" TargetMode="External"/><Relationship Id="rId3943" Type="http://schemas.openxmlformats.org/officeDocument/2006/relationships/hyperlink" Target="https://talan.bank.gov.ua/get-user-certificate/sec1e4SyIzITfy8b5Zu5" TargetMode="External"/><Relationship Id="rId657" Type="http://schemas.openxmlformats.org/officeDocument/2006/relationships/hyperlink" Target="https://talan.bank.gov.ua/get-user-certificate/sec1eDndnU2l9Pd4lIbd" TargetMode="External"/><Relationship Id="rId864" Type="http://schemas.openxmlformats.org/officeDocument/2006/relationships/hyperlink" Target="https://talan.bank.gov.ua/get-user-certificate/sec1enA5KN9kK93WCRvN" TargetMode="External"/><Relationship Id="rId1494" Type="http://schemas.openxmlformats.org/officeDocument/2006/relationships/hyperlink" Target="https://talan.bank.gov.ua/get-user-certificate/sec1ejrcqdkFgOgRn0_x" TargetMode="External"/><Relationship Id="rId2338" Type="http://schemas.openxmlformats.org/officeDocument/2006/relationships/hyperlink" Target="https://talan.bank.gov.ua/get-user-certificate/sec1eiQtNTNITmJDzrqu" TargetMode="External"/><Relationship Id="rId2545" Type="http://schemas.openxmlformats.org/officeDocument/2006/relationships/hyperlink" Target="https://talan.bank.gov.ua/get-user-certificate/sec1eVqim1aOkBj-9Nfg" TargetMode="External"/><Relationship Id="rId2752" Type="http://schemas.openxmlformats.org/officeDocument/2006/relationships/hyperlink" Target="https://talan.bank.gov.ua/get-user-certificate/sec1eTmC0FXFwcu3QRPz" TargetMode="External"/><Relationship Id="rId3803" Type="http://schemas.openxmlformats.org/officeDocument/2006/relationships/hyperlink" Target="https://talan.bank.gov.ua/get-user-certificate/sec1eT_GYPBfx5SOkWzX" TargetMode="External"/><Relationship Id="rId517" Type="http://schemas.openxmlformats.org/officeDocument/2006/relationships/hyperlink" Target="https://talan.bank.gov.ua/get-user-certificate/sec1eYGARyBgYbfwvwYG" TargetMode="External"/><Relationship Id="rId724" Type="http://schemas.openxmlformats.org/officeDocument/2006/relationships/hyperlink" Target="https://talan.bank.gov.ua/get-user-certificate/sec1e_klqGiIX6RESZAC" TargetMode="External"/><Relationship Id="rId931" Type="http://schemas.openxmlformats.org/officeDocument/2006/relationships/hyperlink" Target="https://talan.bank.gov.ua/get-user-certificate/sec1egpkJ2PQ1C762RB4" TargetMode="External"/><Relationship Id="rId1147" Type="http://schemas.openxmlformats.org/officeDocument/2006/relationships/hyperlink" Target="https://talan.bank.gov.ua/get-user-certificate/sec1ejHi_v7Ix5CHE4Fn" TargetMode="External"/><Relationship Id="rId1354" Type="http://schemas.openxmlformats.org/officeDocument/2006/relationships/hyperlink" Target="https://talan.bank.gov.ua/get-user-certificate/sec1eyi5u_Qb4Qvm4MPe" TargetMode="External"/><Relationship Id="rId1561" Type="http://schemas.openxmlformats.org/officeDocument/2006/relationships/hyperlink" Target="https://talan.bank.gov.ua/get-user-certificate/sec1eqNiyBGNoX-ZIVtD" TargetMode="External"/><Relationship Id="rId2405" Type="http://schemas.openxmlformats.org/officeDocument/2006/relationships/hyperlink" Target="https://talan.bank.gov.ua/get-user-certificate/sec1ec-pM4WlsI4EXomv" TargetMode="External"/><Relationship Id="rId2612" Type="http://schemas.openxmlformats.org/officeDocument/2006/relationships/hyperlink" Target="https://talan.bank.gov.ua/get-user-certificate/sec1eeMQVSQQg71lEhj4" TargetMode="External"/><Relationship Id="rId60" Type="http://schemas.openxmlformats.org/officeDocument/2006/relationships/hyperlink" Target="https://talan.bank.gov.ua/get-user-certificate/sec1e8ceTFJ734Mnz3q4" TargetMode="External"/><Relationship Id="rId1007" Type="http://schemas.openxmlformats.org/officeDocument/2006/relationships/hyperlink" Target="https://talan.bank.gov.ua/get-user-certificate/sec1eqR9_xNbRJCplQF2" TargetMode="External"/><Relationship Id="rId1214" Type="http://schemas.openxmlformats.org/officeDocument/2006/relationships/hyperlink" Target="https://talan.bank.gov.ua/get-user-certificate/sec1e4B1Rr2n3K2jyMx5" TargetMode="External"/><Relationship Id="rId1421" Type="http://schemas.openxmlformats.org/officeDocument/2006/relationships/hyperlink" Target="https://talan.bank.gov.ua/get-user-certificate/sec1eI5K8AyyD6Nh5Q1W" TargetMode="External"/><Relationship Id="rId4577" Type="http://schemas.openxmlformats.org/officeDocument/2006/relationships/hyperlink" Target="https://talan.bank.gov.ua/get-user-certificate/sec1eDuA5mpTlXAuNRlp" TargetMode="External"/><Relationship Id="rId4784" Type="http://schemas.openxmlformats.org/officeDocument/2006/relationships/hyperlink" Target="https://talan.bank.gov.ua/get-user-certificate/sec1e7SiPcT_GnYJIzWy" TargetMode="External"/><Relationship Id="rId4991" Type="http://schemas.openxmlformats.org/officeDocument/2006/relationships/hyperlink" Target="https://talan.bank.gov.ua/get-user-certificate/sec1ealnTrBiYyKEXJkG" TargetMode="External"/><Relationship Id="rId3179" Type="http://schemas.openxmlformats.org/officeDocument/2006/relationships/hyperlink" Target="https://talan.bank.gov.ua/get-user-certificate/sec1erL1w86JhW4ocsPr" TargetMode="External"/><Relationship Id="rId3386" Type="http://schemas.openxmlformats.org/officeDocument/2006/relationships/hyperlink" Target="https://talan.bank.gov.ua/get-user-certificate/sec1eB_ykTBJo-ZWShTo" TargetMode="External"/><Relationship Id="rId3593" Type="http://schemas.openxmlformats.org/officeDocument/2006/relationships/hyperlink" Target="https://talan.bank.gov.ua/get-user-certificate/sec1e6he8ZBMB-XSKTNh" TargetMode="External"/><Relationship Id="rId4437" Type="http://schemas.openxmlformats.org/officeDocument/2006/relationships/hyperlink" Target="https://talan.bank.gov.ua/get-user-certificate/sec1ebzu17Oib71MMR-U" TargetMode="External"/><Relationship Id="rId4644" Type="http://schemas.openxmlformats.org/officeDocument/2006/relationships/hyperlink" Target="https://talan.bank.gov.ua/get-user-certificate/sec1etvotKA5ThCotKgO" TargetMode="External"/><Relationship Id="rId2195" Type="http://schemas.openxmlformats.org/officeDocument/2006/relationships/hyperlink" Target="https://talan.bank.gov.ua/get-user-certificate/sec1exsfIofVz3zAqdVj" TargetMode="External"/><Relationship Id="rId3039" Type="http://schemas.openxmlformats.org/officeDocument/2006/relationships/hyperlink" Target="https://talan.bank.gov.ua/get-user-certificate/sec1e6jX_zal5NOic9CE" TargetMode="External"/><Relationship Id="rId3246" Type="http://schemas.openxmlformats.org/officeDocument/2006/relationships/hyperlink" Target="https://talan.bank.gov.ua/get-user-certificate/sec1esqrIsHANeYsMcpx" TargetMode="External"/><Relationship Id="rId3453" Type="http://schemas.openxmlformats.org/officeDocument/2006/relationships/hyperlink" Target="https://talan.bank.gov.ua/get-user-certificate/sec1eScmSLmswnhNrlJF" TargetMode="External"/><Relationship Id="rId4851" Type="http://schemas.openxmlformats.org/officeDocument/2006/relationships/hyperlink" Target="https://talan.bank.gov.ua/get-user-certificate/sec1e13ljRfsEyUzdhmC" TargetMode="External"/><Relationship Id="rId167" Type="http://schemas.openxmlformats.org/officeDocument/2006/relationships/hyperlink" Target="https://talan.bank.gov.ua/get-user-certificate/sec1eLeP1jnFeAOKQpj6" TargetMode="External"/><Relationship Id="rId374" Type="http://schemas.openxmlformats.org/officeDocument/2006/relationships/hyperlink" Target="https://talan.bank.gov.ua/get-user-certificate/sec1e6jzgkd0892_62Py" TargetMode="External"/><Relationship Id="rId581" Type="http://schemas.openxmlformats.org/officeDocument/2006/relationships/hyperlink" Target="https://talan.bank.gov.ua/get-user-certificate/sec1e2xxKoypSHqueq2l" TargetMode="External"/><Relationship Id="rId2055" Type="http://schemas.openxmlformats.org/officeDocument/2006/relationships/hyperlink" Target="https://talan.bank.gov.ua/get-user-certificate/sec1eYG-_h4FZ4jeN2Z9" TargetMode="External"/><Relationship Id="rId2262" Type="http://schemas.openxmlformats.org/officeDocument/2006/relationships/hyperlink" Target="https://talan.bank.gov.ua/get-user-certificate/sec1e9c7IKhoaaclypuZ" TargetMode="External"/><Relationship Id="rId3106" Type="http://schemas.openxmlformats.org/officeDocument/2006/relationships/hyperlink" Target="https://talan.bank.gov.ua/get-user-certificate/sec1eOynYeGuuAe_4ceo" TargetMode="External"/><Relationship Id="rId3660" Type="http://schemas.openxmlformats.org/officeDocument/2006/relationships/hyperlink" Target="https://talan.bank.gov.ua/get-user-certificate/sec1eu2PvzalmENAskJe" TargetMode="External"/><Relationship Id="rId4504" Type="http://schemas.openxmlformats.org/officeDocument/2006/relationships/hyperlink" Target="https://talan.bank.gov.ua/get-user-certificate/sec1elnm1XeQJwbvbDcd" TargetMode="External"/><Relationship Id="rId4711" Type="http://schemas.openxmlformats.org/officeDocument/2006/relationships/hyperlink" Target="https://talan.bank.gov.ua/get-user-certificate/sec1eisS3tFFQ1pwKnGk" TargetMode="External"/><Relationship Id="rId234" Type="http://schemas.openxmlformats.org/officeDocument/2006/relationships/hyperlink" Target="https://talan.bank.gov.ua/get-user-certificate/sec1eW7YE8qXnC-_292C" TargetMode="External"/><Relationship Id="rId3313" Type="http://schemas.openxmlformats.org/officeDocument/2006/relationships/hyperlink" Target="https://talan.bank.gov.ua/get-user-certificate/sec1etVhaVjrqxL8ex38" TargetMode="External"/><Relationship Id="rId3520" Type="http://schemas.openxmlformats.org/officeDocument/2006/relationships/hyperlink" Target="https://talan.bank.gov.ua/get-user-certificate/sec1eI4KoLZ0I6x3kVMT" TargetMode="External"/><Relationship Id="rId441" Type="http://schemas.openxmlformats.org/officeDocument/2006/relationships/hyperlink" Target="https://talan.bank.gov.ua/get-user-certificate/sec1e1Dfmrsh5xp-qHl2" TargetMode="External"/><Relationship Id="rId1071" Type="http://schemas.openxmlformats.org/officeDocument/2006/relationships/hyperlink" Target="https://talan.bank.gov.ua/get-user-certificate/sec1eXOaafz_E-CYVkIX" TargetMode="External"/><Relationship Id="rId2122" Type="http://schemas.openxmlformats.org/officeDocument/2006/relationships/hyperlink" Target="https://talan.bank.gov.ua/get-user-certificate/sec1eZowYTJC1VfIxeFn" TargetMode="External"/><Relationship Id="rId301" Type="http://schemas.openxmlformats.org/officeDocument/2006/relationships/hyperlink" Target="https://talan.bank.gov.ua/get-user-certificate/sec1eHfhT3cFRmBGQBe7" TargetMode="External"/><Relationship Id="rId1888" Type="http://schemas.openxmlformats.org/officeDocument/2006/relationships/hyperlink" Target="https://talan.bank.gov.ua/get-user-certificate/sec1envUVjCED-rP-7Lj" TargetMode="External"/><Relationship Id="rId2939" Type="http://schemas.openxmlformats.org/officeDocument/2006/relationships/hyperlink" Target="https://talan.bank.gov.ua/get-user-certificate/sec1eGbs_5jk4k_JG4_H" TargetMode="External"/><Relationship Id="rId4087" Type="http://schemas.openxmlformats.org/officeDocument/2006/relationships/hyperlink" Target="https://talan.bank.gov.ua/get-user-certificate/sec1exx4sZCiF6jHTB6Q" TargetMode="External"/><Relationship Id="rId4294" Type="http://schemas.openxmlformats.org/officeDocument/2006/relationships/hyperlink" Target="https://talan.bank.gov.ua/get-user-certificate/sec1erAHxDGUcOlRbZqn" TargetMode="External"/><Relationship Id="rId1748" Type="http://schemas.openxmlformats.org/officeDocument/2006/relationships/hyperlink" Target="https://talan.bank.gov.ua/get-user-certificate/sec1e4g0noqJ9nmCXHpF" TargetMode="External"/><Relationship Id="rId4154" Type="http://schemas.openxmlformats.org/officeDocument/2006/relationships/hyperlink" Target="https://talan.bank.gov.ua/get-user-certificate/sec1eSJR9NMQUaiHGak9" TargetMode="External"/><Relationship Id="rId4361" Type="http://schemas.openxmlformats.org/officeDocument/2006/relationships/hyperlink" Target="https://talan.bank.gov.ua/get-user-certificate/sec1e-vc4n7n8yd_92GU" TargetMode="External"/><Relationship Id="rId1955" Type="http://schemas.openxmlformats.org/officeDocument/2006/relationships/hyperlink" Target="https://talan.bank.gov.ua/get-user-certificate/sec1e55P5HBWSTXdsFeb" TargetMode="External"/><Relationship Id="rId3170" Type="http://schemas.openxmlformats.org/officeDocument/2006/relationships/hyperlink" Target="https://talan.bank.gov.ua/get-user-certificate/sec1eyf0tMu_rKxTzA88" TargetMode="External"/><Relationship Id="rId4014" Type="http://schemas.openxmlformats.org/officeDocument/2006/relationships/hyperlink" Target="https://talan.bank.gov.ua/get-user-certificate/sec1eV-nr8hPg_Va67L-" TargetMode="External"/><Relationship Id="rId4221" Type="http://schemas.openxmlformats.org/officeDocument/2006/relationships/hyperlink" Target="https://talan.bank.gov.ua/get-user-certificate/sec1eNDl4h8xexAuYsyf" TargetMode="External"/><Relationship Id="rId1608" Type="http://schemas.openxmlformats.org/officeDocument/2006/relationships/hyperlink" Target="https://talan.bank.gov.ua/get-user-certificate/sec1eFoiVhAIG0JTH-53" TargetMode="External"/><Relationship Id="rId1815" Type="http://schemas.openxmlformats.org/officeDocument/2006/relationships/hyperlink" Target="https://talan.bank.gov.ua/get-user-certificate/sec1eeE5uOrp_kxP_eKG" TargetMode="External"/><Relationship Id="rId3030" Type="http://schemas.openxmlformats.org/officeDocument/2006/relationships/hyperlink" Target="https://talan.bank.gov.ua/get-user-certificate/sec1eTh1ACkDLOTlB6av" TargetMode="External"/><Relationship Id="rId3987" Type="http://schemas.openxmlformats.org/officeDocument/2006/relationships/hyperlink" Target="https://talan.bank.gov.ua/get-user-certificate/sec1eBhyVMSGA8K2eK6V" TargetMode="External"/><Relationship Id="rId2589" Type="http://schemas.openxmlformats.org/officeDocument/2006/relationships/hyperlink" Target="https://talan.bank.gov.ua/get-user-certificate/sec1eg7mbON1raikBP3j" TargetMode="External"/><Relationship Id="rId2796" Type="http://schemas.openxmlformats.org/officeDocument/2006/relationships/hyperlink" Target="https://talan.bank.gov.ua/get-user-certificate/sec1ee4ZGdSVMKQg92eT" TargetMode="External"/><Relationship Id="rId3847" Type="http://schemas.openxmlformats.org/officeDocument/2006/relationships/hyperlink" Target="https://talan.bank.gov.ua/get-user-certificate/sec1ey2mTa-C68BKhc8S" TargetMode="External"/><Relationship Id="rId768" Type="http://schemas.openxmlformats.org/officeDocument/2006/relationships/hyperlink" Target="https://talan.bank.gov.ua/get-user-certificate/sec1eSB-G2tvwa5umREb" TargetMode="External"/><Relationship Id="rId975" Type="http://schemas.openxmlformats.org/officeDocument/2006/relationships/hyperlink" Target="https://talan.bank.gov.ua/get-user-certificate/sec1ejULNt6m3ecEHHfl" TargetMode="External"/><Relationship Id="rId1398" Type="http://schemas.openxmlformats.org/officeDocument/2006/relationships/hyperlink" Target="https://talan.bank.gov.ua/get-user-certificate/sec1e1LcL7QLAqct7Gve" TargetMode="External"/><Relationship Id="rId2449" Type="http://schemas.openxmlformats.org/officeDocument/2006/relationships/hyperlink" Target="https://talan.bank.gov.ua/get-user-certificate/sec1eSEF9JH1nYaRye-H" TargetMode="External"/><Relationship Id="rId2656" Type="http://schemas.openxmlformats.org/officeDocument/2006/relationships/hyperlink" Target="https://talan.bank.gov.ua/get-user-certificate/sec1e0LfPZb47iWVD1Hb" TargetMode="External"/><Relationship Id="rId2863" Type="http://schemas.openxmlformats.org/officeDocument/2006/relationships/hyperlink" Target="https://talan.bank.gov.ua/get-user-certificate/sec1eyjkHvtqV1OWX9b8" TargetMode="External"/><Relationship Id="rId3707" Type="http://schemas.openxmlformats.org/officeDocument/2006/relationships/hyperlink" Target="https://talan.bank.gov.ua/get-user-certificate/sec1eDt5wbOfcIoda70v" TargetMode="External"/><Relationship Id="rId3914" Type="http://schemas.openxmlformats.org/officeDocument/2006/relationships/hyperlink" Target="https://talan.bank.gov.ua/get-user-certificate/sec1e4m7-iciLeaKY45H" TargetMode="External"/><Relationship Id="rId628" Type="http://schemas.openxmlformats.org/officeDocument/2006/relationships/hyperlink" Target="https://talan.bank.gov.ua/get-user-certificate/sec1e1l8zZt6tvrGDvtS" TargetMode="External"/><Relationship Id="rId835" Type="http://schemas.openxmlformats.org/officeDocument/2006/relationships/hyperlink" Target="https://talan.bank.gov.ua/get-user-certificate/sec1eVSILRfze1Yyiy-g" TargetMode="External"/><Relationship Id="rId1258" Type="http://schemas.openxmlformats.org/officeDocument/2006/relationships/hyperlink" Target="https://talan.bank.gov.ua/get-user-certificate/sec1euKZ9aYlhiPbEIUF" TargetMode="External"/><Relationship Id="rId1465" Type="http://schemas.openxmlformats.org/officeDocument/2006/relationships/hyperlink" Target="https://talan.bank.gov.ua/get-user-certificate/sec1eXGKDhq9-m9lM-KU" TargetMode="External"/><Relationship Id="rId1672" Type="http://schemas.openxmlformats.org/officeDocument/2006/relationships/hyperlink" Target="https://talan.bank.gov.ua/get-user-certificate/sec1esUpgadigDlPX8xQ" TargetMode="External"/><Relationship Id="rId2309" Type="http://schemas.openxmlformats.org/officeDocument/2006/relationships/hyperlink" Target="https://talan.bank.gov.ua/get-user-certificate/sec1eUT9sJX1XZtAtuAw" TargetMode="External"/><Relationship Id="rId2516" Type="http://schemas.openxmlformats.org/officeDocument/2006/relationships/hyperlink" Target="https://talan.bank.gov.ua/get-user-certificate/sec1eZMCK7EGWpuXQA4w" TargetMode="External"/><Relationship Id="rId2723" Type="http://schemas.openxmlformats.org/officeDocument/2006/relationships/hyperlink" Target="https://talan.bank.gov.ua/get-user-certificate/sec1eMk37Snp6VNnxITy" TargetMode="External"/><Relationship Id="rId1118" Type="http://schemas.openxmlformats.org/officeDocument/2006/relationships/hyperlink" Target="https://talan.bank.gov.ua/get-user-certificate/sec1e8dnW-hBQnFq5HuB" TargetMode="External"/><Relationship Id="rId1325" Type="http://schemas.openxmlformats.org/officeDocument/2006/relationships/hyperlink" Target="https://talan.bank.gov.ua/get-user-certificate/sec1e5w17Z7ub9YYK87L" TargetMode="External"/><Relationship Id="rId1532" Type="http://schemas.openxmlformats.org/officeDocument/2006/relationships/hyperlink" Target="https://talan.bank.gov.ua/get-user-certificate/sec1e0NhGZd5zNeCImhV" TargetMode="External"/><Relationship Id="rId2930" Type="http://schemas.openxmlformats.org/officeDocument/2006/relationships/hyperlink" Target="https://talan.bank.gov.ua/get-user-certificate/sec1eC2PCeRjzDn-sjt8" TargetMode="External"/><Relationship Id="rId4688" Type="http://schemas.openxmlformats.org/officeDocument/2006/relationships/hyperlink" Target="https://talan.bank.gov.ua/get-user-certificate/sec1e2bz19ZXSV8f7gGE" TargetMode="External"/><Relationship Id="rId902" Type="http://schemas.openxmlformats.org/officeDocument/2006/relationships/hyperlink" Target="https://talan.bank.gov.ua/get-user-certificate/sec1eM6gYmgv_yR0vahc" TargetMode="External"/><Relationship Id="rId3497" Type="http://schemas.openxmlformats.org/officeDocument/2006/relationships/hyperlink" Target="https://talan.bank.gov.ua/get-user-certificate/sec1eYUudLlTPYGBTAUD" TargetMode="External"/><Relationship Id="rId4895" Type="http://schemas.openxmlformats.org/officeDocument/2006/relationships/hyperlink" Target="https://talan.bank.gov.ua/get-user-certificate/sec1eCwJRW1es0KraFD4" TargetMode="External"/><Relationship Id="rId31" Type="http://schemas.openxmlformats.org/officeDocument/2006/relationships/hyperlink" Target="https://talan.bank.gov.ua/get-user-certificate/sec1e6tKJXt4LRgJQvBv" TargetMode="External"/><Relationship Id="rId2099" Type="http://schemas.openxmlformats.org/officeDocument/2006/relationships/hyperlink" Target="https://talan.bank.gov.ua/get-user-certificate/sec1eM0jEL8LSBE3Kg1H" TargetMode="External"/><Relationship Id="rId4548" Type="http://schemas.openxmlformats.org/officeDocument/2006/relationships/hyperlink" Target="https://talan.bank.gov.ua/get-user-certificate/sec1evGMDiJyJ2FcHje9" TargetMode="External"/><Relationship Id="rId4755" Type="http://schemas.openxmlformats.org/officeDocument/2006/relationships/hyperlink" Target="https://talan.bank.gov.ua/get-user-certificate/sec1eFa_8G7SVmryfSba" TargetMode="External"/><Relationship Id="rId4962" Type="http://schemas.openxmlformats.org/officeDocument/2006/relationships/hyperlink" Target="https://talan.bank.gov.ua/get-user-certificate/sec1ePsaJl0ubIH12GzR" TargetMode="External"/><Relationship Id="rId278" Type="http://schemas.openxmlformats.org/officeDocument/2006/relationships/hyperlink" Target="https://talan.bank.gov.ua/get-user-certificate/sec1edRUhMfoZ1FctmiT" TargetMode="External"/><Relationship Id="rId3357" Type="http://schemas.openxmlformats.org/officeDocument/2006/relationships/hyperlink" Target="https://talan.bank.gov.ua/get-user-certificate/sec1euU9cDu_LFFLAmGx" TargetMode="External"/><Relationship Id="rId3564" Type="http://schemas.openxmlformats.org/officeDocument/2006/relationships/hyperlink" Target="https://talan.bank.gov.ua/get-user-certificate/sec1e0CNIwZJeOjcGWyX" TargetMode="External"/><Relationship Id="rId3771" Type="http://schemas.openxmlformats.org/officeDocument/2006/relationships/hyperlink" Target="https://talan.bank.gov.ua/get-user-certificate/sec1eJksWFAVoeMKlp6a" TargetMode="External"/><Relationship Id="rId4408" Type="http://schemas.openxmlformats.org/officeDocument/2006/relationships/hyperlink" Target="https://talan.bank.gov.ua/get-user-certificate/sec1ehUJl0B1O6-s3Xpu" TargetMode="External"/><Relationship Id="rId4615" Type="http://schemas.openxmlformats.org/officeDocument/2006/relationships/hyperlink" Target="https://talan.bank.gov.ua/get-user-certificate/sec1ejjaWkT0POkqrYD3" TargetMode="External"/><Relationship Id="rId4822" Type="http://schemas.openxmlformats.org/officeDocument/2006/relationships/hyperlink" Target="https://talan.bank.gov.ua/get-user-certificate/sec1eVy05hU6Xrfo8Tqi" TargetMode="External"/><Relationship Id="rId485" Type="http://schemas.openxmlformats.org/officeDocument/2006/relationships/hyperlink" Target="https://talan.bank.gov.ua/get-user-certificate/sec1eKbfJhH2QoQ2nCa5" TargetMode="External"/><Relationship Id="rId692" Type="http://schemas.openxmlformats.org/officeDocument/2006/relationships/hyperlink" Target="https://talan.bank.gov.ua/get-user-certificate/sec1eldJ9EJU0gbkWflR" TargetMode="External"/><Relationship Id="rId2166" Type="http://schemas.openxmlformats.org/officeDocument/2006/relationships/hyperlink" Target="https://talan.bank.gov.ua/get-user-certificate/sec1ep8_F06kQWmYc1gA" TargetMode="External"/><Relationship Id="rId2373" Type="http://schemas.openxmlformats.org/officeDocument/2006/relationships/hyperlink" Target="https://talan.bank.gov.ua/get-user-certificate/sec1epyKeNTL5Qjx5q4V" TargetMode="External"/><Relationship Id="rId2580" Type="http://schemas.openxmlformats.org/officeDocument/2006/relationships/hyperlink" Target="https://talan.bank.gov.ua/get-user-certificate/sec1enB7_DtkX3JtwowQ" TargetMode="External"/><Relationship Id="rId3217" Type="http://schemas.openxmlformats.org/officeDocument/2006/relationships/hyperlink" Target="https://talan.bank.gov.ua/get-user-certificate/sec1eZPpnFa18oTdRaXd" TargetMode="External"/><Relationship Id="rId3424" Type="http://schemas.openxmlformats.org/officeDocument/2006/relationships/hyperlink" Target="https://talan.bank.gov.ua/get-user-certificate/sec1eWE63044Lz2iIXz5" TargetMode="External"/><Relationship Id="rId3631" Type="http://schemas.openxmlformats.org/officeDocument/2006/relationships/hyperlink" Target="https://talan.bank.gov.ua/get-user-certificate/sec1eZuzeH5BH15lZGT6" TargetMode="External"/><Relationship Id="rId138" Type="http://schemas.openxmlformats.org/officeDocument/2006/relationships/hyperlink" Target="https://talan.bank.gov.ua/get-user-certificate/sec1eqcun9nGnyctNq-p" TargetMode="External"/><Relationship Id="rId345" Type="http://schemas.openxmlformats.org/officeDocument/2006/relationships/hyperlink" Target="https://talan.bank.gov.ua/get-user-certificate/sec1eQExUVr0tVzYbd41" TargetMode="External"/><Relationship Id="rId552" Type="http://schemas.openxmlformats.org/officeDocument/2006/relationships/hyperlink" Target="https://talan.bank.gov.ua/get-user-certificate/sec1e3l4ob6MCSvMD1ag" TargetMode="External"/><Relationship Id="rId1182" Type="http://schemas.openxmlformats.org/officeDocument/2006/relationships/hyperlink" Target="https://talan.bank.gov.ua/get-user-certificate/sec1e1CUEEALb7Sy5SLO" TargetMode="External"/><Relationship Id="rId2026" Type="http://schemas.openxmlformats.org/officeDocument/2006/relationships/hyperlink" Target="https://talan.bank.gov.ua/get-user-certificate/sec1eHGLjL9N54vYI3vV" TargetMode="External"/><Relationship Id="rId2233" Type="http://schemas.openxmlformats.org/officeDocument/2006/relationships/hyperlink" Target="https://talan.bank.gov.ua/get-user-certificate/sec1eZhP7nac8Hl5AGtp" TargetMode="External"/><Relationship Id="rId2440" Type="http://schemas.openxmlformats.org/officeDocument/2006/relationships/hyperlink" Target="https://talan.bank.gov.ua/get-user-certificate/sec1eZM5fhL-DdOAQ1tp" TargetMode="External"/><Relationship Id="rId205" Type="http://schemas.openxmlformats.org/officeDocument/2006/relationships/hyperlink" Target="https://talan.bank.gov.ua/get-user-certificate/sec1e1kXubT6MySzWfJm" TargetMode="External"/><Relationship Id="rId412" Type="http://schemas.openxmlformats.org/officeDocument/2006/relationships/hyperlink" Target="https://talan.bank.gov.ua/get-user-certificate/sec1eil7doXZsCePpYbc" TargetMode="External"/><Relationship Id="rId1042" Type="http://schemas.openxmlformats.org/officeDocument/2006/relationships/hyperlink" Target="https://talan.bank.gov.ua/get-user-certificate/sec1eHk1i7h4g67WPfS3" TargetMode="External"/><Relationship Id="rId2300" Type="http://schemas.openxmlformats.org/officeDocument/2006/relationships/hyperlink" Target="https://talan.bank.gov.ua/get-user-certificate/sec1e2Yy_RuOP86TRnav" TargetMode="External"/><Relationship Id="rId4198" Type="http://schemas.openxmlformats.org/officeDocument/2006/relationships/hyperlink" Target="https://talan.bank.gov.ua/get-user-certificate/sec1eggBH1FfrD0DTGyS" TargetMode="External"/><Relationship Id="rId1999" Type="http://schemas.openxmlformats.org/officeDocument/2006/relationships/hyperlink" Target="https://talan.bank.gov.ua/get-user-certificate/sec1eWd1kbzhNaPs5t9c" TargetMode="External"/><Relationship Id="rId4058" Type="http://schemas.openxmlformats.org/officeDocument/2006/relationships/hyperlink" Target="https://talan.bank.gov.ua/get-user-certificate/sec1eT04uM0ctCf5ryiS" TargetMode="External"/><Relationship Id="rId4265" Type="http://schemas.openxmlformats.org/officeDocument/2006/relationships/hyperlink" Target="https://talan.bank.gov.ua/get-user-certificate/sec1ev-gtnRrrssdowLK" TargetMode="External"/><Relationship Id="rId4472" Type="http://schemas.openxmlformats.org/officeDocument/2006/relationships/hyperlink" Target="https://talan.bank.gov.ua/get-user-certificate/sec1eg1EmnxeBrU5JDbp" TargetMode="External"/><Relationship Id="rId1859" Type="http://schemas.openxmlformats.org/officeDocument/2006/relationships/hyperlink" Target="https://talan.bank.gov.ua/get-user-certificate/sec1e-uTXC7K_M6wjrlH" TargetMode="External"/><Relationship Id="rId3074" Type="http://schemas.openxmlformats.org/officeDocument/2006/relationships/hyperlink" Target="https://talan.bank.gov.ua/get-user-certificate/sec1eTgYZmwo0Hrk-iXI" TargetMode="External"/><Relationship Id="rId4125" Type="http://schemas.openxmlformats.org/officeDocument/2006/relationships/hyperlink" Target="https://talan.bank.gov.ua/get-user-certificate/sec1ehcRi4wQOPnswc_4" TargetMode="External"/><Relationship Id="rId1719" Type="http://schemas.openxmlformats.org/officeDocument/2006/relationships/hyperlink" Target="https://talan.bank.gov.ua/get-user-certificate/sec1e62eAfKQfW2nqQyc" TargetMode="External"/><Relationship Id="rId1926" Type="http://schemas.openxmlformats.org/officeDocument/2006/relationships/hyperlink" Target="https://talan.bank.gov.ua/get-user-certificate/sec1exj97m0YkPVJW84j" TargetMode="External"/><Relationship Id="rId3281" Type="http://schemas.openxmlformats.org/officeDocument/2006/relationships/hyperlink" Target="https://talan.bank.gov.ua/get-user-certificate/sec1eZ8P7u3BktkV0u3S" TargetMode="External"/><Relationship Id="rId4332" Type="http://schemas.openxmlformats.org/officeDocument/2006/relationships/hyperlink" Target="https://talan.bank.gov.ua/get-user-certificate/sec1eJ6flS-e_M166M15" TargetMode="External"/><Relationship Id="rId2090" Type="http://schemas.openxmlformats.org/officeDocument/2006/relationships/hyperlink" Target="https://talan.bank.gov.ua/get-user-certificate/sec1ereImFW_DvJux4EX" TargetMode="External"/><Relationship Id="rId3141" Type="http://schemas.openxmlformats.org/officeDocument/2006/relationships/hyperlink" Target="https://talan.bank.gov.ua/get-user-certificate/sec1e2MH2KGmnQ_OncdP" TargetMode="External"/><Relationship Id="rId3001" Type="http://schemas.openxmlformats.org/officeDocument/2006/relationships/hyperlink" Target="https://talan.bank.gov.ua/get-user-certificate/sec1eNJt-XmMqEmDn7dt" TargetMode="External"/><Relationship Id="rId3958" Type="http://schemas.openxmlformats.org/officeDocument/2006/relationships/hyperlink" Target="https://talan.bank.gov.ua/get-user-certificate/sec1emS4EJKXPcFPAcUM" TargetMode="External"/><Relationship Id="rId879" Type="http://schemas.openxmlformats.org/officeDocument/2006/relationships/hyperlink" Target="https://talan.bank.gov.ua/get-user-certificate/sec1eiSHW9vcikMbUpGm" TargetMode="External"/><Relationship Id="rId2767" Type="http://schemas.openxmlformats.org/officeDocument/2006/relationships/hyperlink" Target="https://talan.bank.gov.ua/get-user-certificate/sec1eKGN4akx4GNkk8aT" TargetMode="External"/><Relationship Id="rId739" Type="http://schemas.openxmlformats.org/officeDocument/2006/relationships/hyperlink" Target="https://talan.bank.gov.ua/get-user-certificate/sec1ed04PvjmoPGSvLmq" TargetMode="External"/><Relationship Id="rId1369" Type="http://schemas.openxmlformats.org/officeDocument/2006/relationships/hyperlink" Target="https://talan.bank.gov.ua/get-user-certificate/sec1e0mBivgiMgC2NwCB" TargetMode="External"/><Relationship Id="rId1576" Type="http://schemas.openxmlformats.org/officeDocument/2006/relationships/hyperlink" Target="https://talan.bank.gov.ua/get-user-certificate/sec1emppoWX6JtpMQaTj" TargetMode="External"/><Relationship Id="rId2974" Type="http://schemas.openxmlformats.org/officeDocument/2006/relationships/hyperlink" Target="https://talan.bank.gov.ua/get-user-certificate/sec1eQDKevAQ82DoM_Ab" TargetMode="External"/><Relationship Id="rId3818" Type="http://schemas.openxmlformats.org/officeDocument/2006/relationships/hyperlink" Target="https://talan.bank.gov.ua/get-user-certificate/sec1e8_OyLzk28Pfcsdr" TargetMode="External"/><Relationship Id="rId946" Type="http://schemas.openxmlformats.org/officeDocument/2006/relationships/hyperlink" Target="https://talan.bank.gov.ua/get-user-certificate/sec1enDpWQXN-t4aOUFa" TargetMode="External"/><Relationship Id="rId1229" Type="http://schemas.openxmlformats.org/officeDocument/2006/relationships/hyperlink" Target="https://talan.bank.gov.ua/get-user-certificate/sec1e527g0FIIVRRVpEk" TargetMode="External"/><Relationship Id="rId1783" Type="http://schemas.openxmlformats.org/officeDocument/2006/relationships/hyperlink" Target="https://talan.bank.gov.ua/get-user-certificate/sec1ex7wczY53jtNsyoy" TargetMode="External"/><Relationship Id="rId1990" Type="http://schemas.openxmlformats.org/officeDocument/2006/relationships/hyperlink" Target="https://talan.bank.gov.ua/get-user-certificate/sec1eWddflXuTm6cee6C" TargetMode="External"/><Relationship Id="rId2627" Type="http://schemas.openxmlformats.org/officeDocument/2006/relationships/hyperlink" Target="https://talan.bank.gov.ua/get-user-certificate/sec1ecAVx2FkVekNFp04" TargetMode="External"/><Relationship Id="rId2834" Type="http://schemas.openxmlformats.org/officeDocument/2006/relationships/hyperlink" Target="https://talan.bank.gov.ua/get-user-certificate/sec1eBRSvRJlePZrSGEL" TargetMode="External"/><Relationship Id="rId75" Type="http://schemas.openxmlformats.org/officeDocument/2006/relationships/hyperlink" Target="https://talan.bank.gov.ua/get-user-certificate/sec1e_gbu946XuZkeCKE" TargetMode="External"/><Relationship Id="rId806" Type="http://schemas.openxmlformats.org/officeDocument/2006/relationships/hyperlink" Target="https://talan.bank.gov.ua/get-user-certificate/sec1eZ7PjgnjizhuFVYh" TargetMode="External"/><Relationship Id="rId1436" Type="http://schemas.openxmlformats.org/officeDocument/2006/relationships/hyperlink" Target="https://talan.bank.gov.ua/get-user-certificate/sec1eseJweE-OBQVaQb2" TargetMode="External"/><Relationship Id="rId1643" Type="http://schemas.openxmlformats.org/officeDocument/2006/relationships/hyperlink" Target="https://talan.bank.gov.ua/get-user-certificate/sec1eCOE2O2I4zMzPQRz" TargetMode="External"/><Relationship Id="rId1850" Type="http://schemas.openxmlformats.org/officeDocument/2006/relationships/hyperlink" Target="https://talan.bank.gov.ua/get-user-certificate/sec1enJzP4grA_yq8xXs" TargetMode="External"/><Relationship Id="rId2901" Type="http://schemas.openxmlformats.org/officeDocument/2006/relationships/hyperlink" Target="https://talan.bank.gov.ua/get-user-certificate/sec1eChHeoyY8iR_jiL7" TargetMode="External"/><Relationship Id="rId4799" Type="http://schemas.openxmlformats.org/officeDocument/2006/relationships/hyperlink" Target="https://talan.bank.gov.ua/get-user-certificate/sec1eREyv8_rsErEgivk" TargetMode="External"/><Relationship Id="rId1503" Type="http://schemas.openxmlformats.org/officeDocument/2006/relationships/hyperlink" Target="https://talan.bank.gov.ua/get-user-certificate/sec1eOJmVVLX81R2Sx0E" TargetMode="External"/><Relationship Id="rId1710" Type="http://schemas.openxmlformats.org/officeDocument/2006/relationships/hyperlink" Target="https://talan.bank.gov.ua/get-user-certificate/sec1eGU8z0gdC3xf6PqC" TargetMode="External"/><Relationship Id="rId4659" Type="http://schemas.openxmlformats.org/officeDocument/2006/relationships/hyperlink" Target="https://talan.bank.gov.ua/get-user-certificate/sec1ePskR_TeegCrarcu" TargetMode="External"/><Relationship Id="rId4866" Type="http://schemas.openxmlformats.org/officeDocument/2006/relationships/hyperlink" Target="https://talan.bank.gov.ua/get-user-certificate/sec1ePRpm26pM0viLPNV" TargetMode="External"/><Relationship Id="rId3468" Type="http://schemas.openxmlformats.org/officeDocument/2006/relationships/hyperlink" Target="https://talan.bank.gov.ua/get-user-certificate/sec1ecApZOrtXgdNY8Sz" TargetMode="External"/><Relationship Id="rId3675" Type="http://schemas.openxmlformats.org/officeDocument/2006/relationships/hyperlink" Target="https://talan.bank.gov.ua/get-user-certificate/sec1eb1pob0HEGQ3cD6P" TargetMode="External"/><Relationship Id="rId3882" Type="http://schemas.openxmlformats.org/officeDocument/2006/relationships/hyperlink" Target="https://talan.bank.gov.ua/get-user-certificate/sec1evYqdbp2L2Micp5d" TargetMode="External"/><Relationship Id="rId4519" Type="http://schemas.openxmlformats.org/officeDocument/2006/relationships/hyperlink" Target="https://talan.bank.gov.ua/get-user-certificate/sec1ecHbUY87IZFlubhd" TargetMode="External"/><Relationship Id="rId4726" Type="http://schemas.openxmlformats.org/officeDocument/2006/relationships/hyperlink" Target="https://talan.bank.gov.ua/get-user-certificate/sec1er7E3Iyl-vaaDtno" TargetMode="External"/><Relationship Id="rId4933" Type="http://schemas.openxmlformats.org/officeDocument/2006/relationships/hyperlink" Target="https://talan.bank.gov.ua/get-user-certificate/sec1eD53KGkGKTPmzcRd" TargetMode="External"/><Relationship Id="rId389" Type="http://schemas.openxmlformats.org/officeDocument/2006/relationships/hyperlink" Target="https://talan.bank.gov.ua/get-user-certificate/sec1etg6NZ8i1UfAaoYL" TargetMode="External"/><Relationship Id="rId596" Type="http://schemas.openxmlformats.org/officeDocument/2006/relationships/hyperlink" Target="https://talan.bank.gov.ua/get-user-certificate/sec1e1_dV6AssA-02-LC" TargetMode="External"/><Relationship Id="rId2277" Type="http://schemas.openxmlformats.org/officeDocument/2006/relationships/hyperlink" Target="https://talan.bank.gov.ua/get-user-certificate/sec1eqpvSrAp_cYcmCEH" TargetMode="External"/><Relationship Id="rId2484" Type="http://schemas.openxmlformats.org/officeDocument/2006/relationships/hyperlink" Target="https://talan.bank.gov.ua/get-user-certificate/sec1eYw5ILQMbhzGRaqB" TargetMode="External"/><Relationship Id="rId2691" Type="http://schemas.openxmlformats.org/officeDocument/2006/relationships/hyperlink" Target="https://talan.bank.gov.ua/get-user-certificate/sec1eA9uP31RJj9ayZPr" TargetMode="External"/><Relationship Id="rId3328" Type="http://schemas.openxmlformats.org/officeDocument/2006/relationships/hyperlink" Target="https://talan.bank.gov.ua/get-user-certificate/sec1e8YpboYVnWrUo0yH" TargetMode="External"/><Relationship Id="rId3535" Type="http://schemas.openxmlformats.org/officeDocument/2006/relationships/hyperlink" Target="https://talan.bank.gov.ua/get-user-certificate/sec1eW9bVrS968DWLd-v" TargetMode="External"/><Relationship Id="rId3742" Type="http://schemas.openxmlformats.org/officeDocument/2006/relationships/hyperlink" Target="https://talan.bank.gov.ua/get-user-certificate/sec1esieJyQLSVMFRTI0" TargetMode="External"/><Relationship Id="rId249" Type="http://schemas.openxmlformats.org/officeDocument/2006/relationships/hyperlink" Target="https://talan.bank.gov.ua/get-user-certificate/sec1eL3EQxmPxe5iPxEH" TargetMode="External"/><Relationship Id="rId456" Type="http://schemas.openxmlformats.org/officeDocument/2006/relationships/hyperlink" Target="https://talan.bank.gov.ua/get-user-certificate/sec1emedE3Yuk8kOKVQ6" TargetMode="External"/><Relationship Id="rId663" Type="http://schemas.openxmlformats.org/officeDocument/2006/relationships/hyperlink" Target="https://talan.bank.gov.ua/get-user-certificate/sec1eR_bU3O1S_9BgbM3" TargetMode="External"/><Relationship Id="rId870" Type="http://schemas.openxmlformats.org/officeDocument/2006/relationships/hyperlink" Target="https://talan.bank.gov.ua/get-user-certificate/sec1eihXRne3k4Hv8d09" TargetMode="External"/><Relationship Id="rId1086" Type="http://schemas.openxmlformats.org/officeDocument/2006/relationships/hyperlink" Target="https://talan.bank.gov.ua/get-user-certificate/sec1eLmlVFS1uzQt5Trh" TargetMode="External"/><Relationship Id="rId1293" Type="http://schemas.openxmlformats.org/officeDocument/2006/relationships/hyperlink" Target="https://talan.bank.gov.ua/get-user-certificate/sec1eNUV-dAy7Lumy4Dd" TargetMode="External"/><Relationship Id="rId2137" Type="http://schemas.openxmlformats.org/officeDocument/2006/relationships/hyperlink" Target="https://talan.bank.gov.ua/get-user-certificate/sec1e8toZBwUENiyT2au" TargetMode="External"/><Relationship Id="rId2344" Type="http://schemas.openxmlformats.org/officeDocument/2006/relationships/hyperlink" Target="https://talan.bank.gov.ua/get-user-certificate/sec1eXlIay-91pUm2uHt" TargetMode="External"/><Relationship Id="rId2551" Type="http://schemas.openxmlformats.org/officeDocument/2006/relationships/hyperlink" Target="https://talan.bank.gov.ua/get-user-certificate/sec1eaGnD7rge9bpdgjT" TargetMode="External"/><Relationship Id="rId109" Type="http://schemas.openxmlformats.org/officeDocument/2006/relationships/hyperlink" Target="https://talan.bank.gov.ua/get-user-certificate/sec1eynMinEyLJ9CHIsS" TargetMode="External"/><Relationship Id="rId316" Type="http://schemas.openxmlformats.org/officeDocument/2006/relationships/hyperlink" Target="https://talan.bank.gov.ua/get-user-certificate/sec1eq7kj1BVRs78Lxpn" TargetMode="External"/><Relationship Id="rId523" Type="http://schemas.openxmlformats.org/officeDocument/2006/relationships/hyperlink" Target="https://talan.bank.gov.ua/get-user-certificate/sec1eql7NEZZMytzC_QN" TargetMode="External"/><Relationship Id="rId1153" Type="http://schemas.openxmlformats.org/officeDocument/2006/relationships/hyperlink" Target="https://talan.bank.gov.ua/get-user-certificate/sec1eOXpARvuXr21XqRF" TargetMode="External"/><Relationship Id="rId2204" Type="http://schemas.openxmlformats.org/officeDocument/2006/relationships/hyperlink" Target="https://talan.bank.gov.ua/get-user-certificate/sec1eXUB7oR2xvc1oGmz" TargetMode="External"/><Relationship Id="rId3602" Type="http://schemas.openxmlformats.org/officeDocument/2006/relationships/hyperlink" Target="https://talan.bank.gov.ua/get-user-certificate/sec1erQEXoE3W3DPP0Q_" TargetMode="External"/><Relationship Id="rId730" Type="http://schemas.openxmlformats.org/officeDocument/2006/relationships/hyperlink" Target="https://talan.bank.gov.ua/get-user-certificate/sec1e1jisuX6-9P7xVNf" TargetMode="External"/><Relationship Id="rId1013" Type="http://schemas.openxmlformats.org/officeDocument/2006/relationships/hyperlink" Target="https://talan.bank.gov.ua/get-user-certificate/sec1eEqecILy6zKzyxSK" TargetMode="External"/><Relationship Id="rId1360" Type="http://schemas.openxmlformats.org/officeDocument/2006/relationships/hyperlink" Target="https://talan.bank.gov.ua/get-user-certificate/sec1e_I9X_FSObw_86WU" TargetMode="External"/><Relationship Id="rId2411" Type="http://schemas.openxmlformats.org/officeDocument/2006/relationships/hyperlink" Target="https://talan.bank.gov.ua/get-user-certificate/sec1evJdjp-oJEasOVO-" TargetMode="External"/><Relationship Id="rId4169" Type="http://schemas.openxmlformats.org/officeDocument/2006/relationships/hyperlink" Target="https://talan.bank.gov.ua/get-user-certificate/sec1e0_NlMOH1NJRKfYR" TargetMode="External"/><Relationship Id="rId1220" Type="http://schemas.openxmlformats.org/officeDocument/2006/relationships/hyperlink" Target="https://talan.bank.gov.ua/get-user-certificate/sec1eDLVOAafcKbqAXry" TargetMode="External"/><Relationship Id="rId4376" Type="http://schemas.openxmlformats.org/officeDocument/2006/relationships/hyperlink" Target="https://talan.bank.gov.ua/get-user-certificate/sec1eM4-zUMdsggD1VHG" TargetMode="External"/><Relationship Id="rId4583" Type="http://schemas.openxmlformats.org/officeDocument/2006/relationships/hyperlink" Target="https://talan.bank.gov.ua/get-user-certificate/sec1eyuM85v9kYUb8BiM" TargetMode="External"/><Relationship Id="rId4790" Type="http://schemas.openxmlformats.org/officeDocument/2006/relationships/hyperlink" Target="https://talan.bank.gov.ua/get-user-certificate/sec1eZksQUD43q4kpFH8" TargetMode="External"/><Relationship Id="rId3185" Type="http://schemas.openxmlformats.org/officeDocument/2006/relationships/hyperlink" Target="https://talan.bank.gov.ua/get-user-certificate/sec1equqqh6MbIYOhbPz" TargetMode="External"/><Relationship Id="rId3392" Type="http://schemas.openxmlformats.org/officeDocument/2006/relationships/hyperlink" Target="https://talan.bank.gov.ua/get-user-certificate/sec1eH7nj25RM04pGGw0" TargetMode="External"/><Relationship Id="rId4029" Type="http://schemas.openxmlformats.org/officeDocument/2006/relationships/hyperlink" Target="https://talan.bank.gov.ua/get-user-certificate/sec1e_E6Vs8s_ezCIxaw" TargetMode="External"/><Relationship Id="rId4236" Type="http://schemas.openxmlformats.org/officeDocument/2006/relationships/hyperlink" Target="https://talan.bank.gov.ua/get-user-certificate/sec1er5iekr61kAvewo_" TargetMode="External"/><Relationship Id="rId4443" Type="http://schemas.openxmlformats.org/officeDocument/2006/relationships/hyperlink" Target="https://talan.bank.gov.ua/get-user-certificate/sec1eorU_W9SW4SyohSG" TargetMode="External"/><Relationship Id="rId4650" Type="http://schemas.openxmlformats.org/officeDocument/2006/relationships/hyperlink" Target="https://talan.bank.gov.ua/get-user-certificate/sec1eqhvShwaI7Pa_FS_" TargetMode="External"/><Relationship Id="rId3045" Type="http://schemas.openxmlformats.org/officeDocument/2006/relationships/hyperlink" Target="https://talan.bank.gov.ua/get-user-certificate/sec1eMQSMi_8b3LYI_DJ" TargetMode="External"/><Relationship Id="rId3252" Type="http://schemas.openxmlformats.org/officeDocument/2006/relationships/hyperlink" Target="https://talan.bank.gov.ua/get-user-certificate/sec1e1SzP39RVxzNdNb6" TargetMode="External"/><Relationship Id="rId4303" Type="http://schemas.openxmlformats.org/officeDocument/2006/relationships/hyperlink" Target="https://talan.bank.gov.ua/get-user-certificate/sec1ejaD01eBUI1oPXmt" TargetMode="External"/><Relationship Id="rId4510" Type="http://schemas.openxmlformats.org/officeDocument/2006/relationships/hyperlink" Target="https://talan.bank.gov.ua/get-user-certificate/sec1excf5-MQDtG1CyAi" TargetMode="External"/><Relationship Id="rId173" Type="http://schemas.openxmlformats.org/officeDocument/2006/relationships/hyperlink" Target="https://talan.bank.gov.ua/get-user-certificate/sec1ebTPjkh9BABXhyJc" TargetMode="External"/><Relationship Id="rId380" Type="http://schemas.openxmlformats.org/officeDocument/2006/relationships/hyperlink" Target="https://talan.bank.gov.ua/get-user-certificate/sec1edFgQdMX8dRvarWa" TargetMode="External"/><Relationship Id="rId2061" Type="http://schemas.openxmlformats.org/officeDocument/2006/relationships/hyperlink" Target="https://talan.bank.gov.ua/get-user-certificate/sec1eMkMMayvkEpG80md" TargetMode="External"/><Relationship Id="rId3112" Type="http://schemas.openxmlformats.org/officeDocument/2006/relationships/hyperlink" Target="https://talan.bank.gov.ua/get-user-certificate/sec1eyvc5vEu6mO_NhJR" TargetMode="External"/><Relationship Id="rId240" Type="http://schemas.openxmlformats.org/officeDocument/2006/relationships/hyperlink" Target="https://talan.bank.gov.ua/get-user-certificate/sec1eEb9H6VdjIYbvnIZ" TargetMode="External"/><Relationship Id="rId100" Type="http://schemas.openxmlformats.org/officeDocument/2006/relationships/hyperlink" Target="https://talan.bank.gov.ua/get-user-certificate/sec1eN07OyHjNR3OnlJR" TargetMode="External"/><Relationship Id="rId2878" Type="http://schemas.openxmlformats.org/officeDocument/2006/relationships/hyperlink" Target="https://talan.bank.gov.ua/get-user-certificate/sec1eeJ9NnAtvdnQpAjB" TargetMode="External"/><Relationship Id="rId3929" Type="http://schemas.openxmlformats.org/officeDocument/2006/relationships/hyperlink" Target="https://talan.bank.gov.ua/get-user-certificate/sec1eOfjaf0VUQqbpcYD" TargetMode="External"/><Relationship Id="rId4093" Type="http://schemas.openxmlformats.org/officeDocument/2006/relationships/hyperlink" Target="https://talan.bank.gov.ua/get-user-certificate/sec1et6hwCK57etbxsQJ" TargetMode="External"/><Relationship Id="rId1687" Type="http://schemas.openxmlformats.org/officeDocument/2006/relationships/hyperlink" Target="https://talan.bank.gov.ua/get-user-certificate/sec1eVXycoxWI6amtuTh" TargetMode="External"/><Relationship Id="rId1894" Type="http://schemas.openxmlformats.org/officeDocument/2006/relationships/hyperlink" Target="https://talan.bank.gov.ua/get-user-certificate/sec1eicraN5_4OhK_fZ1" TargetMode="External"/><Relationship Id="rId2738" Type="http://schemas.openxmlformats.org/officeDocument/2006/relationships/hyperlink" Target="https://talan.bank.gov.ua/get-user-certificate/sec1e5Jt8iarOIxuyr6G" TargetMode="External"/><Relationship Id="rId2945" Type="http://schemas.openxmlformats.org/officeDocument/2006/relationships/hyperlink" Target="https://talan.bank.gov.ua/get-user-certificate/sec1e4UBQO3eA-c0x0Xh" TargetMode="External"/><Relationship Id="rId917" Type="http://schemas.openxmlformats.org/officeDocument/2006/relationships/hyperlink" Target="https://talan.bank.gov.ua/get-user-certificate/sec1eYUS74DzqeQadbqD" TargetMode="External"/><Relationship Id="rId1547" Type="http://schemas.openxmlformats.org/officeDocument/2006/relationships/hyperlink" Target="https://talan.bank.gov.ua/get-user-certificate/sec1eJXDNZUzKwkysZpS" TargetMode="External"/><Relationship Id="rId1754" Type="http://schemas.openxmlformats.org/officeDocument/2006/relationships/hyperlink" Target="https://talan.bank.gov.ua/get-user-certificate/sec1eD6BMCSA1NXQ6rnW" TargetMode="External"/><Relationship Id="rId1961" Type="http://schemas.openxmlformats.org/officeDocument/2006/relationships/hyperlink" Target="https://talan.bank.gov.ua/get-user-certificate/sec1eVz2ZkHNT5NBfg4X" TargetMode="External"/><Relationship Id="rId2805" Type="http://schemas.openxmlformats.org/officeDocument/2006/relationships/hyperlink" Target="https://talan.bank.gov.ua/get-user-certificate/sec1eGgyhrYPLIEfzbh8" TargetMode="External"/><Relationship Id="rId4160" Type="http://schemas.openxmlformats.org/officeDocument/2006/relationships/hyperlink" Target="https://talan.bank.gov.ua/get-user-certificate/sec1eYUeLm6EoxnAezA_" TargetMode="External"/><Relationship Id="rId5004" Type="http://schemas.openxmlformats.org/officeDocument/2006/relationships/hyperlink" Target="https://talan.bank.gov.ua/get-user-certificate/sec1eVJKzTRqW4O_lgRk" TargetMode="External"/><Relationship Id="rId46" Type="http://schemas.openxmlformats.org/officeDocument/2006/relationships/hyperlink" Target="https://talan.bank.gov.ua/get-user-certificate/sec1e_sKnFba--NdfS78" TargetMode="External"/><Relationship Id="rId1407" Type="http://schemas.openxmlformats.org/officeDocument/2006/relationships/hyperlink" Target="https://talan.bank.gov.ua/get-user-certificate/sec1eFMW6LLPJSj_mHO2" TargetMode="External"/><Relationship Id="rId1614" Type="http://schemas.openxmlformats.org/officeDocument/2006/relationships/hyperlink" Target="https://talan.bank.gov.ua/get-user-certificate/sec1exG2TbYvZH4zqhjS" TargetMode="External"/><Relationship Id="rId1821" Type="http://schemas.openxmlformats.org/officeDocument/2006/relationships/hyperlink" Target="https://talan.bank.gov.ua/get-user-certificate/sec1eIuVWywQK-_BCyL3" TargetMode="External"/><Relationship Id="rId4020" Type="http://schemas.openxmlformats.org/officeDocument/2006/relationships/hyperlink" Target="https://talan.bank.gov.ua/get-user-certificate/sec1eGpOHVYBkR2K3Okt" TargetMode="External"/><Relationship Id="rId4977" Type="http://schemas.openxmlformats.org/officeDocument/2006/relationships/hyperlink" Target="https://talan.bank.gov.ua/get-user-certificate/sec1eWcvNJzI9uwdzSuo" TargetMode="External"/><Relationship Id="rId3579" Type="http://schemas.openxmlformats.org/officeDocument/2006/relationships/hyperlink" Target="https://talan.bank.gov.ua/get-user-certificate/sec1e03zWkojhiYZRDzJ" TargetMode="External"/><Relationship Id="rId3786" Type="http://schemas.openxmlformats.org/officeDocument/2006/relationships/hyperlink" Target="https://talan.bank.gov.ua/get-user-certificate/sec1eUCAo69zN1D76iKO" TargetMode="External"/><Relationship Id="rId2388" Type="http://schemas.openxmlformats.org/officeDocument/2006/relationships/hyperlink" Target="https://talan.bank.gov.ua/get-user-certificate/sec1e96uf9yh2cigC97I" TargetMode="External"/><Relationship Id="rId2595" Type="http://schemas.openxmlformats.org/officeDocument/2006/relationships/hyperlink" Target="https://talan.bank.gov.ua/get-user-certificate/sec1e0QcuvTGkHmuE4NZ" TargetMode="External"/><Relationship Id="rId3439" Type="http://schemas.openxmlformats.org/officeDocument/2006/relationships/hyperlink" Target="https://talan.bank.gov.ua/get-user-certificate/sec1etx7xbvBR0a9cA_a" TargetMode="External"/><Relationship Id="rId3993" Type="http://schemas.openxmlformats.org/officeDocument/2006/relationships/hyperlink" Target="https://talan.bank.gov.ua/get-user-certificate/sec1eB964Grz3k7BCGdd" TargetMode="External"/><Relationship Id="rId4837" Type="http://schemas.openxmlformats.org/officeDocument/2006/relationships/hyperlink" Target="https://talan.bank.gov.ua/get-user-certificate/sec1eLQZmxzXSfCRs93j" TargetMode="External"/><Relationship Id="rId567" Type="http://schemas.openxmlformats.org/officeDocument/2006/relationships/hyperlink" Target="https://talan.bank.gov.ua/get-user-certificate/sec1eBq8G9XbXrHXeeB4" TargetMode="External"/><Relationship Id="rId1197" Type="http://schemas.openxmlformats.org/officeDocument/2006/relationships/hyperlink" Target="https://talan.bank.gov.ua/get-user-certificate/sec1em337fk6Az5u-uV6" TargetMode="External"/><Relationship Id="rId2248" Type="http://schemas.openxmlformats.org/officeDocument/2006/relationships/hyperlink" Target="https://talan.bank.gov.ua/get-user-certificate/sec1efl5sg2FDKfHyI1n" TargetMode="External"/><Relationship Id="rId3646" Type="http://schemas.openxmlformats.org/officeDocument/2006/relationships/hyperlink" Target="https://talan.bank.gov.ua/get-user-certificate/sec1eX2F5RFTcu3Akgbs" TargetMode="External"/><Relationship Id="rId3853" Type="http://schemas.openxmlformats.org/officeDocument/2006/relationships/hyperlink" Target="https://talan.bank.gov.ua/get-user-certificate/sec1eKNXBPHAkXNsESO-" TargetMode="External"/><Relationship Id="rId4904" Type="http://schemas.openxmlformats.org/officeDocument/2006/relationships/hyperlink" Target="https://talan.bank.gov.ua/get-user-certificate/sec1eEG3GQUhCy92ScZo" TargetMode="External"/><Relationship Id="rId774" Type="http://schemas.openxmlformats.org/officeDocument/2006/relationships/hyperlink" Target="https://talan.bank.gov.ua/get-user-certificate/sec1eFVF78tGUWeQTHcT" TargetMode="External"/><Relationship Id="rId981" Type="http://schemas.openxmlformats.org/officeDocument/2006/relationships/hyperlink" Target="https://talan.bank.gov.ua/get-user-certificate/sec1elbIq2eYSiK5gxKM" TargetMode="External"/><Relationship Id="rId1057" Type="http://schemas.openxmlformats.org/officeDocument/2006/relationships/hyperlink" Target="https://talan.bank.gov.ua/get-user-certificate/sec1eoGShAo0RZN30snT" TargetMode="External"/><Relationship Id="rId2455" Type="http://schemas.openxmlformats.org/officeDocument/2006/relationships/hyperlink" Target="https://talan.bank.gov.ua/get-user-certificate/sec1ec_kN8lwjgKK3iEg" TargetMode="External"/><Relationship Id="rId2662" Type="http://schemas.openxmlformats.org/officeDocument/2006/relationships/hyperlink" Target="https://talan.bank.gov.ua/get-user-certificate/sec1euAZeJ91E3sbRGGJ" TargetMode="External"/><Relationship Id="rId3506" Type="http://schemas.openxmlformats.org/officeDocument/2006/relationships/hyperlink" Target="https://talan.bank.gov.ua/get-user-certificate/sec1ekuEuQTl7zCf45EM" TargetMode="External"/><Relationship Id="rId3713" Type="http://schemas.openxmlformats.org/officeDocument/2006/relationships/hyperlink" Target="https://talan.bank.gov.ua/get-user-certificate/sec1edeL8sNFOzZaz-GG" TargetMode="External"/><Relationship Id="rId3920" Type="http://schemas.openxmlformats.org/officeDocument/2006/relationships/hyperlink" Target="https://talan.bank.gov.ua/get-user-certificate/sec1ewExMa2Q-jh2kLh7" TargetMode="External"/><Relationship Id="rId427" Type="http://schemas.openxmlformats.org/officeDocument/2006/relationships/hyperlink" Target="https://talan.bank.gov.ua/get-user-certificate/sec1eYM_rTLv5vgNJmvN" TargetMode="External"/><Relationship Id="rId634" Type="http://schemas.openxmlformats.org/officeDocument/2006/relationships/hyperlink" Target="https://talan.bank.gov.ua/get-user-certificate/sec1eJwBQubAlPgAaO6z" TargetMode="External"/><Relationship Id="rId841" Type="http://schemas.openxmlformats.org/officeDocument/2006/relationships/hyperlink" Target="https://talan.bank.gov.ua/get-user-certificate/sec1en02yRaQtf77lwx0" TargetMode="External"/><Relationship Id="rId1264" Type="http://schemas.openxmlformats.org/officeDocument/2006/relationships/hyperlink" Target="https://talan.bank.gov.ua/get-user-certificate/sec1eToPZenejXiD_esH" TargetMode="External"/><Relationship Id="rId1471" Type="http://schemas.openxmlformats.org/officeDocument/2006/relationships/hyperlink" Target="https://talan.bank.gov.ua/get-user-certificate/sec1e6Ydrahco3iURGBS" TargetMode="External"/><Relationship Id="rId2108" Type="http://schemas.openxmlformats.org/officeDocument/2006/relationships/hyperlink" Target="https://talan.bank.gov.ua/get-user-certificate/sec1e2TpQSZ_3X3NkE7v" TargetMode="External"/><Relationship Id="rId2315" Type="http://schemas.openxmlformats.org/officeDocument/2006/relationships/hyperlink" Target="https://talan.bank.gov.ua/get-user-certificate/sec1eqCnglS_ogHohNPt" TargetMode="External"/><Relationship Id="rId2522" Type="http://schemas.openxmlformats.org/officeDocument/2006/relationships/hyperlink" Target="https://talan.bank.gov.ua/get-user-certificate/sec1ebc3s3lWNp5xtwbl" TargetMode="External"/><Relationship Id="rId701" Type="http://schemas.openxmlformats.org/officeDocument/2006/relationships/hyperlink" Target="https://talan.bank.gov.ua/get-user-certificate/sec1ef5YLooBXfAWtKgn" TargetMode="External"/><Relationship Id="rId1124" Type="http://schemas.openxmlformats.org/officeDocument/2006/relationships/hyperlink" Target="https://talan.bank.gov.ua/get-user-certificate/sec1eKoix3be22OFAMgz" TargetMode="External"/><Relationship Id="rId1331" Type="http://schemas.openxmlformats.org/officeDocument/2006/relationships/hyperlink" Target="https://talan.bank.gov.ua/get-user-certificate/sec1enrbEBbyzqN3jUzk" TargetMode="External"/><Relationship Id="rId4487" Type="http://schemas.openxmlformats.org/officeDocument/2006/relationships/hyperlink" Target="https://talan.bank.gov.ua/get-user-certificate/sec1eEkLd_8p5zeMWQtA" TargetMode="External"/><Relationship Id="rId4694" Type="http://schemas.openxmlformats.org/officeDocument/2006/relationships/hyperlink" Target="https://talan.bank.gov.ua/get-user-certificate/sec1eJvnY8oONQdlWLKb" TargetMode="External"/><Relationship Id="rId3089" Type="http://schemas.openxmlformats.org/officeDocument/2006/relationships/hyperlink" Target="https://talan.bank.gov.ua/get-user-certificate/sec1eOGC4EN5w6t7DuvM" TargetMode="External"/><Relationship Id="rId3296" Type="http://schemas.openxmlformats.org/officeDocument/2006/relationships/hyperlink" Target="https://talan.bank.gov.ua/get-user-certificate/sec1ednh3e3HR5iTUa8m" TargetMode="External"/><Relationship Id="rId4347" Type="http://schemas.openxmlformats.org/officeDocument/2006/relationships/hyperlink" Target="https://talan.bank.gov.ua/get-user-certificate/sec1e2igP-MzwcvDHPKr" TargetMode="External"/><Relationship Id="rId4554" Type="http://schemas.openxmlformats.org/officeDocument/2006/relationships/hyperlink" Target="https://talan.bank.gov.ua/get-user-certificate/sec1ei4tBzbczbrASGuV" TargetMode="External"/><Relationship Id="rId4761" Type="http://schemas.openxmlformats.org/officeDocument/2006/relationships/hyperlink" Target="https://talan.bank.gov.ua/get-user-certificate/sec1eMJajBCStTFn9-vy" TargetMode="External"/><Relationship Id="rId3156" Type="http://schemas.openxmlformats.org/officeDocument/2006/relationships/hyperlink" Target="https://talan.bank.gov.ua/get-user-certificate/sec1eahZtDBjqXb4MOng" TargetMode="External"/><Relationship Id="rId3363" Type="http://schemas.openxmlformats.org/officeDocument/2006/relationships/hyperlink" Target="https://talan.bank.gov.ua/get-user-certificate/sec1evYLcdZQoMLCFWZ2" TargetMode="External"/><Relationship Id="rId4207" Type="http://schemas.openxmlformats.org/officeDocument/2006/relationships/hyperlink" Target="https://talan.bank.gov.ua/get-user-certificate/sec1eUS3k67jrJOckhJU" TargetMode="External"/><Relationship Id="rId4414" Type="http://schemas.openxmlformats.org/officeDocument/2006/relationships/hyperlink" Target="https://talan.bank.gov.ua/get-user-certificate/sec1e_VlfTZSVbIm9MqJ" TargetMode="External"/><Relationship Id="rId284" Type="http://schemas.openxmlformats.org/officeDocument/2006/relationships/hyperlink" Target="https://talan.bank.gov.ua/get-user-certificate/sec1emefIfOM1UzYeQMI" TargetMode="External"/><Relationship Id="rId491" Type="http://schemas.openxmlformats.org/officeDocument/2006/relationships/hyperlink" Target="https://talan.bank.gov.ua/get-user-certificate/sec1ek4B0piaSqwVcro4" TargetMode="External"/><Relationship Id="rId2172" Type="http://schemas.openxmlformats.org/officeDocument/2006/relationships/hyperlink" Target="https://talan.bank.gov.ua/get-user-certificate/sec1evfNTYD3f4WDWsUI" TargetMode="External"/><Relationship Id="rId3016" Type="http://schemas.openxmlformats.org/officeDocument/2006/relationships/hyperlink" Target="https://talan.bank.gov.ua/get-user-certificate/sec1eaUQYr1cBt_zAySQ" TargetMode="External"/><Relationship Id="rId3223" Type="http://schemas.openxmlformats.org/officeDocument/2006/relationships/hyperlink" Target="https://talan.bank.gov.ua/get-user-certificate/sec1ergRagYdKck_-9sX" TargetMode="External"/><Relationship Id="rId3570" Type="http://schemas.openxmlformats.org/officeDocument/2006/relationships/hyperlink" Target="https://talan.bank.gov.ua/get-user-certificate/sec1edoDXnGJCLyUdJNV" TargetMode="External"/><Relationship Id="rId4621" Type="http://schemas.openxmlformats.org/officeDocument/2006/relationships/hyperlink" Target="https://talan.bank.gov.ua/get-user-certificate/sec1eG-0PaeOE-XN4Anh" TargetMode="External"/><Relationship Id="rId144" Type="http://schemas.openxmlformats.org/officeDocument/2006/relationships/hyperlink" Target="https://talan.bank.gov.ua/get-user-certificate/sec1ePzljijkP3K6MT4I" TargetMode="External"/><Relationship Id="rId3430" Type="http://schemas.openxmlformats.org/officeDocument/2006/relationships/hyperlink" Target="https://talan.bank.gov.ua/get-user-certificate/sec1eaHTFZ_tCSvynsMj" TargetMode="External"/><Relationship Id="rId351" Type="http://schemas.openxmlformats.org/officeDocument/2006/relationships/hyperlink" Target="https://talan.bank.gov.ua/get-user-certificate/sec1eNx31n9vJV1x4lSV" TargetMode="External"/><Relationship Id="rId2032" Type="http://schemas.openxmlformats.org/officeDocument/2006/relationships/hyperlink" Target="https://talan.bank.gov.ua/get-user-certificate/sec1e0TKRZdFCZM52rvk" TargetMode="External"/><Relationship Id="rId2989" Type="http://schemas.openxmlformats.org/officeDocument/2006/relationships/hyperlink" Target="https://talan.bank.gov.ua/get-user-certificate/sec1evwHsHWIpHiaCyU9" TargetMode="External"/><Relationship Id="rId211" Type="http://schemas.openxmlformats.org/officeDocument/2006/relationships/hyperlink" Target="https://talan.bank.gov.ua/get-user-certificate/sec1eE9ct7iDc_YoV4Ha" TargetMode="External"/><Relationship Id="rId1798" Type="http://schemas.openxmlformats.org/officeDocument/2006/relationships/hyperlink" Target="https://talan.bank.gov.ua/get-user-certificate/sec1ekX5cGlityMlbbYF" TargetMode="External"/><Relationship Id="rId2849" Type="http://schemas.openxmlformats.org/officeDocument/2006/relationships/hyperlink" Target="https://talan.bank.gov.ua/get-user-certificate/sec1eD4llBP5WDoGebyN" TargetMode="External"/><Relationship Id="rId1658" Type="http://schemas.openxmlformats.org/officeDocument/2006/relationships/hyperlink" Target="https://talan.bank.gov.ua/get-user-certificate/sec1eIBXXGdyklRYLznf" TargetMode="External"/><Relationship Id="rId1865" Type="http://schemas.openxmlformats.org/officeDocument/2006/relationships/hyperlink" Target="https://talan.bank.gov.ua/get-user-certificate/sec1eSzHT8riJQ5AJlBg" TargetMode="External"/><Relationship Id="rId2709" Type="http://schemas.openxmlformats.org/officeDocument/2006/relationships/hyperlink" Target="https://talan.bank.gov.ua/get-user-certificate/sec1eTHs0bxQehXcxM4S" TargetMode="External"/><Relationship Id="rId4064" Type="http://schemas.openxmlformats.org/officeDocument/2006/relationships/hyperlink" Target="https://talan.bank.gov.ua/get-user-certificate/sec1eDqaFebTviWxW5BX" TargetMode="External"/><Relationship Id="rId4271" Type="http://schemas.openxmlformats.org/officeDocument/2006/relationships/hyperlink" Target="https://talan.bank.gov.ua/get-user-certificate/sec1eaxpEveYZLwB8dw0" TargetMode="External"/><Relationship Id="rId1518" Type="http://schemas.openxmlformats.org/officeDocument/2006/relationships/hyperlink" Target="https://talan.bank.gov.ua/get-user-certificate/sec1eDq99-M5Og6wYjqx" TargetMode="External"/><Relationship Id="rId2916" Type="http://schemas.openxmlformats.org/officeDocument/2006/relationships/hyperlink" Target="https://talan.bank.gov.ua/get-user-certificate/sec1eKnj8YL3c4gaENA_" TargetMode="External"/><Relationship Id="rId3080" Type="http://schemas.openxmlformats.org/officeDocument/2006/relationships/hyperlink" Target="https://talan.bank.gov.ua/get-user-certificate/sec1eYwBL0LP3itRFHNe" TargetMode="External"/><Relationship Id="rId4131" Type="http://schemas.openxmlformats.org/officeDocument/2006/relationships/hyperlink" Target="https://talan.bank.gov.ua/get-user-certificate/sec1enKydI_MKN4g57QC" TargetMode="External"/><Relationship Id="rId1725" Type="http://schemas.openxmlformats.org/officeDocument/2006/relationships/hyperlink" Target="https://talan.bank.gov.ua/get-user-certificate/sec1ehJDR94mD6HPZ6ju" TargetMode="External"/><Relationship Id="rId1932" Type="http://schemas.openxmlformats.org/officeDocument/2006/relationships/hyperlink" Target="https://talan.bank.gov.ua/get-user-certificate/sec1e_XW5zbQDM-JpIh0" TargetMode="External"/><Relationship Id="rId17" Type="http://schemas.openxmlformats.org/officeDocument/2006/relationships/hyperlink" Target="https://talan.bank.gov.ua/get-user-certificate/sec1eJf2O44axm9CyUHX" TargetMode="External"/><Relationship Id="rId3897" Type="http://schemas.openxmlformats.org/officeDocument/2006/relationships/hyperlink" Target="https://talan.bank.gov.ua/get-user-certificate/sec1e7TbSPx2Yal7Xmrn" TargetMode="External"/><Relationship Id="rId4948" Type="http://schemas.openxmlformats.org/officeDocument/2006/relationships/hyperlink" Target="https://talan.bank.gov.ua/get-user-certificate/sec1ecIPFfmXuL78cfFx" TargetMode="External"/><Relationship Id="rId2499" Type="http://schemas.openxmlformats.org/officeDocument/2006/relationships/hyperlink" Target="https://talan.bank.gov.ua/get-user-certificate/sec1eQlDE0wQtkkDMslQ" TargetMode="External"/><Relationship Id="rId3757" Type="http://schemas.openxmlformats.org/officeDocument/2006/relationships/hyperlink" Target="https://talan.bank.gov.ua/get-user-certificate/sec1eme84V4X_HXCo-s8" TargetMode="External"/><Relationship Id="rId3964" Type="http://schemas.openxmlformats.org/officeDocument/2006/relationships/hyperlink" Target="https://talan.bank.gov.ua/get-user-certificate/sec1e5kcVEtYjFtS-Lrk" TargetMode="External"/><Relationship Id="rId4808" Type="http://schemas.openxmlformats.org/officeDocument/2006/relationships/hyperlink" Target="https://talan.bank.gov.ua/get-user-certificate/sec1eyw5VCWoIm6zXgQL" TargetMode="External"/><Relationship Id="rId1" Type="http://schemas.openxmlformats.org/officeDocument/2006/relationships/hyperlink" Target="https://talan.bank.gov.ua/get-user-certificate/sec1efZGTA1u2KgMukty" TargetMode="External"/><Relationship Id="rId678" Type="http://schemas.openxmlformats.org/officeDocument/2006/relationships/hyperlink" Target="https://talan.bank.gov.ua/get-user-certificate/sec1e6EsC--7e-GVaQob" TargetMode="External"/><Relationship Id="rId885" Type="http://schemas.openxmlformats.org/officeDocument/2006/relationships/hyperlink" Target="https://talan.bank.gov.ua/get-user-certificate/sec1eSR33XIyQSjM0hYo" TargetMode="External"/><Relationship Id="rId2359" Type="http://schemas.openxmlformats.org/officeDocument/2006/relationships/hyperlink" Target="https://talan.bank.gov.ua/get-user-certificate/sec1e8tlinB_gft3yAKe" TargetMode="External"/><Relationship Id="rId2566" Type="http://schemas.openxmlformats.org/officeDocument/2006/relationships/hyperlink" Target="https://talan.bank.gov.ua/get-user-certificate/sec1en7ND-Wjo9tpW2l7" TargetMode="External"/><Relationship Id="rId2773" Type="http://schemas.openxmlformats.org/officeDocument/2006/relationships/hyperlink" Target="https://talan.bank.gov.ua/get-user-certificate/sec1epwfHVa9u7sN4rm6" TargetMode="External"/><Relationship Id="rId2980" Type="http://schemas.openxmlformats.org/officeDocument/2006/relationships/hyperlink" Target="https://talan.bank.gov.ua/get-user-certificate/sec1eDtsmvlZUNyV0i4s" TargetMode="External"/><Relationship Id="rId3617" Type="http://schemas.openxmlformats.org/officeDocument/2006/relationships/hyperlink" Target="https://talan.bank.gov.ua/get-user-certificate/sec1eyesy8a68VNY_arK" TargetMode="External"/><Relationship Id="rId3824" Type="http://schemas.openxmlformats.org/officeDocument/2006/relationships/hyperlink" Target="https://talan.bank.gov.ua/get-user-certificate/sec1eva01c6wL0v2CVIh" TargetMode="External"/><Relationship Id="rId538" Type="http://schemas.openxmlformats.org/officeDocument/2006/relationships/hyperlink" Target="https://talan.bank.gov.ua/get-user-certificate/sec1e_rzlxn-Aq-Fvov6" TargetMode="External"/><Relationship Id="rId745" Type="http://schemas.openxmlformats.org/officeDocument/2006/relationships/hyperlink" Target="https://talan.bank.gov.ua/get-user-certificate/sec1ePe9Va6gMkqBxAp_" TargetMode="External"/><Relationship Id="rId952" Type="http://schemas.openxmlformats.org/officeDocument/2006/relationships/hyperlink" Target="https://talan.bank.gov.ua/get-user-certificate/sec1eVNLM8yei0dhuOB1" TargetMode="External"/><Relationship Id="rId1168" Type="http://schemas.openxmlformats.org/officeDocument/2006/relationships/hyperlink" Target="https://talan.bank.gov.ua/get-user-certificate/sec1eniAlBo7ff0h3S2n" TargetMode="External"/><Relationship Id="rId1375" Type="http://schemas.openxmlformats.org/officeDocument/2006/relationships/hyperlink" Target="https://talan.bank.gov.ua/get-user-certificate/sec1e99jtSC5jMtsR9m6" TargetMode="External"/><Relationship Id="rId1582" Type="http://schemas.openxmlformats.org/officeDocument/2006/relationships/hyperlink" Target="https://talan.bank.gov.ua/get-user-certificate/sec1eXtARE-M2Inp8ZYA" TargetMode="External"/><Relationship Id="rId2219" Type="http://schemas.openxmlformats.org/officeDocument/2006/relationships/hyperlink" Target="https://talan.bank.gov.ua/get-user-certificate/sec1etHhJwXnAwyandd5" TargetMode="External"/><Relationship Id="rId2426" Type="http://schemas.openxmlformats.org/officeDocument/2006/relationships/hyperlink" Target="https://talan.bank.gov.ua/get-user-certificate/sec1eh9L6V00rvUfCHMl" TargetMode="External"/><Relationship Id="rId2633" Type="http://schemas.openxmlformats.org/officeDocument/2006/relationships/hyperlink" Target="https://talan.bank.gov.ua/get-user-certificate/sec1eV9PNJ4d1FEHrrWi" TargetMode="External"/><Relationship Id="rId81" Type="http://schemas.openxmlformats.org/officeDocument/2006/relationships/hyperlink" Target="https://talan.bank.gov.ua/get-user-certificate/sec1ezFMmF7WPJGYj1Bt" TargetMode="External"/><Relationship Id="rId605" Type="http://schemas.openxmlformats.org/officeDocument/2006/relationships/hyperlink" Target="https://talan.bank.gov.ua/get-user-certificate/sec1ej63o2ezRykfaD1G" TargetMode="External"/><Relationship Id="rId812" Type="http://schemas.openxmlformats.org/officeDocument/2006/relationships/hyperlink" Target="https://talan.bank.gov.ua/get-user-certificate/sec1ennolY281x4p9oR0" TargetMode="External"/><Relationship Id="rId1028" Type="http://schemas.openxmlformats.org/officeDocument/2006/relationships/hyperlink" Target="https://talan.bank.gov.ua/get-user-certificate/sec1eaQD9e5JZsk3BdT_" TargetMode="External"/><Relationship Id="rId1235" Type="http://schemas.openxmlformats.org/officeDocument/2006/relationships/hyperlink" Target="https://talan.bank.gov.ua/get-user-certificate/sec1e0Epu01snOyuynez" TargetMode="External"/><Relationship Id="rId1442" Type="http://schemas.openxmlformats.org/officeDocument/2006/relationships/hyperlink" Target="https://talan.bank.gov.ua/get-user-certificate/sec1exMM5zV2kZixiO-1" TargetMode="External"/><Relationship Id="rId2840" Type="http://schemas.openxmlformats.org/officeDocument/2006/relationships/hyperlink" Target="https://talan.bank.gov.ua/get-user-certificate/sec1e6rmIy_fdQDcRDim" TargetMode="External"/><Relationship Id="rId4598" Type="http://schemas.openxmlformats.org/officeDocument/2006/relationships/hyperlink" Target="https://talan.bank.gov.ua/get-user-certificate/sec1ez5GFRFUXWZMIhAV" TargetMode="External"/><Relationship Id="rId1302" Type="http://schemas.openxmlformats.org/officeDocument/2006/relationships/hyperlink" Target="https://talan.bank.gov.ua/get-user-certificate/sec1eNA88Lnht2c8cgSs" TargetMode="External"/><Relationship Id="rId2700" Type="http://schemas.openxmlformats.org/officeDocument/2006/relationships/hyperlink" Target="https://talan.bank.gov.ua/get-user-certificate/sec1eilRgqgXXwO8z5YW" TargetMode="External"/><Relationship Id="rId4458" Type="http://schemas.openxmlformats.org/officeDocument/2006/relationships/hyperlink" Target="https://talan.bank.gov.ua/get-user-certificate/sec1exFGCf1Fypf6TswI" TargetMode="External"/><Relationship Id="rId3267" Type="http://schemas.openxmlformats.org/officeDocument/2006/relationships/hyperlink" Target="https://talan.bank.gov.ua/get-user-certificate/sec1emgfvxlwVF9HWo4d" TargetMode="External"/><Relationship Id="rId4665" Type="http://schemas.openxmlformats.org/officeDocument/2006/relationships/hyperlink" Target="https://talan.bank.gov.ua/get-user-certificate/sec1eSn2ck4sm37884hk" TargetMode="External"/><Relationship Id="rId4872" Type="http://schemas.openxmlformats.org/officeDocument/2006/relationships/hyperlink" Target="https://talan.bank.gov.ua/get-user-certificate/sec1eqN-xYTTGkDyAf1T" TargetMode="External"/><Relationship Id="rId188" Type="http://schemas.openxmlformats.org/officeDocument/2006/relationships/hyperlink" Target="https://talan.bank.gov.ua/get-user-certificate/sec1e6FSJoEEoHm8LJ_B" TargetMode="External"/><Relationship Id="rId395" Type="http://schemas.openxmlformats.org/officeDocument/2006/relationships/hyperlink" Target="https://talan.bank.gov.ua/get-user-certificate/sec1eg7afY1QTP-N5cYb" TargetMode="External"/><Relationship Id="rId2076" Type="http://schemas.openxmlformats.org/officeDocument/2006/relationships/hyperlink" Target="https://talan.bank.gov.ua/get-user-certificate/sec1ewlEfdeqZ3ucW9GC" TargetMode="External"/><Relationship Id="rId3474" Type="http://schemas.openxmlformats.org/officeDocument/2006/relationships/hyperlink" Target="https://talan.bank.gov.ua/get-user-certificate/sec1efnyrbZy3GMaZVVE" TargetMode="External"/><Relationship Id="rId3681" Type="http://schemas.openxmlformats.org/officeDocument/2006/relationships/hyperlink" Target="https://talan.bank.gov.ua/get-user-certificate/sec1e8ltofYqOTqRlPgu" TargetMode="External"/><Relationship Id="rId4318" Type="http://schemas.openxmlformats.org/officeDocument/2006/relationships/hyperlink" Target="https://talan.bank.gov.ua/get-user-certificate/sec1ep7qaZq0hodrTd1C" TargetMode="External"/><Relationship Id="rId4525" Type="http://schemas.openxmlformats.org/officeDocument/2006/relationships/hyperlink" Target="https://talan.bank.gov.ua/get-user-certificate/sec1ev44QIySxQyvZ2AJ" TargetMode="External"/><Relationship Id="rId4732" Type="http://schemas.openxmlformats.org/officeDocument/2006/relationships/hyperlink" Target="https://talan.bank.gov.ua/get-user-certificate/sec1eW1B7Zj9KE21Ji4a" TargetMode="External"/><Relationship Id="rId2283" Type="http://schemas.openxmlformats.org/officeDocument/2006/relationships/hyperlink" Target="https://talan.bank.gov.ua/get-user-certificate/sec1eBzB25knwYqofnDP" TargetMode="External"/><Relationship Id="rId2490" Type="http://schemas.openxmlformats.org/officeDocument/2006/relationships/hyperlink" Target="https://talan.bank.gov.ua/get-user-certificate/sec1e275ABrtQdqihcBO" TargetMode="External"/><Relationship Id="rId3127" Type="http://schemas.openxmlformats.org/officeDocument/2006/relationships/hyperlink" Target="https://talan.bank.gov.ua/get-user-certificate/sec1e_2jOc1wfQS4N9UH" TargetMode="External"/><Relationship Id="rId3334" Type="http://schemas.openxmlformats.org/officeDocument/2006/relationships/hyperlink" Target="https://talan.bank.gov.ua/get-user-certificate/sec1eTEIamzmYX3LGAVM" TargetMode="External"/><Relationship Id="rId3541" Type="http://schemas.openxmlformats.org/officeDocument/2006/relationships/hyperlink" Target="https://talan.bank.gov.ua/get-user-certificate/sec1eufLBQ4KRYXA47PO" TargetMode="External"/><Relationship Id="rId255" Type="http://schemas.openxmlformats.org/officeDocument/2006/relationships/hyperlink" Target="https://talan.bank.gov.ua/get-user-certificate/sec1eeYNKaKWtjPfoqmE" TargetMode="External"/><Relationship Id="rId462" Type="http://schemas.openxmlformats.org/officeDocument/2006/relationships/hyperlink" Target="https://talan.bank.gov.ua/get-user-certificate/sec1eBH1n8YFyFle10iK" TargetMode="External"/><Relationship Id="rId1092" Type="http://schemas.openxmlformats.org/officeDocument/2006/relationships/hyperlink" Target="https://talan.bank.gov.ua/get-user-certificate/sec1eFHviAtRiAej2IOO" TargetMode="External"/><Relationship Id="rId2143" Type="http://schemas.openxmlformats.org/officeDocument/2006/relationships/hyperlink" Target="https://talan.bank.gov.ua/get-user-certificate/sec1eg7_skWOWzfid7dG" TargetMode="External"/><Relationship Id="rId2350" Type="http://schemas.openxmlformats.org/officeDocument/2006/relationships/hyperlink" Target="https://talan.bank.gov.ua/get-user-certificate/sec1ebJGq8rtsqDPcUbI" TargetMode="External"/><Relationship Id="rId3401" Type="http://schemas.openxmlformats.org/officeDocument/2006/relationships/hyperlink" Target="https://talan.bank.gov.ua/get-user-certificate/sec1eHT5RAdsHOV7qiCP" TargetMode="External"/><Relationship Id="rId115" Type="http://schemas.openxmlformats.org/officeDocument/2006/relationships/hyperlink" Target="https://talan.bank.gov.ua/get-user-certificate/sec1ewy8AUAbEjG-y5oF" TargetMode="External"/><Relationship Id="rId322" Type="http://schemas.openxmlformats.org/officeDocument/2006/relationships/hyperlink" Target="https://talan.bank.gov.ua/get-user-certificate/sec1e7sxAtEeThGzGwMQ" TargetMode="External"/><Relationship Id="rId2003" Type="http://schemas.openxmlformats.org/officeDocument/2006/relationships/hyperlink" Target="https://talan.bank.gov.ua/get-user-certificate/sec1e1_DoiRbBLu-Gpkg" TargetMode="External"/><Relationship Id="rId2210" Type="http://schemas.openxmlformats.org/officeDocument/2006/relationships/hyperlink" Target="https://talan.bank.gov.ua/get-user-certificate/sec1eWBgnMwPTbTDA-cV" TargetMode="External"/><Relationship Id="rId4175" Type="http://schemas.openxmlformats.org/officeDocument/2006/relationships/hyperlink" Target="https://talan.bank.gov.ua/get-user-certificate/sec1eO1VfgIL-7sk8lyr" TargetMode="External"/><Relationship Id="rId4382" Type="http://schemas.openxmlformats.org/officeDocument/2006/relationships/hyperlink" Target="https://talan.bank.gov.ua/get-user-certificate/sec1ehgrMtEAHj7HQxEM" TargetMode="External"/><Relationship Id="rId5019" Type="http://schemas.openxmlformats.org/officeDocument/2006/relationships/hyperlink" Target="https://talan.bank.gov.ua/get-user-certificate/f7i-sg4AUQXuFqJqA2ns" TargetMode="External"/><Relationship Id="rId1769" Type="http://schemas.openxmlformats.org/officeDocument/2006/relationships/hyperlink" Target="https://talan.bank.gov.ua/get-user-certificate/sec1e2QEylt9FxXWM7zC" TargetMode="External"/><Relationship Id="rId1976" Type="http://schemas.openxmlformats.org/officeDocument/2006/relationships/hyperlink" Target="https://talan.bank.gov.ua/get-user-certificate/sec1eXziKdrm8TVjfDg7" TargetMode="External"/><Relationship Id="rId3191" Type="http://schemas.openxmlformats.org/officeDocument/2006/relationships/hyperlink" Target="https://talan.bank.gov.ua/get-user-certificate/sec1ewtoPpYC-8qXwnZD" TargetMode="External"/><Relationship Id="rId4035" Type="http://schemas.openxmlformats.org/officeDocument/2006/relationships/hyperlink" Target="https://talan.bank.gov.ua/get-user-certificate/sec1ezx1RXLJGYwjWxPv" TargetMode="External"/><Relationship Id="rId4242" Type="http://schemas.openxmlformats.org/officeDocument/2006/relationships/hyperlink" Target="https://talan.bank.gov.ua/get-user-certificate/sec1etSUkcDNlqH28psH" TargetMode="External"/><Relationship Id="rId1629" Type="http://schemas.openxmlformats.org/officeDocument/2006/relationships/hyperlink" Target="https://talan.bank.gov.ua/get-user-certificate/sec1eZgNd6qZaJEbtZu7" TargetMode="External"/><Relationship Id="rId1836" Type="http://schemas.openxmlformats.org/officeDocument/2006/relationships/hyperlink" Target="https://talan.bank.gov.ua/get-user-certificate/sec1eF5efrzIoMBy-jbF" TargetMode="External"/><Relationship Id="rId1903" Type="http://schemas.openxmlformats.org/officeDocument/2006/relationships/hyperlink" Target="https://talan.bank.gov.ua/get-user-certificate/sec1ebtljnIRN9Cwb620" TargetMode="External"/><Relationship Id="rId3051" Type="http://schemas.openxmlformats.org/officeDocument/2006/relationships/hyperlink" Target="https://talan.bank.gov.ua/get-user-certificate/sec1e8UeHHWVaRpB0WQA" TargetMode="External"/><Relationship Id="rId4102" Type="http://schemas.openxmlformats.org/officeDocument/2006/relationships/hyperlink" Target="https://talan.bank.gov.ua/get-user-certificate/sec1e_Kt7iiNsPXDOcU_" TargetMode="External"/><Relationship Id="rId3868" Type="http://schemas.openxmlformats.org/officeDocument/2006/relationships/hyperlink" Target="https://talan.bank.gov.ua/get-user-certificate/sec1ekial1RVU4xSqzHW" TargetMode="External"/><Relationship Id="rId4919" Type="http://schemas.openxmlformats.org/officeDocument/2006/relationships/hyperlink" Target="https://talan.bank.gov.ua/get-user-certificate/sec1e8I3-Z06EpVSzhaw" TargetMode="External"/><Relationship Id="rId789" Type="http://schemas.openxmlformats.org/officeDocument/2006/relationships/hyperlink" Target="https://talan.bank.gov.ua/get-user-certificate/sec1e3r8giIiQgL-qBYX" TargetMode="External"/><Relationship Id="rId996" Type="http://schemas.openxmlformats.org/officeDocument/2006/relationships/hyperlink" Target="https://talan.bank.gov.ua/get-user-certificate/sec1eQsa9yfPx6lbg6FD" TargetMode="External"/><Relationship Id="rId2677" Type="http://schemas.openxmlformats.org/officeDocument/2006/relationships/hyperlink" Target="https://talan.bank.gov.ua/get-user-certificate/sec1eVBF2aMgLAlI46gv" TargetMode="External"/><Relationship Id="rId2884" Type="http://schemas.openxmlformats.org/officeDocument/2006/relationships/hyperlink" Target="https://talan.bank.gov.ua/get-user-certificate/sec1ezCzNkchfSErbpXv" TargetMode="External"/><Relationship Id="rId3728" Type="http://schemas.openxmlformats.org/officeDocument/2006/relationships/hyperlink" Target="https://talan.bank.gov.ua/get-user-certificate/sec1e8QXP2q6KHW4geP_" TargetMode="External"/><Relationship Id="rId649" Type="http://schemas.openxmlformats.org/officeDocument/2006/relationships/hyperlink" Target="https://talan.bank.gov.ua/get-user-certificate/sec1eujOPHMjxLfvf3TW" TargetMode="External"/><Relationship Id="rId856" Type="http://schemas.openxmlformats.org/officeDocument/2006/relationships/hyperlink" Target="https://talan.bank.gov.ua/get-user-certificate/sec1edefN_dnIQ9EiYKo" TargetMode="External"/><Relationship Id="rId1279" Type="http://schemas.openxmlformats.org/officeDocument/2006/relationships/hyperlink" Target="https://talan.bank.gov.ua/get-user-certificate/sec1efaq-1AYvpDfWRhC" TargetMode="External"/><Relationship Id="rId1486" Type="http://schemas.openxmlformats.org/officeDocument/2006/relationships/hyperlink" Target="https://talan.bank.gov.ua/get-user-certificate/sec1ejbCPW8RNZDL4zxH" TargetMode="External"/><Relationship Id="rId2537" Type="http://schemas.openxmlformats.org/officeDocument/2006/relationships/hyperlink" Target="https://talan.bank.gov.ua/get-user-certificate/sec1epqaN8O1H4qpbzOy" TargetMode="External"/><Relationship Id="rId3935" Type="http://schemas.openxmlformats.org/officeDocument/2006/relationships/hyperlink" Target="https://talan.bank.gov.ua/get-user-certificate/sec1eUCwI0MyVTusfNKx" TargetMode="External"/><Relationship Id="rId509" Type="http://schemas.openxmlformats.org/officeDocument/2006/relationships/hyperlink" Target="https://talan.bank.gov.ua/get-user-certificate/sec1eST6YzR28y46BfIv" TargetMode="External"/><Relationship Id="rId1139" Type="http://schemas.openxmlformats.org/officeDocument/2006/relationships/hyperlink" Target="https://talan.bank.gov.ua/get-user-certificate/sec1eRIS66WiVkPgDPmB" TargetMode="External"/><Relationship Id="rId1346" Type="http://schemas.openxmlformats.org/officeDocument/2006/relationships/hyperlink" Target="https://talan.bank.gov.ua/get-user-certificate/sec1eSwTvnEuG9Y2qagK" TargetMode="External"/><Relationship Id="rId1693" Type="http://schemas.openxmlformats.org/officeDocument/2006/relationships/hyperlink" Target="https://talan.bank.gov.ua/get-user-certificate/sec1eF8ptcm5axkGKHuQ" TargetMode="External"/><Relationship Id="rId2744" Type="http://schemas.openxmlformats.org/officeDocument/2006/relationships/hyperlink" Target="https://talan.bank.gov.ua/get-user-certificate/sec1eyodu5gc6jwjDkcm" TargetMode="External"/><Relationship Id="rId2951" Type="http://schemas.openxmlformats.org/officeDocument/2006/relationships/hyperlink" Target="https://talan.bank.gov.ua/get-user-certificate/sec1eV9jM64tmSoBL9Ez" TargetMode="External"/><Relationship Id="rId5010" Type="http://schemas.openxmlformats.org/officeDocument/2006/relationships/hyperlink" Target="https://talan.bank.gov.ua/get-user-certificate/f7i-ss0sSI34IYIH-l9M" TargetMode="External"/><Relationship Id="rId716" Type="http://schemas.openxmlformats.org/officeDocument/2006/relationships/hyperlink" Target="https://talan.bank.gov.ua/get-user-certificate/sec1envIpI_S0NOyisL8" TargetMode="External"/><Relationship Id="rId923" Type="http://schemas.openxmlformats.org/officeDocument/2006/relationships/hyperlink" Target="https://talan.bank.gov.ua/get-user-certificate/sec1eQDSb8jhqhHNrSTn" TargetMode="External"/><Relationship Id="rId1553" Type="http://schemas.openxmlformats.org/officeDocument/2006/relationships/hyperlink" Target="https://talan.bank.gov.ua/get-user-certificate/sec1eumfwIisu_1tK1wt" TargetMode="External"/><Relationship Id="rId1760" Type="http://schemas.openxmlformats.org/officeDocument/2006/relationships/hyperlink" Target="https://talan.bank.gov.ua/get-user-certificate/sec1e9r3t6RsL9gYAfuv" TargetMode="External"/><Relationship Id="rId2604" Type="http://schemas.openxmlformats.org/officeDocument/2006/relationships/hyperlink" Target="https://talan.bank.gov.ua/get-user-certificate/sec1eCL06X-4mvc_sku6" TargetMode="External"/><Relationship Id="rId2811" Type="http://schemas.openxmlformats.org/officeDocument/2006/relationships/hyperlink" Target="https://talan.bank.gov.ua/get-user-certificate/sec1eIlXYxv8eNabxBdM" TargetMode="External"/><Relationship Id="rId52" Type="http://schemas.openxmlformats.org/officeDocument/2006/relationships/hyperlink" Target="https://talan.bank.gov.ua/get-user-certificate/sec1edR_X-YPdNMFlksL" TargetMode="External"/><Relationship Id="rId1206" Type="http://schemas.openxmlformats.org/officeDocument/2006/relationships/hyperlink" Target="https://talan.bank.gov.ua/get-user-certificate/sec1eFlOdoqU_if0fl6e" TargetMode="External"/><Relationship Id="rId1413" Type="http://schemas.openxmlformats.org/officeDocument/2006/relationships/hyperlink" Target="https://talan.bank.gov.ua/get-user-certificate/sec1enFabhViWHrbEO-L" TargetMode="External"/><Relationship Id="rId1620" Type="http://schemas.openxmlformats.org/officeDocument/2006/relationships/hyperlink" Target="https://talan.bank.gov.ua/get-user-certificate/sec1eQQcMwNjD-Dwmm79" TargetMode="External"/><Relationship Id="rId4569" Type="http://schemas.openxmlformats.org/officeDocument/2006/relationships/hyperlink" Target="https://talan.bank.gov.ua/get-user-certificate/sec1ekTGPK_rIygECqV3" TargetMode="External"/><Relationship Id="rId4776" Type="http://schemas.openxmlformats.org/officeDocument/2006/relationships/hyperlink" Target="https://talan.bank.gov.ua/get-user-certificate/sec1eDXZObzhNR1RryZz" TargetMode="External"/><Relationship Id="rId4983" Type="http://schemas.openxmlformats.org/officeDocument/2006/relationships/hyperlink" Target="https://talan.bank.gov.ua/get-user-certificate/sec1eQwOniwJUuFZzJkz" TargetMode="External"/><Relationship Id="rId3378" Type="http://schemas.openxmlformats.org/officeDocument/2006/relationships/hyperlink" Target="https://talan.bank.gov.ua/get-user-certificate/sec1eChWu3Q9lNeIBtfg" TargetMode="External"/><Relationship Id="rId3585" Type="http://schemas.openxmlformats.org/officeDocument/2006/relationships/hyperlink" Target="https://talan.bank.gov.ua/get-user-certificate/sec1eDtf0N1hZrSo6zoD" TargetMode="External"/><Relationship Id="rId3792" Type="http://schemas.openxmlformats.org/officeDocument/2006/relationships/hyperlink" Target="https://talan.bank.gov.ua/get-user-certificate/sec1efZFI1yf_6PDK9PF" TargetMode="External"/><Relationship Id="rId4429" Type="http://schemas.openxmlformats.org/officeDocument/2006/relationships/hyperlink" Target="https://talan.bank.gov.ua/get-user-certificate/sec1eJ0HSFsqw8RKOJxR" TargetMode="External"/><Relationship Id="rId4636" Type="http://schemas.openxmlformats.org/officeDocument/2006/relationships/hyperlink" Target="https://talan.bank.gov.ua/get-user-certificate/sec1e-7OOzrRIu-12aLN" TargetMode="External"/><Relationship Id="rId4843" Type="http://schemas.openxmlformats.org/officeDocument/2006/relationships/hyperlink" Target="https://talan.bank.gov.ua/get-user-certificate/sec1evHy2FucaGlIOqf1" TargetMode="External"/><Relationship Id="rId299" Type="http://schemas.openxmlformats.org/officeDocument/2006/relationships/hyperlink" Target="https://talan.bank.gov.ua/get-user-certificate/sec1ehUspDFMF2Bbc-Ot" TargetMode="External"/><Relationship Id="rId2187" Type="http://schemas.openxmlformats.org/officeDocument/2006/relationships/hyperlink" Target="https://talan.bank.gov.ua/get-user-certificate/sec1eWd7TBN2tl4oHDBY" TargetMode="External"/><Relationship Id="rId2394" Type="http://schemas.openxmlformats.org/officeDocument/2006/relationships/hyperlink" Target="https://talan.bank.gov.ua/get-user-certificate/sec1ettEOZKlGkup01NI" TargetMode="External"/><Relationship Id="rId3238" Type="http://schemas.openxmlformats.org/officeDocument/2006/relationships/hyperlink" Target="https://talan.bank.gov.ua/get-user-certificate/sec1enqgr8MeFIdr8L3u" TargetMode="External"/><Relationship Id="rId3445" Type="http://schemas.openxmlformats.org/officeDocument/2006/relationships/hyperlink" Target="https://talan.bank.gov.ua/get-user-certificate/sec1eNUqG0ZNHq61YYFQ" TargetMode="External"/><Relationship Id="rId3652" Type="http://schemas.openxmlformats.org/officeDocument/2006/relationships/hyperlink" Target="https://talan.bank.gov.ua/get-user-certificate/sec1eoEu5fe8KBmTwseU" TargetMode="External"/><Relationship Id="rId4703" Type="http://schemas.openxmlformats.org/officeDocument/2006/relationships/hyperlink" Target="https://talan.bank.gov.ua/get-user-certificate/sec1eyb-48OyzpSDV7-J" TargetMode="External"/><Relationship Id="rId159" Type="http://schemas.openxmlformats.org/officeDocument/2006/relationships/hyperlink" Target="https://talan.bank.gov.ua/get-user-certificate/sec1eeizu7N9v3pOJ6uY" TargetMode="External"/><Relationship Id="rId366" Type="http://schemas.openxmlformats.org/officeDocument/2006/relationships/hyperlink" Target="https://talan.bank.gov.ua/get-user-certificate/sec1e1yT9rP8zpM73sHL" TargetMode="External"/><Relationship Id="rId573" Type="http://schemas.openxmlformats.org/officeDocument/2006/relationships/hyperlink" Target="https://talan.bank.gov.ua/get-user-certificate/sec1e2jYj6esoGJihqD6" TargetMode="External"/><Relationship Id="rId780" Type="http://schemas.openxmlformats.org/officeDocument/2006/relationships/hyperlink" Target="https://talan.bank.gov.ua/get-user-certificate/sec1eZU2Tms1yFbPy9fk" TargetMode="External"/><Relationship Id="rId2047" Type="http://schemas.openxmlformats.org/officeDocument/2006/relationships/hyperlink" Target="https://talan.bank.gov.ua/get-user-certificate/sec1e-HfhfTI1Bb23UW7" TargetMode="External"/><Relationship Id="rId2254" Type="http://schemas.openxmlformats.org/officeDocument/2006/relationships/hyperlink" Target="https://talan.bank.gov.ua/get-user-certificate/sec1ew5mG3fSTkYwq1Ui" TargetMode="External"/><Relationship Id="rId2461" Type="http://schemas.openxmlformats.org/officeDocument/2006/relationships/hyperlink" Target="https://talan.bank.gov.ua/get-user-certificate/sec1eSgdqSHtwl0mRg3u" TargetMode="External"/><Relationship Id="rId3305" Type="http://schemas.openxmlformats.org/officeDocument/2006/relationships/hyperlink" Target="https://talan.bank.gov.ua/get-user-certificate/sec1e_MUIabttZXYQbuM" TargetMode="External"/><Relationship Id="rId3512" Type="http://schemas.openxmlformats.org/officeDocument/2006/relationships/hyperlink" Target="https://talan.bank.gov.ua/get-user-certificate/sec1e5f7NjczEoIekbpR" TargetMode="External"/><Relationship Id="rId4910" Type="http://schemas.openxmlformats.org/officeDocument/2006/relationships/hyperlink" Target="https://talan.bank.gov.ua/get-user-certificate/sec1eHZ3zWiJSIpCAZjq" TargetMode="External"/><Relationship Id="rId226" Type="http://schemas.openxmlformats.org/officeDocument/2006/relationships/hyperlink" Target="https://talan.bank.gov.ua/get-user-certificate/sec1eH6zWkmxIkPq1Myw" TargetMode="External"/><Relationship Id="rId433" Type="http://schemas.openxmlformats.org/officeDocument/2006/relationships/hyperlink" Target="https://talan.bank.gov.ua/get-user-certificate/sec1eSKg-Y_7bvoCwkYA" TargetMode="External"/><Relationship Id="rId1063" Type="http://schemas.openxmlformats.org/officeDocument/2006/relationships/hyperlink" Target="https://talan.bank.gov.ua/get-user-certificate/sec1evFwpspTRYuvWxCG" TargetMode="External"/><Relationship Id="rId1270" Type="http://schemas.openxmlformats.org/officeDocument/2006/relationships/hyperlink" Target="https://talan.bank.gov.ua/get-user-certificate/sec1etBaZZZMeiTAsFnK" TargetMode="External"/><Relationship Id="rId2114" Type="http://schemas.openxmlformats.org/officeDocument/2006/relationships/hyperlink" Target="https://talan.bank.gov.ua/get-user-certificate/sec1eciKdL3KB0NSwYO1" TargetMode="External"/><Relationship Id="rId640" Type="http://schemas.openxmlformats.org/officeDocument/2006/relationships/hyperlink" Target="https://talan.bank.gov.ua/get-user-certificate/sec1e8dw60c4vI-YQJKT" TargetMode="External"/><Relationship Id="rId2321" Type="http://schemas.openxmlformats.org/officeDocument/2006/relationships/hyperlink" Target="https://talan.bank.gov.ua/get-user-certificate/sec1e0LkITxABAWt9miD" TargetMode="External"/><Relationship Id="rId4079" Type="http://schemas.openxmlformats.org/officeDocument/2006/relationships/hyperlink" Target="https://talan.bank.gov.ua/get-user-certificate/sec1ecXfW1lYaj5MvGaW" TargetMode="External"/><Relationship Id="rId4286" Type="http://schemas.openxmlformats.org/officeDocument/2006/relationships/hyperlink" Target="https://talan.bank.gov.ua/get-user-certificate/sec1eRhAWdBIQj0ZnaLc" TargetMode="External"/><Relationship Id="rId500" Type="http://schemas.openxmlformats.org/officeDocument/2006/relationships/hyperlink" Target="https://talan.bank.gov.ua/get-user-certificate/sec1eSYO11CYNSGa4thw" TargetMode="External"/><Relationship Id="rId1130" Type="http://schemas.openxmlformats.org/officeDocument/2006/relationships/hyperlink" Target="https://talan.bank.gov.ua/get-user-certificate/sec1e9SHXdDZldhCUHPx" TargetMode="External"/><Relationship Id="rId4493" Type="http://schemas.openxmlformats.org/officeDocument/2006/relationships/hyperlink" Target="https://talan.bank.gov.ua/get-user-certificate/sec1eSNIBL6BZo4E4sXo" TargetMode="External"/><Relationship Id="rId1947" Type="http://schemas.openxmlformats.org/officeDocument/2006/relationships/hyperlink" Target="https://talan.bank.gov.ua/get-user-certificate/sec1exacHCOcc61f8mfx" TargetMode="External"/><Relationship Id="rId3095" Type="http://schemas.openxmlformats.org/officeDocument/2006/relationships/hyperlink" Target="https://talan.bank.gov.ua/get-user-certificate/sec1eySkx4RD_5vEiMIk" TargetMode="External"/><Relationship Id="rId4146" Type="http://schemas.openxmlformats.org/officeDocument/2006/relationships/hyperlink" Target="https://talan.bank.gov.ua/get-user-certificate/sec1ep_VqvXRoR59Isnw" TargetMode="External"/><Relationship Id="rId4353" Type="http://schemas.openxmlformats.org/officeDocument/2006/relationships/hyperlink" Target="https://talan.bank.gov.ua/get-user-certificate/sec1eBymvPvh7QnKWiR8" TargetMode="External"/><Relationship Id="rId4560" Type="http://schemas.openxmlformats.org/officeDocument/2006/relationships/hyperlink" Target="https://talan.bank.gov.ua/get-user-certificate/sec1evJqJ8mHaEYhlvU2" TargetMode="External"/><Relationship Id="rId1807" Type="http://schemas.openxmlformats.org/officeDocument/2006/relationships/hyperlink" Target="https://talan.bank.gov.ua/get-user-certificate/sec1eyj_YH6j44pld-my" TargetMode="External"/><Relationship Id="rId3162" Type="http://schemas.openxmlformats.org/officeDocument/2006/relationships/hyperlink" Target="https://talan.bank.gov.ua/get-user-certificate/sec1eJW16qqYWFqEE5om" TargetMode="External"/><Relationship Id="rId4006" Type="http://schemas.openxmlformats.org/officeDocument/2006/relationships/hyperlink" Target="https://talan.bank.gov.ua/get-user-certificate/sec1esXScFRTOodZojql" TargetMode="External"/><Relationship Id="rId4213" Type="http://schemas.openxmlformats.org/officeDocument/2006/relationships/hyperlink" Target="https://talan.bank.gov.ua/get-user-certificate/sec1eNrDtyl7mVqeirl2" TargetMode="External"/><Relationship Id="rId4420" Type="http://schemas.openxmlformats.org/officeDocument/2006/relationships/hyperlink" Target="https://talan.bank.gov.ua/get-user-certificate/sec1eOnBfJeoJoX8JRIC" TargetMode="External"/><Relationship Id="rId290" Type="http://schemas.openxmlformats.org/officeDocument/2006/relationships/hyperlink" Target="https://talan.bank.gov.ua/get-user-certificate/sec1e59BYfV4xJndFZhY" TargetMode="External"/><Relationship Id="rId3022" Type="http://schemas.openxmlformats.org/officeDocument/2006/relationships/hyperlink" Target="https://talan.bank.gov.ua/get-user-certificate/sec1eJaCwsexuPl_MYhI" TargetMode="External"/><Relationship Id="rId150" Type="http://schemas.openxmlformats.org/officeDocument/2006/relationships/hyperlink" Target="https://talan.bank.gov.ua/get-user-certificate/sec1eqf-m2glLjsUNwxt" TargetMode="External"/><Relationship Id="rId3979" Type="http://schemas.openxmlformats.org/officeDocument/2006/relationships/hyperlink" Target="https://talan.bank.gov.ua/get-user-certificate/sec1eCswqXkpywSsimgo" TargetMode="External"/><Relationship Id="rId2788" Type="http://schemas.openxmlformats.org/officeDocument/2006/relationships/hyperlink" Target="https://talan.bank.gov.ua/get-user-certificate/sec1eHIrcdbar5JiqMNR" TargetMode="External"/><Relationship Id="rId2995" Type="http://schemas.openxmlformats.org/officeDocument/2006/relationships/hyperlink" Target="https://talan.bank.gov.ua/get-user-certificate/sec1e3u5YRAJH94aKleu" TargetMode="External"/><Relationship Id="rId3839" Type="http://schemas.openxmlformats.org/officeDocument/2006/relationships/hyperlink" Target="https://talan.bank.gov.ua/get-user-certificate/sec1ejDwmjhHH1kyObBU" TargetMode="External"/><Relationship Id="rId967" Type="http://schemas.openxmlformats.org/officeDocument/2006/relationships/hyperlink" Target="https://talan.bank.gov.ua/get-user-certificate/sec1eY1N0m1qXImKN5M-" TargetMode="External"/><Relationship Id="rId1597" Type="http://schemas.openxmlformats.org/officeDocument/2006/relationships/hyperlink" Target="https://talan.bank.gov.ua/get-user-certificate/sec1eY_NUa82VdqpjgV_" TargetMode="External"/><Relationship Id="rId2648" Type="http://schemas.openxmlformats.org/officeDocument/2006/relationships/hyperlink" Target="https://talan.bank.gov.ua/get-user-certificate/sec1eTYCaE3UKw6A1_uf" TargetMode="External"/><Relationship Id="rId2855" Type="http://schemas.openxmlformats.org/officeDocument/2006/relationships/hyperlink" Target="https://talan.bank.gov.ua/get-user-certificate/sec1eVIZU9mDHSjoDf0M" TargetMode="External"/><Relationship Id="rId3906" Type="http://schemas.openxmlformats.org/officeDocument/2006/relationships/hyperlink" Target="https://talan.bank.gov.ua/get-user-certificate/sec1eKTop2zSh2n5o7uR" TargetMode="External"/><Relationship Id="rId96" Type="http://schemas.openxmlformats.org/officeDocument/2006/relationships/hyperlink" Target="https://talan.bank.gov.ua/get-user-certificate/sec1ewyhBiApgSJ4d5jj" TargetMode="External"/><Relationship Id="rId827" Type="http://schemas.openxmlformats.org/officeDocument/2006/relationships/hyperlink" Target="https://talan.bank.gov.ua/get-user-certificate/sec1e_ju95mxyigOHhlb" TargetMode="External"/><Relationship Id="rId1457" Type="http://schemas.openxmlformats.org/officeDocument/2006/relationships/hyperlink" Target="https://talan.bank.gov.ua/get-user-certificate/sec1eeKxMmyWCatAaKYJ" TargetMode="External"/><Relationship Id="rId1664" Type="http://schemas.openxmlformats.org/officeDocument/2006/relationships/hyperlink" Target="https://talan.bank.gov.ua/get-user-certificate/sec1e2YWKxGutSr1SlzL" TargetMode="External"/><Relationship Id="rId1871" Type="http://schemas.openxmlformats.org/officeDocument/2006/relationships/hyperlink" Target="https://talan.bank.gov.ua/get-user-certificate/sec1eyPJEQZbrEk-1tro" TargetMode="External"/><Relationship Id="rId2508" Type="http://schemas.openxmlformats.org/officeDocument/2006/relationships/hyperlink" Target="https://talan.bank.gov.ua/get-user-certificate/sec1eHr-Ae5yYMsPYi_X" TargetMode="External"/><Relationship Id="rId2715" Type="http://schemas.openxmlformats.org/officeDocument/2006/relationships/hyperlink" Target="https://talan.bank.gov.ua/get-user-certificate/sec1e5xNl30Lq0Vx402W" TargetMode="External"/><Relationship Id="rId2922" Type="http://schemas.openxmlformats.org/officeDocument/2006/relationships/hyperlink" Target="https://talan.bank.gov.ua/get-user-certificate/sec1eP1TvTQ9-TEiCgxu" TargetMode="External"/><Relationship Id="rId4070" Type="http://schemas.openxmlformats.org/officeDocument/2006/relationships/hyperlink" Target="https://talan.bank.gov.ua/get-user-certificate/sec1eB-2sVj8neT16XO7" TargetMode="External"/><Relationship Id="rId1317" Type="http://schemas.openxmlformats.org/officeDocument/2006/relationships/hyperlink" Target="https://talan.bank.gov.ua/get-user-certificate/sec1e7C_IcgcYY6Q9gTG" TargetMode="External"/><Relationship Id="rId1524" Type="http://schemas.openxmlformats.org/officeDocument/2006/relationships/hyperlink" Target="https://talan.bank.gov.ua/get-user-certificate/sec1eUeOSKkWqvFJXnj8" TargetMode="External"/><Relationship Id="rId1731" Type="http://schemas.openxmlformats.org/officeDocument/2006/relationships/hyperlink" Target="https://talan.bank.gov.ua/get-user-certificate/sec1epHAqejIayctHD1T" TargetMode="External"/><Relationship Id="rId4887" Type="http://schemas.openxmlformats.org/officeDocument/2006/relationships/hyperlink" Target="https://talan.bank.gov.ua/get-user-certificate/sec1eG4hFB-6wircR-l9" TargetMode="External"/><Relationship Id="rId23" Type="http://schemas.openxmlformats.org/officeDocument/2006/relationships/hyperlink" Target="https://talan.bank.gov.ua/get-user-certificate/sec1ewE0xwDJVKoQdHiG" TargetMode="External"/><Relationship Id="rId3489" Type="http://schemas.openxmlformats.org/officeDocument/2006/relationships/hyperlink" Target="https://talan.bank.gov.ua/get-user-certificate/sec1esBhduAkqI88GfMb" TargetMode="External"/><Relationship Id="rId3696" Type="http://schemas.openxmlformats.org/officeDocument/2006/relationships/hyperlink" Target="https://talan.bank.gov.ua/get-user-certificate/sec1eZWoWoi56lyNgUz4" TargetMode="External"/><Relationship Id="rId4747" Type="http://schemas.openxmlformats.org/officeDocument/2006/relationships/hyperlink" Target="https://talan.bank.gov.ua/get-user-certificate/sec1eiwYPcCHJgt3rRIz" TargetMode="External"/><Relationship Id="rId2298" Type="http://schemas.openxmlformats.org/officeDocument/2006/relationships/hyperlink" Target="https://talan.bank.gov.ua/get-user-certificate/sec1eKMzv8gnNHyzqg9e" TargetMode="External"/><Relationship Id="rId3349" Type="http://schemas.openxmlformats.org/officeDocument/2006/relationships/hyperlink" Target="https://talan.bank.gov.ua/get-user-certificate/sec1eo556YPFCXY3y6iy" TargetMode="External"/><Relationship Id="rId3556" Type="http://schemas.openxmlformats.org/officeDocument/2006/relationships/hyperlink" Target="https://talan.bank.gov.ua/get-user-certificate/sec1eOIpaQFXcLgvdAnC" TargetMode="External"/><Relationship Id="rId4954" Type="http://schemas.openxmlformats.org/officeDocument/2006/relationships/hyperlink" Target="https://talan.bank.gov.ua/get-user-certificate/sec1eAKmBqTtCO8S2DGI" TargetMode="External"/><Relationship Id="rId477" Type="http://schemas.openxmlformats.org/officeDocument/2006/relationships/hyperlink" Target="https://talan.bank.gov.ua/get-user-certificate/sec1eet1nlkb_IinFt5e" TargetMode="External"/><Relationship Id="rId684" Type="http://schemas.openxmlformats.org/officeDocument/2006/relationships/hyperlink" Target="https://talan.bank.gov.ua/get-user-certificate/sec1ePPeP7SjfOTRoe9N" TargetMode="External"/><Relationship Id="rId2158" Type="http://schemas.openxmlformats.org/officeDocument/2006/relationships/hyperlink" Target="https://talan.bank.gov.ua/get-user-certificate/sec1eKXTJgq43vhVlRTa" TargetMode="External"/><Relationship Id="rId2365" Type="http://schemas.openxmlformats.org/officeDocument/2006/relationships/hyperlink" Target="https://talan.bank.gov.ua/get-user-certificate/sec1eL7y1fPRZcTYkMep" TargetMode="External"/><Relationship Id="rId3209" Type="http://schemas.openxmlformats.org/officeDocument/2006/relationships/hyperlink" Target="https://talan.bank.gov.ua/get-user-certificate/sec1eaVwoRpjJPWcOzW_" TargetMode="External"/><Relationship Id="rId3763" Type="http://schemas.openxmlformats.org/officeDocument/2006/relationships/hyperlink" Target="https://talan.bank.gov.ua/get-user-certificate/sec1ecORDUd0BMtVI_Gw" TargetMode="External"/><Relationship Id="rId3970" Type="http://schemas.openxmlformats.org/officeDocument/2006/relationships/hyperlink" Target="https://talan.bank.gov.ua/get-user-certificate/sec1eEO00n3XxulyDHfK" TargetMode="External"/><Relationship Id="rId4607" Type="http://schemas.openxmlformats.org/officeDocument/2006/relationships/hyperlink" Target="https://talan.bank.gov.ua/get-user-certificate/sec1eR0xpDDoQNnl17v7" TargetMode="External"/><Relationship Id="rId4814" Type="http://schemas.openxmlformats.org/officeDocument/2006/relationships/hyperlink" Target="https://talan.bank.gov.ua/get-user-certificate/sec1e_4K9EXHx2FRmvmi" TargetMode="External"/><Relationship Id="rId337" Type="http://schemas.openxmlformats.org/officeDocument/2006/relationships/hyperlink" Target="https://talan.bank.gov.ua/get-user-certificate/sec1eqcdxSLqjKqpT4Me" TargetMode="External"/><Relationship Id="rId891" Type="http://schemas.openxmlformats.org/officeDocument/2006/relationships/hyperlink" Target="https://talan.bank.gov.ua/get-user-certificate/sec1e6Cwk6heeuuFOsXa" TargetMode="External"/><Relationship Id="rId2018" Type="http://schemas.openxmlformats.org/officeDocument/2006/relationships/hyperlink" Target="https://talan.bank.gov.ua/get-user-certificate/sec1eieBvQFwUP_c2MbR" TargetMode="External"/><Relationship Id="rId2572" Type="http://schemas.openxmlformats.org/officeDocument/2006/relationships/hyperlink" Target="https://talan.bank.gov.ua/get-user-certificate/sec1eV28yaneeLc7uY03" TargetMode="External"/><Relationship Id="rId3416" Type="http://schemas.openxmlformats.org/officeDocument/2006/relationships/hyperlink" Target="https://talan.bank.gov.ua/get-user-certificate/sec1efxMXIA0XOXJ39Qx" TargetMode="External"/><Relationship Id="rId3623" Type="http://schemas.openxmlformats.org/officeDocument/2006/relationships/hyperlink" Target="https://talan.bank.gov.ua/get-user-certificate/sec1eyUpIuNivlkYJZKM" TargetMode="External"/><Relationship Id="rId3830" Type="http://schemas.openxmlformats.org/officeDocument/2006/relationships/hyperlink" Target="https://talan.bank.gov.ua/get-user-certificate/sec1eXwvx79NrDTvJjLD" TargetMode="External"/><Relationship Id="rId544" Type="http://schemas.openxmlformats.org/officeDocument/2006/relationships/hyperlink" Target="https://talan.bank.gov.ua/get-user-certificate/sec1eqnmwXibajvNp315" TargetMode="External"/><Relationship Id="rId751" Type="http://schemas.openxmlformats.org/officeDocument/2006/relationships/hyperlink" Target="https://talan.bank.gov.ua/get-user-certificate/sec1eAAtxaf_JuaJMU2t" TargetMode="External"/><Relationship Id="rId1174" Type="http://schemas.openxmlformats.org/officeDocument/2006/relationships/hyperlink" Target="https://talan.bank.gov.ua/get-user-certificate/sec1eAM27v2XZ092UcgW" TargetMode="External"/><Relationship Id="rId1381" Type="http://schemas.openxmlformats.org/officeDocument/2006/relationships/hyperlink" Target="https://talan.bank.gov.ua/get-user-certificate/sec1e4R6kMWSz5M3g0bH" TargetMode="External"/><Relationship Id="rId2225" Type="http://schemas.openxmlformats.org/officeDocument/2006/relationships/hyperlink" Target="https://talan.bank.gov.ua/get-user-certificate/sec1e6keS_0OvKwvJKLF" TargetMode="External"/><Relationship Id="rId2432" Type="http://schemas.openxmlformats.org/officeDocument/2006/relationships/hyperlink" Target="https://talan.bank.gov.ua/get-user-certificate/sec1ewfA3BOxKVHoV166" TargetMode="External"/><Relationship Id="rId404" Type="http://schemas.openxmlformats.org/officeDocument/2006/relationships/hyperlink" Target="https://talan.bank.gov.ua/get-user-certificate/sec1efcQAsLmqZaXB5Ad" TargetMode="External"/><Relationship Id="rId611" Type="http://schemas.openxmlformats.org/officeDocument/2006/relationships/hyperlink" Target="https://talan.bank.gov.ua/get-user-certificate/sec1eJavUt3UCqKAtD9s" TargetMode="External"/><Relationship Id="rId1034" Type="http://schemas.openxmlformats.org/officeDocument/2006/relationships/hyperlink" Target="https://talan.bank.gov.ua/get-user-certificate/sec1eyiWVdtnqYCq3cja" TargetMode="External"/><Relationship Id="rId1241" Type="http://schemas.openxmlformats.org/officeDocument/2006/relationships/hyperlink" Target="https://talan.bank.gov.ua/get-user-certificate/sec1eajRzOHFPMpnUkHK" TargetMode="External"/><Relationship Id="rId4397" Type="http://schemas.openxmlformats.org/officeDocument/2006/relationships/hyperlink" Target="https://talan.bank.gov.ua/get-user-certificate/sec1esFb-xZ4qKa3H4yh" TargetMode="External"/><Relationship Id="rId1101" Type="http://schemas.openxmlformats.org/officeDocument/2006/relationships/hyperlink" Target="https://talan.bank.gov.ua/get-user-certificate/sec1e9bnym-M0xBAJZ1N" TargetMode="External"/><Relationship Id="rId4257" Type="http://schemas.openxmlformats.org/officeDocument/2006/relationships/hyperlink" Target="https://talan.bank.gov.ua/get-user-certificate/sec1ehtH5xf9zVVYCLas" TargetMode="External"/><Relationship Id="rId4464" Type="http://schemas.openxmlformats.org/officeDocument/2006/relationships/hyperlink" Target="https://talan.bank.gov.ua/get-user-certificate/sec1eryD2fXisVsr5pMT" TargetMode="External"/><Relationship Id="rId4671" Type="http://schemas.openxmlformats.org/officeDocument/2006/relationships/hyperlink" Target="https://talan.bank.gov.ua/get-user-certificate/sec1eqzyZquvxmZ6N5j8" TargetMode="External"/><Relationship Id="rId3066" Type="http://schemas.openxmlformats.org/officeDocument/2006/relationships/hyperlink" Target="https://talan.bank.gov.ua/get-user-certificate/sec1erqZfc6Jb4Ct5_ec" TargetMode="External"/><Relationship Id="rId3273" Type="http://schemas.openxmlformats.org/officeDocument/2006/relationships/hyperlink" Target="https://talan.bank.gov.ua/get-user-certificate/sec1euc2Zp1tm_dFAety" TargetMode="External"/><Relationship Id="rId3480" Type="http://schemas.openxmlformats.org/officeDocument/2006/relationships/hyperlink" Target="https://talan.bank.gov.ua/get-user-certificate/sec1eUBmTY27fII67P30" TargetMode="External"/><Relationship Id="rId4117" Type="http://schemas.openxmlformats.org/officeDocument/2006/relationships/hyperlink" Target="https://talan.bank.gov.ua/get-user-certificate/sec1eYxo-HV0wbp2xXHu" TargetMode="External"/><Relationship Id="rId4324" Type="http://schemas.openxmlformats.org/officeDocument/2006/relationships/hyperlink" Target="https://talan.bank.gov.ua/get-user-certificate/sec1ebssNA8RO6o3zzU7" TargetMode="External"/><Relationship Id="rId4531" Type="http://schemas.openxmlformats.org/officeDocument/2006/relationships/hyperlink" Target="https://talan.bank.gov.ua/get-user-certificate/sec1exJ0dUjyyeNRFlL4" TargetMode="External"/><Relationship Id="rId194" Type="http://schemas.openxmlformats.org/officeDocument/2006/relationships/hyperlink" Target="https://talan.bank.gov.ua/get-user-certificate/sec1eubO1h6_l2o_PIHQ" TargetMode="External"/><Relationship Id="rId1918" Type="http://schemas.openxmlformats.org/officeDocument/2006/relationships/hyperlink" Target="https://talan.bank.gov.ua/get-user-certificate/sec1eF2Y-71AiXCiD1Id" TargetMode="External"/><Relationship Id="rId2082" Type="http://schemas.openxmlformats.org/officeDocument/2006/relationships/hyperlink" Target="https://talan.bank.gov.ua/get-user-certificate/sec1eQ4n4TggEqZr813C" TargetMode="External"/><Relationship Id="rId3133" Type="http://schemas.openxmlformats.org/officeDocument/2006/relationships/hyperlink" Target="https://talan.bank.gov.ua/get-user-certificate/sec1elkRMNdG5nnrYmSg" TargetMode="External"/><Relationship Id="rId261" Type="http://schemas.openxmlformats.org/officeDocument/2006/relationships/hyperlink" Target="https://talan.bank.gov.ua/get-user-certificate/sec1epeHMAyU8KYvxMf-" TargetMode="External"/><Relationship Id="rId3340" Type="http://schemas.openxmlformats.org/officeDocument/2006/relationships/hyperlink" Target="https://talan.bank.gov.ua/get-user-certificate/sec1eA56Fk995j919dQx" TargetMode="External"/><Relationship Id="rId2899" Type="http://schemas.openxmlformats.org/officeDocument/2006/relationships/hyperlink" Target="https://talan.bank.gov.ua/get-user-certificate/sec1ed-biN8t4Qn9l7zT" TargetMode="External"/><Relationship Id="rId3200" Type="http://schemas.openxmlformats.org/officeDocument/2006/relationships/hyperlink" Target="https://talan.bank.gov.ua/get-user-certificate/sec1eA2R-p8vuRGofnmO" TargetMode="External"/><Relationship Id="rId121" Type="http://schemas.openxmlformats.org/officeDocument/2006/relationships/hyperlink" Target="https://talan.bank.gov.ua/get-user-certificate/sec1e922ascVMXr6I467" TargetMode="External"/><Relationship Id="rId2759" Type="http://schemas.openxmlformats.org/officeDocument/2006/relationships/hyperlink" Target="https://talan.bank.gov.ua/get-user-certificate/sec1eIZleZ6h9n33nDdv" TargetMode="External"/><Relationship Id="rId2966" Type="http://schemas.openxmlformats.org/officeDocument/2006/relationships/hyperlink" Target="https://talan.bank.gov.ua/get-user-certificate/sec1eTwxNZmmKDhe-0cD" TargetMode="External"/><Relationship Id="rId938" Type="http://schemas.openxmlformats.org/officeDocument/2006/relationships/hyperlink" Target="https://talan.bank.gov.ua/get-user-certificate/sec1eO-GW5O-fZNCJkPF" TargetMode="External"/><Relationship Id="rId1568" Type="http://schemas.openxmlformats.org/officeDocument/2006/relationships/hyperlink" Target="https://talan.bank.gov.ua/get-user-certificate/sec1eGb0e1VqpAZyPMrK" TargetMode="External"/><Relationship Id="rId1775" Type="http://schemas.openxmlformats.org/officeDocument/2006/relationships/hyperlink" Target="https://talan.bank.gov.ua/get-user-certificate/sec1eJhccshmWXEN01OB" TargetMode="External"/><Relationship Id="rId2619" Type="http://schemas.openxmlformats.org/officeDocument/2006/relationships/hyperlink" Target="https://talan.bank.gov.ua/get-user-certificate/sec1eORdGS8qpi2TOmPs" TargetMode="External"/><Relationship Id="rId2826" Type="http://schemas.openxmlformats.org/officeDocument/2006/relationships/hyperlink" Target="https://talan.bank.gov.ua/get-user-certificate/sec1e3DufwbhLxnve50Y" TargetMode="External"/><Relationship Id="rId4181" Type="http://schemas.openxmlformats.org/officeDocument/2006/relationships/hyperlink" Target="https://talan.bank.gov.ua/get-user-certificate/sec1eLWuOLzRiPtyG1eN" TargetMode="External"/><Relationship Id="rId5025" Type="http://schemas.openxmlformats.org/officeDocument/2006/relationships/hyperlink" Target="https://talan.bank.gov.ua/get-user-certificate/5WlKZGAI5E4m8x5AZbdU" TargetMode="External"/><Relationship Id="rId67" Type="http://schemas.openxmlformats.org/officeDocument/2006/relationships/hyperlink" Target="https://talan.bank.gov.ua/get-user-certificate/sec1ecy6b1J1uYWbuXeI" TargetMode="External"/><Relationship Id="rId1428" Type="http://schemas.openxmlformats.org/officeDocument/2006/relationships/hyperlink" Target="https://talan.bank.gov.ua/get-user-certificate/sec1eCI6KBViGW-vs2O7" TargetMode="External"/><Relationship Id="rId1635" Type="http://schemas.openxmlformats.org/officeDocument/2006/relationships/hyperlink" Target="https://talan.bank.gov.ua/get-user-certificate/sec1eL07GwO0hxbE40Uu" TargetMode="External"/><Relationship Id="rId1982" Type="http://schemas.openxmlformats.org/officeDocument/2006/relationships/hyperlink" Target="https://talan.bank.gov.ua/get-user-certificate/sec1eRgyXwYKMNv3-D7b" TargetMode="External"/><Relationship Id="rId4041" Type="http://schemas.openxmlformats.org/officeDocument/2006/relationships/hyperlink" Target="https://talan.bank.gov.ua/get-user-certificate/sec1eV0jV0VO7kEF41Rd" TargetMode="External"/><Relationship Id="rId1842" Type="http://schemas.openxmlformats.org/officeDocument/2006/relationships/hyperlink" Target="https://talan.bank.gov.ua/get-user-certificate/sec1eP7Ue30NBdS-QKuX" TargetMode="External"/><Relationship Id="rId4998" Type="http://schemas.openxmlformats.org/officeDocument/2006/relationships/hyperlink" Target="https://talan.bank.gov.ua/get-user-certificate/sec1eLMS_n1B1sbLtglI" TargetMode="External"/><Relationship Id="rId1702" Type="http://schemas.openxmlformats.org/officeDocument/2006/relationships/hyperlink" Target="https://talan.bank.gov.ua/get-user-certificate/sec1eVW187i7XH3rmqqK" TargetMode="External"/><Relationship Id="rId4858" Type="http://schemas.openxmlformats.org/officeDocument/2006/relationships/hyperlink" Target="https://talan.bank.gov.ua/get-user-certificate/sec1e_tmTOmEVNhfbKl5" TargetMode="External"/><Relationship Id="rId3667" Type="http://schemas.openxmlformats.org/officeDocument/2006/relationships/hyperlink" Target="https://talan.bank.gov.ua/get-user-certificate/sec1eO_3FFU7SU9stcDM" TargetMode="External"/><Relationship Id="rId3874" Type="http://schemas.openxmlformats.org/officeDocument/2006/relationships/hyperlink" Target="https://talan.bank.gov.ua/get-user-certificate/sec1e1PesNCRw9NR_x9b" TargetMode="External"/><Relationship Id="rId4718" Type="http://schemas.openxmlformats.org/officeDocument/2006/relationships/hyperlink" Target="https://talan.bank.gov.ua/get-user-certificate/sec1eLAoUuba9B7OL1oa" TargetMode="External"/><Relationship Id="rId4925" Type="http://schemas.openxmlformats.org/officeDocument/2006/relationships/hyperlink" Target="https://talan.bank.gov.ua/get-user-certificate/sec1ebtC8hbHkH7-gXYR" TargetMode="External"/><Relationship Id="rId588" Type="http://schemas.openxmlformats.org/officeDocument/2006/relationships/hyperlink" Target="https://talan.bank.gov.ua/get-user-certificate/sec1eR5iYSJXT2gC93Y2" TargetMode="External"/><Relationship Id="rId795" Type="http://schemas.openxmlformats.org/officeDocument/2006/relationships/hyperlink" Target="https://talan.bank.gov.ua/get-user-certificate/sec1e_PHUQO2ZItmC_al" TargetMode="External"/><Relationship Id="rId2269" Type="http://schemas.openxmlformats.org/officeDocument/2006/relationships/hyperlink" Target="https://talan.bank.gov.ua/get-user-certificate/sec1ePwBo8QEXtybOxcm" TargetMode="External"/><Relationship Id="rId2476" Type="http://schemas.openxmlformats.org/officeDocument/2006/relationships/hyperlink" Target="https://talan.bank.gov.ua/get-user-certificate/sec1eaRD4Kg1pc5L6ADB" TargetMode="External"/><Relationship Id="rId2683" Type="http://schemas.openxmlformats.org/officeDocument/2006/relationships/hyperlink" Target="https://talan.bank.gov.ua/get-user-certificate/sec1eGr4ZedjtKaJrxfE" TargetMode="External"/><Relationship Id="rId2890" Type="http://schemas.openxmlformats.org/officeDocument/2006/relationships/hyperlink" Target="https://talan.bank.gov.ua/get-user-certificate/sec1eQLEZj2upqDos_q5" TargetMode="External"/><Relationship Id="rId3527" Type="http://schemas.openxmlformats.org/officeDocument/2006/relationships/hyperlink" Target="https://talan.bank.gov.ua/get-user-certificate/sec1eueH8wWlkoYN2RdF" TargetMode="External"/><Relationship Id="rId3734" Type="http://schemas.openxmlformats.org/officeDocument/2006/relationships/hyperlink" Target="https://talan.bank.gov.ua/get-user-certificate/sec1eZlY7qIDeGo9gwZi" TargetMode="External"/><Relationship Id="rId3941" Type="http://schemas.openxmlformats.org/officeDocument/2006/relationships/hyperlink" Target="https://talan.bank.gov.ua/get-user-certificate/sec1eLzOOQJodsoGbxn_" TargetMode="External"/><Relationship Id="rId448" Type="http://schemas.openxmlformats.org/officeDocument/2006/relationships/hyperlink" Target="https://talan.bank.gov.ua/get-user-certificate/sec1eA428-4djZ_x7wAt" TargetMode="External"/><Relationship Id="rId655" Type="http://schemas.openxmlformats.org/officeDocument/2006/relationships/hyperlink" Target="https://talan.bank.gov.ua/get-user-certificate/sec1e7L17xVWx4VYprKd" TargetMode="External"/><Relationship Id="rId862" Type="http://schemas.openxmlformats.org/officeDocument/2006/relationships/hyperlink" Target="https://talan.bank.gov.ua/get-user-certificate/sec1e9MYMG0Xv61T97V_" TargetMode="External"/><Relationship Id="rId1078" Type="http://schemas.openxmlformats.org/officeDocument/2006/relationships/hyperlink" Target="https://talan.bank.gov.ua/get-user-certificate/sec1esUAZXlbP-tsjACG" TargetMode="External"/><Relationship Id="rId1285" Type="http://schemas.openxmlformats.org/officeDocument/2006/relationships/hyperlink" Target="https://talan.bank.gov.ua/get-user-certificate/sec1epp9ytLq_rT0gxJM" TargetMode="External"/><Relationship Id="rId1492" Type="http://schemas.openxmlformats.org/officeDocument/2006/relationships/hyperlink" Target="https://talan.bank.gov.ua/get-user-certificate/sec1eCrJjP0nSRyNhI0d" TargetMode="External"/><Relationship Id="rId2129" Type="http://schemas.openxmlformats.org/officeDocument/2006/relationships/hyperlink" Target="https://talan.bank.gov.ua/get-user-certificate/sec1ehqCoPlNnuqVloA5" TargetMode="External"/><Relationship Id="rId2336" Type="http://schemas.openxmlformats.org/officeDocument/2006/relationships/hyperlink" Target="https://talan.bank.gov.ua/get-user-certificate/sec1eFzHuIg6Efg6nutp" TargetMode="External"/><Relationship Id="rId2543" Type="http://schemas.openxmlformats.org/officeDocument/2006/relationships/hyperlink" Target="https://talan.bank.gov.ua/get-user-certificate/sec1eNw1Bc750YEr-Oqp" TargetMode="External"/><Relationship Id="rId2750" Type="http://schemas.openxmlformats.org/officeDocument/2006/relationships/hyperlink" Target="https://talan.bank.gov.ua/get-user-certificate/sec1eBc7JU3d7CECPJTw" TargetMode="External"/><Relationship Id="rId3801" Type="http://schemas.openxmlformats.org/officeDocument/2006/relationships/hyperlink" Target="https://talan.bank.gov.ua/get-user-certificate/sec1egIzfyTRj_MkjQtt" TargetMode="External"/><Relationship Id="rId308" Type="http://schemas.openxmlformats.org/officeDocument/2006/relationships/hyperlink" Target="https://talan.bank.gov.ua/get-user-certificate/sec1eUGpryQsxA43CXz5" TargetMode="External"/><Relationship Id="rId515" Type="http://schemas.openxmlformats.org/officeDocument/2006/relationships/hyperlink" Target="https://talan.bank.gov.ua/get-user-certificate/sec1e-E2hLWIFPCMEHGx" TargetMode="External"/><Relationship Id="rId722" Type="http://schemas.openxmlformats.org/officeDocument/2006/relationships/hyperlink" Target="https://talan.bank.gov.ua/get-user-certificate/sec1emCITskr7NaaEPWI" TargetMode="External"/><Relationship Id="rId1145" Type="http://schemas.openxmlformats.org/officeDocument/2006/relationships/hyperlink" Target="https://talan.bank.gov.ua/get-user-certificate/sec1ermRXYjEBYNphLRE" TargetMode="External"/><Relationship Id="rId1352" Type="http://schemas.openxmlformats.org/officeDocument/2006/relationships/hyperlink" Target="https://talan.bank.gov.ua/get-user-certificate/sec1eVOHHCLOgoqKADDm" TargetMode="External"/><Relationship Id="rId2403" Type="http://schemas.openxmlformats.org/officeDocument/2006/relationships/hyperlink" Target="https://talan.bank.gov.ua/get-user-certificate/sec1e3zrWYDSKuFcSXVg" TargetMode="External"/><Relationship Id="rId1005" Type="http://schemas.openxmlformats.org/officeDocument/2006/relationships/hyperlink" Target="https://talan.bank.gov.ua/get-user-certificate/sec1erdY5SVvBKNohFQ6" TargetMode="External"/><Relationship Id="rId1212" Type="http://schemas.openxmlformats.org/officeDocument/2006/relationships/hyperlink" Target="https://talan.bank.gov.ua/get-user-certificate/sec1ecBIQdr0sPnbnbRI" TargetMode="External"/><Relationship Id="rId2610" Type="http://schemas.openxmlformats.org/officeDocument/2006/relationships/hyperlink" Target="https://talan.bank.gov.ua/get-user-certificate/sec1eAMUjIBoCl2XtCH2" TargetMode="External"/><Relationship Id="rId4368" Type="http://schemas.openxmlformats.org/officeDocument/2006/relationships/hyperlink" Target="https://talan.bank.gov.ua/get-user-certificate/sec1eRu6-8IuUgpn6jLB" TargetMode="External"/><Relationship Id="rId4575" Type="http://schemas.openxmlformats.org/officeDocument/2006/relationships/hyperlink" Target="https://talan.bank.gov.ua/get-user-certificate/sec1e8L8jVlDLYfDjQN3" TargetMode="External"/><Relationship Id="rId3177" Type="http://schemas.openxmlformats.org/officeDocument/2006/relationships/hyperlink" Target="https://talan.bank.gov.ua/get-user-certificate/sec1ezR5NDMn0ayZF3y2" TargetMode="External"/><Relationship Id="rId4228" Type="http://schemas.openxmlformats.org/officeDocument/2006/relationships/hyperlink" Target="https://talan.bank.gov.ua/get-user-certificate/sec1eZUcvM2M6HRvaN-F" TargetMode="External"/><Relationship Id="rId4782" Type="http://schemas.openxmlformats.org/officeDocument/2006/relationships/hyperlink" Target="https://talan.bank.gov.ua/get-user-certificate/sec1eyedfFpIj7DpSVlh" TargetMode="External"/><Relationship Id="rId3037" Type="http://schemas.openxmlformats.org/officeDocument/2006/relationships/hyperlink" Target="https://talan.bank.gov.ua/get-user-certificate/sec1eG1UVEgXyyiae9Vi" TargetMode="External"/><Relationship Id="rId3384" Type="http://schemas.openxmlformats.org/officeDocument/2006/relationships/hyperlink" Target="https://talan.bank.gov.ua/get-user-certificate/sec1eWpCW4eNpt_7Ph7z" TargetMode="External"/><Relationship Id="rId3591" Type="http://schemas.openxmlformats.org/officeDocument/2006/relationships/hyperlink" Target="https://talan.bank.gov.ua/get-user-certificate/sec1ee8uOQQpblm16Qet" TargetMode="External"/><Relationship Id="rId4435" Type="http://schemas.openxmlformats.org/officeDocument/2006/relationships/hyperlink" Target="https://talan.bank.gov.ua/get-user-certificate/sec1eyL9GqVtIcNlj1sT" TargetMode="External"/><Relationship Id="rId4642" Type="http://schemas.openxmlformats.org/officeDocument/2006/relationships/hyperlink" Target="https://talan.bank.gov.ua/get-user-certificate/sec1eiAju3ztwYW8P5Hz" TargetMode="External"/><Relationship Id="rId2193" Type="http://schemas.openxmlformats.org/officeDocument/2006/relationships/hyperlink" Target="https://talan.bank.gov.ua/get-user-certificate/sec1ekW2lhsqTWYuxGVY" TargetMode="External"/><Relationship Id="rId3244" Type="http://schemas.openxmlformats.org/officeDocument/2006/relationships/hyperlink" Target="https://talan.bank.gov.ua/get-user-certificate/sec1e3k7QzDe9mWqOi5M" TargetMode="External"/><Relationship Id="rId3451" Type="http://schemas.openxmlformats.org/officeDocument/2006/relationships/hyperlink" Target="https://talan.bank.gov.ua/get-user-certificate/sec1eGIVrJgVPf8aye0v" TargetMode="External"/><Relationship Id="rId4502" Type="http://schemas.openxmlformats.org/officeDocument/2006/relationships/hyperlink" Target="https://talan.bank.gov.ua/get-user-certificate/sec1eIklBjDbtdjt723i" TargetMode="External"/><Relationship Id="rId165" Type="http://schemas.openxmlformats.org/officeDocument/2006/relationships/hyperlink" Target="https://talan.bank.gov.ua/get-user-certificate/sec1e4-pHc-y-mTEvuai" TargetMode="External"/><Relationship Id="rId372" Type="http://schemas.openxmlformats.org/officeDocument/2006/relationships/hyperlink" Target="https://talan.bank.gov.ua/get-user-certificate/sec1eoqUhtetYlT1MYkn" TargetMode="External"/><Relationship Id="rId2053" Type="http://schemas.openxmlformats.org/officeDocument/2006/relationships/hyperlink" Target="https://talan.bank.gov.ua/get-user-certificate/sec1eYC5vLrpho2Shy8m" TargetMode="External"/><Relationship Id="rId2260" Type="http://schemas.openxmlformats.org/officeDocument/2006/relationships/hyperlink" Target="https://talan.bank.gov.ua/get-user-certificate/sec1ex7wGVFmpnTaUjIV" TargetMode="External"/><Relationship Id="rId3104" Type="http://schemas.openxmlformats.org/officeDocument/2006/relationships/hyperlink" Target="https://talan.bank.gov.ua/get-user-certificate/sec1erB4J6XzJZNQc1yc" TargetMode="External"/><Relationship Id="rId3311" Type="http://schemas.openxmlformats.org/officeDocument/2006/relationships/hyperlink" Target="https://talan.bank.gov.ua/get-user-certificate/sec1ewNqfwmX2ULO_7AI" TargetMode="External"/><Relationship Id="rId232" Type="http://schemas.openxmlformats.org/officeDocument/2006/relationships/hyperlink" Target="https://talan.bank.gov.ua/get-user-certificate/sec1ey6tIJxu7wW1PBq8" TargetMode="External"/><Relationship Id="rId2120" Type="http://schemas.openxmlformats.org/officeDocument/2006/relationships/hyperlink" Target="https://talan.bank.gov.ua/get-user-certificate/sec1evjZmNT1VhCGR6tI" TargetMode="External"/><Relationship Id="rId1679" Type="http://schemas.openxmlformats.org/officeDocument/2006/relationships/hyperlink" Target="https://talan.bank.gov.ua/get-user-certificate/sec1eb1ftfkwCgewdvlv" TargetMode="External"/><Relationship Id="rId4085" Type="http://schemas.openxmlformats.org/officeDocument/2006/relationships/hyperlink" Target="https://talan.bank.gov.ua/get-user-certificate/sec1e1gb1Y5MbamrD0Ek" TargetMode="External"/><Relationship Id="rId4292" Type="http://schemas.openxmlformats.org/officeDocument/2006/relationships/hyperlink" Target="https://talan.bank.gov.ua/get-user-certificate/sec1ew3Z25JJxZT0xLP6" TargetMode="External"/><Relationship Id="rId1886" Type="http://schemas.openxmlformats.org/officeDocument/2006/relationships/hyperlink" Target="https://talan.bank.gov.ua/get-user-certificate/sec1ehkAgSuV3B-W0sxB" TargetMode="External"/><Relationship Id="rId2937" Type="http://schemas.openxmlformats.org/officeDocument/2006/relationships/hyperlink" Target="https://talan.bank.gov.ua/get-user-certificate/sec1eYd7M5eSctUi5Wgh" TargetMode="External"/><Relationship Id="rId4152" Type="http://schemas.openxmlformats.org/officeDocument/2006/relationships/hyperlink" Target="https://talan.bank.gov.ua/get-user-certificate/sec1erbexCNh0CY0Th3f" TargetMode="External"/><Relationship Id="rId909" Type="http://schemas.openxmlformats.org/officeDocument/2006/relationships/hyperlink" Target="https://talan.bank.gov.ua/get-user-certificate/sec1eB4X4Kc0vkwgqvLU" TargetMode="External"/><Relationship Id="rId1539" Type="http://schemas.openxmlformats.org/officeDocument/2006/relationships/hyperlink" Target="https://talan.bank.gov.ua/get-user-certificate/sec1eTWYnRyMeku7ZtBd" TargetMode="External"/><Relationship Id="rId1746" Type="http://schemas.openxmlformats.org/officeDocument/2006/relationships/hyperlink" Target="https://talan.bank.gov.ua/get-user-certificate/sec1eY8msEC0RKTlzj3b" TargetMode="External"/><Relationship Id="rId1953" Type="http://schemas.openxmlformats.org/officeDocument/2006/relationships/hyperlink" Target="https://talan.bank.gov.ua/get-user-certificate/sec1eRx0i1M1OsAyanjn" TargetMode="External"/><Relationship Id="rId38" Type="http://schemas.openxmlformats.org/officeDocument/2006/relationships/hyperlink" Target="https://talan.bank.gov.ua/get-user-certificate/sec1eGJIhHqQ1kmcbWGh" TargetMode="External"/><Relationship Id="rId1606" Type="http://schemas.openxmlformats.org/officeDocument/2006/relationships/hyperlink" Target="https://talan.bank.gov.ua/get-user-certificate/sec1e33JCxWMUc5WwCb9" TargetMode="External"/><Relationship Id="rId1813" Type="http://schemas.openxmlformats.org/officeDocument/2006/relationships/hyperlink" Target="https://talan.bank.gov.ua/get-user-certificate/sec1eDEL-MBH_nizDeFf" TargetMode="External"/><Relationship Id="rId4012" Type="http://schemas.openxmlformats.org/officeDocument/2006/relationships/hyperlink" Target="https://talan.bank.gov.ua/get-user-certificate/sec1e-6XGICmj5rO38VJ" TargetMode="External"/><Relationship Id="rId4969" Type="http://schemas.openxmlformats.org/officeDocument/2006/relationships/hyperlink" Target="https://talan.bank.gov.ua/get-user-certificate/sec1epu_yoK2-vBaEH-h" TargetMode="External"/><Relationship Id="rId3778" Type="http://schemas.openxmlformats.org/officeDocument/2006/relationships/hyperlink" Target="https://talan.bank.gov.ua/get-user-certificate/sec1eBcABGr_bmg3swgQ" TargetMode="External"/><Relationship Id="rId3985" Type="http://schemas.openxmlformats.org/officeDocument/2006/relationships/hyperlink" Target="https://talan.bank.gov.ua/get-user-certificate/sec1eZkEOwYhAEiY0aH8" TargetMode="External"/><Relationship Id="rId4829" Type="http://schemas.openxmlformats.org/officeDocument/2006/relationships/hyperlink" Target="https://talan.bank.gov.ua/get-user-certificate/sec1evd31vp0uT11nNSR" TargetMode="External"/><Relationship Id="rId699" Type="http://schemas.openxmlformats.org/officeDocument/2006/relationships/hyperlink" Target="https://talan.bank.gov.ua/get-user-certificate/sec1eVcxx49Iph-EyK5h" TargetMode="External"/><Relationship Id="rId2587" Type="http://schemas.openxmlformats.org/officeDocument/2006/relationships/hyperlink" Target="https://talan.bank.gov.ua/get-user-certificate/sec1eeTryZZPOu56gV_H" TargetMode="External"/><Relationship Id="rId2794" Type="http://schemas.openxmlformats.org/officeDocument/2006/relationships/hyperlink" Target="https://talan.bank.gov.ua/get-user-certificate/sec1eCcLGl_zwrd97hDk" TargetMode="External"/><Relationship Id="rId3638" Type="http://schemas.openxmlformats.org/officeDocument/2006/relationships/hyperlink" Target="https://talan.bank.gov.ua/get-user-certificate/sec1e0ckwJ4XDhtg0EUG" TargetMode="External"/><Relationship Id="rId3845" Type="http://schemas.openxmlformats.org/officeDocument/2006/relationships/hyperlink" Target="https://talan.bank.gov.ua/get-user-certificate/sec1eYZkH0YetaZZ8U7h" TargetMode="External"/><Relationship Id="rId559" Type="http://schemas.openxmlformats.org/officeDocument/2006/relationships/hyperlink" Target="https://talan.bank.gov.ua/get-user-certificate/sec1ejDVGozWF9iFs0b5" TargetMode="External"/><Relationship Id="rId766" Type="http://schemas.openxmlformats.org/officeDocument/2006/relationships/hyperlink" Target="https://talan.bank.gov.ua/get-user-certificate/sec1epHqvowTzBUxNF1L" TargetMode="External"/><Relationship Id="rId1189" Type="http://schemas.openxmlformats.org/officeDocument/2006/relationships/hyperlink" Target="https://talan.bank.gov.ua/get-user-certificate/sec1eSvz_GhV-A9i0hJr" TargetMode="External"/><Relationship Id="rId1396" Type="http://schemas.openxmlformats.org/officeDocument/2006/relationships/hyperlink" Target="https://talan.bank.gov.ua/get-user-certificate/sec1eOATgbihAte261TI" TargetMode="External"/><Relationship Id="rId2447" Type="http://schemas.openxmlformats.org/officeDocument/2006/relationships/hyperlink" Target="https://talan.bank.gov.ua/get-user-certificate/sec1eavnq50QNHM9LLvJ" TargetMode="External"/><Relationship Id="rId419" Type="http://schemas.openxmlformats.org/officeDocument/2006/relationships/hyperlink" Target="https://talan.bank.gov.ua/get-user-certificate/sec1e803rnJ6KYBq8mw8" TargetMode="External"/><Relationship Id="rId626" Type="http://schemas.openxmlformats.org/officeDocument/2006/relationships/hyperlink" Target="https://talan.bank.gov.ua/get-user-certificate/sec1eNEj3bkOYcaXCMC9" TargetMode="External"/><Relationship Id="rId973" Type="http://schemas.openxmlformats.org/officeDocument/2006/relationships/hyperlink" Target="https://talan.bank.gov.ua/get-user-certificate/sec1emdkVGiE-7Q1ocJr" TargetMode="External"/><Relationship Id="rId1049" Type="http://schemas.openxmlformats.org/officeDocument/2006/relationships/hyperlink" Target="https://talan.bank.gov.ua/get-user-certificate/sec1et1l8zQJfOytB25L" TargetMode="External"/><Relationship Id="rId1256" Type="http://schemas.openxmlformats.org/officeDocument/2006/relationships/hyperlink" Target="https://talan.bank.gov.ua/get-user-certificate/sec1e0jAtp8hz9cfBflm" TargetMode="External"/><Relationship Id="rId2307" Type="http://schemas.openxmlformats.org/officeDocument/2006/relationships/hyperlink" Target="https://talan.bank.gov.ua/get-user-certificate/sec1eM_un--yIpWOKJKL" TargetMode="External"/><Relationship Id="rId2654" Type="http://schemas.openxmlformats.org/officeDocument/2006/relationships/hyperlink" Target="https://talan.bank.gov.ua/get-user-certificate/sec1ed5BuL6QyZlehnmX" TargetMode="External"/><Relationship Id="rId2861" Type="http://schemas.openxmlformats.org/officeDocument/2006/relationships/hyperlink" Target="https://talan.bank.gov.ua/get-user-certificate/sec1e3TCYlEFjdyetTwq" TargetMode="External"/><Relationship Id="rId3705" Type="http://schemas.openxmlformats.org/officeDocument/2006/relationships/hyperlink" Target="https://talan.bank.gov.ua/get-user-certificate/sec1eaaJDNUPOhQodzN0" TargetMode="External"/><Relationship Id="rId3912" Type="http://schemas.openxmlformats.org/officeDocument/2006/relationships/hyperlink" Target="https://talan.bank.gov.ua/get-user-certificate/sec1ecWQwKMTyWlj_fG7" TargetMode="External"/><Relationship Id="rId833" Type="http://schemas.openxmlformats.org/officeDocument/2006/relationships/hyperlink" Target="https://talan.bank.gov.ua/get-user-certificate/sec1ePMyB1_wVGR4XXYu" TargetMode="External"/><Relationship Id="rId1116" Type="http://schemas.openxmlformats.org/officeDocument/2006/relationships/hyperlink" Target="https://talan.bank.gov.ua/get-user-certificate/sec1eoUC586gsuSIVj5i" TargetMode="External"/><Relationship Id="rId1463" Type="http://schemas.openxmlformats.org/officeDocument/2006/relationships/hyperlink" Target="https://talan.bank.gov.ua/get-user-certificate/sec1eFYYvg0smbIE7mGH" TargetMode="External"/><Relationship Id="rId1670" Type="http://schemas.openxmlformats.org/officeDocument/2006/relationships/hyperlink" Target="https://talan.bank.gov.ua/get-user-certificate/sec1eNhoC0D697TmiSgI" TargetMode="External"/><Relationship Id="rId2514" Type="http://schemas.openxmlformats.org/officeDocument/2006/relationships/hyperlink" Target="https://talan.bank.gov.ua/get-user-certificate/sec1e8dqxb_LWzML-ZDI" TargetMode="External"/><Relationship Id="rId2721" Type="http://schemas.openxmlformats.org/officeDocument/2006/relationships/hyperlink" Target="https://talan.bank.gov.ua/get-user-certificate/sec1eN3vnyklH-K6S_vH" TargetMode="External"/><Relationship Id="rId900" Type="http://schemas.openxmlformats.org/officeDocument/2006/relationships/hyperlink" Target="https://talan.bank.gov.ua/get-user-certificate/sec1eUHzI0zk_dhuStrG" TargetMode="External"/><Relationship Id="rId1323" Type="http://schemas.openxmlformats.org/officeDocument/2006/relationships/hyperlink" Target="https://talan.bank.gov.ua/get-user-certificate/sec1eG-KLn2GIEL5sT3G" TargetMode="External"/><Relationship Id="rId1530" Type="http://schemas.openxmlformats.org/officeDocument/2006/relationships/hyperlink" Target="https://talan.bank.gov.ua/get-user-certificate/sec1eO3brSdqYSBx0hRB" TargetMode="External"/><Relationship Id="rId4479" Type="http://schemas.openxmlformats.org/officeDocument/2006/relationships/hyperlink" Target="https://talan.bank.gov.ua/get-user-certificate/sec1ePfyqFrKPQOANZ21" TargetMode="External"/><Relationship Id="rId4686" Type="http://schemas.openxmlformats.org/officeDocument/2006/relationships/hyperlink" Target="https://talan.bank.gov.ua/get-user-certificate/sec1endj7kldpn02S6Oz" TargetMode="External"/><Relationship Id="rId4893" Type="http://schemas.openxmlformats.org/officeDocument/2006/relationships/hyperlink" Target="https://talan.bank.gov.ua/get-user-certificate/sec1e_MCy_Yeq_T3XUGv" TargetMode="External"/><Relationship Id="rId3288" Type="http://schemas.openxmlformats.org/officeDocument/2006/relationships/hyperlink" Target="https://talan.bank.gov.ua/get-user-certificate/sec1ea8uO_D7p9jIoe7i" TargetMode="External"/><Relationship Id="rId3495" Type="http://schemas.openxmlformats.org/officeDocument/2006/relationships/hyperlink" Target="https://talan.bank.gov.ua/get-user-certificate/sec1e12b84EGHpJ53Ol2" TargetMode="External"/><Relationship Id="rId4339" Type="http://schemas.openxmlformats.org/officeDocument/2006/relationships/hyperlink" Target="https://talan.bank.gov.ua/get-user-certificate/sec1eyIvZ2bX4Dtw-JrE" TargetMode="External"/><Relationship Id="rId4546" Type="http://schemas.openxmlformats.org/officeDocument/2006/relationships/hyperlink" Target="https://talan.bank.gov.ua/get-user-certificate/sec1eZeaGODsp43_0AJQ" TargetMode="External"/><Relationship Id="rId4753" Type="http://schemas.openxmlformats.org/officeDocument/2006/relationships/hyperlink" Target="https://talan.bank.gov.ua/get-user-certificate/sec1e6FQrUtSXL0TypIH" TargetMode="External"/><Relationship Id="rId4960" Type="http://schemas.openxmlformats.org/officeDocument/2006/relationships/hyperlink" Target="https://talan.bank.gov.ua/get-user-certificate/sec1eFu8sTCn4hLKCT74" TargetMode="External"/><Relationship Id="rId2097" Type="http://schemas.openxmlformats.org/officeDocument/2006/relationships/hyperlink" Target="https://talan.bank.gov.ua/get-user-certificate/sec1eDmNoDIN9CFn49p9" TargetMode="External"/><Relationship Id="rId3148" Type="http://schemas.openxmlformats.org/officeDocument/2006/relationships/hyperlink" Target="https://talan.bank.gov.ua/get-user-certificate/sec1e_L_LrdR5q5ob4dw" TargetMode="External"/><Relationship Id="rId3355" Type="http://schemas.openxmlformats.org/officeDocument/2006/relationships/hyperlink" Target="https://talan.bank.gov.ua/get-user-certificate/sec1ehXporDb3xa5dZRZ" TargetMode="External"/><Relationship Id="rId3562" Type="http://schemas.openxmlformats.org/officeDocument/2006/relationships/hyperlink" Target="https://talan.bank.gov.ua/get-user-certificate/sec1eDy2gNEFhQPzXrSD" TargetMode="External"/><Relationship Id="rId4406" Type="http://schemas.openxmlformats.org/officeDocument/2006/relationships/hyperlink" Target="https://talan.bank.gov.ua/get-user-certificate/sec1eT5_IH-4n21ShBLq" TargetMode="External"/><Relationship Id="rId4613" Type="http://schemas.openxmlformats.org/officeDocument/2006/relationships/hyperlink" Target="https://talan.bank.gov.ua/get-user-certificate/sec1euEIEGZ6uqYdaGny" TargetMode="External"/><Relationship Id="rId276" Type="http://schemas.openxmlformats.org/officeDocument/2006/relationships/hyperlink" Target="https://talan.bank.gov.ua/get-user-certificate/sec1eXdhVX0CUJXIenLO" TargetMode="External"/><Relationship Id="rId483" Type="http://schemas.openxmlformats.org/officeDocument/2006/relationships/hyperlink" Target="https://talan.bank.gov.ua/get-user-certificate/sec1eDGf61oWNXlL11yF" TargetMode="External"/><Relationship Id="rId690" Type="http://schemas.openxmlformats.org/officeDocument/2006/relationships/hyperlink" Target="https://talan.bank.gov.ua/get-user-certificate/sec1eganF1RCR9W85tnJ" TargetMode="External"/><Relationship Id="rId2164" Type="http://schemas.openxmlformats.org/officeDocument/2006/relationships/hyperlink" Target="https://talan.bank.gov.ua/get-user-certificate/sec1eBDiKAoXTLZnYI-7" TargetMode="External"/><Relationship Id="rId2371" Type="http://schemas.openxmlformats.org/officeDocument/2006/relationships/hyperlink" Target="https://talan.bank.gov.ua/get-user-certificate/sec1eYqy8OuGkecAjuUq" TargetMode="External"/><Relationship Id="rId3008" Type="http://schemas.openxmlformats.org/officeDocument/2006/relationships/hyperlink" Target="https://talan.bank.gov.ua/get-user-certificate/sec1eVTHtlgPn7aUXPd2" TargetMode="External"/><Relationship Id="rId3215" Type="http://schemas.openxmlformats.org/officeDocument/2006/relationships/hyperlink" Target="https://talan.bank.gov.ua/get-user-certificate/sec1e73seGKHN6a81XHz" TargetMode="External"/><Relationship Id="rId3422" Type="http://schemas.openxmlformats.org/officeDocument/2006/relationships/hyperlink" Target="https://talan.bank.gov.ua/get-user-certificate/sec1e2Jc080Wnu22i7kn" TargetMode="External"/><Relationship Id="rId4820" Type="http://schemas.openxmlformats.org/officeDocument/2006/relationships/hyperlink" Target="https://talan.bank.gov.ua/get-user-certificate/sec1eBy1-QGY2yvq590K" TargetMode="External"/><Relationship Id="rId136" Type="http://schemas.openxmlformats.org/officeDocument/2006/relationships/hyperlink" Target="https://talan.bank.gov.ua/get-user-certificate/sec1eu94UL1Cmwvt9jep" TargetMode="External"/><Relationship Id="rId343" Type="http://schemas.openxmlformats.org/officeDocument/2006/relationships/hyperlink" Target="https://talan.bank.gov.ua/get-user-certificate/sec1eLffLYfqctZw-kdM" TargetMode="External"/><Relationship Id="rId550" Type="http://schemas.openxmlformats.org/officeDocument/2006/relationships/hyperlink" Target="https://talan.bank.gov.ua/get-user-certificate/sec1eZUkzLziGg7VK6IQ" TargetMode="External"/><Relationship Id="rId1180" Type="http://schemas.openxmlformats.org/officeDocument/2006/relationships/hyperlink" Target="https://talan.bank.gov.ua/get-user-certificate/sec1exNGe1zEDRDdz0kA" TargetMode="External"/><Relationship Id="rId2024" Type="http://schemas.openxmlformats.org/officeDocument/2006/relationships/hyperlink" Target="https://talan.bank.gov.ua/get-user-certificate/sec1eyW7cKcrU4K7bf89" TargetMode="External"/><Relationship Id="rId2231" Type="http://schemas.openxmlformats.org/officeDocument/2006/relationships/hyperlink" Target="https://talan.bank.gov.ua/get-user-certificate/sec1eFEDMaUV65mQKUxo" TargetMode="External"/><Relationship Id="rId203" Type="http://schemas.openxmlformats.org/officeDocument/2006/relationships/hyperlink" Target="https://talan.bank.gov.ua/get-user-certificate/sec1eREqla1YldkHEH7o" TargetMode="External"/><Relationship Id="rId1040" Type="http://schemas.openxmlformats.org/officeDocument/2006/relationships/hyperlink" Target="https://talan.bank.gov.ua/get-user-certificate/sec1ekF3tQAniD2VcJ2d" TargetMode="External"/><Relationship Id="rId4196" Type="http://schemas.openxmlformats.org/officeDocument/2006/relationships/hyperlink" Target="https://talan.bank.gov.ua/get-user-certificate/sec1eT6MWaemEDW0jLmc" TargetMode="External"/><Relationship Id="rId410" Type="http://schemas.openxmlformats.org/officeDocument/2006/relationships/hyperlink" Target="https://talan.bank.gov.ua/get-user-certificate/sec1eVdbLb2AhyEVgMrf" TargetMode="External"/><Relationship Id="rId1997" Type="http://schemas.openxmlformats.org/officeDocument/2006/relationships/hyperlink" Target="https://talan.bank.gov.ua/get-user-certificate/sec1eAOzz6G8hHB4trla" TargetMode="External"/><Relationship Id="rId4056" Type="http://schemas.openxmlformats.org/officeDocument/2006/relationships/hyperlink" Target="https://talan.bank.gov.ua/get-user-certificate/sec1ej58uQaTfLC9UQCF" TargetMode="External"/><Relationship Id="rId1857" Type="http://schemas.openxmlformats.org/officeDocument/2006/relationships/hyperlink" Target="https://talan.bank.gov.ua/get-user-certificate/sec1eCTFlzNDyInxmuO6" TargetMode="External"/><Relationship Id="rId2908" Type="http://schemas.openxmlformats.org/officeDocument/2006/relationships/hyperlink" Target="https://talan.bank.gov.ua/get-user-certificate/sec1eKVM7HuZyO2qIxsY" TargetMode="External"/><Relationship Id="rId4263" Type="http://schemas.openxmlformats.org/officeDocument/2006/relationships/hyperlink" Target="https://talan.bank.gov.ua/get-user-certificate/sec1eFM1SR7huL4WnZyS" TargetMode="External"/><Relationship Id="rId4470" Type="http://schemas.openxmlformats.org/officeDocument/2006/relationships/hyperlink" Target="https://talan.bank.gov.ua/get-user-certificate/sec1er8HvG0lQ6WG7bqI" TargetMode="External"/><Relationship Id="rId1717" Type="http://schemas.openxmlformats.org/officeDocument/2006/relationships/hyperlink" Target="https://talan.bank.gov.ua/get-user-certificate/sec1e_N2O9YbTukrMEdN" TargetMode="External"/><Relationship Id="rId1924" Type="http://schemas.openxmlformats.org/officeDocument/2006/relationships/hyperlink" Target="https://talan.bank.gov.ua/get-user-certificate/sec1eNlkVvANNKch3zu9" TargetMode="External"/><Relationship Id="rId3072" Type="http://schemas.openxmlformats.org/officeDocument/2006/relationships/hyperlink" Target="https://talan.bank.gov.ua/get-user-certificate/sec1ee8OvQZEY1erhgX-" TargetMode="External"/><Relationship Id="rId4123" Type="http://schemas.openxmlformats.org/officeDocument/2006/relationships/hyperlink" Target="https://talan.bank.gov.ua/get-user-certificate/sec1eISviYSy9MbYrcLa" TargetMode="External"/><Relationship Id="rId4330" Type="http://schemas.openxmlformats.org/officeDocument/2006/relationships/hyperlink" Target="https://talan.bank.gov.ua/get-user-certificate/sec1exnKiPewyOm2e9tx" TargetMode="External"/><Relationship Id="rId3889" Type="http://schemas.openxmlformats.org/officeDocument/2006/relationships/hyperlink" Target="https://talan.bank.gov.ua/get-user-certificate/sec1e0MaLjxan7pTCPIS" TargetMode="External"/><Relationship Id="rId2698" Type="http://schemas.openxmlformats.org/officeDocument/2006/relationships/hyperlink" Target="https://talan.bank.gov.ua/get-user-certificate/sec1e2boJcZnQMWGr0mb" TargetMode="External"/><Relationship Id="rId3749" Type="http://schemas.openxmlformats.org/officeDocument/2006/relationships/hyperlink" Target="https://talan.bank.gov.ua/get-user-certificate/sec1ez5zz2DO33NTITaC" TargetMode="External"/><Relationship Id="rId3956" Type="http://schemas.openxmlformats.org/officeDocument/2006/relationships/hyperlink" Target="https://talan.bank.gov.ua/get-user-certificate/sec1eZ1OxrCQ5v7zAnWW" TargetMode="External"/><Relationship Id="rId877" Type="http://schemas.openxmlformats.org/officeDocument/2006/relationships/hyperlink" Target="https://talan.bank.gov.ua/get-user-certificate/sec1eGa_WxQoO6dYXstq" TargetMode="External"/><Relationship Id="rId2558" Type="http://schemas.openxmlformats.org/officeDocument/2006/relationships/hyperlink" Target="https://talan.bank.gov.ua/get-user-certificate/sec1enX1dKIRw-T_HnP_" TargetMode="External"/><Relationship Id="rId2765" Type="http://schemas.openxmlformats.org/officeDocument/2006/relationships/hyperlink" Target="https://talan.bank.gov.ua/get-user-certificate/sec1e72KMBiAMTBt8Jvx" TargetMode="External"/><Relationship Id="rId2972" Type="http://schemas.openxmlformats.org/officeDocument/2006/relationships/hyperlink" Target="https://talan.bank.gov.ua/get-user-certificate/sec1eX22Vyk-fPrHWzpG" TargetMode="External"/><Relationship Id="rId3609" Type="http://schemas.openxmlformats.org/officeDocument/2006/relationships/hyperlink" Target="https://talan.bank.gov.ua/get-user-certificate/sec1eHGRloZrAOmhKymq" TargetMode="External"/><Relationship Id="rId3816" Type="http://schemas.openxmlformats.org/officeDocument/2006/relationships/hyperlink" Target="https://talan.bank.gov.ua/get-user-certificate/sec1e4nKva-Uuw7SCHeA" TargetMode="External"/><Relationship Id="rId737" Type="http://schemas.openxmlformats.org/officeDocument/2006/relationships/hyperlink" Target="https://talan.bank.gov.ua/get-user-certificate/sec1eFu8gU4m5exeTafl" TargetMode="External"/><Relationship Id="rId944" Type="http://schemas.openxmlformats.org/officeDocument/2006/relationships/hyperlink" Target="https://talan.bank.gov.ua/get-user-certificate/sec1ez9c5Xa4X3sKr-A_" TargetMode="External"/><Relationship Id="rId1367" Type="http://schemas.openxmlformats.org/officeDocument/2006/relationships/hyperlink" Target="https://talan.bank.gov.ua/get-user-certificate/sec1ewPDf3DWf26YgOAb" TargetMode="External"/><Relationship Id="rId1574" Type="http://schemas.openxmlformats.org/officeDocument/2006/relationships/hyperlink" Target="https://talan.bank.gov.ua/get-user-certificate/sec1egDwnA8yioqYrvTP" TargetMode="External"/><Relationship Id="rId1781" Type="http://schemas.openxmlformats.org/officeDocument/2006/relationships/hyperlink" Target="https://talan.bank.gov.ua/get-user-certificate/sec1eZFa78oqZYz2VxPy" TargetMode="External"/><Relationship Id="rId2418" Type="http://schemas.openxmlformats.org/officeDocument/2006/relationships/hyperlink" Target="https://talan.bank.gov.ua/get-user-certificate/sec1edPEksIJ3hQApJUt" TargetMode="External"/><Relationship Id="rId2625" Type="http://schemas.openxmlformats.org/officeDocument/2006/relationships/hyperlink" Target="https://talan.bank.gov.ua/get-user-certificate/sec1es9ZWgsJWwdEh-WT" TargetMode="External"/><Relationship Id="rId2832" Type="http://schemas.openxmlformats.org/officeDocument/2006/relationships/hyperlink" Target="https://talan.bank.gov.ua/get-user-certificate/sec1eLCt8OZDSUEGP9Ih" TargetMode="External"/><Relationship Id="rId73" Type="http://schemas.openxmlformats.org/officeDocument/2006/relationships/hyperlink" Target="https://talan.bank.gov.ua/get-user-certificate/sec1ejK0Ve1-_fRIAb_H" TargetMode="External"/><Relationship Id="rId804" Type="http://schemas.openxmlformats.org/officeDocument/2006/relationships/hyperlink" Target="https://talan.bank.gov.ua/get-user-certificate/sec1e4KrWwLGBGLrvFtT" TargetMode="External"/><Relationship Id="rId1227" Type="http://schemas.openxmlformats.org/officeDocument/2006/relationships/hyperlink" Target="https://talan.bank.gov.ua/get-user-certificate/sec1eToOUkpG2T-hnR5w" TargetMode="External"/><Relationship Id="rId1434" Type="http://schemas.openxmlformats.org/officeDocument/2006/relationships/hyperlink" Target="https://talan.bank.gov.ua/get-user-certificate/sec1egSd3am-irJ28sS6" TargetMode="External"/><Relationship Id="rId1641" Type="http://schemas.openxmlformats.org/officeDocument/2006/relationships/hyperlink" Target="https://talan.bank.gov.ua/get-user-certificate/sec1e1QJNiF63nc59qhB" TargetMode="External"/><Relationship Id="rId4797" Type="http://schemas.openxmlformats.org/officeDocument/2006/relationships/hyperlink" Target="https://talan.bank.gov.ua/get-user-certificate/sec1eAiwa2C7dCkipBxJ" TargetMode="External"/><Relationship Id="rId1501" Type="http://schemas.openxmlformats.org/officeDocument/2006/relationships/hyperlink" Target="https://talan.bank.gov.ua/get-user-certificate/sec1ejTxGVcM45t5zKgT" TargetMode="External"/><Relationship Id="rId3399" Type="http://schemas.openxmlformats.org/officeDocument/2006/relationships/hyperlink" Target="https://talan.bank.gov.ua/get-user-certificate/sec1edB193_xWBi1b89d" TargetMode="External"/><Relationship Id="rId4657" Type="http://schemas.openxmlformats.org/officeDocument/2006/relationships/hyperlink" Target="https://talan.bank.gov.ua/get-user-certificate/sec1etGb5TH0rBuy5mug" TargetMode="External"/><Relationship Id="rId4864" Type="http://schemas.openxmlformats.org/officeDocument/2006/relationships/hyperlink" Target="https://talan.bank.gov.ua/get-user-certificate/sec1eLHjjb_qHPKTvadk" TargetMode="External"/><Relationship Id="rId3259" Type="http://schemas.openxmlformats.org/officeDocument/2006/relationships/hyperlink" Target="https://talan.bank.gov.ua/get-user-certificate/sec1eeDglqL2ODOHCV2i" TargetMode="External"/><Relationship Id="rId3466" Type="http://schemas.openxmlformats.org/officeDocument/2006/relationships/hyperlink" Target="https://talan.bank.gov.ua/get-user-certificate/sec1eEGNz4It9LEs_Jha" TargetMode="External"/><Relationship Id="rId4517" Type="http://schemas.openxmlformats.org/officeDocument/2006/relationships/hyperlink" Target="https://talan.bank.gov.ua/get-user-certificate/sec1eEc56ZUK9kKPJert" TargetMode="External"/><Relationship Id="rId387" Type="http://schemas.openxmlformats.org/officeDocument/2006/relationships/hyperlink" Target="https://talan.bank.gov.ua/get-user-certificate/sec1e_ccsPG1r3gndcMv" TargetMode="External"/><Relationship Id="rId594" Type="http://schemas.openxmlformats.org/officeDocument/2006/relationships/hyperlink" Target="https://talan.bank.gov.ua/get-user-certificate/sec1e9gOIxr_s22k9W9H" TargetMode="External"/><Relationship Id="rId2068" Type="http://schemas.openxmlformats.org/officeDocument/2006/relationships/hyperlink" Target="https://talan.bank.gov.ua/get-user-certificate/sec1eJIaHCuvmKVk1v-T" TargetMode="External"/><Relationship Id="rId2275" Type="http://schemas.openxmlformats.org/officeDocument/2006/relationships/hyperlink" Target="https://talan.bank.gov.ua/get-user-certificate/sec1e-iMmlIgyu2EUoXN" TargetMode="External"/><Relationship Id="rId3119" Type="http://schemas.openxmlformats.org/officeDocument/2006/relationships/hyperlink" Target="https://talan.bank.gov.ua/get-user-certificate/sec1enuT044EL_2e7RB6" TargetMode="External"/><Relationship Id="rId3326" Type="http://schemas.openxmlformats.org/officeDocument/2006/relationships/hyperlink" Target="https://talan.bank.gov.ua/get-user-certificate/sec1ey37Aigr8oU5VpM1" TargetMode="External"/><Relationship Id="rId3673" Type="http://schemas.openxmlformats.org/officeDocument/2006/relationships/hyperlink" Target="https://talan.bank.gov.ua/get-user-certificate/sec1efBymj29Ln2o-Fw5" TargetMode="External"/><Relationship Id="rId3880" Type="http://schemas.openxmlformats.org/officeDocument/2006/relationships/hyperlink" Target="https://talan.bank.gov.ua/get-user-certificate/sec1e_f7MZ5SAJjXYSpb" TargetMode="External"/><Relationship Id="rId4724" Type="http://schemas.openxmlformats.org/officeDocument/2006/relationships/hyperlink" Target="https://talan.bank.gov.ua/get-user-certificate/sec1ey_ngc7D2QcEKtSw" TargetMode="External"/><Relationship Id="rId4931" Type="http://schemas.openxmlformats.org/officeDocument/2006/relationships/hyperlink" Target="https://talan.bank.gov.ua/get-user-certificate/sec1eGmSADhcnSlVy8Mj" TargetMode="External"/><Relationship Id="rId247" Type="http://schemas.openxmlformats.org/officeDocument/2006/relationships/hyperlink" Target="https://talan.bank.gov.ua/get-user-certificate/sec1eYGFANpRUU5Rp5i6" TargetMode="External"/><Relationship Id="rId1084" Type="http://schemas.openxmlformats.org/officeDocument/2006/relationships/hyperlink" Target="https://talan.bank.gov.ua/get-user-certificate/sec1eRw6V59lvIfY1pz-" TargetMode="External"/><Relationship Id="rId2482" Type="http://schemas.openxmlformats.org/officeDocument/2006/relationships/hyperlink" Target="https://talan.bank.gov.ua/get-user-certificate/sec1eZckixovSHNJ_Y83" TargetMode="External"/><Relationship Id="rId3533" Type="http://schemas.openxmlformats.org/officeDocument/2006/relationships/hyperlink" Target="https://talan.bank.gov.ua/get-user-certificate/sec1edsas8nEmNvFodS5" TargetMode="External"/><Relationship Id="rId3740" Type="http://schemas.openxmlformats.org/officeDocument/2006/relationships/hyperlink" Target="https://talan.bank.gov.ua/get-user-certificate/sec1e36HP4FYYrfJamev" TargetMode="External"/><Relationship Id="rId107" Type="http://schemas.openxmlformats.org/officeDocument/2006/relationships/hyperlink" Target="https://talan.bank.gov.ua/get-user-certificate/sec1eOtN9QzKYwbMzd5U" TargetMode="External"/><Relationship Id="rId454" Type="http://schemas.openxmlformats.org/officeDocument/2006/relationships/hyperlink" Target="https://talan.bank.gov.ua/get-user-certificate/sec1ejhiMCzB2Dw6nLwh" TargetMode="External"/><Relationship Id="rId661" Type="http://schemas.openxmlformats.org/officeDocument/2006/relationships/hyperlink" Target="https://talan.bank.gov.ua/get-user-certificate/sec1e4SPTb8m7Ayf30tX" TargetMode="External"/><Relationship Id="rId1291" Type="http://schemas.openxmlformats.org/officeDocument/2006/relationships/hyperlink" Target="https://talan.bank.gov.ua/get-user-certificate/sec1eZ9LQIyCCNgL51wF" TargetMode="External"/><Relationship Id="rId2135" Type="http://schemas.openxmlformats.org/officeDocument/2006/relationships/hyperlink" Target="https://talan.bank.gov.ua/get-user-certificate/sec1eybfPmJycbIqk-aY" TargetMode="External"/><Relationship Id="rId2342" Type="http://schemas.openxmlformats.org/officeDocument/2006/relationships/hyperlink" Target="https://talan.bank.gov.ua/get-user-certificate/sec1eK7LnBPcv2JKAYyL" TargetMode="External"/><Relationship Id="rId3600" Type="http://schemas.openxmlformats.org/officeDocument/2006/relationships/hyperlink" Target="https://talan.bank.gov.ua/get-user-certificate/sec1e_Om8X1sdTO1_qqr" TargetMode="External"/><Relationship Id="rId314" Type="http://schemas.openxmlformats.org/officeDocument/2006/relationships/hyperlink" Target="https://talan.bank.gov.ua/get-user-certificate/sec1eWWUpz892aJqkMSE" TargetMode="External"/><Relationship Id="rId521" Type="http://schemas.openxmlformats.org/officeDocument/2006/relationships/hyperlink" Target="https://talan.bank.gov.ua/get-user-certificate/sec1ejTZNwkDcsH4H5DV" TargetMode="External"/><Relationship Id="rId1151" Type="http://schemas.openxmlformats.org/officeDocument/2006/relationships/hyperlink" Target="https://talan.bank.gov.ua/get-user-certificate/sec1e-ayWcEaCnaMuU9j" TargetMode="External"/><Relationship Id="rId2202" Type="http://schemas.openxmlformats.org/officeDocument/2006/relationships/hyperlink" Target="https://talan.bank.gov.ua/get-user-certificate/sec1e5ERLVc6MmFFOzUY" TargetMode="External"/><Relationship Id="rId1011" Type="http://schemas.openxmlformats.org/officeDocument/2006/relationships/hyperlink" Target="https://talan.bank.gov.ua/get-user-certificate/sec1e3OfRvE5FBi2Rdcp" TargetMode="External"/><Relationship Id="rId1968" Type="http://schemas.openxmlformats.org/officeDocument/2006/relationships/hyperlink" Target="https://talan.bank.gov.ua/get-user-certificate/sec1e0vnYS68yhpwVpv7" TargetMode="External"/><Relationship Id="rId4167" Type="http://schemas.openxmlformats.org/officeDocument/2006/relationships/hyperlink" Target="https://talan.bank.gov.ua/get-user-certificate/sec1eB9IqS8EpUuwLVl_" TargetMode="External"/><Relationship Id="rId4374" Type="http://schemas.openxmlformats.org/officeDocument/2006/relationships/hyperlink" Target="https://talan.bank.gov.ua/get-user-certificate/sec1etFJhePFirhYshiy" TargetMode="External"/><Relationship Id="rId4581" Type="http://schemas.openxmlformats.org/officeDocument/2006/relationships/hyperlink" Target="https://talan.bank.gov.ua/get-user-certificate/sec1eLkHPg-CL4nIXvrm" TargetMode="External"/><Relationship Id="rId3183" Type="http://schemas.openxmlformats.org/officeDocument/2006/relationships/hyperlink" Target="https://talan.bank.gov.ua/get-user-certificate/sec1eOOy-4EGaZnrdO6C" TargetMode="External"/><Relationship Id="rId3390" Type="http://schemas.openxmlformats.org/officeDocument/2006/relationships/hyperlink" Target="https://talan.bank.gov.ua/get-user-certificate/sec1eqxgias_R20N3noM" TargetMode="External"/><Relationship Id="rId4027" Type="http://schemas.openxmlformats.org/officeDocument/2006/relationships/hyperlink" Target="https://talan.bank.gov.ua/get-user-certificate/sec1eZOOXbM1ZRTZzO3q" TargetMode="External"/><Relationship Id="rId4234" Type="http://schemas.openxmlformats.org/officeDocument/2006/relationships/hyperlink" Target="https://talan.bank.gov.ua/get-user-certificate/sec1eK2iGXGfsY9WRy2y" TargetMode="External"/><Relationship Id="rId4441" Type="http://schemas.openxmlformats.org/officeDocument/2006/relationships/hyperlink" Target="https://talan.bank.gov.ua/get-user-certificate/sec1eaRk0gcfevMQ6qlT" TargetMode="External"/><Relationship Id="rId1828" Type="http://schemas.openxmlformats.org/officeDocument/2006/relationships/hyperlink" Target="https://talan.bank.gov.ua/get-user-certificate/sec1eJzbvFusEt0mBpte" TargetMode="External"/><Relationship Id="rId3043" Type="http://schemas.openxmlformats.org/officeDocument/2006/relationships/hyperlink" Target="https://talan.bank.gov.ua/get-user-certificate/sec1eMDPSIMYzvG46QmY" TargetMode="External"/><Relationship Id="rId3250" Type="http://schemas.openxmlformats.org/officeDocument/2006/relationships/hyperlink" Target="https://talan.bank.gov.ua/get-user-certificate/sec1eERyAR5ZkwUsEHZy" TargetMode="External"/><Relationship Id="rId171" Type="http://schemas.openxmlformats.org/officeDocument/2006/relationships/hyperlink" Target="https://talan.bank.gov.ua/get-user-certificate/sec1ehLQexaRgP8iDTxE" TargetMode="External"/><Relationship Id="rId4301" Type="http://schemas.openxmlformats.org/officeDocument/2006/relationships/hyperlink" Target="https://talan.bank.gov.ua/get-user-certificate/sec1e_xVhNsZm0kRrlDz" TargetMode="External"/><Relationship Id="rId3110" Type="http://schemas.openxmlformats.org/officeDocument/2006/relationships/hyperlink" Target="https://talan.bank.gov.ua/get-user-certificate/sec1eX-ApmBaigxl2PkL" TargetMode="External"/><Relationship Id="rId988" Type="http://schemas.openxmlformats.org/officeDocument/2006/relationships/hyperlink" Target="https://talan.bank.gov.ua/get-user-certificate/sec1eQPYt8ZwRoNQCWbC" TargetMode="External"/><Relationship Id="rId2669" Type="http://schemas.openxmlformats.org/officeDocument/2006/relationships/hyperlink" Target="https://talan.bank.gov.ua/get-user-certificate/sec1e9bLdoenQv7Mp8ej" TargetMode="External"/><Relationship Id="rId2876" Type="http://schemas.openxmlformats.org/officeDocument/2006/relationships/hyperlink" Target="https://talan.bank.gov.ua/get-user-certificate/sec1e2XHMvlvv8WkyJD-" TargetMode="External"/><Relationship Id="rId3927" Type="http://schemas.openxmlformats.org/officeDocument/2006/relationships/hyperlink" Target="https://talan.bank.gov.ua/get-user-certificate/sec1e2TV9M9THD0SckAt" TargetMode="External"/><Relationship Id="rId848" Type="http://schemas.openxmlformats.org/officeDocument/2006/relationships/hyperlink" Target="https://talan.bank.gov.ua/get-user-certificate/sec1eSfL82cXz9c93mur" TargetMode="External"/><Relationship Id="rId1478" Type="http://schemas.openxmlformats.org/officeDocument/2006/relationships/hyperlink" Target="https://talan.bank.gov.ua/get-user-certificate/sec1eqaTTMAGkG90skbv" TargetMode="External"/><Relationship Id="rId1685" Type="http://schemas.openxmlformats.org/officeDocument/2006/relationships/hyperlink" Target="https://talan.bank.gov.ua/get-user-certificate/sec1eJkQZaC61cyY5Unf" TargetMode="External"/><Relationship Id="rId1892" Type="http://schemas.openxmlformats.org/officeDocument/2006/relationships/hyperlink" Target="https://talan.bank.gov.ua/get-user-certificate/sec1ecKB0QFDlW7eCg98" TargetMode="External"/><Relationship Id="rId2529" Type="http://schemas.openxmlformats.org/officeDocument/2006/relationships/hyperlink" Target="https://talan.bank.gov.ua/get-user-certificate/sec1eiXZtF6eH2HyqELA" TargetMode="External"/><Relationship Id="rId2736" Type="http://schemas.openxmlformats.org/officeDocument/2006/relationships/hyperlink" Target="https://talan.bank.gov.ua/get-user-certificate/sec1euKDpMgm0EjabYz0" TargetMode="External"/><Relationship Id="rId4091" Type="http://schemas.openxmlformats.org/officeDocument/2006/relationships/hyperlink" Target="https://talan.bank.gov.ua/get-user-certificate/sec1eqdJIMPaRRDzcKYs" TargetMode="External"/><Relationship Id="rId708" Type="http://schemas.openxmlformats.org/officeDocument/2006/relationships/hyperlink" Target="https://talan.bank.gov.ua/get-user-certificate/sec1eOt1pWWGsTqowD86" TargetMode="External"/><Relationship Id="rId915" Type="http://schemas.openxmlformats.org/officeDocument/2006/relationships/hyperlink" Target="https://talan.bank.gov.ua/get-user-certificate/sec1ehBjkNmmYC6nDnSB" TargetMode="External"/><Relationship Id="rId1338" Type="http://schemas.openxmlformats.org/officeDocument/2006/relationships/hyperlink" Target="https://talan.bank.gov.ua/get-user-certificate/sec1ePqSnk3w6QzAcTSl" TargetMode="External"/><Relationship Id="rId1545" Type="http://schemas.openxmlformats.org/officeDocument/2006/relationships/hyperlink" Target="https://talan.bank.gov.ua/get-user-certificate/sec1eawoWpcfliBiiz5u" TargetMode="External"/><Relationship Id="rId2943" Type="http://schemas.openxmlformats.org/officeDocument/2006/relationships/hyperlink" Target="https://talan.bank.gov.ua/get-user-certificate/sec1eeWTdaj94OT10Xq0" TargetMode="External"/><Relationship Id="rId5002" Type="http://schemas.openxmlformats.org/officeDocument/2006/relationships/hyperlink" Target="https://talan.bank.gov.ua/get-user-certificate/sec1ephc1C8pRtWM_Rj5" TargetMode="External"/><Relationship Id="rId1405" Type="http://schemas.openxmlformats.org/officeDocument/2006/relationships/hyperlink" Target="https://talan.bank.gov.ua/get-user-certificate/sec1eFuVmFtB2Ml2wXUC" TargetMode="External"/><Relationship Id="rId1752" Type="http://schemas.openxmlformats.org/officeDocument/2006/relationships/hyperlink" Target="https://talan.bank.gov.ua/get-user-certificate/sec1e6VUto7L55hRXkLl" TargetMode="External"/><Relationship Id="rId2803" Type="http://schemas.openxmlformats.org/officeDocument/2006/relationships/hyperlink" Target="https://talan.bank.gov.ua/get-user-certificate/sec1eNW6PSljk0W5Nzy1" TargetMode="External"/><Relationship Id="rId44" Type="http://schemas.openxmlformats.org/officeDocument/2006/relationships/hyperlink" Target="https://talan.bank.gov.ua/get-user-certificate/sec1eIzZPl5m1G-YMaJb" TargetMode="External"/><Relationship Id="rId1612" Type="http://schemas.openxmlformats.org/officeDocument/2006/relationships/hyperlink" Target="https://talan.bank.gov.ua/get-user-certificate/sec1eYnoi8npeCvGA-p4" TargetMode="External"/><Relationship Id="rId4768" Type="http://schemas.openxmlformats.org/officeDocument/2006/relationships/hyperlink" Target="https://talan.bank.gov.ua/get-user-certificate/sec1ebqbSNx4uiJUuLxX" TargetMode="External"/><Relationship Id="rId4975" Type="http://schemas.openxmlformats.org/officeDocument/2006/relationships/hyperlink" Target="https://talan.bank.gov.ua/get-user-certificate/sec1eslnfUnF0sqz-oJW" TargetMode="External"/><Relationship Id="rId498" Type="http://schemas.openxmlformats.org/officeDocument/2006/relationships/hyperlink" Target="https://talan.bank.gov.ua/get-user-certificate/sec1egH24iJ-nJqn0e-9" TargetMode="External"/><Relationship Id="rId2179" Type="http://schemas.openxmlformats.org/officeDocument/2006/relationships/hyperlink" Target="https://talan.bank.gov.ua/get-user-certificate/sec1erY_oaI7i8YnbxjQ" TargetMode="External"/><Relationship Id="rId3577" Type="http://schemas.openxmlformats.org/officeDocument/2006/relationships/hyperlink" Target="https://talan.bank.gov.ua/get-user-certificate/sec1eFhYJa0AAwRRdC--" TargetMode="External"/><Relationship Id="rId3784" Type="http://schemas.openxmlformats.org/officeDocument/2006/relationships/hyperlink" Target="https://talan.bank.gov.ua/get-user-certificate/sec1e5rWeT-oNXBEmPwe" TargetMode="External"/><Relationship Id="rId3991" Type="http://schemas.openxmlformats.org/officeDocument/2006/relationships/hyperlink" Target="https://talan.bank.gov.ua/get-user-certificate/sec1e6u53Bz-nznkR6gr" TargetMode="External"/><Relationship Id="rId4628" Type="http://schemas.openxmlformats.org/officeDocument/2006/relationships/hyperlink" Target="https://talan.bank.gov.ua/get-user-certificate/sec1eibDjljAiVg8tGye" TargetMode="External"/><Relationship Id="rId4835" Type="http://schemas.openxmlformats.org/officeDocument/2006/relationships/hyperlink" Target="https://talan.bank.gov.ua/get-user-certificate/sec1euA-b9_Qn4xV-5CW" TargetMode="External"/><Relationship Id="rId2386" Type="http://schemas.openxmlformats.org/officeDocument/2006/relationships/hyperlink" Target="https://talan.bank.gov.ua/get-user-certificate/sec1ea1fvqKxtkAXGa24" TargetMode="External"/><Relationship Id="rId2593" Type="http://schemas.openxmlformats.org/officeDocument/2006/relationships/hyperlink" Target="https://talan.bank.gov.ua/get-user-certificate/sec1eUx9Af4jPG0vZEeH" TargetMode="External"/><Relationship Id="rId3437" Type="http://schemas.openxmlformats.org/officeDocument/2006/relationships/hyperlink" Target="https://talan.bank.gov.ua/get-user-certificate/sec1eK7g7Touz2ITCv9b" TargetMode="External"/><Relationship Id="rId3644" Type="http://schemas.openxmlformats.org/officeDocument/2006/relationships/hyperlink" Target="https://talan.bank.gov.ua/get-user-certificate/sec1eKuio1t2wwfPZWNL" TargetMode="External"/><Relationship Id="rId3851" Type="http://schemas.openxmlformats.org/officeDocument/2006/relationships/hyperlink" Target="https://talan.bank.gov.ua/get-user-certificate/sec1eSH0TWjy59m5P8cc" TargetMode="External"/><Relationship Id="rId4902" Type="http://schemas.openxmlformats.org/officeDocument/2006/relationships/hyperlink" Target="https://talan.bank.gov.ua/get-user-certificate/sec1eljrVhWHd2pH68vL" TargetMode="External"/><Relationship Id="rId358" Type="http://schemas.openxmlformats.org/officeDocument/2006/relationships/hyperlink" Target="https://talan.bank.gov.ua/get-user-certificate/sec1eH7tARwXCgs8Jr1Q" TargetMode="External"/><Relationship Id="rId565" Type="http://schemas.openxmlformats.org/officeDocument/2006/relationships/hyperlink" Target="https://talan.bank.gov.ua/get-user-certificate/sec1ecZnKTlQHZRV_xzE" TargetMode="External"/><Relationship Id="rId772" Type="http://schemas.openxmlformats.org/officeDocument/2006/relationships/hyperlink" Target="https://talan.bank.gov.ua/get-user-certificate/sec1emFmC7uyolNfjJgO" TargetMode="External"/><Relationship Id="rId1195" Type="http://schemas.openxmlformats.org/officeDocument/2006/relationships/hyperlink" Target="https://talan.bank.gov.ua/get-user-certificate/sec1enar_WQZknEiE4SU" TargetMode="External"/><Relationship Id="rId2039" Type="http://schemas.openxmlformats.org/officeDocument/2006/relationships/hyperlink" Target="https://talan.bank.gov.ua/get-user-certificate/sec1e6e_-P321dUP7B_-" TargetMode="External"/><Relationship Id="rId2246" Type="http://schemas.openxmlformats.org/officeDocument/2006/relationships/hyperlink" Target="https://talan.bank.gov.ua/get-user-certificate/sec1ey1qmSncH6PMoCSr" TargetMode="External"/><Relationship Id="rId2453" Type="http://schemas.openxmlformats.org/officeDocument/2006/relationships/hyperlink" Target="https://talan.bank.gov.ua/get-user-certificate/sec1eDDKeYL1XZJiJPpt" TargetMode="External"/><Relationship Id="rId2660" Type="http://schemas.openxmlformats.org/officeDocument/2006/relationships/hyperlink" Target="https://talan.bank.gov.ua/get-user-certificate/sec1eyF-KNRuZ3g3v4Hm" TargetMode="External"/><Relationship Id="rId3504" Type="http://schemas.openxmlformats.org/officeDocument/2006/relationships/hyperlink" Target="https://talan.bank.gov.ua/get-user-certificate/sec1e68FakapB_fkfY98" TargetMode="External"/><Relationship Id="rId3711" Type="http://schemas.openxmlformats.org/officeDocument/2006/relationships/hyperlink" Target="https://talan.bank.gov.ua/get-user-certificate/sec1etdbwrJnFtPzLLN5" TargetMode="External"/><Relationship Id="rId218" Type="http://schemas.openxmlformats.org/officeDocument/2006/relationships/hyperlink" Target="https://talan.bank.gov.ua/get-user-certificate/sec1eyEQrYQpngjirV1d" TargetMode="External"/><Relationship Id="rId425" Type="http://schemas.openxmlformats.org/officeDocument/2006/relationships/hyperlink" Target="https://talan.bank.gov.ua/get-user-certificate/sec1e5waYMYBZRpdEHKS" TargetMode="External"/><Relationship Id="rId632" Type="http://schemas.openxmlformats.org/officeDocument/2006/relationships/hyperlink" Target="https://talan.bank.gov.ua/get-user-certificate/sec1eDUnrOMUDRDEGNCB" TargetMode="External"/><Relationship Id="rId1055" Type="http://schemas.openxmlformats.org/officeDocument/2006/relationships/hyperlink" Target="https://talan.bank.gov.ua/get-user-certificate/sec1e5ohC_RzoBOYj-ZL" TargetMode="External"/><Relationship Id="rId1262" Type="http://schemas.openxmlformats.org/officeDocument/2006/relationships/hyperlink" Target="https://talan.bank.gov.ua/get-user-certificate/sec1eaPOg8dLVrZCW2nu" TargetMode="External"/><Relationship Id="rId2106" Type="http://schemas.openxmlformats.org/officeDocument/2006/relationships/hyperlink" Target="https://talan.bank.gov.ua/get-user-certificate/sec1efhCaDgbtpsNRESK" TargetMode="External"/><Relationship Id="rId2313" Type="http://schemas.openxmlformats.org/officeDocument/2006/relationships/hyperlink" Target="https://talan.bank.gov.ua/get-user-certificate/sec1e1PPtcVd_eaww4qI" TargetMode="External"/><Relationship Id="rId2520" Type="http://schemas.openxmlformats.org/officeDocument/2006/relationships/hyperlink" Target="https://talan.bank.gov.ua/get-user-certificate/sec1eFOsfy5flgtV_2f6" TargetMode="External"/><Relationship Id="rId1122" Type="http://schemas.openxmlformats.org/officeDocument/2006/relationships/hyperlink" Target="https://talan.bank.gov.ua/get-user-certificate/sec1eiVNRIpNS6uZhxwd" TargetMode="External"/><Relationship Id="rId4278" Type="http://schemas.openxmlformats.org/officeDocument/2006/relationships/hyperlink" Target="https://talan.bank.gov.ua/get-user-certificate/sec1esVoZBbSrDv_ax5_" TargetMode="External"/><Relationship Id="rId4485" Type="http://schemas.openxmlformats.org/officeDocument/2006/relationships/hyperlink" Target="https://talan.bank.gov.ua/get-user-certificate/sec1eZYE2tfZiLp1KVDS" TargetMode="External"/><Relationship Id="rId3087" Type="http://schemas.openxmlformats.org/officeDocument/2006/relationships/hyperlink" Target="https://talan.bank.gov.ua/get-user-certificate/sec1epuojovUgTeizG5l" TargetMode="External"/><Relationship Id="rId3294" Type="http://schemas.openxmlformats.org/officeDocument/2006/relationships/hyperlink" Target="https://talan.bank.gov.ua/get-user-certificate/sec1eFNCcDZlHUzurc6A" TargetMode="External"/><Relationship Id="rId4138" Type="http://schemas.openxmlformats.org/officeDocument/2006/relationships/hyperlink" Target="https://talan.bank.gov.ua/get-user-certificate/sec1eNA0hVVf7Hnv5Uin" TargetMode="External"/><Relationship Id="rId4345" Type="http://schemas.openxmlformats.org/officeDocument/2006/relationships/hyperlink" Target="https://talan.bank.gov.ua/get-user-certificate/sec1edliDOWh-ptCnc0P" TargetMode="External"/><Relationship Id="rId4692" Type="http://schemas.openxmlformats.org/officeDocument/2006/relationships/hyperlink" Target="https://talan.bank.gov.ua/get-user-certificate/sec1egG2WB9TYI8MWeci" TargetMode="External"/><Relationship Id="rId1939" Type="http://schemas.openxmlformats.org/officeDocument/2006/relationships/hyperlink" Target="https://talan.bank.gov.ua/get-user-certificate/sec1e2Xue37jInMF_r_w" TargetMode="External"/><Relationship Id="rId4552" Type="http://schemas.openxmlformats.org/officeDocument/2006/relationships/hyperlink" Target="https://talan.bank.gov.ua/get-user-certificate/sec1eFNrOOuLCWYwi_0z" TargetMode="External"/><Relationship Id="rId3154" Type="http://schemas.openxmlformats.org/officeDocument/2006/relationships/hyperlink" Target="https://talan.bank.gov.ua/get-user-certificate/sec1eQYxSAwHcTDIeooC" TargetMode="External"/><Relationship Id="rId3361" Type="http://schemas.openxmlformats.org/officeDocument/2006/relationships/hyperlink" Target="https://talan.bank.gov.ua/get-user-certificate/sec1eWveJ0VQPp29g_nP" TargetMode="External"/><Relationship Id="rId4205" Type="http://schemas.openxmlformats.org/officeDocument/2006/relationships/hyperlink" Target="https://talan.bank.gov.ua/get-user-certificate/sec1eGGT1nFzv9j4_PMA" TargetMode="External"/><Relationship Id="rId4412" Type="http://schemas.openxmlformats.org/officeDocument/2006/relationships/hyperlink" Target="https://talan.bank.gov.ua/get-user-certificate/sec1eR7KJ4QxGpn5tJng" TargetMode="External"/><Relationship Id="rId282" Type="http://schemas.openxmlformats.org/officeDocument/2006/relationships/hyperlink" Target="https://talan.bank.gov.ua/get-user-certificate/sec1eHwLuktUP74KsfvQ" TargetMode="External"/><Relationship Id="rId2170" Type="http://schemas.openxmlformats.org/officeDocument/2006/relationships/hyperlink" Target="https://talan.bank.gov.ua/get-user-certificate/sec1evqksE3qoHPJp8fF" TargetMode="External"/><Relationship Id="rId3014" Type="http://schemas.openxmlformats.org/officeDocument/2006/relationships/hyperlink" Target="https://talan.bank.gov.ua/get-user-certificate/sec1e7wgR3KrLaz0hfxn" TargetMode="External"/><Relationship Id="rId3221" Type="http://schemas.openxmlformats.org/officeDocument/2006/relationships/hyperlink" Target="https://talan.bank.gov.ua/get-user-certificate/sec1eoqEY5T_Euo4iBXM" TargetMode="External"/><Relationship Id="rId8" Type="http://schemas.openxmlformats.org/officeDocument/2006/relationships/hyperlink" Target="https://talan.bank.gov.ua/get-user-certificate/sec1eBpM75L1F8MvAkgv" TargetMode="External"/><Relationship Id="rId142" Type="http://schemas.openxmlformats.org/officeDocument/2006/relationships/hyperlink" Target="https://talan.bank.gov.ua/get-user-certificate/sec1eAM_E0iyzh0ITo-n" TargetMode="External"/><Relationship Id="rId2030" Type="http://schemas.openxmlformats.org/officeDocument/2006/relationships/hyperlink" Target="https://talan.bank.gov.ua/get-user-certificate/sec1eHEWgEwdMCopKpNl" TargetMode="External"/><Relationship Id="rId2987" Type="http://schemas.openxmlformats.org/officeDocument/2006/relationships/hyperlink" Target="https://talan.bank.gov.ua/get-user-certificate/sec1epnY_oKSr3zCjg7Y" TargetMode="External"/><Relationship Id="rId959" Type="http://schemas.openxmlformats.org/officeDocument/2006/relationships/hyperlink" Target="https://talan.bank.gov.ua/get-user-certificate/sec1eLwwfDwJ43a7_wt8" TargetMode="External"/><Relationship Id="rId1589" Type="http://schemas.openxmlformats.org/officeDocument/2006/relationships/hyperlink" Target="https://talan.bank.gov.ua/get-user-certificate/sec1elffLuvbOqJ7TRc4" TargetMode="External"/><Relationship Id="rId1449" Type="http://schemas.openxmlformats.org/officeDocument/2006/relationships/hyperlink" Target="https://talan.bank.gov.ua/get-user-certificate/sec1ea2-UUv_wStgpfL9" TargetMode="External"/><Relationship Id="rId1796" Type="http://schemas.openxmlformats.org/officeDocument/2006/relationships/hyperlink" Target="https://talan.bank.gov.ua/get-user-certificate/sec1eK6fLTeF2Lf0OUYA" TargetMode="External"/><Relationship Id="rId2847" Type="http://schemas.openxmlformats.org/officeDocument/2006/relationships/hyperlink" Target="https://talan.bank.gov.ua/get-user-certificate/sec1eO4zJNd_Bi1ugQ_8" TargetMode="External"/><Relationship Id="rId4062" Type="http://schemas.openxmlformats.org/officeDocument/2006/relationships/hyperlink" Target="https://talan.bank.gov.ua/get-user-certificate/sec1e71Q_DYeYFpx-7E5" TargetMode="External"/><Relationship Id="rId88" Type="http://schemas.openxmlformats.org/officeDocument/2006/relationships/hyperlink" Target="https://talan.bank.gov.ua/get-user-certificate/sec1eDtnIpYKYB8dKKpU" TargetMode="External"/><Relationship Id="rId819" Type="http://schemas.openxmlformats.org/officeDocument/2006/relationships/hyperlink" Target="https://talan.bank.gov.ua/get-user-certificate/sec1exWf4LOKxt-GEN9m" TargetMode="External"/><Relationship Id="rId1656" Type="http://schemas.openxmlformats.org/officeDocument/2006/relationships/hyperlink" Target="https://talan.bank.gov.ua/get-user-certificate/sec1exr0DM4y-xiWABEZ" TargetMode="External"/><Relationship Id="rId1863" Type="http://schemas.openxmlformats.org/officeDocument/2006/relationships/hyperlink" Target="https://talan.bank.gov.ua/get-user-certificate/sec1eMGPQH3b37g3D4Yd" TargetMode="External"/><Relationship Id="rId2707" Type="http://schemas.openxmlformats.org/officeDocument/2006/relationships/hyperlink" Target="https://talan.bank.gov.ua/get-user-certificate/sec1emhBYZqz5WqSeIEQ" TargetMode="External"/><Relationship Id="rId2914" Type="http://schemas.openxmlformats.org/officeDocument/2006/relationships/hyperlink" Target="https://talan.bank.gov.ua/get-user-certificate/sec1eL51nU170C3lxqSS" TargetMode="External"/><Relationship Id="rId1309" Type="http://schemas.openxmlformats.org/officeDocument/2006/relationships/hyperlink" Target="https://talan.bank.gov.ua/get-user-certificate/sec1ek__sQL1rezt86z2" TargetMode="External"/><Relationship Id="rId1516" Type="http://schemas.openxmlformats.org/officeDocument/2006/relationships/hyperlink" Target="https://talan.bank.gov.ua/get-user-certificate/sec1ei6rcyfB35_PQ1Tu" TargetMode="External"/><Relationship Id="rId1723" Type="http://schemas.openxmlformats.org/officeDocument/2006/relationships/hyperlink" Target="https://talan.bank.gov.ua/get-user-certificate/sec1eW2VoTA69ZGCSLdG" TargetMode="External"/><Relationship Id="rId1930" Type="http://schemas.openxmlformats.org/officeDocument/2006/relationships/hyperlink" Target="https://talan.bank.gov.ua/get-user-certificate/sec1eTv1xuOwCUi_hzN9" TargetMode="External"/><Relationship Id="rId4879" Type="http://schemas.openxmlformats.org/officeDocument/2006/relationships/hyperlink" Target="https://talan.bank.gov.ua/get-user-certificate/sec1e5pdvD4bFB9cMHJ3" TargetMode="External"/><Relationship Id="rId15" Type="http://schemas.openxmlformats.org/officeDocument/2006/relationships/hyperlink" Target="https://talan.bank.gov.ua/get-user-certificate/sec1eM616MiJZLXi7j3x" TargetMode="External"/><Relationship Id="rId3688" Type="http://schemas.openxmlformats.org/officeDocument/2006/relationships/hyperlink" Target="https://talan.bank.gov.ua/get-user-certificate/sec1eh6a5BDoiZMyxOXB" TargetMode="External"/><Relationship Id="rId3895" Type="http://schemas.openxmlformats.org/officeDocument/2006/relationships/hyperlink" Target="https://talan.bank.gov.ua/get-user-certificate/sec1ePjFjgC7n4EFTRMH" TargetMode="External"/><Relationship Id="rId4739" Type="http://schemas.openxmlformats.org/officeDocument/2006/relationships/hyperlink" Target="https://talan.bank.gov.ua/get-user-certificate/sec1e1nFDwIaQBWgzbVH" TargetMode="External"/><Relationship Id="rId4946" Type="http://schemas.openxmlformats.org/officeDocument/2006/relationships/hyperlink" Target="https://talan.bank.gov.ua/get-user-certificate/sec1euLcqo-qS0KmI_GN" TargetMode="External"/><Relationship Id="rId2497" Type="http://schemas.openxmlformats.org/officeDocument/2006/relationships/hyperlink" Target="https://talan.bank.gov.ua/get-user-certificate/sec1emQLjSZ2HNIIVTV_" TargetMode="External"/><Relationship Id="rId3548" Type="http://schemas.openxmlformats.org/officeDocument/2006/relationships/hyperlink" Target="https://talan.bank.gov.ua/get-user-certificate/sec1eyxuRFhT691F5JLU" TargetMode="External"/><Relationship Id="rId3755" Type="http://schemas.openxmlformats.org/officeDocument/2006/relationships/hyperlink" Target="https://talan.bank.gov.ua/get-user-certificate/sec1exgrhjWaLXe8fIPm" TargetMode="External"/><Relationship Id="rId4806" Type="http://schemas.openxmlformats.org/officeDocument/2006/relationships/hyperlink" Target="https://talan.bank.gov.ua/get-user-certificate/sec1eliNLU_r16JMei2K" TargetMode="External"/><Relationship Id="rId469" Type="http://schemas.openxmlformats.org/officeDocument/2006/relationships/hyperlink" Target="https://talan.bank.gov.ua/get-user-certificate/sec1eabCF7MisV8LJHt3" TargetMode="External"/><Relationship Id="rId676" Type="http://schemas.openxmlformats.org/officeDocument/2006/relationships/hyperlink" Target="https://talan.bank.gov.ua/get-user-certificate/sec1eFOudbq2tfAup-P4" TargetMode="External"/><Relationship Id="rId883" Type="http://schemas.openxmlformats.org/officeDocument/2006/relationships/hyperlink" Target="https://talan.bank.gov.ua/get-user-certificate/sec1epxhX1YZsPrxaDVb" TargetMode="External"/><Relationship Id="rId1099" Type="http://schemas.openxmlformats.org/officeDocument/2006/relationships/hyperlink" Target="https://talan.bank.gov.ua/get-user-certificate/sec1e1s-OQi4XUWZ-Zwt" TargetMode="External"/><Relationship Id="rId2357" Type="http://schemas.openxmlformats.org/officeDocument/2006/relationships/hyperlink" Target="https://talan.bank.gov.ua/get-user-certificate/sec1eJoDJUDP9By3WEGG" TargetMode="External"/><Relationship Id="rId2564" Type="http://schemas.openxmlformats.org/officeDocument/2006/relationships/hyperlink" Target="https://talan.bank.gov.ua/get-user-certificate/sec1ew5cEoPORunSKZMT" TargetMode="External"/><Relationship Id="rId3408" Type="http://schemas.openxmlformats.org/officeDocument/2006/relationships/hyperlink" Target="https://talan.bank.gov.ua/get-user-certificate/sec1eqDuVUroJeVaj_Af" TargetMode="External"/><Relationship Id="rId3615" Type="http://schemas.openxmlformats.org/officeDocument/2006/relationships/hyperlink" Target="https://talan.bank.gov.ua/get-user-certificate/sec1eCd5Ldk_-WBZUVdy" TargetMode="External"/><Relationship Id="rId3962" Type="http://schemas.openxmlformats.org/officeDocument/2006/relationships/hyperlink" Target="https://talan.bank.gov.ua/get-user-certificate/sec1ekCma9bwEkuaXN2I" TargetMode="External"/><Relationship Id="rId329" Type="http://schemas.openxmlformats.org/officeDocument/2006/relationships/hyperlink" Target="https://talan.bank.gov.ua/get-user-certificate/sec1ejv72vtxEJXj7_gc" TargetMode="External"/><Relationship Id="rId536" Type="http://schemas.openxmlformats.org/officeDocument/2006/relationships/hyperlink" Target="https://talan.bank.gov.ua/get-user-certificate/sec1eM8lEXHYgbk6VMWe" TargetMode="External"/><Relationship Id="rId1166" Type="http://schemas.openxmlformats.org/officeDocument/2006/relationships/hyperlink" Target="https://talan.bank.gov.ua/get-user-certificate/sec1eUhpBLUJjY3VDhHl" TargetMode="External"/><Relationship Id="rId1373" Type="http://schemas.openxmlformats.org/officeDocument/2006/relationships/hyperlink" Target="https://talan.bank.gov.ua/get-user-certificate/sec1eGcFIZ4Ep7kIi_Xl" TargetMode="External"/><Relationship Id="rId2217" Type="http://schemas.openxmlformats.org/officeDocument/2006/relationships/hyperlink" Target="https://talan.bank.gov.ua/get-user-certificate/sec1ey4ygwj_-ozQMruS" TargetMode="External"/><Relationship Id="rId2771" Type="http://schemas.openxmlformats.org/officeDocument/2006/relationships/hyperlink" Target="https://talan.bank.gov.ua/get-user-certificate/sec1egtE0hMfTs2KHriY" TargetMode="External"/><Relationship Id="rId3822" Type="http://schemas.openxmlformats.org/officeDocument/2006/relationships/hyperlink" Target="https://talan.bank.gov.ua/get-user-certificate/sec1eL7UeMaM6W0A2k3z" TargetMode="External"/><Relationship Id="rId743" Type="http://schemas.openxmlformats.org/officeDocument/2006/relationships/hyperlink" Target="https://talan.bank.gov.ua/get-user-certificate/sec1eftjMTfmvNUiOctJ" TargetMode="External"/><Relationship Id="rId950" Type="http://schemas.openxmlformats.org/officeDocument/2006/relationships/hyperlink" Target="https://talan.bank.gov.ua/get-user-certificate/sec1ev1169STtaFaMxEV" TargetMode="External"/><Relationship Id="rId1026" Type="http://schemas.openxmlformats.org/officeDocument/2006/relationships/hyperlink" Target="https://talan.bank.gov.ua/get-user-certificate/sec1eSIdRvF7wIMe7hue" TargetMode="External"/><Relationship Id="rId1580" Type="http://schemas.openxmlformats.org/officeDocument/2006/relationships/hyperlink" Target="https://talan.bank.gov.ua/get-user-certificate/sec1eECEaZ9kP09DVQSB" TargetMode="External"/><Relationship Id="rId2424" Type="http://schemas.openxmlformats.org/officeDocument/2006/relationships/hyperlink" Target="https://talan.bank.gov.ua/get-user-certificate/sec1emWJe6IfIkSCyoPG" TargetMode="External"/><Relationship Id="rId2631" Type="http://schemas.openxmlformats.org/officeDocument/2006/relationships/hyperlink" Target="https://talan.bank.gov.ua/get-user-certificate/sec1eNpor78rHAvs5gca" TargetMode="External"/><Relationship Id="rId4389" Type="http://schemas.openxmlformats.org/officeDocument/2006/relationships/hyperlink" Target="https://talan.bank.gov.ua/get-user-certificate/sec1eqwQYBB9Z4f0tXCZ" TargetMode="External"/><Relationship Id="rId603" Type="http://schemas.openxmlformats.org/officeDocument/2006/relationships/hyperlink" Target="https://talan.bank.gov.ua/get-user-certificate/sec1e4jV1kPpq2zd_OKO" TargetMode="External"/><Relationship Id="rId810" Type="http://schemas.openxmlformats.org/officeDocument/2006/relationships/hyperlink" Target="https://talan.bank.gov.ua/get-user-certificate/sec1e0EOH1Ptg9o1hb5-" TargetMode="External"/><Relationship Id="rId1233" Type="http://schemas.openxmlformats.org/officeDocument/2006/relationships/hyperlink" Target="https://talan.bank.gov.ua/get-user-certificate/sec1e9jUHbvsynqhf4S-" TargetMode="External"/><Relationship Id="rId1440" Type="http://schemas.openxmlformats.org/officeDocument/2006/relationships/hyperlink" Target="https://talan.bank.gov.ua/get-user-certificate/sec1eDgio_BO7rsX6LfJ" TargetMode="External"/><Relationship Id="rId4596" Type="http://schemas.openxmlformats.org/officeDocument/2006/relationships/hyperlink" Target="https://talan.bank.gov.ua/get-user-certificate/sec1eG6NzmNFW1VXM0Dr" TargetMode="External"/><Relationship Id="rId1300" Type="http://schemas.openxmlformats.org/officeDocument/2006/relationships/hyperlink" Target="https://talan.bank.gov.ua/get-user-certificate/sec1e62OJ9KglkLuIWeR" TargetMode="External"/><Relationship Id="rId3198" Type="http://schemas.openxmlformats.org/officeDocument/2006/relationships/hyperlink" Target="https://talan.bank.gov.ua/get-user-certificate/sec1ekGiUm-_2FKfJSOj" TargetMode="External"/><Relationship Id="rId4249" Type="http://schemas.openxmlformats.org/officeDocument/2006/relationships/hyperlink" Target="https://talan.bank.gov.ua/get-user-certificate/sec1e93y9N13xpdI7CVO" TargetMode="External"/><Relationship Id="rId4456" Type="http://schemas.openxmlformats.org/officeDocument/2006/relationships/hyperlink" Target="https://talan.bank.gov.ua/get-user-certificate/sec1eBJUKKuRUng6GHje" TargetMode="External"/><Relationship Id="rId4663" Type="http://schemas.openxmlformats.org/officeDocument/2006/relationships/hyperlink" Target="https://talan.bank.gov.ua/get-user-certificate/sec1erf6OsHKYVMG0zPz" TargetMode="External"/><Relationship Id="rId4870" Type="http://schemas.openxmlformats.org/officeDocument/2006/relationships/hyperlink" Target="https://talan.bank.gov.ua/get-user-certificate/sec1eVcRntpQ_c9WMGsf" TargetMode="External"/><Relationship Id="rId3058" Type="http://schemas.openxmlformats.org/officeDocument/2006/relationships/hyperlink" Target="https://talan.bank.gov.ua/get-user-certificate/sec1efWa1mQxhX1SVjVg" TargetMode="External"/><Relationship Id="rId3265" Type="http://schemas.openxmlformats.org/officeDocument/2006/relationships/hyperlink" Target="https://talan.bank.gov.ua/get-user-certificate/sec1eGb6JCIjH6T3AVit" TargetMode="External"/><Relationship Id="rId3472" Type="http://schemas.openxmlformats.org/officeDocument/2006/relationships/hyperlink" Target="https://talan.bank.gov.ua/get-user-certificate/sec1e54nZ5PD7zgmIRoh" TargetMode="External"/><Relationship Id="rId4109" Type="http://schemas.openxmlformats.org/officeDocument/2006/relationships/hyperlink" Target="https://talan.bank.gov.ua/get-user-certificate/sec1eTHuvwbL2H_lbUfe" TargetMode="External"/><Relationship Id="rId4316" Type="http://schemas.openxmlformats.org/officeDocument/2006/relationships/hyperlink" Target="https://talan.bank.gov.ua/get-user-certificate/sec1egnoD4H_mQ2VB01Y" TargetMode="External"/><Relationship Id="rId4523" Type="http://schemas.openxmlformats.org/officeDocument/2006/relationships/hyperlink" Target="https://talan.bank.gov.ua/get-user-certificate/sec1eR1cmLsg334U7kOb" TargetMode="External"/><Relationship Id="rId4730" Type="http://schemas.openxmlformats.org/officeDocument/2006/relationships/hyperlink" Target="https://talan.bank.gov.ua/get-user-certificate/sec1eZ1omR0dxmkv12Eu" TargetMode="External"/><Relationship Id="rId186" Type="http://schemas.openxmlformats.org/officeDocument/2006/relationships/hyperlink" Target="https://talan.bank.gov.ua/get-user-certificate/sec1e4WynxaPntFuk_TF" TargetMode="External"/><Relationship Id="rId393" Type="http://schemas.openxmlformats.org/officeDocument/2006/relationships/hyperlink" Target="https://talan.bank.gov.ua/get-user-certificate/sec1esbbrPPmIrFMwSgn" TargetMode="External"/><Relationship Id="rId2074" Type="http://schemas.openxmlformats.org/officeDocument/2006/relationships/hyperlink" Target="https://talan.bank.gov.ua/get-user-certificate/sec1eCNLyMvV_2I5OykO" TargetMode="External"/><Relationship Id="rId2281" Type="http://schemas.openxmlformats.org/officeDocument/2006/relationships/hyperlink" Target="https://talan.bank.gov.ua/get-user-certificate/sec1elKYlRoFVe7r3GmS" TargetMode="External"/><Relationship Id="rId3125" Type="http://schemas.openxmlformats.org/officeDocument/2006/relationships/hyperlink" Target="https://talan.bank.gov.ua/get-user-certificate/sec1e9ZvM7fn20V3ffz6" TargetMode="External"/><Relationship Id="rId3332" Type="http://schemas.openxmlformats.org/officeDocument/2006/relationships/hyperlink" Target="https://talan.bank.gov.ua/get-user-certificate/sec1e90qlI-Q6V3dm4eH" TargetMode="External"/><Relationship Id="rId253" Type="http://schemas.openxmlformats.org/officeDocument/2006/relationships/hyperlink" Target="https://talan.bank.gov.ua/get-user-certificate/sec1eRD655IQ_yKIxTzo" TargetMode="External"/><Relationship Id="rId460" Type="http://schemas.openxmlformats.org/officeDocument/2006/relationships/hyperlink" Target="https://talan.bank.gov.ua/get-user-certificate/sec1ep1pOuKyvXcxYAac" TargetMode="External"/><Relationship Id="rId1090" Type="http://schemas.openxmlformats.org/officeDocument/2006/relationships/hyperlink" Target="https://talan.bank.gov.ua/get-user-certificate/sec1etVHZ6uihzBq-qSY" TargetMode="External"/><Relationship Id="rId2141" Type="http://schemas.openxmlformats.org/officeDocument/2006/relationships/hyperlink" Target="https://talan.bank.gov.ua/get-user-certificate/sec1eDnusQAjm7BALwlv" TargetMode="External"/><Relationship Id="rId113" Type="http://schemas.openxmlformats.org/officeDocument/2006/relationships/hyperlink" Target="https://talan.bank.gov.ua/get-user-certificate/sec1eaShrfAY3QaXv0I3" TargetMode="External"/><Relationship Id="rId320" Type="http://schemas.openxmlformats.org/officeDocument/2006/relationships/hyperlink" Target="https://talan.bank.gov.ua/get-user-certificate/sec1eBnB3_3IlGQcYqzF" TargetMode="External"/><Relationship Id="rId2001" Type="http://schemas.openxmlformats.org/officeDocument/2006/relationships/hyperlink" Target="https://talan.bank.gov.ua/get-user-certificate/sec1eYqJwgRw4Se5fysa" TargetMode="External"/><Relationship Id="rId2958" Type="http://schemas.openxmlformats.org/officeDocument/2006/relationships/hyperlink" Target="https://talan.bank.gov.ua/get-user-certificate/sec1eid-hoXO0896rWU1" TargetMode="External"/><Relationship Id="rId5017" Type="http://schemas.openxmlformats.org/officeDocument/2006/relationships/hyperlink" Target="https://talan.bank.gov.ua/get-user-certificate/f7i-sugOLcIhNwxZLMNw" TargetMode="External"/><Relationship Id="rId1767" Type="http://schemas.openxmlformats.org/officeDocument/2006/relationships/hyperlink" Target="https://talan.bank.gov.ua/get-user-certificate/sec1ezMQQwaEQkX2S0S-" TargetMode="External"/><Relationship Id="rId1974" Type="http://schemas.openxmlformats.org/officeDocument/2006/relationships/hyperlink" Target="https://talan.bank.gov.ua/get-user-certificate/sec1exkzg28l2UZj2bZr" TargetMode="External"/><Relationship Id="rId2818" Type="http://schemas.openxmlformats.org/officeDocument/2006/relationships/hyperlink" Target="https://talan.bank.gov.ua/get-user-certificate/sec1eQxpBXeZo8YlsIVt" TargetMode="External"/><Relationship Id="rId4173" Type="http://schemas.openxmlformats.org/officeDocument/2006/relationships/hyperlink" Target="https://talan.bank.gov.ua/get-user-certificate/sec1ek1IYwyp4p8x6_gu" TargetMode="External"/><Relationship Id="rId4380" Type="http://schemas.openxmlformats.org/officeDocument/2006/relationships/hyperlink" Target="https://talan.bank.gov.ua/get-user-certificate/sec1eFboK1nLuAdlcGmL" TargetMode="External"/><Relationship Id="rId59" Type="http://schemas.openxmlformats.org/officeDocument/2006/relationships/hyperlink" Target="https://talan.bank.gov.ua/get-user-certificate/sec1ehbtejVfwZbIDrrM" TargetMode="External"/><Relationship Id="rId1627" Type="http://schemas.openxmlformats.org/officeDocument/2006/relationships/hyperlink" Target="https://talan.bank.gov.ua/get-user-certificate/sec1egH113olxsN4qVWF" TargetMode="External"/><Relationship Id="rId1834" Type="http://schemas.openxmlformats.org/officeDocument/2006/relationships/hyperlink" Target="https://talan.bank.gov.ua/get-user-certificate/sec1eO0xqZak3Zrvztes" TargetMode="External"/><Relationship Id="rId4033" Type="http://schemas.openxmlformats.org/officeDocument/2006/relationships/hyperlink" Target="https://talan.bank.gov.ua/get-user-certificate/sec1e2BPQnlKR98M3h4u" TargetMode="External"/><Relationship Id="rId4240" Type="http://schemas.openxmlformats.org/officeDocument/2006/relationships/hyperlink" Target="https://talan.bank.gov.ua/get-user-certificate/sec1eViRK3kt_hfHQWdT" TargetMode="External"/><Relationship Id="rId3799" Type="http://schemas.openxmlformats.org/officeDocument/2006/relationships/hyperlink" Target="https://talan.bank.gov.ua/get-user-certificate/sec1eRPJdt7yYl9LyaBk" TargetMode="External"/><Relationship Id="rId4100" Type="http://schemas.openxmlformats.org/officeDocument/2006/relationships/hyperlink" Target="https://talan.bank.gov.ua/get-user-certificate/sec1e-YJkP-Rq8hHeKgy" TargetMode="External"/><Relationship Id="rId1901" Type="http://schemas.openxmlformats.org/officeDocument/2006/relationships/hyperlink" Target="https://talan.bank.gov.ua/get-user-certificate/sec1eCNNmeajgktB48if" TargetMode="External"/><Relationship Id="rId3659" Type="http://schemas.openxmlformats.org/officeDocument/2006/relationships/hyperlink" Target="https://talan.bank.gov.ua/get-user-certificate/sec1eKzJdtZLcWTr_Jck" TargetMode="External"/><Relationship Id="rId3866" Type="http://schemas.openxmlformats.org/officeDocument/2006/relationships/hyperlink" Target="https://talan.bank.gov.ua/get-user-certificate/sec1egiTaQcgjo5sfSwv" TargetMode="External"/><Relationship Id="rId4917" Type="http://schemas.openxmlformats.org/officeDocument/2006/relationships/hyperlink" Target="https://talan.bank.gov.ua/get-user-certificate/sec1eG-ArRLjRximGYJh" TargetMode="External"/><Relationship Id="rId787" Type="http://schemas.openxmlformats.org/officeDocument/2006/relationships/hyperlink" Target="https://talan.bank.gov.ua/get-user-certificate/sec1eBseiV6co5tTDcre" TargetMode="External"/><Relationship Id="rId994" Type="http://schemas.openxmlformats.org/officeDocument/2006/relationships/hyperlink" Target="https://talan.bank.gov.ua/get-user-certificate/sec1e4WN8MQrCP2e_ACc" TargetMode="External"/><Relationship Id="rId2468" Type="http://schemas.openxmlformats.org/officeDocument/2006/relationships/hyperlink" Target="https://talan.bank.gov.ua/get-user-certificate/sec1eEzrPaSZw4Sy3ErP" TargetMode="External"/><Relationship Id="rId2675" Type="http://schemas.openxmlformats.org/officeDocument/2006/relationships/hyperlink" Target="https://talan.bank.gov.ua/get-user-certificate/sec1e38SEjDdPz1KW_E8" TargetMode="External"/><Relationship Id="rId2882" Type="http://schemas.openxmlformats.org/officeDocument/2006/relationships/hyperlink" Target="https://talan.bank.gov.ua/get-user-certificate/sec1eVFTGZc6a41qabMP" TargetMode="External"/><Relationship Id="rId3519" Type="http://schemas.openxmlformats.org/officeDocument/2006/relationships/hyperlink" Target="https://talan.bank.gov.ua/get-user-certificate/sec1eIBa7IJ6HPoi_Rfc" TargetMode="External"/><Relationship Id="rId3726" Type="http://schemas.openxmlformats.org/officeDocument/2006/relationships/hyperlink" Target="https://talan.bank.gov.ua/get-user-certificate/sec1eIV3P80Ns8UzZnJE" TargetMode="External"/><Relationship Id="rId3933" Type="http://schemas.openxmlformats.org/officeDocument/2006/relationships/hyperlink" Target="https://talan.bank.gov.ua/get-user-certificate/sec1eL2on-U_G79nWKtd" TargetMode="External"/><Relationship Id="rId647" Type="http://schemas.openxmlformats.org/officeDocument/2006/relationships/hyperlink" Target="https://talan.bank.gov.ua/get-user-certificate/sec1e1TWw6c7pgNRsoAJ" TargetMode="External"/><Relationship Id="rId854" Type="http://schemas.openxmlformats.org/officeDocument/2006/relationships/hyperlink" Target="https://talan.bank.gov.ua/get-user-certificate/sec1e4WYph4MfGHooC_T" TargetMode="External"/><Relationship Id="rId1277" Type="http://schemas.openxmlformats.org/officeDocument/2006/relationships/hyperlink" Target="https://talan.bank.gov.ua/get-user-certificate/sec1ewsbALw8c1LHJGVZ" TargetMode="External"/><Relationship Id="rId1484" Type="http://schemas.openxmlformats.org/officeDocument/2006/relationships/hyperlink" Target="https://talan.bank.gov.ua/get-user-certificate/sec1eobgS6xuuM9hwNkg" TargetMode="External"/><Relationship Id="rId1691" Type="http://schemas.openxmlformats.org/officeDocument/2006/relationships/hyperlink" Target="https://talan.bank.gov.ua/get-user-certificate/sec1ewWsZmrmb7pGUFel" TargetMode="External"/><Relationship Id="rId2328" Type="http://schemas.openxmlformats.org/officeDocument/2006/relationships/hyperlink" Target="https://talan.bank.gov.ua/get-user-certificate/sec1eP00QSOVJ-AhCrEL" TargetMode="External"/><Relationship Id="rId2535" Type="http://schemas.openxmlformats.org/officeDocument/2006/relationships/hyperlink" Target="https://talan.bank.gov.ua/get-user-certificate/sec1eJ_4dOv8jAavWAoM" TargetMode="External"/><Relationship Id="rId2742" Type="http://schemas.openxmlformats.org/officeDocument/2006/relationships/hyperlink" Target="https://talan.bank.gov.ua/get-user-certificate/sec1eKu1lUtZug9BAoaN" TargetMode="External"/><Relationship Id="rId507" Type="http://schemas.openxmlformats.org/officeDocument/2006/relationships/hyperlink" Target="https://talan.bank.gov.ua/get-user-certificate/sec1eoOlsFV7OS4XI-Bg" TargetMode="External"/><Relationship Id="rId714" Type="http://schemas.openxmlformats.org/officeDocument/2006/relationships/hyperlink" Target="https://talan.bank.gov.ua/get-user-certificate/sec1eO8dY3tZVIJZXEar" TargetMode="External"/><Relationship Id="rId921" Type="http://schemas.openxmlformats.org/officeDocument/2006/relationships/hyperlink" Target="https://talan.bank.gov.ua/get-user-certificate/sec1edsl9F1ODsAakaAn" TargetMode="External"/><Relationship Id="rId1137" Type="http://schemas.openxmlformats.org/officeDocument/2006/relationships/hyperlink" Target="https://talan.bank.gov.ua/get-user-certificate/sec1evjUsLF-rTj3tQf2" TargetMode="External"/><Relationship Id="rId1344" Type="http://schemas.openxmlformats.org/officeDocument/2006/relationships/hyperlink" Target="https://talan.bank.gov.ua/get-user-certificate/sec1eduj9D9PC80vm2Y7" TargetMode="External"/><Relationship Id="rId1551" Type="http://schemas.openxmlformats.org/officeDocument/2006/relationships/hyperlink" Target="https://talan.bank.gov.ua/get-user-certificate/sec1eQ9FCZlmQjYB4E-e" TargetMode="External"/><Relationship Id="rId2602" Type="http://schemas.openxmlformats.org/officeDocument/2006/relationships/hyperlink" Target="https://talan.bank.gov.ua/get-user-certificate/sec1epHVxfJ1u5whTIER" TargetMode="External"/><Relationship Id="rId50" Type="http://schemas.openxmlformats.org/officeDocument/2006/relationships/hyperlink" Target="https://talan.bank.gov.ua/get-user-certificate/sec1e7mIyBi3CbZDvF9l" TargetMode="External"/><Relationship Id="rId1204" Type="http://schemas.openxmlformats.org/officeDocument/2006/relationships/hyperlink" Target="https://talan.bank.gov.ua/get-user-certificate/sec1eG9wFiTexmKF5yE2" TargetMode="External"/><Relationship Id="rId1411" Type="http://schemas.openxmlformats.org/officeDocument/2006/relationships/hyperlink" Target="https://talan.bank.gov.ua/get-user-certificate/sec1eTz7Vo5CendtMX3h" TargetMode="External"/><Relationship Id="rId4567" Type="http://schemas.openxmlformats.org/officeDocument/2006/relationships/hyperlink" Target="https://talan.bank.gov.ua/get-user-certificate/sec1eAoBO955pG0x79H3" TargetMode="External"/><Relationship Id="rId4774" Type="http://schemas.openxmlformats.org/officeDocument/2006/relationships/hyperlink" Target="https://talan.bank.gov.ua/get-user-certificate/sec1eK4pqbeCAQSayCUl" TargetMode="External"/><Relationship Id="rId3169" Type="http://schemas.openxmlformats.org/officeDocument/2006/relationships/hyperlink" Target="https://talan.bank.gov.ua/get-user-certificate/sec1eEEzVzSIJQFKWIm3" TargetMode="External"/><Relationship Id="rId3376" Type="http://schemas.openxmlformats.org/officeDocument/2006/relationships/hyperlink" Target="https://talan.bank.gov.ua/get-user-certificate/sec1eHpIphrsal45pw0f" TargetMode="External"/><Relationship Id="rId3583" Type="http://schemas.openxmlformats.org/officeDocument/2006/relationships/hyperlink" Target="https://talan.bank.gov.ua/get-user-certificate/sec1eVtTlPAPmUj56utI" TargetMode="External"/><Relationship Id="rId4427" Type="http://schemas.openxmlformats.org/officeDocument/2006/relationships/hyperlink" Target="https://talan.bank.gov.ua/get-user-certificate/sec1eSt6SHtAE-nCRrnx" TargetMode="External"/><Relationship Id="rId4981" Type="http://schemas.openxmlformats.org/officeDocument/2006/relationships/hyperlink" Target="https://talan.bank.gov.ua/get-user-certificate/sec1emMENH6mkQbBDDhB" TargetMode="External"/><Relationship Id="rId297" Type="http://schemas.openxmlformats.org/officeDocument/2006/relationships/hyperlink" Target="https://talan.bank.gov.ua/get-user-certificate/sec1eaj-42xCckP1cNQe" TargetMode="External"/><Relationship Id="rId2185" Type="http://schemas.openxmlformats.org/officeDocument/2006/relationships/hyperlink" Target="https://talan.bank.gov.ua/get-user-certificate/sec1e_lWKkVqUtUZYFZp" TargetMode="External"/><Relationship Id="rId2392" Type="http://schemas.openxmlformats.org/officeDocument/2006/relationships/hyperlink" Target="https://talan.bank.gov.ua/get-user-certificate/sec1ebBRmxGhlXl4z_YH" TargetMode="External"/><Relationship Id="rId3029" Type="http://schemas.openxmlformats.org/officeDocument/2006/relationships/hyperlink" Target="https://talan.bank.gov.ua/get-user-certificate/sec1eROtTPbAcnU4hLkU" TargetMode="External"/><Relationship Id="rId3236" Type="http://schemas.openxmlformats.org/officeDocument/2006/relationships/hyperlink" Target="https://talan.bank.gov.ua/get-user-certificate/sec1e9SDWDu74fST1eXo" TargetMode="External"/><Relationship Id="rId3790" Type="http://schemas.openxmlformats.org/officeDocument/2006/relationships/hyperlink" Target="https://talan.bank.gov.ua/get-user-certificate/sec1e5d88oLd_s8w5VUR" TargetMode="External"/><Relationship Id="rId4634" Type="http://schemas.openxmlformats.org/officeDocument/2006/relationships/hyperlink" Target="https://talan.bank.gov.ua/get-user-certificate/sec1e8JPRSMnwzvvgGGY" TargetMode="External"/><Relationship Id="rId4841" Type="http://schemas.openxmlformats.org/officeDocument/2006/relationships/hyperlink" Target="https://talan.bank.gov.ua/get-user-certificate/sec1ezyS_cspRCXW-7Om" TargetMode="External"/><Relationship Id="rId157" Type="http://schemas.openxmlformats.org/officeDocument/2006/relationships/hyperlink" Target="https://talan.bank.gov.ua/get-user-certificate/sec1e44iYo4HeS8sZNdS" TargetMode="External"/><Relationship Id="rId364" Type="http://schemas.openxmlformats.org/officeDocument/2006/relationships/hyperlink" Target="https://talan.bank.gov.ua/get-user-certificate/sec1e45NtZyqO45rpmaC" TargetMode="External"/><Relationship Id="rId2045" Type="http://schemas.openxmlformats.org/officeDocument/2006/relationships/hyperlink" Target="https://talan.bank.gov.ua/get-user-certificate/sec1efP13-ARCx6D7uIR" TargetMode="External"/><Relationship Id="rId3443" Type="http://schemas.openxmlformats.org/officeDocument/2006/relationships/hyperlink" Target="https://talan.bank.gov.ua/get-user-certificate/sec1eqjy3hPUHQWKFiat" TargetMode="External"/><Relationship Id="rId3650" Type="http://schemas.openxmlformats.org/officeDocument/2006/relationships/hyperlink" Target="https://talan.bank.gov.ua/get-user-certificate/sec1eOFLOuTuDAtzbTxq" TargetMode="External"/><Relationship Id="rId4701" Type="http://schemas.openxmlformats.org/officeDocument/2006/relationships/hyperlink" Target="https://talan.bank.gov.ua/get-user-certificate/sec1enxOxYSc26N1yG4y" TargetMode="External"/><Relationship Id="rId571" Type="http://schemas.openxmlformats.org/officeDocument/2006/relationships/hyperlink" Target="https://talan.bank.gov.ua/get-user-certificate/sec1eD4j9h495Elf6OCt" TargetMode="External"/><Relationship Id="rId2252" Type="http://schemas.openxmlformats.org/officeDocument/2006/relationships/hyperlink" Target="https://talan.bank.gov.ua/get-user-certificate/sec1eDKdMwdZTEq-yOQG" TargetMode="External"/><Relationship Id="rId3303" Type="http://schemas.openxmlformats.org/officeDocument/2006/relationships/hyperlink" Target="https://talan.bank.gov.ua/get-user-certificate/sec1eOPfC9DZmeIYpuRL" TargetMode="External"/><Relationship Id="rId3510" Type="http://schemas.openxmlformats.org/officeDocument/2006/relationships/hyperlink" Target="https://talan.bank.gov.ua/get-user-certificate/sec1ePAUICTrHh3vo-aA" TargetMode="External"/><Relationship Id="rId224" Type="http://schemas.openxmlformats.org/officeDocument/2006/relationships/hyperlink" Target="https://talan.bank.gov.ua/get-user-certificate/sec1e8YQB99C3ScYB-yG" TargetMode="External"/><Relationship Id="rId431" Type="http://schemas.openxmlformats.org/officeDocument/2006/relationships/hyperlink" Target="https://talan.bank.gov.ua/get-user-certificate/sec1eKiGzlc2sCXJSplB" TargetMode="External"/><Relationship Id="rId1061" Type="http://schemas.openxmlformats.org/officeDocument/2006/relationships/hyperlink" Target="https://talan.bank.gov.ua/get-user-certificate/sec1eIJ4cowA2nz0IaTI" TargetMode="External"/><Relationship Id="rId2112" Type="http://schemas.openxmlformats.org/officeDocument/2006/relationships/hyperlink" Target="https://talan.bank.gov.ua/get-user-certificate/sec1enUuu-zebVQdzKOQ" TargetMode="External"/><Relationship Id="rId1878" Type="http://schemas.openxmlformats.org/officeDocument/2006/relationships/hyperlink" Target="https://talan.bank.gov.ua/get-user-certificate/sec1ejCRoncf-KCdcEbJ" TargetMode="External"/><Relationship Id="rId2929" Type="http://schemas.openxmlformats.org/officeDocument/2006/relationships/hyperlink" Target="https://talan.bank.gov.ua/get-user-certificate/sec1epLRUCbaHl0mZR4B" TargetMode="External"/><Relationship Id="rId4077" Type="http://schemas.openxmlformats.org/officeDocument/2006/relationships/hyperlink" Target="https://talan.bank.gov.ua/get-user-certificate/sec1e-Y1Is1EPu49zO0t" TargetMode="External"/><Relationship Id="rId4284" Type="http://schemas.openxmlformats.org/officeDocument/2006/relationships/hyperlink" Target="https://talan.bank.gov.ua/get-user-certificate/sec1eCaF5BwVMTL9dtUq" TargetMode="External"/><Relationship Id="rId4491" Type="http://schemas.openxmlformats.org/officeDocument/2006/relationships/hyperlink" Target="https://talan.bank.gov.ua/get-user-certificate/sec1ea8yk8efzfM1LQ9u" TargetMode="External"/><Relationship Id="rId1738" Type="http://schemas.openxmlformats.org/officeDocument/2006/relationships/hyperlink" Target="https://talan.bank.gov.ua/get-user-certificate/sec1epbahq48WyoZRy9R" TargetMode="External"/><Relationship Id="rId3093" Type="http://schemas.openxmlformats.org/officeDocument/2006/relationships/hyperlink" Target="https://talan.bank.gov.ua/get-user-certificate/sec1eMazUbCXYD8UCJv-" TargetMode="External"/><Relationship Id="rId4144" Type="http://schemas.openxmlformats.org/officeDocument/2006/relationships/hyperlink" Target="https://talan.bank.gov.ua/get-user-certificate/sec1erdOSW2cT68h52G2" TargetMode="External"/><Relationship Id="rId4351" Type="http://schemas.openxmlformats.org/officeDocument/2006/relationships/hyperlink" Target="https://talan.bank.gov.ua/get-user-certificate/sec1esQTfZHDH1D7gbf7" TargetMode="External"/><Relationship Id="rId1945" Type="http://schemas.openxmlformats.org/officeDocument/2006/relationships/hyperlink" Target="https://talan.bank.gov.ua/get-user-certificate/sec1e9HagW4Pg9vUmxVS" TargetMode="External"/><Relationship Id="rId3160" Type="http://schemas.openxmlformats.org/officeDocument/2006/relationships/hyperlink" Target="https://talan.bank.gov.ua/get-user-certificate/sec1eXBSpgsmuqsJrvl3" TargetMode="External"/><Relationship Id="rId4004" Type="http://schemas.openxmlformats.org/officeDocument/2006/relationships/hyperlink" Target="https://talan.bank.gov.ua/get-user-certificate/sec1eu1_EC44GoAY3TBS" TargetMode="External"/><Relationship Id="rId4211" Type="http://schemas.openxmlformats.org/officeDocument/2006/relationships/hyperlink" Target="https://talan.bank.gov.ua/get-user-certificate/sec1e-UbbK0ztMwz3Kkl" TargetMode="External"/><Relationship Id="rId1805" Type="http://schemas.openxmlformats.org/officeDocument/2006/relationships/hyperlink" Target="https://talan.bank.gov.ua/get-user-certificate/sec1eugp5719cB9t1_Og" TargetMode="External"/><Relationship Id="rId3020" Type="http://schemas.openxmlformats.org/officeDocument/2006/relationships/hyperlink" Target="https://talan.bank.gov.ua/get-user-certificate/sec1ekmrjsjb15VuQBiU" TargetMode="External"/><Relationship Id="rId3977" Type="http://schemas.openxmlformats.org/officeDocument/2006/relationships/hyperlink" Target="https://talan.bank.gov.ua/get-user-certificate/sec1eQEpUHKKjiCNb8d5" TargetMode="External"/><Relationship Id="rId898" Type="http://schemas.openxmlformats.org/officeDocument/2006/relationships/hyperlink" Target="https://talan.bank.gov.ua/get-user-certificate/sec1eYh_9WyQTNvoMhby" TargetMode="External"/><Relationship Id="rId2579" Type="http://schemas.openxmlformats.org/officeDocument/2006/relationships/hyperlink" Target="https://talan.bank.gov.ua/get-user-certificate/sec1eu0YhEKUjHmDTN66" TargetMode="External"/><Relationship Id="rId2786" Type="http://schemas.openxmlformats.org/officeDocument/2006/relationships/hyperlink" Target="https://talan.bank.gov.ua/get-user-certificate/sec1eWcsieFYl1BionGk" TargetMode="External"/><Relationship Id="rId2993" Type="http://schemas.openxmlformats.org/officeDocument/2006/relationships/hyperlink" Target="https://talan.bank.gov.ua/get-user-certificate/sec1eAONh5r-_PFjbzQJ" TargetMode="External"/><Relationship Id="rId3837" Type="http://schemas.openxmlformats.org/officeDocument/2006/relationships/hyperlink" Target="https://talan.bank.gov.ua/get-user-certificate/sec1eBZxbR2FZXac0fuX" TargetMode="External"/><Relationship Id="rId758" Type="http://schemas.openxmlformats.org/officeDocument/2006/relationships/hyperlink" Target="https://talan.bank.gov.ua/get-user-certificate/sec1e-_PtMo4fgo2yqmj" TargetMode="External"/><Relationship Id="rId965" Type="http://schemas.openxmlformats.org/officeDocument/2006/relationships/hyperlink" Target="https://talan.bank.gov.ua/get-user-certificate/sec1e5dTR2iPM_nZ_3zm" TargetMode="External"/><Relationship Id="rId1388" Type="http://schemas.openxmlformats.org/officeDocument/2006/relationships/hyperlink" Target="https://talan.bank.gov.ua/get-user-certificate/sec1eHqfxFRGfx8qQDZ-" TargetMode="External"/><Relationship Id="rId1595" Type="http://schemas.openxmlformats.org/officeDocument/2006/relationships/hyperlink" Target="https://talan.bank.gov.ua/get-user-certificate/sec1eHMuTQdPAUyP6MFG" TargetMode="External"/><Relationship Id="rId2439" Type="http://schemas.openxmlformats.org/officeDocument/2006/relationships/hyperlink" Target="https://talan.bank.gov.ua/get-user-certificate/sec1ejqzC3a1UKMFSx5T" TargetMode="External"/><Relationship Id="rId2646" Type="http://schemas.openxmlformats.org/officeDocument/2006/relationships/hyperlink" Target="https://talan.bank.gov.ua/get-user-certificate/sec1eaeDQfpoDij3KC0x" TargetMode="External"/><Relationship Id="rId2853" Type="http://schemas.openxmlformats.org/officeDocument/2006/relationships/hyperlink" Target="https://talan.bank.gov.ua/get-user-certificate/sec1emCHlKynWf9qvnUL" TargetMode="External"/><Relationship Id="rId3904" Type="http://schemas.openxmlformats.org/officeDocument/2006/relationships/hyperlink" Target="https://talan.bank.gov.ua/get-user-certificate/sec1ecbyshPqNwDdSo6-" TargetMode="External"/><Relationship Id="rId94" Type="http://schemas.openxmlformats.org/officeDocument/2006/relationships/hyperlink" Target="https://talan.bank.gov.ua/get-user-certificate/sec1eFhdbGVaToYWb0et" TargetMode="External"/><Relationship Id="rId618" Type="http://schemas.openxmlformats.org/officeDocument/2006/relationships/hyperlink" Target="https://talan.bank.gov.ua/get-user-certificate/sec1eyMfJzMEz8GuoFpc" TargetMode="External"/><Relationship Id="rId825" Type="http://schemas.openxmlformats.org/officeDocument/2006/relationships/hyperlink" Target="https://talan.bank.gov.ua/get-user-certificate/sec1ezV20BiQ_mwWIAIP" TargetMode="External"/><Relationship Id="rId1248" Type="http://schemas.openxmlformats.org/officeDocument/2006/relationships/hyperlink" Target="https://talan.bank.gov.ua/get-user-certificate/sec1eQabO8OngFaR32b-" TargetMode="External"/><Relationship Id="rId1455" Type="http://schemas.openxmlformats.org/officeDocument/2006/relationships/hyperlink" Target="https://talan.bank.gov.ua/get-user-certificate/sec1eknt0UQ5nyUB25cP" TargetMode="External"/><Relationship Id="rId1662" Type="http://schemas.openxmlformats.org/officeDocument/2006/relationships/hyperlink" Target="https://talan.bank.gov.ua/get-user-certificate/sec1eNi8wdkjEZgcMgRT" TargetMode="External"/><Relationship Id="rId2506" Type="http://schemas.openxmlformats.org/officeDocument/2006/relationships/hyperlink" Target="https://talan.bank.gov.ua/get-user-certificate/sec1eX-XptQslw9pss8S" TargetMode="External"/><Relationship Id="rId1108" Type="http://schemas.openxmlformats.org/officeDocument/2006/relationships/hyperlink" Target="https://talan.bank.gov.ua/get-user-certificate/sec1enWGH_fg00argwF9" TargetMode="External"/><Relationship Id="rId1315" Type="http://schemas.openxmlformats.org/officeDocument/2006/relationships/hyperlink" Target="https://talan.bank.gov.ua/get-user-certificate/sec1edYUW32UiVOkumzj" TargetMode="External"/><Relationship Id="rId2713" Type="http://schemas.openxmlformats.org/officeDocument/2006/relationships/hyperlink" Target="https://talan.bank.gov.ua/get-user-certificate/sec1ej1Pf-J0ktCe7DUZ" TargetMode="External"/><Relationship Id="rId2920" Type="http://schemas.openxmlformats.org/officeDocument/2006/relationships/hyperlink" Target="https://talan.bank.gov.ua/get-user-certificate/sec1e9lKjqsbwVBYnj_H" TargetMode="External"/><Relationship Id="rId4678" Type="http://schemas.openxmlformats.org/officeDocument/2006/relationships/hyperlink" Target="https://talan.bank.gov.ua/get-user-certificate/sec1e7Dp2DBk5lDRph1_" TargetMode="External"/><Relationship Id="rId1522" Type="http://schemas.openxmlformats.org/officeDocument/2006/relationships/hyperlink" Target="https://talan.bank.gov.ua/get-user-certificate/sec1eChJk3oWCHxrOpX_" TargetMode="External"/><Relationship Id="rId4885" Type="http://schemas.openxmlformats.org/officeDocument/2006/relationships/hyperlink" Target="https://talan.bank.gov.ua/get-user-certificate/sec1etQ9GQMr1ht0FHRE" TargetMode="External"/><Relationship Id="rId21" Type="http://schemas.openxmlformats.org/officeDocument/2006/relationships/hyperlink" Target="https://talan.bank.gov.ua/get-user-certificate/sec1e_DSDwiMBQA76Ixt" TargetMode="External"/><Relationship Id="rId2089" Type="http://schemas.openxmlformats.org/officeDocument/2006/relationships/hyperlink" Target="https://talan.bank.gov.ua/get-user-certificate/sec1eWd25NxKgosfljGz" TargetMode="External"/><Relationship Id="rId3487" Type="http://schemas.openxmlformats.org/officeDocument/2006/relationships/hyperlink" Target="https://talan.bank.gov.ua/get-user-certificate/sec1eZj3iLMnR1uX2knD" TargetMode="External"/><Relationship Id="rId3694" Type="http://schemas.openxmlformats.org/officeDocument/2006/relationships/hyperlink" Target="https://talan.bank.gov.ua/get-user-certificate/sec1eG7TELabOJ85o53g" TargetMode="External"/><Relationship Id="rId4538" Type="http://schemas.openxmlformats.org/officeDocument/2006/relationships/hyperlink" Target="https://talan.bank.gov.ua/get-user-certificate/sec1eM8tuF9imSxYQYFa" TargetMode="External"/><Relationship Id="rId4745" Type="http://schemas.openxmlformats.org/officeDocument/2006/relationships/hyperlink" Target="https://talan.bank.gov.ua/get-user-certificate/sec1eFBe-e9rdDmj1bKc" TargetMode="External"/><Relationship Id="rId4952" Type="http://schemas.openxmlformats.org/officeDocument/2006/relationships/hyperlink" Target="https://talan.bank.gov.ua/get-user-certificate/sec1eCPU-Y6HHvJ1CfiH" TargetMode="External"/><Relationship Id="rId2296" Type="http://schemas.openxmlformats.org/officeDocument/2006/relationships/hyperlink" Target="https://talan.bank.gov.ua/get-user-certificate/sec1eZojEao1sEw6hCM-" TargetMode="External"/><Relationship Id="rId3347" Type="http://schemas.openxmlformats.org/officeDocument/2006/relationships/hyperlink" Target="https://talan.bank.gov.ua/get-user-certificate/sec1e_nUCJ8RmXF2Dj2O" TargetMode="External"/><Relationship Id="rId3554" Type="http://schemas.openxmlformats.org/officeDocument/2006/relationships/hyperlink" Target="https://talan.bank.gov.ua/get-user-certificate/sec1emWnYo86pE3BbbKV" TargetMode="External"/><Relationship Id="rId3761" Type="http://schemas.openxmlformats.org/officeDocument/2006/relationships/hyperlink" Target="https://talan.bank.gov.ua/get-user-certificate/sec1eIHxoSeq7zs4dbPo" TargetMode="External"/><Relationship Id="rId4605" Type="http://schemas.openxmlformats.org/officeDocument/2006/relationships/hyperlink" Target="https://talan.bank.gov.ua/get-user-certificate/sec1eiVP4FPpHVeIuCVy" TargetMode="External"/><Relationship Id="rId4812" Type="http://schemas.openxmlformats.org/officeDocument/2006/relationships/hyperlink" Target="https://talan.bank.gov.ua/get-user-certificate/sec1e5AFjhwVrIZnf15_" TargetMode="External"/><Relationship Id="rId268" Type="http://schemas.openxmlformats.org/officeDocument/2006/relationships/hyperlink" Target="https://talan.bank.gov.ua/get-user-certificate/sec1eyOVtRDvtSKSlZbj" TargetMode="External"/><Relationship Id="rId475" Type="http://schemas.openxmlformats.org/officeDocument/2006/relationships/hyperlink" Target="https://talan.bank.gov.ua/get-user-certificate/sec1eE8R8g361WbD5hX3" TargetMode="External"/><Relationship Id="rId682" Type="http://schemas.openxmlformats.org/officeDocument/2006/relationships/hyperlink" Target="https://talan.bank.gov.ua/get-user-certificate/sec1es8I6W7Yxz5QmCgY" TargetMode="External"/><Relationship Id="rId2156" Type="http://schemas.openxmlformats.org/officeDocument/2006/relationships/hyperlink" Target="https://talan.bank.gov.ua/get-user-certificate/sec1el8GTWZwfn9TEIPS" TargetMode="External"/><Relationship Id="rId2363" Type="http://schemas.openxmlformats.org/officeDocument/2006/relationships/hyperlink" Target="https://talan.bank.gov.ua/get-user-certificate/sec1e-fJEXJK-fnxIIsd" TargetMode="External"/><Relationship Id="rId2570" Type="http://schemas.openxmlformats.org/officeDocument/2006/relationships/hyperlink" Target="https://talan.bank.gov.ua/get-user-certificate/sec1eFEW465o0MSFJeOm" TargetMode="External"/><Relationship Id="rId3207" Type="http://schemas.openxmlformats.org/officeDocument/2006/relationships/hyperlink" Target="https://talan.bank.gov.ua/get-user-certificate/sec1eJfy4DgXJVRtItFp" TargetMode="External"/><Relationship Id="rId3414" Type="http://schemas.openxmlformats.org/officeDocument/2006/relationships/hyperlink" Target="https://talan.bank.gov.ua/get-user-certificate/sec1ehxOXEZYxFHW6MYc" TargetMode="External"/><Relationship Id="rId3621" Type="http://schemas.openxmlformats.org/officeDocument/2006/relationships/hyperlink" Target="https://talan.bank.gov.ua/get-user-certificate/sec1e_nwnKelPRIHNtgT" TargetMode="External"/><Relationship Id="rId128" Type="http://schemas.openxmlformats.org/officeDocument/2006/relationships/hyperlink" Target="https://talan.bank.gov.ua/get-user-certificate/sec1ePg_ZyYHR1XGGuIL" TargetMode="External"/><Relationship Id="rId335" Type="http://schemas.openxmlformats.org/officeDocument/2006/relationships/hyperlink" Target="https://talan.bank.gov.ua/get-user-certificate/sec1eZV7zU2MGPbHgxBh" TargetMode="External"/><Relationship Id="rId542" Type="http://schemas.openxmlformats.org/officeDocument/2006/relationships/hyperlink" Target="https://talan.bank.gov.ua/get-user-certificate/sec1efhp78PuGl3-7Igl" TargetMode="External"/><Relationship Id="rId1172" Type="http://schemas.openxmlformats.org/officeDocument/2006/relationships/hyperlink" Target="https://talan.bank.gov.ua/get-user-certificate/sec1e-f6Iktmq-oi4vXT" TargetMode="External"/><Relationship Id="rId2016" Type="http://schemas.openxmlformats.org/officeDocument/2006/relationships/hyperlink" Target="https://talan.bank.gov.ua/get-user-certificate/sec1eBIQ122jDSmXU43w" TargetMode="External"/><Relationship Id="rId2223" Type="http://schemas.openxmlformats.org/officeDocument/2006/relationships/hyperlink" Target="https://talan.bank.gov.ua/get-user-certificate/sec1eotjlGmIGJyCTFz3" TargetMode="External"/><Relationship Id="rId2430" Type="http://schemas.openxmlformats.org/officeDocument/2006/relationships/hyperlink" Target="https://talan.bank.gov.ua/get-user-certificate/sec1eSIKFTQxk2iUuM5y" TargetMode="External"/><Relationship Id="rId402" Type="http://schemas.openxmlformats.org/officeDocument/2006/relationships/hyperlink" Target="https://talan.bank.gov.ua/get-user-certificate/sec1eCmZApUAdZNI6CCr" TargetMode="External"/><Relationship Id="rId1032" Type="http://schemas.openxmlformats.org/officeDocument/2006/relationships/hyperlink" Target="https://talan.bank.gov.ua/get-user-certificate/sec1efX1dsdJmTrj8ED-" TargetMode="External"/><Relationship Id="rId4188" Type="http://schemas.openxmlformats.org/officeDocument/2006/relationships/hyperlink" Target="https://talan.bank.gov.ua/get-user-certificate/sec1eciORIx-0wlnD_Xb" TargetMode="External"/><Relationship Id="rId4395" Type="http://schemas.openxmlformats.org/officeDocument/2006/relationships/hyperlink" Target="https://talan.bank.gov.ua/get-user-certificate/sec1eiulUDKZRbPYm2Gh" TargetMode="External"/><Relationship Id="rId1989" Type="http://schemas.openxmlformats.org/officeDocument/2006/relationships/hyperlink" Target="https://talan.bank.gov.ua/get-user-certificate/sec1elH12Nzn1dOcgdu_" TargetMode="External"/><Relationship Id="rId4048" Type="http://schemas.openxmlformats.org/officeDocument/2006/relationships/hyperlink" Target="https://talan.bank.gov.ua/get-user-certificate/sec1em_gWKsdFghkCeD3" TargetMode="External"/><Relationship Id="rId4255" Type="http://schemas.openxmlformats.org/officeDocument/2006/relationships/hyperlink" Target="https://talan.bank.gov.ua/get-user-certificate/sec1eR13dbTV6RGDli2J" TargetMode="External"/><Relationship Id="rId1849" Type="http://schemas.openxmlformats.org/officeDocument/2006/relationships/hyperlink" Target="https://talan.bank.gov.ua/get-user-certificate/sec1eA2H2gbwGpbCixLF" TargetMode="External"/><Relationship Id="rId3064" Type="http://schemas.openxmlformats.org/officeDocument/2006/relationships/hyperlink" Target="https://talan.bank.gov.ua/get-user-certificate/sec1ehxtiSaFNancFmrE" TargetMode="External"/><Relationship Id="rId4462" Type="http://schemas.openxmlformats.org/officeDocument/2006/relationships/hyperlink" Target="https://talan.bank.gov.ua/get-user-certificate/sec1eT8OZsPN5yJpp3kT" TargetMode="External"/><Relationship Id="rId192" Type="http://schemas.openxmlformats.org/officeDocument/2006/relationships/hyperlink" Target="https://talan.bank.gov.ua/get-user-certificate/sec1eWQL8dTQQpqck48N" TargetMode="External"/><Relationship Id="rId1709" Type="http://schemas.openxmlformats.org/officeDocument/2006/relationships/hyperlink" Target="https://talan.bank.gov.ua/get-user-certificate/sec1eT5Q4ok7WQr01gmC" TargetMode="External"/><Relationship Id="rId1916" Type="http://schemas.openxmlformats.org/officeDocument/2006/relationships/hyperlink" Target="https://talan.bank.gov.ua/get-user-certificate/sec1e-8CgdtgvBXv0W4c" TargetMode="External"/><Relationship Id="rId3271" Type="http://schemas.openxmlformats.org/officeDocument/2006/relationships/hyperlink" Target="https://talan.bank.gov.ua/get-user-certificate/sec1e27tG7-xCFiLvz2X" TargetMode="External"/><Relationship Id="rId4115" Type="http://schemas.openxmlformats.org/officeDocument/2006/relationships/hyperlink" Target="https://talan.bank.gov.ua/get-user-certificate/sec1eHJAPjA4lSzPxb1K" TargetMode="External"/><Relationship Id="rId4322" Type="http://schemas.openxmlformats.org/officeDocument/2006/relationships/hyperlink" Target="https://talan.bank.gov.ua/get-user-certificate/sec1eqlK21qXIjrYk4wL" TargetMode="External"/><Relationship Id="rId2080" Type="http://schemas.openxmlformats.org/officeDocument/2006/relationships/hyperlink" Target="https://talan.bank.gov.ua/get-user-certificate/sec1ehc4S1t8ao2Hct0x" TargetMode="External"/><Relationship Id="rId3131" Type="http://schemas.openxmlformats.org/officeDocument/2006/relationships/hyperlink" Target="https://talan.bank.gov.ua/get-user-certificate/sec1eW4YV6uuJlSaSbgT" TargetMode="External"/><Relationship Id="rId2897" Type="http://schemas.openxmlformats.org/officeDocument/2006/relationships/hyperlink" Target="https://talan.bank.gov.ua/get-user-certificate/sec1eVUue57zrVQGmJIz" TargetMode="External"/><Relationship Id="rId3948" Type="http://schemas.openxmlformats.org/officeDocument/2006/relationships/hyperlink" Target="https://talan.bank.gov.ua/get-user-certificate/sec1ejYZ5x5mHvfyXXMQ" TargetMode="External"/><Relationship Id="rId869" Type="http://schemas.openxmlformats.org/officeDocument/2006/relationships/hyperlink" Target="https://talan.bank.gov.ua/get-user-certificate/sec1eTodVUsus4U8m2Nx" TargetMode="External"/><Relationship Id="rId1499" Type="http://schemas.openxmlformats.org/officeDocument/2006/relationships/hyperlink" Target="https://talan.bank.gov.ua/get-user-certificate/sec1eEAH4EPweE766ANB" TargetMode="External"/><Relationship Id="rId729" Type="http://schemas.openxmlformats.org/officeDocument/2006/relationships/hyperlink" Target="https://talan.bank.gov.ua/get-user-certificate/sec1exWM4BP5g0RKAWwu" TargetMode="External"/><Relationship Id="rId1359" Type="http://schemas.openxmlformats.org/officeDocument/2006/relationships/hyperlink" Target="https://talan.bank.gov.ua/get-user-certificate/sec1eJxkt80vg2ighKEX" TargetMode="External"/><Relationship Id="rId2757" Type="http://schemas.openxmlformats.org/officeDocument/2006/relationships/hyperlink" Target="https://talan.bank.gov.ua/get-user-certificate/sec1epoos8jwALZhVmXN" TargetMode="External"/><Relationship Id="rId2964" Type="http://schemas.openxmlformats.org/officeDocument/2006/relationships/hyperlink" Target="https://talan.bank.gov.ua/get-user-certificate/sec1er0h5yxdLQ0w7iWk" TargetMode="External"/><Relationship Id="rId3808" Type="http://schemas.openxmlformats.org/officeDocument/2006/relationships/hyperlink" Target="https://talan.bank.gov.ua/get-user-certificate/sec1eTC6b8rDUIjo0Hp1" TargetMode="External"/><Relationship Id="rId5023" Type="http://schemas.openxmlformats.org/officeDocument/2006/relationships/hyperlink" Target="https://talan.bank.gov.ua/get-user-certificate/f7i-soJT12k57O9mHBM1" TargetMode="External"/><Relationship Id="rId936" Type="http://schemas.openxmlformats.org/officeDocument/2006/relationships/hyperlink" Target="https://talan.bank.gov.ua/get-user-certificate/sec1eX_jYanOQiQH5G3n" TargetMode="External"/><Relationship Id="rId1219" Type="http://schemas.openxmlformats.org/officeDocument/2006/relationships/hyperlink" Target="https://talan.bank.gov.ua/get-user-certificate/sec1eG25CEVX9FknYbKa" TargetMode="External"/><Relationship Id="rId1566" Type="http://schemas.openxmlformats.org/officeDocument/2006/relationships/hyperlink" Target="https://talan.bank.gov.ua/get-user-certificate/sec1eNtur4BODe4malWU" TargetMode="External"/><Relationship Id="rId1773" Type="http://schemas.openxmlformats.org/officeDocument/2006/relationships/hyperlink" Target="https://talan.bank.gov.ua/get-user-certificate/sec1ejKsrAM9P3-c6lMH" TargetMode="External"/><Relationship Id="rId1980" Type="http://schemas.openxmlformats.org/officeDocument/2006/relationships/hyperlink" Target="https://talan.bank.gov.ua/get-user-certificate/sec1eHt3-49WiawcRZDi" TargetMode="External"/><Relationship Id="rId2617" Type="http://schemas.openxmlformats.org/officeDocument/2006/relationships/hyperlink" Target="https://talan.bank.gov.ua/get-user-certificate/sec1eYKceg8PyOR9uhml" TargetMode="External"/><Relationship Id="rId2824" Type="http://schemas.openxmlformats.org/officeDocument/2006/relationships/hyperlink" Target="https://talan.bank.gov.ua/get-user-certificate/sec1e9FnSQOKm0MrpQrx" TargetMode="External"/><Relationship Id="rId65" Type="http://schemas.openxmlformats.org/officeDocument/2006/relationships/hyperlink" Target="https://talan.bank.gov.ua/get-user-certificate/sec1eS3jtCeOwshiKor8" TargetMode="External"/><Relationship Id="rId1426" Type="http://schemas.openxmlformats.org/officeDocument/2006/relationships/hyperlink" Target="https://talan.bank.gov.ua/get-user-certificate/sec1e30JqdEdHt5pV-7i" TargetMode="External"/><Relationship Id="rId1633" Type="http://schemas.openxmlformats.org/officeDocument/2006/relationships/hyperlink" Target="https://talan.bank.gov.ua/get-user-certificate/sec1eaEM33p6PHVZoJDx" TargetMode="External"/><Relationship Id="rId1840" Type="http://schemas.openxmlformats.org/officeDocument/2006/relationships/hyperlink" Target="https://talan.bank.gov.ua/get-user-certificate/sec1eIE2Sg6ZhV2yuYAG" TargetMode="External"/><Relationship Id="rId4789" Type="http://schemas.openxmlformats.org/officeDocument/2006/relationships/hyperlink" Target="https://talan.bank.gov.ua/get-user-certificate/sec1e0EPG86SVjzlJRu0" TargetMode="External"/><Relationship Id="rId4996" Type="http://schemas.openxmlformats.org/officeDocument/2006/relationships/hyperlink" Target="https://talan.bank.gov.ua/get-user-certificate/sec1eRdEHpy16kOo9L6o" TargetMode="External"/><Relationship Id="rId1700" Type="http://schemas.openxmlformats.org/officeDocument/2006/relationships/hyperlink" Target="https://talan.bank.gov.ua/get-user-certificate/sec1eYE8V72mHni_a-NI" TargetMode="External"/><Relationship Id="rId3598" Type="http://schemas.openxmlformats.org/officeDocument/2006/relationships/hyperlink" Target="https://talan.bank.gov.ua/get-user-certificate/sec1eo7Xt0QPP7ysGamI" TargetMode="External"/><Relationship Id="rId4649" Type="http://schemas.openxmlformats.org/officeDocument/2006/relationships/hyperlink" Target="https://talan.bank.gov.ua/get-user-certificate/sec1e8IZLCEC5GVkgD9T" TargetMode="External"/><Relationship Id="rId4856" Type="http://schemas.openxmlformats.org/officeDocument/2006/relationships/hyperlink" Target="https://talan.bank.gov.ua/get-user-certificate/sec1em22kTVGHs5_Q7Eo" TargetMode="External"/><Relationship Id="rId3458" Type="http://schemas.openxmlformats.org/officeDocument/2006/relationships/hyperlink" Target="https://talan.bank.gov.ua/get-user-certificate/sec1eo_j_Wb2mSl8id65" TargetMode="External"/><Relationship Id="rId3665" Type="http://schemas.openxmlformats.org/officeDocument/2006/relationships/hyperlink" Target="https://talan.bank.gov.ua/get-user-certificate/sec1eAxTyWC5UOMtlp1g" TargetMode="External"/><Relationship Id="rId3872" Type="http://schemas.openxmlformats.org/officeDocument/2006/relationships/hyperlink" Target="https://talan.bank.gov.ua/get-user-certificate/sec1eKe-94TwpRl4M4Z0" TargetMode="External"/><Relationship Id="rId4509" Type="http://schemas.openxmlformats.org/officeDocument/2006/relationships/hyperlink" Target="https://talan.bank.gov.ua/get-user-certificate/sec1eBCkjTBk0VLIbQhf" TargetMode="External"/><Relationship Id="rId4716" Type="http://schemas.openxmlformats.org/officeDocument/2006/relationships/hyperlink" Target="https://talan.bank.gov.ua/get-user-certificate/sec1eExuDmPaVa_RW0Rw" TargetMode="External"/><Relationship Id="rId379" Type="http://schemas.openxmlformats.org/officeDocument/2006/relationships/hyperlink" Target="https://talan.bank.gov.ua/get-user-certificate/sec1ei00v-W0FRfU9zds" TargetMode="External"/><Relationship Id="rId586" Type="http://schemas.openxmlformats.org/officeDocument/2006/relationships/hyperlink" Target="https://talan.bank.gov.ua/get-user-certificate/sec1euLnDgK-vvXLvj4c" TargetMode="External"/><Relationship Id="rId793" Type="http://schemas.openxmlformats.org/officeDocument/2006/relationships/hyperlink" Target="https://talan.bank.gov.ua/get-user-certificate/sec1e5elLn_1X37eXTGD" TargetMode="External"/><Relationship Id="rId2267" Type="http://schemas.openxmlformats.org/officeDocument/2006/relationships/hyperlink" Target="https://talan.bank.gov.ua/get-user-certificate/sec1eg-UtlYPFi6Py9jq" TargetMode="External"/><Relationship Id="rId2474" Type="http://schemas.openxmlformats.org/officeDocument/2006/relationships/hyperlink" Target="https://talan.bank.gov.ua/get-user-certificate/sec1eDGKxH178svJthY5" TargetMode="External"/><Relationship Id="rId2681" Type="http://schemas.openxmlformats.org/officeDocument/2006/relationships/hyperlink" Target="https://talan.bank.gov.ua/get-user-certificate/sec1eid12W7aFdsWATWL" TargetMode="External"/><Relationship Id="rId3318" Type="http://schemas.openxmlformats.org/officeDocument/2006/relationships/hyperlink" Target="https://talan.bank.gov.ua/get-user-certificate/sec1e_pyHuhp_krqqdQB" TargetMode="External"/><Relationship Id="rId3525" Type="http://schemas.openxmlformats.org/officeDocument/2006/relationships/hyperlink" Target="https://talan.bank.gov.ua/get-user-certificate/sec1ec8Gr5oR_NLrxYf9" TargetMode="External"/><Relationship Id="rId4923" Type="http://schemas.openxmlformats.org/officeDocument/2006/relationships/hyperlink" Target="https://talan.bank.gov.ua/get-user-certificate/sec1eEAdWE6Olyfww8zJ" TargetMode="External"/><Relationship Id="rId239" Type="http://schemas.openxmlformats.org/officeDocument/2006/relationships/hyperlink" Target="https://talan.bank.gov.ua/get-user-certificate/sec1eKqgI9-PWED1CP7h" TargetMode="External"/><Relationship Id="rId446" Type="http://schemas.openxmlformats.org/officeDocument/2006/relationships/hyperlink" Target="https://talan.bank.gov.ua/get-user-certificate/sec1eeCvYzccxwtWwBaE" TargetMode="External"/><Relationship Id="rId653" Type="http://schemas.openxmlformats.org/officeDocument/2006/relationships/hyperlink" Target="https://talan.bank.gov.ua/get-user-certificate/sec1eJE11iXMEiypxQhu" TargetMode="External"/><Relationship Id="rId1076" Type="http://schemas.openxmlformats.org/officeDocument/2006/relationships/hyperlink" Target="https://talan.bank.gov.ua/get-user-certificate/sec1emNUSkgHBh8k3B2U" TargetMode="External"/><Relationship Id="rId1283" Type="http://schemas.openxmlformats.org/officeDocument/2006/relationships/hyperlink" Target="https://talan.bank.gov.ua/get-user-certificate/sec1e3DAOY31jXwsExxD" TargetMode="External"/><Relationship Id="rId1490" Type="http://schemas.openxmlformats.org/officeDocument/2006/relationships/hyperlink" Target="https://talan.bank.gov.ua/get-user-certificate/sec1ebNpSDfw3HA-Udn4" TargetMode="External"/><Relationship Id="rId2127" Type="http://schemas.openxmlformats.org/officeDocument/2006/relationships/hyperlink" Target="https://talan.bank.gov.ua/get-user-certificate/sec1ed6ZMVIz7vlXkIID" TargetMode="External"/><Relationship Id="rId2334" Type="http://schemas.openxmlformats.org/officeDocument/2006/relationships/hyperlink" Target="https://talan.bank.gov.ua/get-user-certificate/sec1eE7WzPcvic4DVXm8" TargetMode="External"/><Relationship Id="rId3732" Type="http://schemas.openxmlformats.org/officeDocument/2006/relationships/hyperlink" Target="https://talan.bank.gov.ua/get-user-certificate/sec1eCB-7Vi4mOr562BF" TargetMode="External"/><Relationship Id="rId306" Type="http://schemas.openxmlformats.org/officeDocument/2006/relationships/hyperlink" Target="https://talan.bank.gov.ua/get-user-certificate/sec1ePgyC-GwONaaNcRU" TargetMode="External"/><Relationship Id="rId860" Type="http://schemas.openxmlformats.org/officeDocument/2006/relationships/hyperlink" Target="https://talan.bank.gov.ua/get-user-certificate/sec1e1Qldk-MKqQ839ud" TargetMode="External"/><Relationship Id="rId1143" Type="http://schemas.openxmlformats.org/officeDocument/2006/relationships/hyperlink" Target="https://talan.bank.gov.ua/get-user-certificate/sec1ehuATRgB5kTKBnmG" TargetMode="External"/><Relationship Id="rId2541" Type="http://schemas.openxmlformats.org/officeDocument/2006/relationships/hyperlink" Target="https://talan.bank.gov.ua/get-user-certificate/sec1ePwBe8TXRrKGqDaq" TargetMode="External"/><Relationship Id="rId4299" Type="http://schemas.openxmlformats.org/officeDocument/2006/relationships/hyperlink" Target="https://talan.bank.gov.ua/get-user-certificate/sec1e8jWKHpUrVAn9lBA" TargetMode="External"/><Relationship Id="rId513" Type="http://schemas.openxmlformats.org/officeDocument/2006/relationships/hyperlink" Target="https://talan.bank.gov.ua/get-user-certificate/sec1eXBP9ZiGsrhouOmP" TargetMode="External"/><Relationship Id="rId720" Type="http://schemas.openxmlformats.org/officeDocument/2006/relationships/hyperlink" Target="https://talan.bank.gov.ua/get-user-certificate/sec1eCyDIu75wjs32Fqa" TargetMode="External"/><Relationship Id="rId1350" Type="http://schemas.openxmlformats.org/officeDocument/2006/relationships/hyperlink" Target="https://talan.bank.gov.ua/get-user-certificate/sec1eVqj0cya_qXj4L2M" TargetMode="External"/><Relationship Id="rId2401" Type="http://schemas.openxmlformats.org/officeDocument/2006/relationships/hyperlink" Target="https://talan.bank.gov.ua/get-user-certificate/sec1eO0NIFcEjk2-0oxN" TargetMode="External"/><Relationship Id="rId4159" Type="http://schemas.openxmlformats.org/officeDocument/2006/relationships/hyperlink" Target="https://talan.bank.gov.ua/get-user-certificate/sec1eYfPSOcNipuSeZgb" TargetMode="External"/><Relationship Id="rId1003" Type="http://schemas.openxmlformats.org/officeDocument/2006/relationships/hyperlink" Target="https://talan.bank.gov.ua/get-user-certificate/sec1e41PYxVpFBWub_s8" TargetMode="External"/><Relationship Id="rId1210" Type="http://schemas.openxmlformats.org/officeDocument/2006/relationships/hyperlink" Target="https://talan.bank.gov.ua/get-user-certificate/sec1e13dc0qKE5mG7NuE" TargetMode="External"/><Relationship Id="rId4366" Type="http://schemas.openxmlformats.org/officeDocument/2006/relationships/hyperlink" Target="https://talan.bank.gov.ua/get-user-certificate/sec1eKyFgKXivkSnSCjz" TargetMode="External"/><Relationship Id="rId4573" Type="http://schemas.openxmlformats.org/officeDocument/2006/relationships/hyperlink" Target="https://talan.bank.gov.ua/get-user-certificate/sec1e1sviUPed9IWbuWH" TargetMode="External"/><Relationship Id="rId4780" Type="http://schemas.openxmlformats.org/officeDocument/2006/relationships/hyperlink" Target="https://talan.bank.gov.ua/get-user-certificate/sec1ejHvcxgH08vfJ9yA" TargetMode="External"/><Relationship Id="rId3175" Type="http://schemas.openxmlformats.org/officeDocument/2006/relationships/hyperlink" Target="https://talan.bank.gov.ua/get-user-certificate/sec1enIN9MliE_fUmLpp" TargetMode="External"/><Relationship Id="rId3382" Type="http://schemas.openxmlformats.org/officeDocument/2006/relationships/hyperlink" Target="https://talan.bank.gov.ua/get-user-certificate/sec1ezUOT49InoczbV3u" TargetMode="External"/><Relationship Id="rId4019" Type="http://schemas.openxmlformats.org/officeDocument/2006/relationships/hyperlink" Target="https://talan.bank.gov.ua/get-user-certificate/sec1exh0dKkFWF-G-7Js" TargetMode="External"/><Relationship Id="rId4226" Type="http://schemas.openxmlformats.org/officeDocument/2006/relationships/hyperlink" Target="https://talan.bank.gov.ua/get-user-certificate/sec1ewqe7k8XD0u6tFLD" TargetMode="External"/><Relationship Id="rId4433" Type="http://schemas.openxmlformats.org/officeDocument/2006/relationships/hyperlink" Target="https://talan.bank.gov.ua/get-user-certificate/sec1eW9BOxGFa8535tl9" TargetMode="External"/><Relationship Id="rId4640" Type="http://schemas.openxmlformats.org/officeDocument/2006/relationships/hyperlink" Target="https://talan.bank.gov.ua/get-user-certificate/sec1eMQQqDBs2TppwhuA" TargetMode="External"/><Relationship Id="rId2191" Type="http://schemas.openxmlformats.org/officeDocument/2006/relationships/hyperlink" Target="https://talan.bank.gov.ua/get-user-certificate/sec1ejIa1TxjZpk2sk_f" TargetMode="External"/><Relationship Id="rId3035" Type="http://schemas.openxmlformats.org/officeDocument/2006/relationships/hyperlink" Target="https://talan.bank.gov.ua/get-user-certificate/sec1ephsi6_jMrx7PNvR" TargetMode="External"/><Relationship Id="rId3242" Type="http://schemas.openxmlformats.org/officeDocument/2006/relationships/hyperlink" Target="https://talan.bank.gov.ua/get-user-certificate/sec1eXtmLU1c377KHKX4" TargetMode="External"/><Relationship Id="rId4500" Type="http://schemas.openxmlformats.org/officeDocument/2006/relationships/hyperlink" Target="https://talan.bank.gov.ua/get-user-certificate/sec1e0SVDeIh60_6VWqS" TargetMode="External"/><Relationship Id="rId163" Type="http://schemas.openxmlformats.org/officeDocument/2006/relationships/hyperlink" Target="https://talan.bank.gov.ua/get-user-certificate/sec1eFlu39g0E1fFr2H2" TargetMode="External"/><Relationship Id="rId370" Type="http://schemas.openxmlformats.org/officeDocument/2006/relationships/hyperlink" Target="https://talan.bank.gov.ua/get-user-certificate/sec1ej-2GzIUjZRNxkVr" TargetMode="External"/><Relationship Id="rId2051" Type="http://schemas.openxmlformats.org/officeDocument/2006/relationships/hyperlink" Target="https://talan.bank.gov.ua/get-user-certificate/sec1esQ_RJxZ7BGRSZL8" TargetMode="External"/><Relationship Id="rId3102" Type="http://schemas.openxmlformats.org/officeDocument/2006/relationships/hyperlink" Target="https://talan.bank.gov.ua/get-user-certificate/sec1eF0fnidknXJDP82D" TargetMode="External"/><Relationship Id="rId230" Type="http://schemas.openxmlformats.org/officeDocument/2006/relationships/hyperlink" Target="https://talan.bank.gov.ua/get-user-certificate/sec1eBisEZtJ8al6IKxm" TargetMode="External"/><Relationship Id="rId2868" Type="http://schemas.openxmlformats.org/officeDocument/2006/relationships/hyperlink" Target="https://talan.bank.gov.ua/get-user-certificate/sec1ev35U8qyh2-_w3u5" TargetMode="External"/><Relationship Id="rId3919" Type="http://schemas.openxmlformats.org/officeDocument/2006/relationships/hyperlink" Target="https://talan.bank.gov.ua/get-user-certificate/sec1eMJUBmaXAl-5YZJN" TargetMode="External"/><Relationship Id="rId4083" Type="http://schemas.openxmlformats.org/officeDocument/2006/relationships/hyperlink" Target="https://talan.bank.gov.ua/get-user-certificate/sec1edV-GT07ZMDTg77a" TargetMode="External"/><Relationship Id="rId1677" Type="http://schemas.openxmlformats.org/officeDocument/2006/relationships/hyperlink" Target="https://talan.bank.gov.ua/get-user-certificate/sec1e951mFAmjTb1QcbF" TargetMode="External"/><Relationship Id="rId1884" Type="http://schemas.openxmlformats.org/officeDocument/2006/relationships/hyperlink" Target="https://talan.bank.gov.ua/get-user-certificate/sec1eqeesoQhoW_7PSDJ" TargetMode="External"/><Relationship Id="rId2728" Type="http://schemas.openxmlformats.org/officeDocument/2006/relationships/hyperlink" Target="https://talan.bank.gov.ua/get-user-certificate/sec1eccpejtCABo6sQXa" TargetMode="External"/><Relationship Id="rId2935" Type="http://schemas.openxmlformats.org/officeDocument/2006/relationships/hyperlink" Target="https://talan.bank.gov.ua/get-user-certificate/sec1eUjywjsMxVnMPX1L" TargetMode="External"/><Relationship Id="rId4290" Type="http://schemas.openxmlformats.org/officeDocument/2006/relationships/hyperlink" Target="https://talan.bank.gov.ua/get-user-certificate/sec1e7ARGffVgGaOdJqL" TargetMode="External"/><Relationship Id="rId907" Type="http://schemas.openxmlformats.org/officeDocument/2006/relationships/hyperlink" Target="https://talan.bank.gov.ua/get-user-certificate/sec1etA5kVZavtZp4IQz" TargetMode="External"/><Relationship Id="rId1537" Type="http://schemas.openxmlformats.org/officeDocument/2006/relationships/hyperlink" Target="https://talan.bank.gov.ua/get-user-certificate/sec1eH6UyAtsB9kPytYf" TargetMode="External"/><Relationship Id="rId1744" Type="http://schemas.openxmlformats.org/officeDocument/2006/relationships/hyperlink" Target="https://talan.bank.gov.ua/get-user-certificate/sec1eqidfGgKeLsnU2mr" TargetMode="External"/><Relationship Id="rId1951" Type="http://schemas.openxmlformats.org/officeDocument/2006/relationships/hyperlink" Target="https://talan.bank.gov.ua/get-user-certificate/sec1eYPXiq-Pb7aaUHH5" TargetMode="External"/><Relationship Id="rId4150" Type="http://schemas.openxmlformats.org/officeDocument/2006/relationships/hyperlink" Target="https://talan.bank.gov.ua/get-user-certificate/sec1eio7ty83CUrhRSwV" TargetMode="External"/><Relationship Id="rId36" Type="http://schemas.openxmlformats.org/officeDocument/2006/relationships/hyperlink" Target="https://talan.bank.gov.ua/get-user-certificate/sec1exDlAraXNFgXOZrm" TargetMode="External"/><Relationship Id="rId1604" Type="http://schemas.openxmlformats.org/officeDocument/2006/relationships/hyperlink" Target="https://talan.bank.gov.ua/get-user-certificate/sec1ehVts3a84x5h9Mlz" TargetMode="External"/><Relationship Id="rId4010" Type="http://schemas.openxmlformats.org/officeDocument/2006/relationships/hyperlink" Target="https://talan.bank.gov.ua/get-user-certificate/sec1edtLJAm69LO_oZa2" TargetMode="External"/><Relationship Id="rId4967" Type="http://schemas.openxmlformats.org/officeDocument/2006/relationships/hyperlink" Target="https://talan.bank.gov.ua/get-user-certificate/sec1eCmvYJGZP6CgdC-g" TargetMode="External"/><Relationship Id="rId1811" Type="http://schemas.openxmlformats.org/officeDocument/2006/relationships/hyperlink" Target="https://talan.bank.gov.ua/get-user-certificate/sec1e2daieQ_OjrI_2_m" TargetMode="External"/><Relationship Id="rId3569" Type="http://schemas.openxmlformats.org/officeDocument/2006/relationships/hyperlink" Target="https://talan.bank.gov.ua/get-user-certificate/sec1eAy2CjNZQHMF8vMc" TargetMode="External"/><Relationship Id="rId697" Type="http://schemas.openxmlformats.org/officeDocument/2006/relationships/hyperlink" Target="https://talan.bank.gov.ua/get-user-certificate/sec1eW7SU2IAIWAjaY0k" TargetMode="External"/><Relationship Id="rId2378" Type="http://schemas.openxmlformats.org/officeDocument/2006/relationships/hyperlink" Target="https://talan.bank.gov.ua/get-user-certificate/sec1eH55rLYFqNk_qHsO" TargetMode="External"/><Relationship Id="rId3429" Type="http://schemas.openxmlformats.org/officeDocument/2006/relationships/hyperlink" Target="https://talan.bank.gov.ua/get-user-certificate/sec1etH9C3TJ1Lb_ZHWF" TargetMode="External"/><Relationship Id="rId3776" Type="http://schemas.openxmlformats.org/officeDocument/2006/relationships/hyperlink" Target="https://talan.bank.gov.ua/get-user-certificate/sec1eJZgcg280oFz2cjz" TargetMode="External"/><Relationship Id="rId3983" Type="http://schemas.openxmlformats.org/officeDocument/2006/relationships/hyperlink" Target="https://talan.bank.gov.ua/get-user-certificate/sec1eQv-T5dfToC3gt12" TargetMode="External"/><Relationship Id="rId4827" Type="http://schemas.openxmlformats.org/officeDocument/2006/relationships/hyperlink" Target="https://talan.bank.gov.ua/get-user-certificate/sec1e3hLOF8DLzRa3JQc" TargetMode="External"/><Relationship Id="rId1187" Type="http://schemas.openxmlformats.org/officeDocument/2006/relationships/hyperlink" Target="https://talan.bank.gov.ua/get-user-certificate/sec1e780wXX7eseQqFjq" TargetMode="External"/><Relationship Id="rId2585" Type="http://schemas.openxmlformats.org/officeDocument/2006/relationships/hyperlink" Target="https://talan.bank.gov.ua/get-user-certificate/sec1eTdaSDeynQSLRWRk" TargetMode="External"/><Relationship Id="rId2792" Type="http://schemas.openxmlformats.org/officeDocument/2006/relationships/hyperlink" Target="https://talan.bank.gov.ua/get-user-certificate/sec1eSXn4BYGqYzq2zSd" TargetMode="External"/><Relationship Id="rId3636" Type="http://schemas.openxmlformats.org/officeDocument/2006/relationships/hyperlink" Target="https://talan.bank.gov.ua/get-user-certificate/sec1eV_Qi1qAhBMAFviy" TargetMode="External"/><Relationship Id="rId3843" Type="http://schemas.openxmlformats.org/officeDocument/2006/relationships/hyperlink" Target="https://talan.bank.gov.ua/get-user-certificate/sec1e6eya1yXwOJrKobX" TargetMode="External"/><Relationship Id="rId557" Type="http://schemas.openxmlformats.org/officeDocument/2006/relationships/hyperlink" Target="https://talan.bank.gov.ua/get-user-certificate/sec1e7JBLqv5AEcCF8qv" TargetMode="External"/><Relationship Id="rId764" Type="http://schemas.openxmlformats.org/officeDocument/2006/relationships/hyperlink" Target="https://talan.bank.gov.ua/get-user-certificate/sec1e8hFRuOzjDJi8UaA" TargetMode="External"/><Relationship Id="rId971" Type="http://schemas.openxmlformats.org/officeDocument/2006/relationships/hyperlink" Target="https://talan.bank.gov.ua/get-user-certificate/sec1eS7bcTiBfzKG5l7u" TargetMode="External"/><Relationship Id="rId1394" Type="http://schemas.openxmlformats.org/officeDocument/2006/relationships/hyperlink" Target="https://talan.bank.gov.ua/get-user-certificate/sec1eHONMoF8Lztv_KQ9" TargetMode="External"/><Relationship Id="rId2238" Type="http://schemas.openxmlformats.org/officeDocument/2006/relationships/hyperlink" Target="https://talan.bank.gov.ua/get-user-certificate/sec1ePx0v_iUvnKozefA" TargetMode="External"/><Relationship Id="rId2445" Type="http://schemas.openxmlformats.org/officeDocument/2006/relationships/hyperlink" Target="https://talan.bank.gov.ua/get-user-certificate/sec1eiHZkPcYbencGpZW" TargetMode="External"/><Relationship Id="rId2652" Type="http://schemas.openxmlformats.org/officeDocument/2006/relationships/hyperlink" Target="https://talan.bank.gov.ua/get-user-certificate/sec1e8Q0Tz2J1Lz-Z-0n" TargetMode="External"/><Relationship Id="rId3703" Type="http://schemas.openxmlformats.org/officeDocument/2006/relationships/hyperlink" Target="https://talan.bank.gov.ua/get-user-certificate/sec1eBVi03gVDMh1wmhp" TargetMode="External"/><Relationship Id="rId3910" Type="http://schemas.openxmlformats.org/officeDocument/2006/relationships/hyperlink" Target="https://talan.bank.gov.ua/get-user-certificate/sec1eDB0sTHLni-1oJkS" TargetMode="External"/><Relationship Id="rId417" Type="http://schemas.openxmlformats.org/officeDocument/2006/relationships/hyperlink" Target="https://talan.bank.gov.ua/get-user-certificate/sec1emt8AR0qYkPLGk9m" TargetMode="External"/><Relationship Id="rId624" Type="http://schemas.openxmlformats.org/officeDocument/2006/relationships/hyperlink" Target="https://talan.bank.gov.ua/get-user-certificate/sec1eEpqZrvn7_Z0G10y" TargetMode="External"/><Relationship Id="rId831" Type="http://schemas.openxmlformats.org/officeDocument/2006/relationships/hyperlink" Target="https://talan.bank.gov.ua/get-user-certificate/sec1eTpptM35qH7BRqgl" TargetMode="External"/><Relationship Id="rId1047" Type="http://schemas.openxmlformats.org/officeDocument/2006/relationships/hyperlink" Target="https://talan.bank.gov.ua/get-user-certificate/sec1eKScV4IlTVMODTRo" TargetMode="External"/><Relationship Id="rId1254" Type="http://schemas.openxmlformats.org/officeDocument/2006/relationships/hyperlink" Target="https://talan.bank.gov.ua/get-user-certificate/sec1euy3ZCt26iWq0oBx" TargetMode="External"/><Relationship Id="rId1461" Type="http://schemas.openxmlformats.org/officeDocument/2006/relationships/hyperlink" Target="https://talan.bank.gov.ua/get-user-certificate/sec1eAwjyK9_nJVdpxe_" TargetMode="External"/><Relationship Id="rId2305" Type="http://schemas.openxmlformats.org/officeDocument/2006/relationships/hyperlink" Target="https://talan.bank.gov.ua/get-user-certificate/sec1evjhX54X82giprQO" TargetMode="External"/><Relationship Id="rId2512" Type="http://schemas.openxmlformats.org/officeDocument/2006/relationships/hyperlink" Target="https://talan.bank.gov.ua/get-user-certificate/sec1eamnxzla0tsXUMwF" TargetMode="External"/><Relationship Id="rId1114" Type="http://schemas.openxmlformats.org/officeDocument/2006/relationships/hyperlink" Target="https://talan.bank.gov.ua/get-user-certificate/sec1edwpWz6_0uigdILq" TargetMode="External"/><Relationship Id="rId1321" Type="http://schemas.openxmlformats.org/officeDocument/2006/relationships/hyperlink" Target="https://talan.bank.gov.ua/get-user-certificate/sec1eMQwgl1561Dk3lw0" TargetMode="External"/><Relationship Id="rId4477" Type="http://schemas.openxmlformats.org/officeDocument/2006/relationships/hyperlink" Target="https://talan.bank.gov.ua/get-user-certificate/sec1eS3fOLx_U9nCrQ87" TargetMode="External"/><Relationship Id="rId4684" Type="http://schemas.openxmlformats.org/officeDocument/2006/relationships/hyperlink" Target="https://talan.bank.gov.ua/get-user-certificate/sec1elzm5f_6TJG6kFXC" TargetMode="External"/><Relationship Id="rId4891" Type="http://schemas.openxmlformats.org/officeDocument/2006/relationships/hyperlink" Target="https://talan.bank.gov.ua/get-user-certificate/sec1e6yLtnjIMBGDVyxT" TargetMode="External"/><Relationship Id="rId3079" Type="http://schemas.openxmlformats.org/officeDocument/2006/relationships/hyperlink" Target="https://talan.bank.gov.ua/get-user-certificate/sec1eylgBOWTCe0rQ-_B" TargetMode="External"/><Relationship Id="rId3286" Type="http://schemas.openxmlformats.org/officeDocument/2006/relationships/hyperlink" Target="https://talan.bank.gov.ua/get-user-certificate/sec1eTGzKB6vAhFitMy-" TargetMode="External"/><Relationship Id="rId3493" Type="http://schemas.openxmlformats.org/officeDocument/2006/relationships/hyperlink" Target="https://talan.bank.gov.ua/get-user-certificate/sec1eslCn_2CG75-Q5gU" TargetMode="External"/><Relationship Id="rId4337" Type="http://schemas.openxmlformats.org/officeDocument/2006/relationships/hyperlink" Target="https://talan.bank.gov.ua/get-user-certificate/sec1eH3lM_z_ld6H-E6H" TargetMode="External"/><Relationship Id="rId4544" Type="http://schemas.openxmlformats.org/officeDocument/2006/relationships/hyperlink" Target="https://talan.bank.gov.ua/get-user-certificate/sec1ex1_QdK9PntRCCoW" TargetMode="External"/><Relationship Id="rId2095" Type="http://schemas.openxmlformats.org/officeDocument/2006/relationships/hyperlink" Target="https://talan.bank.gov.ua/get-user-certificate/sec1e4nWNEBV4fnUPq_Z" TargetMode="External"/><Relationship Id="rId3146" Type="http://schemas.openxmlformats.org/officeDocument/2006/relationships/hyperlink" Target="https://talan.bank.gov.ua/get-user-certificate/sec1e-OwV9ieRtCVQVhb" TargetMode="External"/><Relationship Id="rId3353" Type="http://schemas.openxmlformats.org/officeDocument/2006/relationships/hyperlink" Target="https://talan.bank.gov.ua/get-user-certificate/sec1eiwodXq3TohMEoyL" TargetMode="External"/><Relationship Id="rId4751" Type="http://schemas.openxmlformats.org/officeDocument/2006/relationships/hyperlink" Target="https://talan.bank.gov.ua/get-user-certificate/sec1erhT7x_CPWC0je0r" TargetMode="External"/><Relationship Id="rId274" Type="http://schemas.openxmlformats.org/officeDocument/2006/relationships/hyperlink" Target="https://talan.bank.gov.ua/get-user-certificate/sec1eN1CsQV0QzKb4bVI" TargetMode="External"/><Relationship Id="rId481" Type="http://schemas.openxmlformats.org/officeDocument/2006/relationships/hyperlink" Target="https://talan.bank.gov.ua/get-user-certificate/sec1eHa__PRQwzSkhA0w" TargetMode="External"/><Relationship Id="rId2162" Type="http://schemas.openxmlformats.org/officeDocument/2006/relationships/hyperlink" Target="https://talan.bank.gov.ua/get-user-certificate/sec1eSxb1Gi-VKlA4K0l" TargetMode="External"/><Relationship Id="rId3006" Type="http://schemas.openxmlformats.org/officeDocument/2006/relationships/hyperlink" Target="https://talan.bank.gov.ua/get-user-certificate/sec1eGDU3nJ8Emuk4Pda" TargetMode="External"/><Relationship Id="rId3560" Type="http://schemas.openxmlformats.org/officeDocument/2006/relationships/hyperlink" Target="https://talan.bank.gov.ua/get-user-certificate/sec1e_hr2hMzgjIoMaDS" TargetMode="External"/><Relationship Id="rId4404" Type="http://schemas.openxmlformats.org/officeDocument/2006/relationships/hyperlink" Target="https://talan.bank.gov.ua/get-user-certificate/sec1eOXTcxI3re3DfNhI" TargetMode="External"/><Relationship Id="rId4611" Type="http://schemas.openxmlformats.org/officeDocument/2006/relationships/hyperlink" Target="https://talan.bank.gov.ua/get-user-certificate/sec1eo1s_NrJmJzTH4RH" TargetMode="External"/><Relationship Id="rId134" Type="http://schemas.openxmlformats.org/officeDocument/2006/relationships/hyperlink" Target="https://talan.bank.gov.ua/get-user-certificate/sec1ecC8o-mUNtpffKKX" TargetMode="External"/><Relationship Id="rId3213" Type="http://schemas.openxmlformats.org/officeDocument/2006/relationships/hyperlink" Target="https://talan.bank.gov.ua/get-user-certificate/sec1eQ4xYFcfGYovOI2p" TargetMode="External"/><Relationship Id="rId3420" Type="http://schemas.openxmlformats.org/officeDocument/2006/relationships/hyperlink" Target="https://talan.bank.gov.ua/get-user-certificate/sec1e1z6_yXWO6Ls2YVP" TargetMode="External"/><Relationship Id="rId341" Type="http://schemas.openxmlformats.org/officeDocument/2006/relationships/hyperlink" Target="https://talan.bank.gov.ua/get-user-certificate/sec1eVAwlxyd4y97m09z" TargetMode="External"/><Relationship Id="rId2022" Type="http://schemas.openxmlformats.org/officeDocument/2006/relationships/hyperlink" Target="https://talan.bank.gov.ua/get-user-certificate/sec1efO95i8bC4kKW8fU" TargetMode="External"/><Relationship Id="rId2979" Type="http://schemas.openxmlformats.org/officeDocument/2006/relationships/hyperlink" Target="https://talan.bank.gov.ua/get-user-certificate/sec1eWqa3KFNiSUKd3_D" TargetMode="External"/><Relationship Id="rId201" Type="http://schemas.openxmlformats.org/officeDocument/2006/relationships/hyperlink" Target="https://talan.bank.gov.ua/get-user-certificate/sec1e6ZV87IbZQ-KaKyR" TargetMode="External"/><Relationship Id="rId1788" Type="http://schemas.openxmlformats.org/officeDocument/2006/relationships/hyperlink" Target="https://talan.bank.gov.ua/get-user-certificate/sec1e-tNOnNZDQCs7y-N" TargetMode="External"/><Relationship Id="rId1995" Type="http://schemas.openxmlformats.org/officeDocument/2006/relationships/hyperlink" Target="https://talan.bank.gov.ua/get-user-certificate/sec1eglK3wh9maBJyg_d" TargetMode="External"/><Relationship Id="rId2839" Type="http://schemas.openxmlformats.org/officeDocument/2006/relationships/hyperlink" Target="https://talan.bank.gov.ua/get-user-certificate/sec1ebcPToS13pEudjF4" TargetMode="External"/><Relationship Id="rId4194" Type="http://schemas.openxmlformats.org/officeDocument/2006/relationships/hyperlink" Target="https://talan.bank.gov.ua/get-user-certificate/sec1e3_UN57HWdS_ahtQ" TargetMode="External"/><Relationship Id="rId1648" Type="http://schemas.openxmlformats.org/officeDocument/2006/relationships/hyperlink" Target="https://talan.bank.gov.ua/get-user-certificate/sec1ek8GzdWUk_GW4cOg" TargetMode="External"/><Relationship Id="rId4054" Type="http://schemas.openxmlformats.org/officeDocument/2006/relationships/hyperlink" Target="https://talan.bank.gov.ua/get-user-certificate/sec1e42ujXKC02KnzNNs" TargetMode="External"/><Relationship Id="rId4261" Type="http://schemas.openxmlformats.org/officeDocument/2006/relationships/hyperlink" Target="https://talan.bank.gov.ua/get-user-certificate/sec1e6VR7zjiaSf8hYxO" TargetMode="External"/><Relationship Id="rId1508" Type="http://schemas.openxmlformats.org/officeDocument/2006/relationships/hyperlink" Target="https://talan.bank.gov.ua/get-user-certificate/sec1evHKdP9xWmFJxCQ5" TargetMode="External"/><Relationship Id="rId1855" Type="http://schemas.openxmlformats.org/officeDocument/2006/relationships/hyperlink" Target="https://talan.bank.gov.ua/get-user-certificate/sec1em5VKA7VWubzr3Tj" TargetMode="External"/><Relationship Id="rId2906" Type="http://schemas.openxmlformats.org/officeDocument/2006/relationships/hyperlink" Target="https://talan.bank.gov.ua/get-user-certificate/sec1e6ULDrNdEitONR0X" TargetMode="External"/><Relationship Id="rId3070" Type="http://schemas.openxmlformats.org/officeDocument/2006/relationships/hyperlink" Target="https://talan.bank.gov.ua/get-user-certificate/sec1eqI7zwM_lhogKDRL" TargetMode="External"/><Relationship Id="rId4121" Type="http://schemas.openxmlformats.org/officeDocument/2006/relationships/hyperlink" Target="https://talan.bank.gov.ua/get-user-certificate/sec1eQdJYmibo0FkkHXU" TargetMode="External"/><Relationship Id="rId1715" Type="http://schemas.openxmlformats.org/officeDocument/2006/relationships/hyperlink" Target="https://talan.bank.gov.ua/get-user-certificate/sec1e-3w5avB-M-Kl3yd" TargetMode="External"/><Relationship Id="rId1922" Type="http://schemas.openxmlformats.org/officeDocument/2006/relationships/hyperlink" Target="https://talan.bank.gov.ua/get-user-certificate/sec1et8wuLn_tknq5olW" TargetMode="External"/><Relationship Id="rId3887" Type="http://schemas.openxmlformats.org/officeDocument/2006/relationships/hyperlink" Target="https://talan.bank.gov.ua/get-user-certificate/sec1eSw5YhYBDqUmfFZF" TargetMode="External"/><Relationship Id="rId4938" Type="http://schemas.openxmlformats.org/officeDocument/2006/relationships/hyperlink" Target="https://talan.bank.gov.ua/get-user-certificate/sec1eeSMJcrzWHQuIvCQ" TargetMode="External"/><Relationship Id="rId2489" Type="http://schemas.openxmlformats.org/officeDocument/2006/relationships/hyperlink" Target="https://talan.bank.gov.ua/get-user-certificate/sec1eQAt7CALxmWJhBvP" TargetMode="External"/><Relationship Id="rId2696" Type="http://schemas.openxmlformats.org/officeDocument/2006/relationships/hyperlink" Target="https://talan.bank.gov.ua/get-user-certificate/sec1eg_VuZTaY-pSrAPs" TargetMode="External"/><Relationship Id="rId3747" Type="http://schemas.openxmlformats.org/officeDocument/2006/relationships/hyperlink" Target="https://talan.bank.gov.ua/get-user-certificate/sec1eZR56lTRaewNFP_2" TargetMode="External"/><Relationship Id="rId3954" Type="http://schemas.openxmlformats.org/officeDocument/2006/relationships/hyperlink" Target="https://talan.bank.gov.ua/get-user-certificate/sec1e5u0bCBcUIWxge9m" TargetMode="External"/><Relationship Id="rId668" Type="http://schemas.openxmlformats.org/officeDocument/2006/relationships/hyperlink" Target="https://talan.bank.gov.ua/get-user-certificate/sec1eLRwEhy-xi-kk10p" TargetMode="External"/><Relationship Id="rId875" Type="http://schemas.openxmlformats.org/officeDocument/2006/relationships/hyperlink" Target="https://talan.bank.gov.ua/get-user-certificate/sec1eGoIfdHRZRwmVv95" TargetMode="External"/><Relationship Id="rId1298" Type="http://schemas.openxmlformats.org/officeDocument/2006/relationships/hyperlink" Target="https://talan.bank.gov.ua/get-user-certificate/sec1epmv-K29RXlx9qIU" TargetMode="External"/><Relationship Id="rId2349" Type="http://schemas.openxmlformats.org/officeDocument/2006/relationships/hyperlink" Target="https://talan.bank.gov.ua/get-user-certificate/sec1ehLGc7oJzwJn6VRO" TargetMode="External"/><Relationship Id="rId2556" Type="http://schemas.openxmlformats.org/officeDocument/2006/relationships/hyperlink" Target="https://talan.bank.gov.ua/get-user-certificate/sec1eEanbv4hGhXQX6ct" TargetMode="External"/><Relationship Id="rId2763" Type="http://schemas.openxmlformats.org/officeDocument/2006/relationships/hyperlink" Target="https://talan.bank.gov.ua/get-user-certificate/sec1e4sWZ8TlSMkA5OvQ" TargetMode="External"/><Relationship Id="rId2970" Type="http://schemas.openxmlformats.org/officeDocument/2006/relationships/hyperlink" Target="https://talan.bank.gov.ua/get-user-certificate/sec1eeF8GmJjHe9oEVWJ" TargetMode="External"/><Relationship Id="rId3607" Type="http://schemas.openxmlformats.org/officeDocument/2006/relationships/hyperlink" Target="https://talan.bank.gov.ua/get-user-certificate/sec1eJNz2zLEHZizLxjM" TargetMode="External"/><Relationship Id="rId3814" Type="http://schemas.openxmlformats.org/officeDocument/2006/relationships/hyperlink" Target="https://talan.bank.gov.ua/get-user-certificate/sec1eDg42RuTOZdhQdoJ" TargetMode="External"/><Relationship Id="rId528" Type="http://schemas.openxmlformats.org/officeDocument/2006/relationships/hyperlink" Target="https://talan.bank.gov.ua/get-user-certificate/sec1e9H-DEd8gnw388co" TargetMode="External"/><Relationship Id="rId735" Type="http://schemas.openxmlformats.org/officeDocument/2006/relationships/hyperlink" Target="https://talan.bank.gov.ua/get-user-certificate/sec1eXE9gwxdX0vejgYJ" TargetMode="External"/><Relationship Id="rId942" Type="http://schemas.openxmlformats.org/officeDocument/2006/relationships/hyperlink" Target="https://talan.bank.gov.ua/get-user-certificate/sec1eG5Ij4eW5n3R4tpy" TargetMode="External"/><Relationship Id="rId1158" Type="http://schemas.openxmlformats.org/officeDocument/2006/relationships/hyperlink" Target="https://talan.bank.gov.ua/get-user-certificate/sec1e278Q2kLbZz1DwX-" TargetMode="External"/><Relationship Id="rId1365" Type="http://schemas.openxmlformats.org/officeDocument/2006/relationships/hyperlink" Target="https://talan.bank.gov.ua/get-user-certificate/sec1eupaqmSKdJ5CNtKP" TargetMode="External"/><Relationship Id="rId1572" Type="http://schemas.openxmlformats.org/officeDocument/2006/relationships/hyperlink" Target="https://talan.bank.gov.ua/get-user-certificate/sec1ezWcYrQnGW5ELvmm" TargetMode="External"/><Relationship Id="rId2209" Type="http://schemas.openxmlformats.org/officeDocument/2006/relationships/hyperlink" Target="https://talan.bank.gov.ua/get-user-certificate/sec1e4jUTuORE-vQhWzW" TargetMode="External"/><Relationship Id="rId2416" Type="http://schemas.openxmlformats.org/officeDocument/2006/relationships/hyperlink" Target="https://talan.bank.gov.ua/get-user-certificate/sec1epSC6NlwUMqS0nnK" TargetMode="External"/><Relationship Id="rId2623" Type="http://schemas.openxmlformats.org/officeDocument/2006/relationships/hyperlink" Target="https://talan.bank.gov.ua/get-user-certificate/sec1eAHNp1QIPugttp7k" TargetMode="External"/><Relationship Id="rId1018" Type="http://schemas.openxmlformats.org/officeDocument/2006/relationships/hyperlink" Target="https://talan.bank.gov.ua/get-user-certificate/sec1ePvPZnHP_I_Nz7Xy" TargetMode="External"/><Relationship Id="rId1225" Type="http://schemas.openxmlformats.org/officeDocument/2006/relationships/hyperlink" Target="https://talan.bank.gov.ua/get-user-certificate/sec1edExMv7bQf0K9WZq" TargetMode="External"/><Relationship Id="rId1432" Type="http://schemas.openxmlformats.org/officeDocument/2006/relationships/hyperlink" Target="https://talan.bank.gov.ua/get-user-certificate/sec1e_Lri7jPNuE7WbkD" TargetMode="External"/><Relationship Id="rId2830" Type="http://schemas.openxmlformats.org/officeDocument/2006/relationships/hyperlink" Target="https://talan.bank.gov.ua/get-user-certificate/sec1esm14laALrkPN47F" TargetMode="External"/><Relationship Id="rId4588" Type="http://schemas.openxmlformats.org/officeDocument/2006/relationships/hyperlink" Target="https://talan.bank.gov.ua/get-user-certificate/sec1eKCog-bArHm2Lys_" TargetMode="External"/><Relationship Id="rId71" Type="http://schemas.openxmlformats.org/officeDocument/2006/relationships/hyperlink" Target="https://talan.bank.gov.ua/get-user-certificate/sec1epglVT7Axz46uSDj" TargetMode="External"/><Relationship Id="rId802" Type="http://schemas.openxmlformats.org/officeDocument/2006/relationships/hyperlink" Target="https://talan.bank.gov.ua/get-user-certificate/sec1estBkv00U3fcMdlP" TargetMode="External"/><Relationship Id="rId3397" Type="http://schemas.openxmlformats.org/officeDocument/2006/relationships/hyperlink" Target="https://talan.bank.gov.ua/get-user-certificate/sec1eiGwJvwAS6TEi3XD" TargetMode="External"/><Relationship Id="rId4795" Type="http://schemas.openxmlformats.org/officeDocument/2006/relationships/hyperlink" Target="https://talan.bank.gov.ua/get-user-certificate/sec1eghj8MMBXgIt1PNl" TargetMode="External"/><Relationship Id="rId4448" Type="http://schemas.openxmlformats.org/officeDocument/2006/relationships/hyperlink" Target="https://talan.bank.gov.ua/get-user-certificate/sec1evMszjGdpiKIysqQ" TargetMode="External"/><Relationship Id="rId4655" Type="http://schemas.openxmlformats.org/officeDocument/2006/relationships/hyperlink" Target="https://talan.bank.gov.ua/get-user-certificate/sec1eR9lIXUaVcBCF_eX" TargetMode="External"/><Relationship Id="rId4862" Type="http://schemas.openxmlformats.org/officeDocument/2006/relationships/hyperlink" Target="https://talan.bank.gov.ua/get-user-certificate/sec1eSPIU2cd9MzL7zfv" TargetMode="External"/><Relationship Id="rId178" Type="http://schemas.openxmlformats.org/officeDocument/2006/relationships/hyperlink" Target="https://talan.bank.gov.ua/get-user-certificate/sec1eoHd_5pQqtjqjAoN" TargetMode="External"/><Relationship Id="rId3257" Type="http://schemas.openxmlformats.org/officeDocument/2006/relationships/hyperlink" Target="https://talan.bank.gov.ua/get-user-certificate/sec1eYWN76P4IalFW5XF" TargetMode="External"/><Relationship Id="rId3464" Type="http://schemas.openxmlformats.org/officeDocument/2006/relationships/hyperlink" Target="https://talan.bank.gov.ua/get-user-certificate/sec1emJHchDE5hde9Wbk" TargetMode="External"/><Relationship Id="rId3671" Type="http://schemas.openxmlformats.org/officeDocument/2006/relationships/hyperlink" Target="https://talan.bank.gov.ua/get-user-certificate/sec1eBEMfnHWwyG3BUzs" TargetMode="External"/><Relationship Id="rId4308" Type="http://schemas.openxmlformats.org/officeDocument/2006/relationships/hyperlink" Target="https://talan.bank.gov.ua/get-user-certificate/sec1erSLZUwx-RQIZnQY" TargetMode="External"/><Relationship Id="rId4515" Type="http://schemas.openxmlformats.org/officeDocument/2006/relationships/hyperlink" Target="https://talan.bank.gov.ua/get-user-certificate/sec1euI_IuTPZ2mzEkRT" TargetMode="External"/><Relationship Id="rId4722" Type="http://schemas.openxmlformats.org/officeDocument/2006/relationships/hyperlink" Target="https://talan.bank.gov.ua/get-user-certificate/sec1ey4-G2VPfDYbZKoB" TargetMode="External"/><Relationship Id="rId385" Type="http://schemas.openxmlformats.org/officeDocument/2006/relationships/hyperlink" Target="https://talan.bank.gov.ua/get-user-certificate/sec1eADGgiQbBkutg3Yd" TargetMode="External"/><Relationship Id="rId592" Type="http://schemas.openxmlformats.org/officeDocument/2006/relationships/hyperlink" Target="https://talan.bank.gov.ua/get-user-certificate/sec1eBZg03NBC4OZuLa7" TargetMode="External"/><Relationship Id="rId2066" Type="http://schemas.openxmlformats.org/officeDocument/2006/relationships/hyperlink" Target="https://talan.bank.gov.ua/get-user-certificate/sec1ebrIJNwaEAcCJP13" TargetMode="External"/><Relationship Id="rId2273" Type="http://schemas.openxmlformats.org/officeDocument/2006/relationships/hyperlink" Target="https://talan.bank.gov.ua/get-user-certificate/sec1enFaEgWEbsPVEiPw" TargetMode="External"/><Relationship Id="rId2480" Type="http://schemas.openxmlformats.org/officeDocument/2006/relationships/hyperlink" Target="https://talan.bank.gov.ua/get-user-certificate/sec1eFWVpeayi-1a0M-o" TargetMode="External"/><Relationship Id="rId3117" Type="http://schemas.openxmlformats.org/officeDocument/2006/relationships/hyperlink" Target="https://talan.bank.gov.ua/get-user-certificate/sec1eWnrzOIrYG8dnCz7" TargetMode="External"/><Relationship Id="rId3324" Type="http://schemas.openxmlformats.org/officeDocument/2006/relationships/hyperlink" Target="https://talan.bank.gov.ua/get-user-certificate/sec1e6X8YT7gZ9eGJh9L" TargetMode="External"/><Relationship Id="rId3531" Type="http://schemas.openxmlformats.org/officeDocument/2006/relationships/hyperlink" Target="https://talan.bank.gov.ua/get-user-certificate/sec1ey7MhKvv3z_GJtgq" TargetMode="External"/><Relationship Id="rId245" Type="http://schemas.openxmlformats.org/officeDocument/2006/relationships/hyperlink" Target="https://talan.bank.gov.ua/get-user-certificate/sec1eqCnZKdk4NGGNzTS" TargetMode="External"/><Relationship Id="rId452" Type="http://schemas.openxmlformats.org/officeDocument/2006/relationships/hyperlink" Target="https://talan.bank.gov.ua/get-user-certificate/sec1ePBrwO7VG79v06W5" TargetMode="External"/><Relationship Id="rId1082" Type="http://schemas.openxmlformats.org/officeDocument/2006/relationships/hyperlink" Target="https://talan.bank.gov.ua/get-user-certificate/sec1eoqpG2sT46dVJwQm" TargetMode="External"/><Relationship Id="rId2133" Type="http://schemas.openxmlformats.org/officeDocument/2006/relationships/hyperlink" Target="https://talan.bank.gov.ua/get-user-certificate/sec1ecV-ehPZjtcO9-Ss" TargetMode="External"/><Relationship Id="rId2340" Type="http://schemas.openxmlformats.org/officeDocument/2006/relationships/hyperlink" Target="https://talan.bank.gov.ua/get-user-certificate/sec1ezDzYA5Fs0vZzZmT" TargetMode="External"/><Relationship Id="rId105" Type="http://schemas.openxmlformats.org/officeDocument/2006/relationships/hyperlink" Target="https://talan.bank.gov.ua/get-user-certificate/sec1eCrilQJZy2ex2s94" TargetMode="External"/><Relationship Id="rId312" Type="http://schemas.openxmlformats.org/officeDocument/2006/relationships/hyperlink" Target="https://talan.bank.gov.ua/get-user-certificate/sec1ey556mSmMQBepGsP" TargetMode="External"/><Relationship Id="rId2200" Type="http://schemas.openxmlformats.org/officeDocument/2006/relationships/hyperlink" Target="https://talan.bank.gov.ua/get-user-certificate/sec1eFS5KKjHKmpCr21W" TargetMode="External"/><Relationship Id="rId4098" Type="http://schemas.openxmlformats.org/officeDocument/2006/relationships/hyperlink" Target="https://talan.bank.gov.ua/get-user-certificate/sec1eB6V2bVLnhlio9-l" TargetMode="External"/><Relationship Id="rId1899" Type="http://schemas.openxmlformats.org/officeDocument/2006/relationships/hyperlink" Target="https://talan.bank.gov.ua/get-user-certificate/sec1eZS8HHaPACNnKy1H" TargetMode="External"/><Relationship Id="rId4165" Type="http://schemas.openxmlformats.org/officeDocument/2006/relationships/hyperlink" Target="https://talan.bank.gov.ua/get-user-certificate/sec1eXPabsQa7nDTg0Qk" TargetMode="External"/><Relationship Id="rId4372" Type="http://schemas.openxmlformats.org/officeDocument/2006/relationships/hyperlink" Target="https://talan.bank.gov.ua/get-user-certificate/sec1eTKDDhosapGNqxvY" TargetMode="External"/><Relationship Id="rId5009" Type="http://schemas.openxmlformats.org/officeDocument/2006/relationships/hyperlink" Target="https://talan.bank.gov.ua/get-user-certificate/sec1e2cHbaII0GO50TH1" TargetMode="External"/><Relationship Id="rId1759" Type="http://schemas.openxmlformats.org/officeDocument/2006/relationships/hyperlink" Target="https://talan.bank.gov.ua/get-user-certificate/sec1e_67PpwT3GL0DFoC" TargetMode="External"/><Relationship Id="rId1966" Type="http://schemas.openxmlformats.org/officeDocument/2006/relationships/hyperlink" Target="https://talan.bank.gov.ua/get-user-certificate/sec1eY6AG3OI6nwJqPKl" TargetMode="External"/><Relationship Id="rId3181" Type="http://schemas.openxmlformats.org/officeDocument/2006/relationships/hyperlink" Target="https://talan.bank.gov.ua/get-user-certificate/sec1eKdtwzVdGLXO5Wes" TargetMode="External"/><Relationship Id="rId4025" Type="http://schemas.openxmlformats.org/officeDocument/2006/relationships/hyperlink" Target="https://talan.bank.gov.ua/get-user-certificate/sec1efwXNqNCL4G399gr" TargetMode="External"/><Relationship Id="rId1619" Type="http://schemas.openxmlformats.org/officeDocument/2006/relationships/hyperlink" Target="https://talan.bank.gov.ua/get-user-certificate/sec1edyZEq0BQqE5S6HJ" TargetMode="External"/><Relationship Id="rId1826" Type="http://schemas.openxmlformats.org/officeDocument/2006/relationships/hyperlink" Target="https://talan.bank.gov.ua/get-user-certificate/sec1e8oBJAFVichNjlk7" TargetMode="External"/><Relationship Id="rId4232" Type="http://schemas.openxmlformats.org/officeDocument/2006/relationships/hyperlink" Target="https://talan.bank.gov.ua/get-user-certificate/sec1etA6WERw85tUgIcv" TargetMode="External"/><Relationship Id="rId3041" Type="http://schemas.openxmlformats.org/officeDocument/2006/relationships/hyperlink" Target="https://talan.bank.gov.ua/get-user-certificate/sec1eUxyA6wAnct7HJVF" TargetMode="External"/><Relationship Id="rId3998" Type="http://schemas.openxmlformats.org/officeDocument/2006/relationships/hyperlink" Target="https://talan.bank.gov.ua/get-user-certificate/sec1e6RjImRn_DYauNHJ" TargetMode="External"/><Relationship Id="rId3858" Type="http://schemas.openxmlformats.org/officeDocument/2006/relationships/hyperlink" Target="https://talan.bank.gov.ua/get-user-certificate/sec1eT5ezCWDsjbgIsNA" TargetMode="External"/><Relationship Id="rId4909" Type="http://schemas.openxmlformats.org/officeDocument/2006/relationships/hyperlink" Target="https://talan.bank.gov.ua/get-user-certificate/sec1eCGA_OlUotLTP2Cg" TargetMode="External"/><Relationship Id="rId779" Type="http://schemas.openxmlformats.org/officeDocument/2006/relationships/hyperlink" Target="https://talan.bank.gov.ua/get-user-certificate/sec1euqVQPpqcHzru0W1" TargetMode="External"/><Relationship Id="rId986" Type="http://schemas.openxmlformats.org/officeDocument/2006/relationships/hyperlink" Target="https://talan.bank.gov.ua/get-user-certificate/sec1esu3SocYMq438L32" TargetMode="External"/><Relationship Id="rId2667" Type="http://schemas.openxmlformats.org/officeDocument/2006/relationships/hyperlink" Target="https://talan.bank.gov.ua/get-user-certificate/sec1evBcm_o_25PiOrkC" TargetMode="External"/><Relationship Id="rId3718" Type="http://schemas.openxmlformats.org/officeDocument/2006/relationships/hyperlink" Target="https://talan.bank.gov.ua/get-user-certificate/sec1eUE6wNbPNPPN8bT4" TargetMode="External"/><Relationship Id="rId639" Type="http://schemas.openxmlformats.org/officeDocument/2006/relationships/hyperlink" Target="https://talan.bank.gov.ua/get-user-certificate/sec1eL6OmMl49LU1zhvt" TargetMode="External"/><Relationship Id="rId1269" Type="http://schemas.openxmlformats.org/officeDocument/2006/relationships/hyperlink" Target="https://talan.bank.gov.ua/get-user-certificate/sec1ebGDZM6ezM0Ykost" TargetMode="External"/><Relationship Id="rId1476" Type="http://schemas.openxmlformats.org/officeDocument/2006/relationships/hyperlink" Target="https://talan.bank.gov.ua/get-user-certificate/sec1epb4GymhrnYZAAUo" TargetMode="External"/><Relationship Id="rId2874" Type="http://schemas.openxmlformats.org/officeDocument/2006/relationships/hyperlink" Target="https://talan.bank.gov.ua/get-user-certificate/sec1e5PfoiSP6dAAcqAP" TargetMode="External"/><Relationship Id="rId3925" Type="http://schemas.openxmlformats.org/officeDocument/2006/relationships/hyperlink" Target="https://talan.bank.gov.ua/get-user-certificate/sec1ekB1n06m_0DzquST" TargetMode="External"/><Relationship Id="rId846" Type="http://schemas.openxmlformats.org/officeDocument/2006/relationships/hyperlink" Target="https://talan.bank.gov.ua/get-user-certificate/sec1eAiKigkQoEEnKBwv" TargetMode="External"/><Relationship Id="rId1129" Type="http://schemas.openxmlformats.org/officeDocument/2006/relationships/hyperlink" Target="https://talan.bank.gov.ua/get-user-certificate/sec1eX5WAuYagPeEJRy-" TargetMode="External"/><Relationship Id="rId1683" Type="http://schemas.openxmlformats.org/officeDocument/2006/relationships/hyperlink" Target="https://talan.bank.gov.ua/get-user-certificate/sec1e5IOQKWcMB1P7tsQ" TargetMode="External"/><Relationship Id="rId1890" Type="http://schemas.openxmlformats.org/officeDocument/2006/relationships/hyperlink" Target="https://talan.bank.gov.ua/get-user-certificate/sec1eFZSIhDCx6F2Vk48" TargetMode="External"/><Relationship Id="rId2527" Type="http://schemas.openxmlformats.org/officeDocument/2006/relationships/hyperlink" Target="https://talan.bank.gov.ua/get-user-certificate/sec1e6pFRKeJs3waZ9dA" TargetMode="External"/><Relationship Id="rId2734" Type="http://schemas.openxmlformats.org/officeDocument/2006/relationships/hyperlink" Target="https://talan.bank.gov.ua/get-user-certificate/sec1eJ9OF9u_QNNCOdlf" TargetMode="External"/><Relationship Id="rId2941" Type="http://schemas.openxmlformats.org/officeDocument/2006/relationships/hyperlink" Target="https://talan.bank.gov.ua/get-user-certificate/sec1eEG23iKN_geGYJq0" TargetMode="External"/><Relationship Id="rId5000" Type="http://schemas.openxmlformats.org/officeDocument/2006/relationships/hyperlink" Target="https://talan.bank.gov.ua/get-user-certificate/sec1evbbg960pNtJ4USw" TargetMode="External"/><Relationship Id="rId706" Type="http://schemas.openxmlformats.org/officeDocument/2006/relationships/hyperlink" Target="https://talan.bank.gov.ua/get-user-certificate/sec1esIokd5wXCyh5MZR" TargetMode="External"/><Relationship Id="rId913" Type="http://schemas.openxmlformats.org/officeDocument/2006/relationships/hyperlink" Target="https://talan.bank.gov.ua/get-user-certificate/sec1ekIWpiPlbeP_u1DI" TargetMode="External"/><Relationship Id="rId1336" Type="http://schemas.openxmlformats.org/officeDocument/2006/relationships/hyperlink" Target="https://talan.bank.gov.ua/get-user-certificate/sec1eaHtamRDPPv8lKw-" TargetMode="External"/><Relationship Id="rId1543" Type="http://schemas.openxmlformats.org/officeDocument/2006/relationships/hyperlink" Target="https://talan.bank.gov.ua/get-user-certificate/sec1eijaaIXZSzgIEwfk" TargetMode="External"/><Relationship Id="rId1750" Type="http://schemas.openxmlformats.org/officeDocument/2006/relationships/hyperlink" Target="https://talan.bank.gov.ua/get-user-certificate/sec1e0Bvs-23gbJkgHfU" TargetMode="External"/><Relationship Id="rId2801" Type="http://schemas.openxmlformats.org/officeDocument/2006/relationships/hyperlink" Target="https://talan.bank.gov.ua/get-user-certificate/sec1eWNr-0tQSsx0Cfg_" TargetMode="External"/><Relationship Id="rId4699" Type="http://schemas.openxmlformats.org/officeDocument/2006/relationships/hyperlink" Target="https://talan.bank.gov.ua/get-user-certificate/sec1ewxAxLoAqp6suz3l" TargetMode="External"/><Relationship Id="rId42" Type="http://schemas.openxmlformats.org/officeDocument/2006/relationships/hyperlink" Target="https://talan.bank.gov.ua/get-user-certificate/sec1e1Lfq7Xau0B91ln1" TargetMode="External"/><Relationship Id="rId1403" Type="http://schemas.openxmlformats.org/officeDocument/2006/relationships/hyperlink" Target="https://talan.bank.gov.ua/get-user-certificate/sec1eK7YNzE7eDTVoZxt" TargetMode="External"/><Relationship Id="rId1610" Type="http://schemas.openxmlformats.org/officeDocument/2006/relationships/hyperlink" Target="https://talan.bank.gov.ua/get-user-certificate/sec1ejWIiUAqtz4fesD0" TargetMode="External"/><Relationship Id="rId4559" Type="http://schemas.openxmlformats.org/officeDocument/2006/relationships/hyperlink" Target="https://talan.bank.gov.ua/get-user-certificate/sec1eV6msRxbm1Kxro-e" TargetMode="External"/><Relationship Id="rId4766" Type="http://schemas.openxmlformats.org/officeDocument/2006/relationships/hyperlink" Target="https://talan.bank.gov.ua/get-user-certificate/sec1enWJfWFI6EYsg3jc" TargetMode="External"/><Relationship Id="rId4973" Type="http://schemas.openxmlformats.org/officeDocument/2006/relationships/hyperlink" Target="https://talan.bank.gov.ua/get-user-certificate/sec1enYNLkf4PhpeguE2" TargetMode="External"/><Relationship Id="rId3368" Type="http://schemas.openxmlformats.org/officeDocument/2006/relationships/hyperlink" Target="https://talan.bank.gov.ua/get-user-certificate/sec1e4aJx-lyauFGWrmh" TargetMode="External"/><Relationship Id="rId3575" Type="http://schemas.openxmlformats.org/officeDocument/2006/relationships/hyperlink" Target="https://talan.bank.gov.ua/get-user-certificate/sec1e8N1PzuvkDv9ZoeU" TargetMode="External"/><Relationship Id="rId3782" Type="http://schemas.openxmlformats.org/officeDocument/2006/relationships/hyperlink" Target="https://talan.bank.gov.ua/get-user-certificate/sec1eL3It0EcYSzy3FH2" TargetMode="External"/><Relationship Id="rId4419" Type="http://schemas.openxmlformats.org/officeDocument/2006/relationships/hyperlink" Target="https://talan.bank.gov.ua/get-user-certificate/sec1e0lQHxbFh6xyqfMO" TargetMode="External"/><Relationship Id="rId4626" Type="http://schemas.openxmlformats.org/officeDocument/2006/relationships/hyperlink" Target="https://talan.bank.gov.ua/get-user-certificate/sec1enjkCKtSmHNJffC4" TargetMode="External"/><Relationship Id="rId4833" Type="http://schemas.openxmlformats.org/officeDocument/2006/relationships/hyperlink" Target="https://talan.bank.gov.ua/get-user-certificate/sec1eD4bwaIqTbvJrx9-" TargetMode="External"/><Relationship Id="rId289" Type="http://schemas.openxmlformats.org/officeDocument/2006/relationships/hyperlink" Target="https://talan.bank.gov.ua/get-user-certificate/sec1eGyjLSzOaoiZ6d8J" TargetMode="External"/><Relationship Id="rId496" Type="http://schemas.openxmlformats.org/officeDocument/2006/relationships/hyperlink" Target="https://talan.bank.gov.ua/get-user-certificate/sec1e8vKmxI90e6QqnEn" TargetMode="External"/><Relationship Id="rId2177" Type="http://schemas.openxmlformats.org/officeDocument/2006/relationships/hyperlink" Target="https://talan.bank.gov.ua/get-user-certificate/sec1eAUxw0oqIvb7Oc_i" TargetMode="External"/><Relationship Id="rId2384" Type="http://schemas.openxmlformats.org/officeDocument/2006/relationships/hyperlink" Target="https://talan.bank.gov.ua/get-user-certificate/sec1eFgbdx2tKg5WX7BT" TargetMode="External"/><Relationship Id="rId2591" Type="http://schemas.openxmlformats.org/officeDocument/2006/relationships/hyperlink" Target="https://talan.bank.gov.ua/get-user-certificate/sec1eq1Urn4aYtrjYBPj" TargetMode="External"/><Relationship Id="rId3228" Type="http://schemas.openxmlformats.org/officeDocument/2006/relationships/hyperlink" Target="https://talan.bank.gov.ua/get-user-certificate/sec1e3Wf0lpqT2J_b-JG" TargetMode="External"/><Relationship Id="rId3435" Type="http://schemas.openxmlformats.org/officeDocument/2006/relationships/hyperlink" Target="https://talan.bank.gov.ua/get-user-certificate/sec1ecWQs22JV2eqvQbP" TargetMode="External"/><Relationship Id="rId3642" Type="http://schemas.openxmlformats.org/officeDocument/2006/relationships/hyperlink" Target="https://talan.bank.gov.ua/get-user-certificate/sec1eMSfLv1t7ixefOjV" TargetMode="External"/><Relationship Id="rId149" Type="http://schemas.openxmlformats.org/officeDocument/2006/relationships/hyperlink" Target="https://talan.bank.gov.ua/get-user-certificate/sec1eDDH-LLkLs2PVZAi" TargetMode="External"/><Relationship Id="rId356" Type="http://schemas.openxmlformats.org/officeDocument/2006/relationships/hyperlink" Target="https://talan.bank.gov.ua/get-user-certificate/sec1e2mZSBK9CUZPV6OV" TargetMode="External"/><Relationship Id="rId563" Type="http://schemas.openxmlformats.org/officeDocument/2006/relationships/hyperlink" Target="https://talan.bank.gov.ua/get-user-certificate/sec1e7YzhYwEmb-b-sZw" TargetMode="External"/><Relationship Id="rId770" Type="http://schemas.openxmlformats.org/officeDocument/2006/relationships/hyperlink" Target="https://talan.bank.gov.ua/get-user-certificate/sec1ekchDpkeQS7oRh4w" TargetMode="External"/><Relationship Id="rId1193" Type="http://schemas.openxmlformats.org/officeDocument/2006/relationships/hyperlink" Target="https://talan.bank.gov.ua/get-user-certificate/sec1emsKNAM1V4jbSttK" TargetMode="External"/><Relationship Id="rId2037" Type="http://schemas.openxmlformats.org/officeDocument/2006/relationships/hyperlink" Target="https://talan.bank.gov.ua/get-user-certificate/sec1eSd41spUZdPr3-Uq" TargetMode="External"/><Relationship Id="rId2244" Type="http://schemas.openxmlformats.org/officeDocument/2006/relationships/hyperlink" Target="https://talan.bank.gov.ua/get-user-certificate/sec1ef3c7MkXgaq-aYVg" TargetMode="External"/><Relationship Id="rId2451" Type="http://schemas.openxmlformats.org/officeDocument/2006/relationships/hyperlink" Target="https://talan.bank.gov.ua/get-user-certificate/sec1eI5ZGbccrvPeBjP7" TargetMode="External"/><Relationship Id="rId4900" Type="http://schemas.openxmlformats.org/officeDocument/2006/relationships/hyperlink" Target="https://talan.bank.gov.ua/get-user-certificate/sec1eA7hj8gRpA0EYrgH" TargetMode="External"/><Relationship Id="rId216" Type="http://schemas.openxmlformats.org/officeDocument/2006/relationships/hyperlink" Target="https://talan.bank.gov.ua/get-user-certificate/sec1eSE_Jfo1dihCnM2C" TargetMode="External"/><Relationship Id="rId423" Type="http://schemas.openxmlformats.org/officeDocument/2006/relationships/hyperlink" Target="https://talan.bank.gov.ua/get-user-certificate/sec1eqcWXdY1Ds-6TkOk" TargetMode="External"/><Relationship Id="rId1053" Type="http://schemas.openxmlformats.org/officeDocument/2006/relationships/hyperlink" Target="https://talan.bank.gov.ua/get-user-certificate/sec1eFLzzbLKcYXTHK_f" TargetMode="External"/><Relationship Id="rId1260" Type="http://schemas.openxmlformats.org/officeDocument/2006/relationships/hyperlink" Target="https://talan.bank.gov.ua/get-user-certificate/sec1ekqCvgyPTLwOXnrj" TargetMode="External"/><Relationship Id="rId2104" Type="http://schemas.openxmlformats.org/officeDocument/2006/relationships/hyperlink" Target="https://talan.bank.gov.ua/get-user-certificate/sec1e0KtyBeBM-GPZUES" TargetMode="External"/><Relationship Id="rId3502" Type="http://schemas.openxmlformats.org/officeDocument/2006/relationships/hyperlink" Target="https://talan.bank.gov.ua/get-user-certificate/sec1e7W2uphNSxJM6sGv" TargetMode="External"/><Relationship Id="rId630" Type="http://schemas.openxmlformats.org/officeDocument/2006/relationships/hyperlink" Target="https://talan.bank.gov.ua/get-user-certificate/sec1ecOn0XelRkIaWtlp" TargetMode="External"/><Relationship Id="rId2311" Type="http://schemas.openxmlformats.org/officeDocument/2006/relationships/hyperlink" Target="https://talan.bank.gov.ua/get-user-certificate/sec1eXzcTzmII_8lochG" TargetMode="External"/><Relationship Id="rId4069" Type="http://schemas.openxmlformats.org/officeDocument/2006/relationships/hyperlink" Target="https://talan.bank.gov.ua/get-user-certificate/sec1e0KrAG4HQQDLabkD" TargetMode="External"/><Relationship Id="rId1120" Type="http://schemas.openxmlformats.org/officeDocument/2006/relationships/hyperlink" Target="https://talan.bank.gov.ua/get-user-certificate/sec1ejtInv8HI4x67AGs" TargetMode="External"/><Relationship Id="rId4276" Type="http://schemas.openxmlformats.org/officeDocument/2006/relationships/hyperlink" Target="https://talan.bank.gov.ua/get-user-certificate/sec1eHykyxq857W_dFpk" TargetMode="External"/><Relationship Id="rId4483" Type="http://schemas.openxmlformats.org/officeDocument/2006/relationships/hyperlink" Target="https://talan.bank.gov.ua/get-user-certificate/sec1eehCevPhFfUwVGfe" TargetMode="External"/><Relationship Id="rId4690" Type="http://schemas.openxmlformats.org/officeDocument/2006/relationships/hyperlink" Target="https://talan.bank.gov.ua/get-user-certificate/sec1ey79_oh-e1fRlCnA" TargetMode="External"/><Relationship Id="rId1937" Type="http://schemas.openxmlformats.org/officeDocument/2006/relationships/hyperlink" Target="https://talan.bank.gov.ua/get-user-certificate/sec1e6Ah3mYJQPj8ruj7" TargetMode="External"/><Relationship Id="rId3085" Type="http://schemas.openxmlformats.org/officeDocument/2006/relationships/hyperlink" Target="https://talan.bank.gov.ua/get-user-certificate/sec1eHX3cxhYsMtG-yWx" TargetMode="External"/><Relationship Id="rId3292" Type="http://schemas.openxmlformats.org/officeDocument/2006/relationships/hyperlink" Target="https://talan.bank.gov.ua/get-user-certificate/sec1e5gUSlWQTge6dm5j" TargetMode="External"/><Relationship Id="rId4136" Type="http://schemas.openxmlformats.org/officeDocument/2006/relationships/hyperlink" Target="https://talan.bank.gov.ua/get-user-certificate/sec1ehSzeU9aBObsfy9r" TargetMode="External"/><Relationship Id="rId4343" Type="http://schemas.openxmlformats.org/officeDocument/2006/relationships/hyperlink" Target="https://talan.bank.gov.ua/get-user-certificate/sec1eMXIDJcx4ja8aYPI" TargetMode="External"/><Relationship Id="rId4550" Type="http://schemas.openxmlformats.org/officeDocument/2006/relationships/hyperlink" Target="https://talan.bank.gov.ua/get-user-certificate/sec1ek5HR2RkBO1QRPC0" TargetMode="External"/><Relationship Id="rId3152" Type="http://schemas.openxmlformats.org/officeDocument/2006/relationships/hyperlink" Target="https://talan.bank.gov.ua/get-user-certificate/sec1egMphic9cvjJZrvy" TargetMode="External"/><Relationship Id="rId4203" Type="http://schemas.openxmlformats.org/officeDocument/2006/relationships/hyperlink" Target="https://talan.bank.gov.ua/get-user-certificate/sec1eCvvPGC388r3217h" TargetMode="External"/><Relationship Id="rId4410" Type="http://schemas.openxmlformats.org/officeDocument/2006/relationships/hyperlink" Target="https://talan.bank.gov.ua/get-user-certificate/sec1eFe4p0_0RtZ4m1UU" TargetMode="External"/><Relationship Id="rId280" Type="http://schemas.openxmlformats.org/officeDocument/2006/relationships/hyperlink" Target="https://talan.bank.gov.ua/get-user-certificate/sec1eMPxMDt2e1YYv3eI" TargetMode="External"/><Relationship Id="rId3012" Type="http://schemas.openxmlformats.org/officeDocument/2006/relationships/hyperlink" Target="https://talan.bank.gov.ua/get-user-certificate/sec1el_B60f-L95n5uZY" TargetMode="External"/><Relationship Id="rId140" Type="http://schemas.openxmlformats.org/officeDocument/2006/relationships/hyperlink" Target="https://talan.bank.gov.ua/get-user-certificate/sec1e-Sk5Yqfzxi0zaW3" TargetMode="External"/><Relationship Id="rId3969" Type="http://schemas.openxmlformats.org/officeDocument/2006/relationships/hyperlink" Target="https://talan.bank.gov.ua/get-user-certificate/sec1e0siIS3xBCW4A4sz" TargetMode="External"/><Relationship Id="rId6" Type="http://schemas.openxmlformats.org/officeDocument/2006/relationships/hyperlink" Target="https://talan.bank.gov.ua/get-user-certificate/sec1e0mxnp8nU-bJdcHe" TargetMode="External"/><Relationship Id="rId2778" Type="http://schemas.openxmlformats.org/officeDocument/2006/relationships/hyperlink" Target="https://talan.bank.gov.ua/get-user-certificate/sec1eCpCZXNSwaHNh9a_" TargetMode="External"/><Relationship Id="rId2985" Type="http://schemas.openxmlformats.org/officeDocument/2006/relationships/hyperlink" Target="https://talan.bank.gov.ua/get-user-certificate/sec1ecdZA7PbAJ4l5xko" TargetMode="External"/><Relationship Id="rId3829" Type="http://schemas.openxmlformats.org/officeDocument/2006/relationships/hyperlink" Target="https://talan.bank.gov.ua/get-user-certificate/sec1eVRuw9tV6ZqijxwK" TargetMode="External"/><Relationship Id="rId957" Type="http://schemas.openxmlformats.org/officeDocument/2006/relationships/hyperlink" Target="https://talan.bank.gov.ua/get-user-certificate/sec1ekvmiLBTDNAlR13h" TargetMode="External"/><Relationship Id="rId1587" Type="http://schemas.openxmlformats.org/officeDocument/2006/relationships/hyperlink" Target="https://talan.bank.gov.ua/get-user-certificate/sec1ekwLvRQKuPmXvvE5" TargetMode="External"/><Relationship Id="rId1794" Type="http://schemas.openxmlformats.org/officeDocument/2006/relationships/hyperlink" Target="https://talan.bank.gov.ua/get-user-certificate/sec1ekz2-I-BfcKrGcg8" TargetMode="External"/><Relationship Id="rId2638" Type="http://schemas.openxmlformats.org/officeDocument/2006/relationships/hyperlink" Target="https://talan.bank.gov.ua/get-user-certificate/sec1eLG_7AmPmMjGIaZk" TargetMode="External"/><Relationship Id="rId2845" Type="http://schemas.openxmlformats.org/officeDocument/2006/relationships/hyperlink" Target="https://talan.bank.gov.ua/get-user-certificate/sec1erm_EDr8V6VNdWbl" TargetMode="External"/><Relationship Id="rId86" Type="http://schemas.openxmlformats.org/officeDocument/2006/relationships/hyperlink" Target="https://talan.bank.gov.ua/get-user-certificate/sec1eJPgExYgINvy3uw9" TargetMode="External"/><Relationship Id="rId817" Type="http://schemas.openxmlformats.org/officeDocument/2006/relationships/hyperlink" Target="https://talan.bank.gov.ua/get-user-certificate/sec1eMpOwk9ambTupFzQ" TargetMode="External"/><Relationship Id="rId1447" Type="http://schemas.openxmlformats.org/officeDocument/2006/relationships/hyperlink" Target="https://talan.bank.gov.ua/get-user-certificate/sec1eFjFOa0giWIkSZ-y" TargetMode="External"/><Relationship Id="rId1654" Type="http://schemas.openxmlformats.org/officeDocument/2006/relationships/hyperlink" Target="https://talan.bank.gov.ua/get-user-certificate/sec1eUSDJ22dngVNXTG-" TargetMode="External"/><Relationship Id="rId1861" Type="http://schemas.openxmlformats.org/officeDocument/2006/relationships/hyperlink" Target="https://talan.bank.gov.ua/get-user-certificate/sec1edG8kfyR9rnjq28T" TargetMode="External"/><Relationship Id="rId2705" Type="http://schemas.openxmlformats.org/officeDocument/2006/relationships/hyperlink" Target="https://talan.bank.gov.ua/get-user-certificate/sec1eR0hHMy29_91UwuF" TargetMode="External"/><Relationship Id="rId2912" Type="http://schemas.openxmlformats.org/officeDocument/2006/relationships/hyperlink" Target="https://talan.bank.gov.ua/get-user-certificate/sec1eKyNWlTRF9TqdD3Q" TargetMode="External"/><Relationship Id="rId4060" Type="http://schemas.openxmlformats.org/officeDocument/2006/relationships/hyperlink" Target="https://talan.bank.gov.ua/get-user-certificate/sec1eqQYtMq5nZtXZR61" TargetMode="External"/><Relationship Id="rId1307" Type="http://schemas.openxmlformats.org/officeDocument/2006/relationships/hyperlink" Target="https://talan.bank.gov.ua/get-user-certificate/sec1e3rj2JGjnOysKL9l" TargetMode="External"/><Relationship Id="rId1514" Type="http://schemas.openxmlformats.org/officeDocument/2006/relationships/hyperlink" Target="https://talan.bank.gov.ua/get-user-certificate/sec1eTFhi4L2HZ1AX9Mf" TargetMode="External"/><Relationship Id="rId1721" Type="http://schemas.openxmlformats.org/officeDocument/2006/relationships/hyperlink" Target="https://talan.bank.gov.ua/get-user-certificate/sec1exu8NIIyizMFtcHm" TargetMode="External"/><Relationship Id="rId4877" Type="http://schemas.openxmlformats.org/officeDocument/2006/relationships/hyperlink" Target="https://talan.bank.gov.ua/get-user-certificate/sec1eBp0whOW1SSjcV7y" TargetMode="External"/><Relationship Id="rId13" Type="http://schemas.openxmlformats.org/officeDocument/2006/relationships/hyperlink" Target="https://talan.bank.gov.ua/get-user-certificate/sec1eWehtXQgjtWEZBo1" TargetMode="External"/><Relationship Id="rId3479" Type="http://schemas.openxmlformats.org/officeDocument/2006/relationships/hyperlink" Target="https://talan.bank.gov.ua/get-user-certificate/sec1ezVkwUoECVpWgsao" TargetMode="External"/><Relationship Id="rId3686" Type="http://schemas.openxmlformats.org/officeDocument/2006/relationships/hyperlink" Target="https://talan.bank.gov.ua/get-user-certificate/sec1e3qcWIJQho4XTRE4" TargetMode="External"/><Relationship Id="rId2288" Type="http://schemas.openxmlformats.org/officeDocument/2006/relationships/hyperlink" Target="https://talan.bank.gov.ua/get-user-certificate/sec1eL0es5wM3tfc3eT7" TargetMode="External"/><Relationship Id="rId2495" Type="http://schemas.openxmlformats.org/officeDocument/2006/relationships/hyperlink" Target="https://talan.bank.gov.ua/get-user-certificate/sec1eH2afrW9JQNzCyBT" TargetMode="External"/><Relationship Id="rId3339" Type="http://schemas.openxmlformats.org/officeDocument/2006/relationships/hyperlink" Target="https://talan.bank.gov.ua/get-user-certificate/sec1eQdzGVrsHvVgPAnk" TargetMode="External"/><Relationship Id="rId3893" Type="http://schemas.openxmlformats.org/officeDocument/2006/relationships/hyperlink" Target="https://talan.bank.gov.ua/get-user-certificate/sec1eog6KLVvO9zOfIId" TargetMode="External"/><Relationship Id="rId4737" Type="http://schemas.openxmlformats.org/officeDocument/2006/relationships/hyperlink" Target="https://talan.bank.gov.ua/get-user-certificate/sec1eF8Ns5VY_F9xmaEK" TargetMode="External"/><Relationship Id="rId4944" Type="http://schemas.openxmlformats.org/officeDocument/2006/relationships/hyperlink" Target="https://talan.bank.gov.ua/get-user-certificate/sec1ebJDpjX3vP_rKiQf" TargetMode="External"/><Relationship Id="rId467" Type="http://schemas.openxmlformats.org/officeDocument/2006/relationships/hyperlink" Target="https://talan.bank.gov.ua/get-user-certificate/sec1eYEgJu7ZN9xWv_L8" TargetMode="External"/><Relationship Id="rId1097" Type="http://schemas.openxmlformats.org/officeDocument/2006/relationships/hyperlink" Target="https://talan.bank.gov.ua/get-user-certificate/sec1eMOoW5HdmLzke4RL" TargetMode="External"/><Relationship Id="rId2148" Type="http://schemas.openxmlformats.org/officeDocument/2006/relationships/hyperlink" Target="https://talan.bank.gov.ua/get-user-certificate/sec1eo-IhVfxo1bnjxEU" TargetMode="External"/><Relationship Id="rId3546" Type="http://schemas.openxmlformats.org/officeDocument/2006/relationships/hyperlink" Target="https://talan.bank.gov.ua/get-user-certificate/sec1e5VaN4XUOkpBhXOD" TargetMode="External"/><Relationship Id="rId3753" Type="http://schemas.openxmlformats.org/officeDocument/2006/relationships/hyperlink" Target="https://talan.bank.gov.ua/get-user-certificate/sec1eDIBRUFwHuQFMtiz" TargetMode="External"/><Relationship Id="rId3960" Type="http://schemas.openxmlformats.org/officeDocument/2006/relationships/hyperlink" Target="https://talan.bank.gov.ua/get-user-certificate/sec1exqvAKOY2LMnK-bc" TargetMode="External"/><Relationship Id="rId4804" Type="http://schemas.openxmlformats.org/officeDocument/2006/relationships/hyperlink" Target="https://talan.bank.gov.ua/get-user-certificate/sec1e23cg1tu880TQijn" TargetMode="External"/><Relationship Id="rId674" Type="http://schemas.openxmlformats.org/officeDocument/2006/relationships/hyperlink" Target="https://talan.bank.gov.ua/get-user-certificate/sec1eve43ZB0WjDUS2rc" TargetMode="External"/><Relationship Id="rId881" Type="http://schemas.openxmlformats.org/officeDocument/2006/relationships/hyperlink" Target="https://talan.bank.gov.ua/get-user-certificate/sec1eiVl3JTi25QTuGcX" TargetMode="External"/><Relationship Id="rId2355" Type="http://schemas.openxmlformats.org/officeDocument/2006/relationships/hyperlink" Target="https://talan.bank.gov.ua/get-user-certificate/sec1euojdnJLj42Z9Clc" TargetMode="External"/><Relationship Id="rId2562" Type="http://schemas.openxmlformats.org/officeDocument/2006/relationships/hyperlink" Target="https://talan.bank.gov.ua/get-user-certificate/sec1e2iKS6VzOuWkXHxF" TargetMode="External"/><Relationship Id="rId3406" Type="http://schemas.openxmlformats.org/officeDocument/2006/relationships/hyperlink" Target="https://talan.bank.gov.ua/get-user-certificate/sec1emsE6RC3NRZY1lWi" TargetMode="External"/><Relationship Id="rId3613" Type="http://schemas.openxmlformats.org/officeDocument/2006/relationships/hyperlink" Target="https://talan.bank.gov.ua/get-user-certificate/sec1ea3aQCBmAQTb43vh" TargetMode="External"/><Relationship Id="rId3820" Type="http://schemas.openxmlformats.org/officeDocument/2006/relationships/hyperlink" Target="https://talan.bank.gov.ua/get-user-certificate/sec1e_M_XzzNCFwEISp7" TargetMode="External"/><Relationship Id="rId327" Type="http://schemas.openxmlformats.org/officeDocument/2006/relationships/hyperlink" Target="https://talan.bank.gov.ua/get-user-certificate/sec1e4lwzjTISxHuvAYJ" TargetMode="External"/><Relationship Id="rId534" Type="http://schemas.openxmlformats.org/officeDocument/2006/relationships/hyperlink" Target="https://talan.bank.gov.ua/get-user-certificate/sec1eSIq7n2eOGO1Sq21" TargetMode="External"/><Relationship Id="rId741" Type="http://schemas.openxmlformats.org/officeDocument/2006/relationships/hyperlink" Target="https://talan.bank.gov.ua/get-user-certificate/sec1eIGXaUps1yAUuu1W" TargetMode="External"/><Relationship Id="rId1164" Type="http://schemas.openxmlformats.org/officeDocument/2006/relationships/hyperlink" Target="https://talan.bank.gov.ua/get-user-certificate/sec1e24f7jG0U2o3THoK" TargetMode="External"/><Relationship Id="rId1371" Type="http://schemas.openxmlformats.org/officeDocument/2006/relationships/hyperlink" Target="https://talan.bank.gov.ua/get-user-certificate/sec1eH1l4U_AEYHBdoI3" TargetMode="External"/><Relationship Id="rId2008" Type="http://schemas.openxmlformats.org/officeDocument/2006/relationships/hyperlink" Target="https://talan.bank.gov.ua/get-user-certificate/sec1e9ane2goQlwmjVOf" TargetMode="External"/><Relationship Id="rId2215" Type="http://schemas.openxmlformats.org/officeDocument/2006/relationships/hyperlink" Target="https://talan.bank.gov.ua/get-user-certificate/sec1eJZq60pEZt4EDPUh" TargetMode="External"/><Relationship Id="rId2422" Type="http://schemas.openxmlformats.org/officeDocument/2006/relationships/hyperlink" Target="https://talan.bank.gov.ua/get-user-certificate/sec1e2CbHWXEvLC5aWcV" TargetMode="External"/><Relationship Id="rId601" Type="http://schemas.openxmlformats.org/officeDocument/2006/relationships/hyperlink" Target="https://talan.bank.gov.ua/get-user-certificate/sec1edx3Ig7opYLx0qSu" TargetMode="External"/><Relationship Id="rId1024" Type="http://schemas.openxmlformats.org/officeDocument/2006/relationships/hyperlink" Target="https://talan.bank.gov.ua/get-user-certificate/sec1elKh1T4BRHyPkJ5v" TargetMode="External"/><Relationship Id="rId1231" Type="http://schemas.openxmlformats.org/officeDocument/2006/relationships/hyperlink" Target="https://talan.bank.gov.ua/get-user-certificate/sec1e2v2nlwH0su3bzAF" TargetMode="External"/><Relationship Id="rId4387" Type="http://schemas.openxmlformats.org/officeDocument/2006/relationships/hyperlink" Target="https://talan.bank.gov.ua/get-user-certificate/sec1e8P_R9L8jDYnD6Od" TargetMode="External"/><Relationship Id="rId4594" Type="http://schemas.openxmlformats.org/officeDocument/2006/relationships/hyperlink" Target="https://talan.bank.gov.ua/get-user-certificate/sec1e5Hd4mCE11vBvUCz" TargetMode="External"/><Relationship Id="rId3196" Type="http://schemas.openxmlformats.org/officeDocument/2006/relationships/hyperlink" Target="https://talan.bank.gov.ua/get-user-certificate/sec1ezsWcLEJfQDZv5fm" TargetMode="External"/><Relationship Id="rId4247" Type="http://schemas.openxmlformats.org/officeDocument/2006/relationships/hyperlink" Target="https://talan.bank.gov.ua/get-user-certificate/sec1eWFmy3N9SwkjC__V" TargetMode="External"/><Relationship Id="rId4454" Type="http://schemas.openxmlformats.org/officeDocument/2006/relationships/hyperlink" Target="https://talan.bank.gov.ua/get-user-certificate/sec1eOkok7tbv3d5LHjD" TargetMode="External"/><Relationship Id="rId4661" Type="http://schemas.openxmlformats.org/officeDocument/2006/relationships/hyperlink" Target="https://talan.bank.gov.ua/get-user-certificate/sec1eOuMh0wuDW5ElMuY" TargetMode="External"/><Relationship Id="rId3056" Type="http://schemas.openxmlformats.org/officeDocument/2006/relationships/hyperlink" Target="https://talan.bank.gov.ua/get-user-certificate/sec1eCa5dkqFYX2ls5nG" TargetMode="External"/><Relationship Id="rId3263" Type="http://schemas.openxmlformats.org/officeDocument/2006/relationships/hyperlink" Target="https://talan.bank.gov.ua/get-user-certificate/sec1eAcEjbArWeUbgRNi" TargetMode="External"/><Relationship Id="rId3470" Type="http://schemas.openxmlformats.org/officeDocument/2006/relationships/hyperlink" Target="https://talan.bank.gov.ua/get-user-certificate/sec1e6Imte6sA-DRZoLT" TargetMode="External"/><Relationship Id="rId4107" Type="http://schemas.openxmlformats.org/officeDocument/2006/relationships/hyperlink" Target="https://talan.bank.gov.ua/get-user-certificate/sec1e0FaoRwm95kVCyg_" TargetMode="External"/><Relationship Id="rId4314" Type="http://schemas.openxmlformats.org/officeDocument/2006/relationships/hyperlink" Target="https://talan.bank.gov.ua/get-user-certificate/sec1e8HlBBjqflgTepqc" TargetMode="External"/><Relationship Id="rId184" Type="http://schemas.openxmlformats.org/officeDocument/2006/relationships/hyperlink" Target="https://talan.bank.gov.ua/get-user-certificate/sec1eSlxYNzJ4-Zk06Pr" TargetMode="External"/><Relationship Id="rId391" Type="http://schemas.openxmlformats.org/officeDocument/2006/relationships/hyperlink" Target="https://talan.bank.gov.ua/get-user-certificate/sec1ePZKWKXvxTUwaoiG" TargetMode="External"/><Relationship Id="rId1908" Type="http://schemas.openxmlformats.org/officeDocument/2006/relationships/hyperlink" Target="https://talan.bank.gov.ua/get-user-certificate/sec1ezMnvHtjnGxUvKcx" TargetMode="External"/><Relationship Id="rId2072" Type="http://schemas.openxmlformats.org/officeDocument/2006/relationships/hyperlink" Target="https://talan.bank.gov.ua/get-user-certificate/sec1eRjhcQxFz_QOoUf4" TargetMode="External"/><Relationship Id="rId3123" Type="http://schemas.openxmlformats.org/officeDocument/2006/relationships/hyperlink" Target="https://talan.bank.gov.ua/get-user-certificate/sec1eAYowR9TeM1TjGG7" TargetMode="External"/><Relationship Id="rId4521" Type="http://schemas.openxmlformats.org/officeDocument/2006/relationships/hyperlink" Target="https://talan.bank.gov.ua/get-user-certificate/sec1ee38AXyLxWYe7xRj" TargetMode="External"/><Relationship Id="rId251" Type="http://schemas.openxmlformats.org/officeDocument/2006/relationships/hyperlink" Target="https://talan.bank.gov.ua/get-user-certificate/sec1eSx8ticC3N2HFgy-" TargetMode="External"/><Relationship Id="rId3330" Type="http://schemas.openxmlformats.org/officeDocument/2006/relationships/hyperlink" Target="https://talan.bank.gov.ua/get-user-certificate/sec1eONXmNvupJ2ZivCN" TargetMode="External"/><Relationship Id="rId2889" Type="http://schemas.openxmlformats.org/officeDocument/2006/relationships/hyperlink" Target="https://talan.bank.gov.ua/get-user-certificate/sec1eGqe3bx_Y9qWvBtt" TargetMode="External"/><Relationship Id="rId111" Type="http://schemas.openxmlformats.org/officeDocument/2006/relationships/hyperlink" Target="https://talan.bank.gov.ua/get-user-certificate/sec1eCp0LRbsECoM9i98" TargetMode="External"/><Relationship Id="rId1698" Type="http://schemas.openxmlformats.org/officeDocument/2006/relationships/hyperlink" Target="https://talan.bank.gov.ua/get-user-certificate/sec1ejVD4wjzBpA3SAdS" TargetMode="External"/><Relationship Id="rId2749" Type="http://schemas.openxmlformats.org/officeDocument/2006/relationships/hyperlink" Target="https://talan.bank.gov.ua/get-user-certificate/sec1eDlJgdp8iJoV6xqR" TargetMode="External"/><Relationship Id="rId2956" Type="http://schemas.openxmlformats.org/officeDocument/2006/relationships/hyperlink" Target="https://talan.bank.gov.ua/get-user-certificate/sec1ekXENTKLStWECtfJ" TargetMode="External"/><Relationship Id="rId928" Type="http://schemas.openxmlformats.org/officeDocument/2006/relationships/hyperlink" Target="https://talan.bank.gov.ua/get-user-certificate/sec1ewAixVlXwXLxcprZ" TargetMode="External"/><Relationship Id="rId1558" Type="http://schemas.openxmlformats.org/officeDocument/2006/relationships/hyperlink" Target="https://talan.bank.gov.ua/get-user-certificate/sec1eDYdK78QT6oFrBpi" TargetMode="External"/><Relationship Id="rId1765" Type="http://schemas.openxmlformats.org/officeDocument/2006/relationships/hyperlink" Target="https://talan.bank.gov.ua/get-user-certificate/sec1eooOhTRmEEmQEWBf" TargetMode="External"/><Relationship Id="rId2609" Type="http://schemas.openxmlformats.org/officeDocument/2006/relationships/hyperlink" Target="https://talan.bank.gov.ua/get-user-certificate/sec1e5g2yKyKHwG9adfV" TargetMode="External"/><Relationship Id="rId4171" Type="http://schemas.openxmlformats.org/officeDocument/2006/relationships/hyperlink" Target="https://talan.bank.gov.ua/get-user-certificate/sec1eEDG8zQ03TW5z3Ql" TargetMode="External"/><Relationship Id="rId5015" Type="http://schemas.openxmlformats.org/officeDocument/2006/relationships/hyperlink" Target="https://talan.bank.gov.ua/get-user-certificate/f7i-sQDEQz6qf0_-3i4B" TargetMode="External"/><Relationship Id="rId57" Type="http://schemas.openxmlformats.org/officeDocument/2006/relationships/hyperlink" Target="https://talan.bank.gov.ua/get-user-certificate/sec1eENP499wQ9ipR5zQ" TargetMode="External"/><Relationship Id="rId1418" Type="http://schemas.openxmlformats.org/officeDocument/2006/relationships/hyperlink" Target="https://talan.bank.gov.ua/get-user-certificate/sec1eXKFymdaVk3PRhtN" TargetMode="External"/><Relationship Id="rId1972" Type="http://schemas.openxmlformats.org/officeDocument/2006/relationships/hyperlink" Target="https://talan.bank.gov.ua/get-user-certificate/sec1ekq1afkvEdsektqs" TargetMode="External"/><Relationship Id="rId2816" Type="http://schemas.openxmlformats.org/officeDocument/2006/relationships/hyperlink" Target="https://talan.bank.gov.ua/get-user-certificate/sec1eXlGLM2fhsLfpSNr" TargetMode="External"/><Relationship Id="rId4031" Type="http://schemas.openxmlformats.org/officeDocument/2006/relationships/hyperlink" Target="https://talan.bank.gov.ua/get-user-certificate/sec1eZiuw_GQLGQW2exm" TargetMode="External"/><Relationship Id="rId1625" Type="http://schemas.openxmlformats.org/officeDocument/2006/relationships/hyperlink" Target="https://talan.bank.gov.ua/get-user-certificate/sec1eOplizRvBmK_Qk8-" TargetMode="External"/><Relationship Id="rId1832" Type="http://schemas.openxmlformats.org/officeDocument/2006/relationships/hyperlink" Target="https://talan.bank.gov.ua/get-user-certificate/sec1ecYaMQ63DvxObQWJ" TargetMode="External"/><Relationship Id="rId4988" Type="http://schemas.openxmlformats.org/officeDocument/2006/relationships/hyperlink" Target="https://talan.bank.gov.ua/get-user-certificate/sec1eS-2XOWdv8n0rbVz" TargetMode="External"/><Relationship Id="rId3797" Type="http://schemas.openxmlformats.org/officeDocument/2006/relationships/hyperlink" Target="https://talan.bank.gov.ua/get-user-certificate/sec1eer2mT6SMBmuoBr5" TargetMode="External"/><Relationship Id="rId4848" Type="http://schemas.openxmlformats.org/officeDocument/2006/relationships/hyperlink" Target="https://talan.bank.gov.ua/get-user-certificate/sec1eI7-uAa3FfvQEUAd" TargetMode="External"/><Relationship Id="rId2399" Type="http://schemas.openxmlformats.org/officeDocument/2006/relationships/hyperlink" Target="https://talan.bank.gov.ua/get-user-certificate/sec1eOCmgxi3v982-JWl" TargetMode="External"/><Relationship Id="rId3657" Type="http://schemas.openxmlformats.org/officeDocument/2006/relationships/hyperlink" Target="https://talan.bank.gov.ua/get-user-certificate/sec1eq6dBGaNLMHiOIhW" TargetMode="External"/><Relationship Id="rId3864" Type="http://schemas.openxmlformats.org/officeDocument/2006/relationships/hyperlink" Target="https://talan.bank.gov.ua/get-user-certificate/sec1e4CB_fEDG6U1yyyA" TargetMode="External"/><Relationship Id="rId4708" Type="http://schemas.openxmlformats.org/officeDocument/2006/relationships/hyperlink" Target="https://talan.bank.gov.ua/get-user-certificate/sec1eRVzIdauZzHJ0BaK" TargetMode="External"/><Relationship Id="rId4915" Type="http://schemas.openxmlformats.org/officeDocument/2006/relationships/hyperlink" Target="https://talan.bank.gov.ua/get-user-certificate/sec1eRLZIFqQkGIy0Xjs" TargetMode="External"/><Relationship Id="rId578" Type="http://schemas.openxmlformats.org/officeDocument/2006/relationships/hyperlink" Target="https://talan.bank.gov.ua/get-user-certificate/sec1esT_-TA6j0pRNEaC" TargetMode="External"/><Relationship Id="rId785" Type="http://schemas.openxmlformats.org/officeDocument/2006/relationships/hyperlink" Target="https://talan.bank.gov.ua/get-user-certificate/sec1e4kYCLhyT4qZnUC5" TargetMode="External"/><Relationship Id="rId992" Type="http://schemas.openxmlformats.org/officeDocument/2006/relationships/hyperlink" Target="https://talan.bank.gov.ua/get-user-certificate/sec1eIDTi57_G9ba0Vl6" TargetMode="External"/><Relationship Id="rId2259" Type="http://schemas.openxmlformats.org/officeDocument/2006/relationships/hyperlink" Target="https://talan.bank.gov.ua/get-user-certificate/sec1eDEZc3jfmcqaakXQ" TargetMode="External"/><Relationship Id="rId2466" Type="http://schemas.openxmlformats.org/officeDocument/2006/relationships/hyperlink" Target="https://talan.bank.gov.ua/get-user-certificate/sec1eCC_CLQmXCHOqXdt" TargetMode="External"/><Relationship Id="rId2673" Type="http://schemas.openxmlformats.org/officeDocument/2006/relationships/hyperlink" Target="https://talan.bank.gov.ua/get-user-certificate/sec1e_O5OjSwvCy8srdh" TargetMode="External"/><Relationship Id="rId2880" Type="http://schemas.openxmlformats.org/officeDocument/2006/relationships/hyperlink" Target="https://talan.bank.gov.ua/get-user-certificate/sec1e-lAIJoSDfNSeC3e" TargetMode="External"/><Relationship Id="rId3517" Type="http://schemas.openxmlformats.org/officeDocument/2006/relationships/hyperlink" Target="https://talan.bank.gov.ua/get-user-certificate/sec1eDBV19vZHp536m78" TargetMode="External"/><Relationship Id="rId3724" Type="http://schemas.openxmlformats.org/officeDocument/2006/relationships/hyperlink" Target="https://talan.bank.gov.ua/get-user-certificate/sec1e8hhEsjZeaFwP8Z3" TargetMode="External"/><Relationship Id="rId3931" Type="http://schemas.openxmlformats.org/officeDocument/2006/relationships/hyperlink" Target="https://talan.bank.gov.ua/get-user-certificate/sec1e7KApY4U6RxWbH2t" TargetMode="External"/><Relationship Id="rId438" Type="http://schemas.openxmlformats.org/officeDocument/2006/relationships/hyperlink" Target="https://talan.bank.gov.ua/get-user-certificate/sec1e86rqIBHs-35SlAs" TargetMode="External"/><Relationship Id="rId645" Type="http://schemas.openxmlformats.org/officeDocument/2006/relationships/hyperlink" Target="https://talan.bank.gov.ua/get-user-certificate/sec1eILztefU5IXBpHUr" TargetMode="External"/><Relationship Id="rId852" Type="http://schemas.openxmlformats.org/officeDocument/2006/relationships/hyperlink" Target="https://talan.bank.gov.ua/get-user-certificate/sec1e_BVBAsP1WZet1G9" TargetMode="External"/><Relationship Id="rId1068" Type="http://schemas.openxmlformats.org/officeDocument/2006/relationships/hyperlink" Target="https://talan.bank.gov.ua/get-user-certificate/sec1eObn3TPbK8r8liPl" TargetMode="External"/><Relationship Id="rId1275" Type="http://schemas.openxmlformats.org/officeDocument/2006/relationships/hyperlink" Target="https://talan.bank.gov.ua/get-user-certificate/sec1e4RH8s2dP6nru0pk" TargetMode="External"/><Relationship Id="rId1482" Type="http://schemas.openxmlformats.org/officeDocument/2006/relationships/hyperlink" Target="https://talan.bank.gov.ua/get-user-certificate/sec1ejQ0hG2r2tBmxyIQ" TargetMode="External"/><Relationship Id="rId2119" Type="http://schemas.openxmlformats.org/officeDocument/2006/relationships/hyperlink" Target="https://talan.bank.gov.ua/get-user-certificate/sec1eQEeWGb7vw3ztLXO" TargetMode="External"/><Relationship Id="rId2326" Type="http://schemas.openxmlformats.org/officeDocument/2006/relationships/hyperlink" Target="https://talan.bank.gov.ua/get-user-certificate/sec1ehy_6Gy9cIx3aGgQ" TargetMode="External"/><Relationship Id="rId2533" Type="http://schemas.openxmlformats.org/officeDocument/2006/relationships/hyperlink" Target="https://talan.bank.gov.ua/get-user-certificate/sec1e4VmeIpGk3Lzy8q8" TargetMode="External"/><Relationship Id="rId2740" Type="http://schemas.openxmlformats.org/officeDocument/2006/relationships/hyperlink" Target="https://talan.bank.gov.ua/get-user-certificate/sec1ePyBDqoSV3DAVjSv" TargetMode="External"/><Relationship Id="rId505" Type="http://schemas.openxmlformats.org/officeDocument/2006/relationships/hyperlink" Target="https://talan.bank.gov.ua/get-user-certificate/sec1ewQIkZlnFjzMAKrs" TargetMode="External"/><Relationship Id="rId712" Type="http://schemas.openxmlformats.org/officeDocument/2006/relationships/hyperlink" Target="https://talan.bank.gov.ua/get-user-certificate/sec1eG53S9_OUfh1AgDk" TargetMode="External"/><Relationship Id="rId1135" Type="http://schemas.openxmlformats.org/officeDocument/2006/relationships/hyperlink" Target="https://talan.bank.gov.ua/get-user-certificate/sec1e9jkLlRpDlV5e0T1" TargetMode="External"/><Relationship Id="rId1342" Type="http://schemas.openxmlformats.org/officeDocument/2006/relationships/hyperlink" Target="https://talan.bank.gov.ua/get-user-certificate/sec1eu4IFIU8pOOyXvmS" TargetMode="External"/><Relationship Id="rId4498" Type="http://schemas.openxmlformats.org/officeDocument/2006/relationships/hyperlink" Target="https://talan.bank.gov.ua/get-user-certificate/sec1ef561hmdt6834YT7" TargetMode="External"/><Relationship Id="rId1202" Type="http://schemas.openxmlformats.org/officeDocument/2006/relationships/hyperlink" Target="https://talan.bank.gov.ua/get-user-certificate/sec1eiuK-j7mHsQhsshr" TargetMode="External"/><Relationship Id="rId2600" Type="http://schemas.openxmlformats.org/officeDocument/2006/relationships/hyperlink" Target="https://talan.bank.gov.ua/get-user-certificate/sec1e5lk6iedeNMogGtM" TargetMode="External"/><Relationship Id="rId4358" Type="http://schemas.openxmlformats.org/officeDocument/2006/relationships/hyperlink" Target="https://talan.bank.gov.ua/get-user-certificate/sec1e-03J62reqcSCVUP" TargetMode="External"/><Relationship Id="rId3167" Type="http://schemas.openxmlformats.org/officeDocument/2006/relationships/hyperlink" Target="https://talan.bank.gov.ua/get-user-certificate/sec1eiUzwGk2VaUs5Rjm" TargetMode="External"/><Relationship Id="rId4565" Type="http://schemas.openxmlformats.org/officeDocument/2006/relationships/hyperlink" Target="https://talan.bank.gov.ua/get-user-certificate/sec1ereY4RDxNYD15DQt" TargetMode="External"/><Relationship Id="rId4772" Type="http://schemas.openxmlformats.org/officeDocument/2006/relationships/hyperlink" Target="https://talan.bank.gov.ua/get-user-certificate/sec1eM_-SOkUErq9PawG" TargetMode="External"/><Relationship Id="rId295" Type="http://schemas.openxmlformats.org/officeDocument/2006/relationships/hyperlink" Target="https://talan.bank.gov.ua/get-user-certificate/sec1edA1jgmAljUp7E_x" TargetMode="External"/><Relationship Id="rId3374" Type="http://schemas.openxmlformats.org/officeDocument/2006/relationships/hyperlink" Target="https://talan.bank.gov.ua/get-user-certificate/sec1eshYoJTdWZDnQIxY" TargetMode="External"/><Relationship Id="rId3581" Type="http://schemas.openxmlformats.org/officeDocument/2006/relationships/hyperlink" Target="https://talan.bank.gov.ua/get-user-certificate/sec1eFWIueHkaqtGvacL" TargetMode="External"/><Relationship Id="rId4218" Type="http://schemas.openxmlformats.org/officeDocument/2006/relationships/hyperlink" Target="https://talan.bank.gov.ua/get-user-certificate/sec1eiAEMM6A1WZ3tB38" TargetMode="External"/><Relationship Id="rId4425" Type="http://schemas.openxmlformats.org/officeDocument/2006/relationships/hyperlink" Target="https://talan.bank.gov.ua/get-user-certificate/sec1ezEDXPix1ykAEoR-" TargetMode="External"/><Relationship Id="rId4632" Type="http://schemas.openxmlformats.org/officeDocument/2006/relationships/hyperlink" Target="https://talan.bank.gov.ua/get-user-certificate/sec1eOO6voZbYsC9OSxq" TargetMode="External"/><Relationship Id="rId2183" Type="http://schemas.openxmlformats.org/officeDocument/2006/relationships/hyperlink" Target="https://talan.bank.gov.ua/get-user-certificate/sec1eRqHfnSlIyhewIgI" TargetMode="External"/><Relationship Id="rId2390" Type="http://schemas.openxmlformats.org/officeDocument/2006/relationships/hyperlink" Target="https://talan.bank.gov.ua/get-user-certificate/sec1etNgrK6mtT91Ld-4" TargetMode="External"/><Relationship Id="rId3027" Type="http://schemas.openxmlformats.org/officeDocument/2006/relationships/hyperlink" Target="https://talan.bank.gov.ua/get-user-certificate/sec1eHjvT0CE5M6RSoKv" TargetMode="External"/><Relationship Id="rId3234" Type="http://schemas.openxmlformats.org/officeDocument/2006/relationships/hyperlink" Target="https://talan.bank.gov.ua/get-user-certificate/sec1e18cvzSA0j45zMqL" TargetMode="External"/><Relationship Id="rId3441" Type="http://schemas.openxmlformats.org/officeDocument/2006/relationships/hyperlink" Target="https://talan.bank.gov.ua/get-user-certificate/sec1eg_mJzp3IPq48gU_" TargetMode="External"/><Relationship Id="rId155" Type="http://schemas.openxmlformats.org/officeDocument/2006/relationships/hyperlink" Target="https://talan.bank.gov.ua/get-user-certificate/sec1edT9fY4ByPt7e9xG" TargetMode="External"/><Relationship Id="rId362" Type="http://schemas.openxmlformats.org/officeDocument/2006/relationships/hyperlink" Target="https://talan.bank.gov.ua/get-user-certificate/sec1e7UMKmc8ZbGR3kOS" TargetMode="External"/><Relationship Id="rId2043" Type="http://schemas.openxmlformats.org/officeDocument/2006/relationships/hyperlink" Target="https://talan.bank.gov.ua/get-user-certificate/sec1eQy507jHDgINokn_" TargetMode="External"/><Relationship Id="rId2250" Type="http://schemas.openxmlformats.org/officeDocument/2006/relationships/hyperlink" Target="https://talan.bank.gov.ua/get-user-certificate/sec1e71g9Ehraw784x0O" TargetMode="External"/><Relationship Id="rId3301" Type="http://schemas.openxmlformats.org/officeDocument/2006/relationships/hyperlink" Target="https://talan.bank.gov.ua/get-user-certificate/sec1edPXLFRgpu33BOqv" TargetMode="External"/><Relationship Id="rId222" Type="http://schemas.openxmlformats.org/officeDocument/2006/relationships/hyperlink" Target="https://talan.bank.gov.ua/get-user-certificate/sec1eDpUFssxQy3QVJGK" TargetMode="External"/><Relationship Id="rId2110" Type="http://schemas.openxmlformats.org/officeDocument/2006/relationships/hyperlink" Target="https://talan.bank.gov.ua/get-user-certificate/sec1exf5aM8jIPBxcHrb" TargetMode="External"/><Relationship Id="rId4075" Type="http://schemas.openxmlformats.org/officeDocument/2006/relationships/hyperlink" Target="https://talan.bank.gov.ua/get-user-certificate/sec1eO0c9hBLDleZ20LR" TargetMode="External"/><Relationship Id="rId4282" Type="http://schemas.openxmlformats.org/officeDocument/2006/relationships/hyperlink" Target="https://talan.bank.gov.ua/get-user-certificate/sec1ecLNIAUvGvTQuSM9" TargetMode="External"/><Relationship Id="rId1669" Type="http://schemas.openxmlformats.org/officeDocument/2006/relationships/hyperlink" Target="https://talan.bank.gov.ua/get-user-certificate/sec1eMJzKgeaEL5z6ynu" TargetMode="External"/><Relationship Id="rId1876" Type="http://schemas.openxmlformats.org/officeDocument/2006/relationships/hyperlink" Target="https://talan.bank.gov.ua/get-user-certificate/sec1ed_aMC9kjKVcwG8S" TargetMode="External"/><Relationship Id="rId2927" Type="http://schemas.openxmlformats.org/officeDocument/2006/relationships/hyperlink" Target="https://talan.bank.gov.ua/get-user-certificate/sec1ep0pVUKvrWNfXzxc" TargetMode="External"/><Relationship Id="rId3091" Type="http://schemas.openxmlformats.org/officeDocument/2006/relationships/hyperlink" Target="https://talan.bank.gov.ua/get-user-certificate/sec1eDSJbLCmzN92Gm8U" TargetMode="External"/><Relationship Id="rId4142" Type="http://schemas.openxmlformats.org/officeDocument/2006/relationships/hyperlink" Target="https://talan.bank.gov.ua/get-user-certificate/sec1e-meHbK4NofzyT-p" TargetMode="External"/><Relationship Id="rId1529" Type="http://schemas.openxmlformats.org/officeDocument/2006/relationships/hyperlink" Target="https://talan.bank.gov.ua/get-user-certificate/sec1ekExcru-SR__Xkcc" TargetMode="External"/><Relationship Id="rId1736" Type="http://schemas.openxmlformats.org/officeDocument/2006/relationships/hyperlink" Target="https://talan.bank.gov.ua/get-user-certificate/sec1eT8Dx-N1SNx1OIQD" TargetMode="External"/><Relationship Id="rId1943" Type="http://schemas.openxmlformats.org/officeDocument/2006/relationships/hyperlink" Target="https://talan.bank.gov.ua/get-user-certificate/sec1e5FZHovTa4uzrbdS" TargetMode="External"/><Relationship Id="rId28" Type="http://schemas.openxmlformats.org/officeDocument/2006/relationships/hyperlink" Target="https://talan.bank.gov.ua/get-user-certificate/sec1epQciuwKfXN3FiA8" TargetMode="External"/><Relationship Id="rId1803" Type="http://schemas.openxmlformats.org/officeDocument/2006/relationships/hyperlink" Target="https://talan.bank.gov.ua/get-user-certificate/sec1e9Mz7I7J9JyJ6jE9" TargetMode="External"/><Relationship Id="rId4002" Type="http://schemas.openxmlformats.org/officeDocument/2006/relationships/hyperlink" Target="https://talan.bank.gov.ua/get-user-certificate/sec1ei_-JIvcy99RrDXq" TargetMode="External"/><Relationship Id="rId4959" Type="http://schemas.openxmlformats.org/officeDocument/2006/relationships/hyperlink" Target="https://talan.bank.gov.ua/get-user-certificate/sec1elG4GACAj4AHEmIn" TargetMode="External"/><Relationship Id="rId3768" Type="http://schemas.openxmlformats.org/officeDocument/2006/relationships/hyperlink" Target="https://talan.bank.gov.ua/get-user-certificate/sec1e69blbAj_b32iP1u" TargetMode="External"/><Relationship Id="rId3975" Type="http://schemas.openxmlformats.org/officeDocument/2006/relationships/hyperlink" Target="https://talan.bank.gov.ua/get-user-certificate/sec1evzYJIKdAZ-QkGgS" TargetMode="External"/><Relationship Id="rId4819" Type="http://schemas.openxmlformats.org/officeDocument/2006/relationships/hyperlink" Target="https://talan.bank.gov.ua/get-user-certificate/sec1eVlz9MECs4B007hW" TargetMode="External"/><Relationship Id="rId689" Type="http://schemas.openxmlformats.org/officeDocument/2006/relationships/hyperlink" Target="https://talan.bank.gov.ua/get-user-certificate/sec1egz8DLDzfI3kDecI" TargetMode="External"/><Relationship Id="rId896" Type="http://schemas.openxmlformats.org/officeDocument/2006/relationships/hyperlink" Target="https://talan.bank.gov.ua/get-user-certificate/sec1elIblH8EG0Q0bif9" TargetMode="External"/><Relationship Id="rId2577" Type="http://schemas.openxmlformats.org/officeDocument/2006/relationships/hyperlink" Target="https://talan.bank.gov.ua/get-user-certificate/sec1eco_1TVbMOzrEiBw" TargetMode="External"/><Relationship Id="rId2784" Type="http://schemas.openxmlformats.org/officeDocument/2006/relationships/hyperlink" Target="https://talan.bank.gov.ua/get-user-certificate/sec1e2GOjgzaOtcr8itC" TargetMode="External"/><Relationship Id="rId3628" Type="http://schemas.openxmlformats.org/officeDocument/2006/relationships/hyperlink" Target="https://talan.bank.gov.ua/get-user-certificate/sec1euJw5GivZTjm0plb" TargetMode="External"/><Relationship Id="rId549" Type="http://schemas.openxmlformats.org/officeDocument/2006/relationships/hyperlink" Target="https://talan.bank.gov.ua/get-user-certificate/sec1eVcwvTmpGg9FX6d2" TargetMode="External"/><Relationship Id="rId756" Type="http://schemas.openxmlformats.org/officeDocument/2006/relationships/hyperlink" Target="https://talan.bank.gov.ua/get-user-certificate/sec1elGbfAZQ7ufX1SXl" TargetMode="External"/><Relationship Id="rId1179" Type="http://schemas.openxmlformats.org/officeDocument/2006/relationships/hyperlink" Target="https://talan.bank.gov.ua/get-user-certificate/sec1e8Kw1GL_gbk1T4_l" TargetMode="External"/><Relationship Id="rId1386" Type="http://schemas.openxmlformats.org/officeDocument/2006/relationships/hyperlink" Target="https://talan.bank.gov.ua/get-user-certificate/sec1e_fXIVHaF6oIvMfX" TargetMode="External"/><Relationship Id="rId1593" Type="http://schemas.openxmlformats.org/officeDocument/2006/relationships/hyperlink" Target="https://talan.bank.gov.ua/get-user-certificate/sec1efXpCbUMLk8kNhHV" TargetMode="External"/><Relationship Id="rId2437" Type="http://schemas.openxmlformats.org/officeDocument/2006/relationships/hyperlink" Target="https://talan.bank.gov.ua/get-user-certificate/sec1eJisbSnALrIbuxy4" TargetMode="External"/><Relationship Id="rId2991" Type="http://schemas.openxmlformats.org/officeDocument/2006/relationships/hyperlink" Target="https://talan.bank.gov.ua/get-user-certificate/sec1eeCKrAuMpV6YJ5nc" TargetMode="External"/><Relationship Id="rId3835" Type="http://schemas.openxmlformats.org/officeDocument/2006/relationships/hyperlink" Target="https://talan.bank.gov.ua/get-user-certificate/sec1eMkxRF8dk7JTEdIn" TargetMode="External"/><Relationship Id="rId409" Type="http://schemas.openxmlformats.org/officeDocument/2006/relationships/hyperlink" Target="https://talan.bank.gov.ua/get-user-certificate/sec1eUdSjfe2nPcrfZgZ" TargetMode="External"/><Relationship Id="rId963" Type="http://schemas.openxmlformats.org/officeDocument/2006/relationships/hyperlink" Target="https://talan.bank.gov.ua/get-user-certificate/sec1e_tRN2ZwaTl1z5SO" TargetMode="External"/><Relationship Id="rId1039" Type="http://schemas.openxmlformats.org/officeDocument/2006/relationships/hyperlink" Target="https://talan.bank.gov.ua/get-user-certificate/sec1e6pJCxzIIgVCSbkl" TargetMode="External"/><Relationship Id="rId1246" Type="http://schemas.openxmlformats.org/officeDocument/2006/relationships/hyperlink" Target="https://talan.bank.gov.ua/get-user-certificate/sec1evxyb9t_KlDk_ZJj" TargetMode="External"/><Relationship Id="rId2644" Type="http://schemas.openxmlformats.org/officeDocument/2006/relationships/hyperlink" Target="https://talan.bank.gov.ua/get-user-certificate/sec1eyjV2seaOxI7fBrg" TargetMode="External"/><Relationship Id="rId2851" Type="http://schemas.openxmlformats.org/officeDocument/2006/relationships/hyperlink" Target="https://talan.bank.gov.ua/get-user-certificate/sec1e_Ulvjb2rG3rkNTN" TargetMode="External"/><Relationship Id="rId3902" Type="http://schemas.openxmlformats.org/officeDocument/2006/relationships/hyperlink" Target="https://talan.bank.gov.ua/get-user-certificate/sec1ex5ll8SD5i0U6e5M" TargetMode="External"/><Relationship Id="rId92" Type="http://schemas.openxmlformats.org/officeDocument/2006/relationships/hyperlink" Target="https://talan.bank.gov.ua/get-user-certificate/sec1e98BS9k02i1hz1x-" TargetMode="External"/><Relationship Id="rId616" Type="http://schemas.openxmlformats.org/officeDocument/2006/relationships/hyperlink" Target="https://talan.bank.gov.ua/get-user-certificate/sec1ewb0GLF0pXQbrUdt" TargetMode="External"/><Relationship Id="rId823" Type="http://schemas.openxmlformats.org/officeDocument/2006/relationships/hyperlink" Target="https://talan.bank.gov.ua/get-user-certificate/sec1ee1ncAjM62Y3yMt6" TargetMode="External"/><Relationship Id="rId1453" Type="http://schemas.openxmlformats.org/officeDocument/2006/relationships/hyperlink" Target="https://talan.bank.gov.ua/get-user-certificate/sec1exYDqhiMjJfjsj-Z" TargetMode="External"/><Relationship Id="rId1660" Type="http://schemas.openxmlformats.org/officeDocument/2006/relationships/hyperlink" Target="https://talan.bank.gov.ua/get-user-certificate/sec1ebafW_nRWQ4AXIkS" TargetMode="External"/><Relationship Id="rId2504" Type="http://schemas.openxmlformats.org/officeDocument/2006/relationships/hyperlink" Target="https://talan.bank.gov.ua/get-user-certificate/sec1ebxaFdlLtH4jgBvn" TargetMode="External"/><Relationship Id="rId2711" Type="http://schemas.openxmlformats.org/officeDocument/2006/relationships/hyperlink" Target="https://talan.bank.gov.ua/get-user-certificate/sec1eY21ustsSuOf0oGc" TargetMode="External"/><Relationship Id="rId1106" Type="http://schemas.openxmlformats.org/officeDocument/2006/relationships/hyperlink" Target="https://talan.bank.gov.ua/get-user-certificate/sec1eUJDyZC_DRfj8dtS" TargetMode="External"/><Relationship Id="rId1313" Type="http://schemas.openxmlformats.org/officeDocument/2006/relationships/hyperlink" Target="https://talan.bank.gov.ua/get-user-certificate/sec1eqpnmYICUJlspZea" TargetMode="External"/><Relationship Id="rId1520" Type="http://schemas.openxmlformats.org/officeDocument/2006/relationships/hyperlink" Target="https://talan.bank.gov.ua/get-user-certificate/sec1elLM-26sHD5wskqp" TargetMode="External"/><Relationship Id="rId4469" Type="http://schemas.openxmlformats.org/officeDocument/2006/relationships/hyperlink" Target="https://talan.bank.gov.ua/get-user-certificate/sec1e1bg7yHOFdQOGQ1h" TargetMode="External"/><Relationship Id="rId4676" Type="http://schemas.openxmlformats.org/officeDocument/2006/relationships/hyperlink" Target="https://talan.bank.gov.ua/get-user-certificate/sec1e6cYp-q0nGGx5oqk" TargetMode="External"/><Relationship Id="rId4883" Type="http://schemas.openxmlformats.org/officeDocument/2006/relationships/hyperlink" Target="https://talan.bank.gov.ua/get-user-certificate/sec1eZMiYjp_sRKUxwgj" TargetMode="External"/><Relationship Id="rId3278" Type="http://schemas.openxmlformats.org/officeDocument/2006/relationships/hyperlink" Target="https://talan.bank.gov.ua/get-user-certificate/sec1ejq6luK8XIrGLOyY" TargetMode="External"/><Relationship Id="rId3485" Type="http://schemas.openxmlformats.org/officeDocument/2006/relationships/hyperlink" Target="https://talan.bank.gov.ua/get-user-certificate/sec1eJK-zbfCfW9veVJk" TargetMode="External"/><Relationship Id="rId3692" Type="http://schemas.openxmlformats.org/officeDocument/2006/relationships/hyperlink" Target="https://talan.bank.gov.ua/get-user-certificate/sec1eubmq98zLT5Vyp_i" TargetMode="External"/><Relationship Id="rId4329" Type="http://schemas.openxmlformats.org/officeDocument/2006/relationships/hyperlink" Target="https://talan.bank.gov.ua/get-user-certificate/sec1evMTnQ9tN7bubN1H" TargetMode="External"/><Relationship Id="rId4536" Type="http://schemas.openxmlformats.org/officeDocument/2006/relationships/hyperlink" Target="https://talan.bank.gov.ua/get-user-certificate/sec1ePAsbwRqk8PXHCch" TargetMode="External"/><Relationship Id="rId4743" Type="http://schemas.openxmlformats.org/officeDocument/2006/relationships/hyperlink" Target="https://talan.bank.gov.ua/get-user-certificate/sec1eriJtt719Zmd3D3W" TargetMode="External"/><Relationship Id="rId4950" Type="http://schemas.openxmlformats.org/officeDocument/2006/relationships/hyperlink" Target="https://talan.bank.gov.ua/get-user-certificate/sec1ee25Rphkb5XILoty" TargetMode="External"/><Relationship Id="rId199" Type="http://schemas.openxmlformats.org/officeDocument/2006/relationships/hyperlink" Target="https://talan.bank.gov.ua/get-user-certificate/sec1eeuV9ViQza4mAEkB" TargetMode="External"/><Relationship Id="rId2087" Type="http://schemas.openxmlformats.org/officeDocument/2006/relationships/hyperlink" Target="https://talan.bank.gov.ua/get-user-certificate/sec1eiwG8wImeYu7k3k9" TargetMode="External"/><Relationship Id="rId2294" Type="http://schemas.openxmlformats.org/officeDocument/2006/relationships/hyperlink" Target="https://talan.bank.gov.ua/get-user-certificate/sec1e8b1rJ3uuaPhu_TW" TargetMode="External"/><Relationship Id="rId3138" Type="http://schemas.openxmlformats.org/officeDocument/2006/relationships/hyperlink" Target="https://talan.bank.gov.ua/get-user-certificate/sec1excjOdwP_DOeKypo" TargetMode="External"/><Relationship Id="rId3345" Type="http://schemas.openxmlformats.org/officeDocument/2006/relationships/hyperlink" Target="https://talan.bank.gov.ua/get-user-certificate/sec1etFOF9pEGEVwrKYz" TargetMode="External"/><Relationship Id="rId3552" Type="http://schemas.openxmlformats.org/officeDocument/2006/relationships/hyperlink" Target="https://talan.bank.gov.ua/get-user-certificate/sec1eEF0kzWYVjMO81td" TargetMode="External"/><Relationship Id="rId4603" Type="http://schemas.openxmlformats.org/officeDocument/2006/relationships/hyperlink" Target="https://talan.bank.gov.ua/get-user-certificate/sec1ed34Hb7CTiY2Xom_" TargetMode="External"/><Relationship Id="rId266" Type="http://schemas.openxmlformats.org/officeDocument/2006/relationships/hyperlink" Target="https://talan.bank.gov.ua/get-user-certificate/sec1erqAQsE656Whwl2g" TargetMode="External"/><Relationship Id="rId473" Type="http://schemas.openxmlformats.org/officeDocument/2006/relationships/hyperlink" Target="https://talan.bank.gov.ua/get-user-certificate/sec1ejSGurCmfpGEKII_" TargetMode="External"/><Relationship Id="rId680" Type="http://schemas.openxmlformats.org/officeDocument/2006/relationships/hyperlink" Target="https://talan.bank.gov.ua/get-user-certificate/sec1eZNCOR5r6Lzp8RCD" TargetMode="External"/><Relationship Id="rId2154" Type="http://schemas.openxmlformats.org/officeDocument/2006/relationships/hyperlink" Target="https://talan.bank.gov.ua/get-user-certificate/sec1eeksRdWE56jE1I2k" TargetMode="External"/><Relationship Id="rId2361" Type="http://schemas.openxmlformats.org/officeDocument/2006/relationships/hyperlink" Target="https://talan.bank.gov.ua/get-user-certificate/sec1eI9JAmR0jY2IR1lT" TargetMode="External"/><Relationship Id="rId3205" Type="http://schemas.openxmlformats.org/officeDocument/2006/relationships/hyperlink" Target="https://talan.bank.gov.ua/get-user-certificate/sec1esg1lXZNhx73860k" TargetMode="External"/><Relationship Id="rId3412" Type="http://schemas.openxmlformats.org/officeDocument/2006/relationships/hyperlink" Target="https://talan.bank.gov.ua/get-user-certificate/sec1eafU4sXn2vQC8I-m" TargetMode="External"/><Relationship Id="rId4810" Type="http://schemas.openxmlformats.org/officeDocument/2006/relationships/hyperlink" Target="https://talan.bank.gov.ua/get-user-certificate/sec1eWyIbAzmWgCbDMJz" TargetMode="External"/><Relationship Id="rId126" Type="http://schemas.openxmlformats.org/officeDocument/2006/relationships/hyperlink" Target="https://talan.bank.gov.ua/get-user-certificate/sec1e4ILMjHei6lQLrzx" TargetMode="External"/><Relationship Id="rId333" Type="http://schemas.openxmlformats.org/officeDocument/2006/relationships/hyperlink" Target="https://talan.bank.gov.ua/get-user-certificate/sec1eUi3XoZrETAWbHyK" TargetMode="External"/><Relationship Id="rId540" Type="http://schemas.openxmlformats.org/officeDocument/2006/relationships/hyperlink" Target="https://talan.bank.gov.ua/get-user-certificate/sec1eJrF8ab_rNUMKp3s" TargetMode="External"/><Relationship Id="rId1170" Type="http://schemas.openxmlformats.org/officeDocument/2006/relationships/hyperlink" Target="https://talan.bank.gov.ua/get-user-certificate/sec1eZWNATxwqVNAOQ_G" TargetMode="External"/><Relationship Id="rId2014" Type="http://schemas.openxmlformats.org/officeDocument/2006/relationships/hyperlink" Target="https://talan.bank.gov.ua/get-user-certificate/sec1eCEd6_1Wxt9Ob6_K" TargetMode="External"/><Relationship Id="rId2221" Type="http://schemas.openxmlformats.org/officeDocument/2006/relationships/hyperlink" Target="https://talan.bank.gov.ua/get-user-certificate/sec1e6uTFzr9huUeUiMu" TargetMode="External"/><Relationship Id="rId1030" Type="http://schemas.openxmlformats.org/officeDocument/2006/relationships/hyperlink" Target="https://talan.bank.gov.ua/get-user-certificate/sec1eDcF04e8nZOjGMkG" TargetMode="External"/><Relationship Id="rId4186" Type="http://schemas.openxmlformats.org/officeDocument/2006/relationships/hyperlink" Target="https://talan.bank.gov.ua/get-user-certificate/sec1euZ-XWm6isrVOskU" TargetMode="External"/><Relationship Id="rId400" Type="http://schemas.openxmlformats.org/officeDocument/2006/relationships/hyperlink" Target="https://talan.bank.gov.ua/get-user-certificate/sec1eDWYLbZEG32oTdaE" TargetMode="External"/><Relationship Id="rId1987" Type="http://schemas.openxmlformats.org/officeDocument/2006/relationships/hyperlink" Target="https://talan.bank.gov.ua/get-user-certificate/sec1eK5AfAfdTh_XNK5w" TargetMode="External"/><Relationship Id="rId4393" Type="http://schemas.openxmlformats.org/officeDocument/2006/relationships/hyperlink" Target="https://talan.bank.gov.ua/get-user-certificate/sec1ecsfB5UFgmPLMsQS" TargetMode="External"/><Relationship Id="rId1847" Type="http://schemas.openxmlformats.org/officeDocument/2006/relationships/hyperlink" Target="https://talan.bank.gov.ua/get-user-certificate/sec1e_E_2RsgZcAwYcYi" TargetMode="External"/><Relationship Id="rId4046" Type="http://schemas.openxmlformats.org/officeDocument/2006/relationships/hyperlink" Target="https://talan.bank.gov.ua/get-user-certificate/sec1eKALffssgVT4LLQi" TargetMode="External"/><Relationship Id="rId4253" Type="http://schemas.openxmlformats.org/officeDocument/2006/relationships/hyperlink" Target="https://talan.bank.gov.ua/get-user-certificate/sec1ewi4G5tCow7dxWNX" TargetMode="External"/><Relationship Id="rId4460" Type="http://schemas.openxmlformats.org/officeDocument/2006/relationships/hyperlink" Target="https://talan.bank.gov.ua/get-user-certificate/sec1eLnM7G07VXaNhiRY" TargetMode="External"/><Relationship Id="rId1707" Type="http://schemas.openxmlformats.org/officeDocument/2006/relationships/hyperlink" Target="https://talan.bank.gov.ua/get-user-certificate/sec1erAruZ639ybkaOzP" TargetMode="External"/><Relationship Id="rId3062" Type="http://schemas.openxmlformats.org/officeDocument/2006/relationships/hyperlink" Target="https://talan.bank.gov.ua/get-user-certificate/sec1eqxV0Ad0S0wO7x7W" TargetMode="External"/><Relationship Id="rId4113" Type="http://schemas.openxmlformats.org/officeDocument/2006/relationships/hyperlink" Target="https://talan.bank.gov.ua/get-user-certificate/sec1eRuAt0JBNdVrEp5V" TargetMode="External"/><Relationship Id="rId4320" Type="http://schemas.openxmlformats.org/officeDocument/2006/relationships/hyperlink" Target="https://talan.bank.gov.ua/get-user-certificate/sec1etyMlLZ1yYMLeVS6" TargetMode="External"/><Relationship Id="rId190" Type="http://schemas.openxmlformats.org/officeDocument/2006/relationships/hyperlink" Target="https://talan.bank.gov.ua/get-user-certificate/sec1eKDHDd8RsA1JHb8B" TargetMode="External"/><Relationship Id="rId1914" Type="http://schemas.openxmlformats.org/officeDocument/2006/relationships/hyperlink" Target="https://talan.bank.gov.ua/get-user-certificate/sec1eI7klnGDs8xuwC69" TargetMode="External"/><Relationship Id="rId3879" Type="http://schemas.openxmlformats.org/officeDocument/2006/relationships/hyperlink" Target="https://talan.bank.gov.ua/get-user-certificate/sec1ezPeffWf8MFGyfjV" TargetMode="External"/><Relationship Id="rId2688" Type="http://schemas.openxmlformats.org/officeDocument/2006/relationships/hyperlink" Target="https://talan.bank.gov.ua/get-user-certificate/sec1eskimYpD10NOOaxP" TargetMode="External"/><Relationship Id="rId2895" Type="http://schemas.openxmlformats.org/officeDocument/2006/relationships/hyperlink" Target="https://talan.bank.gov.ua/get-user-certificate/sec1e_WkaO7YL9eS6Dtp" TargetMode="External"/><Relationship Id="rId3739" Type="http://schemas.openxmlformats.org/officeDocument/2006/relationships/hyperlink" Target="https://talan.bank.gov.ua/get-user-certificate/sec1e3tirvs4VLTnLUx1" TargetMode="External"/><Relationship Id="rId3946" Type="http://schemas.openxmlformats.org/officeDocument/2006/relationships/hyperlink" Target="https://talan.bank.gov.ua/get-user-certificate/sec1enuojGKTEi1GP8BU" TargetMode="External"/><Relationship Id="rId867" Type="http://schemas.openxmlformats.org/officeDocument/2006/relationships/hyperlink" Target="https://talan.bank.gov.ua/get-user-certificate/sec1eWB3dimpD8EF-OqM" TargetMode="External"/><Relationship Id="rId1497" Type="http://schemas.openxmlformats.org/officeDocument/2006/relationships/hyperlink" Target="https://talan.bank.gov.ua/get-user-certificate/sec1erUCmHZE0M5Wang-" TargetMode="External"/><Relationship Id="rId2548" Type="http://schemas.openxmlformats.org/officeDocument/2006/relationships/hyperlink" Target="https://talan.bank.gov.ua/get-user-certificate/sec1ejO8btPVHfoh5Mcv" TargetMode="External"/><Relationship Id="rId2755" Type="http://schemas.openxmlformats.org/officeDocument/2006/relationships/hyperlink" Target="https://talan.bank.gov.ua/get-user-certificate/sec1esvP7FAJclR4BdXL" TargetMode="External"/><Relationship Id="rId2962" Type="http://schemas.openxmlformats.org/officeDocument/2006/relationships/hyperlink" Target="https://talan.bank.gov.ua/get-user-certificate/sec1e_k2F91wVcEtJaS_" TargetMode="External"/><Relationship Id="rId3806" Type="http://schemas.openxmlformats.org/officeDocument/2006/relationships/hyperlink" Target="https://talan.bank.gov.ua/get-user-certificate/sec1eyjKFWl8_oLqeGqZ" TargetMode="External"/><Relationship Id="rId727" Type="http://schemas.openxmlformats.org/officeDocument/2006/relationships/hyperlink" Target="https://talan.bank.gov.ua/get-user-certificate/sec1eysiRmQUB5OplKUD" TargetMode="External"/><Relationship Id="rId934" Type="http://schemas.openxmlformats.org/officeDocument/2006/relationships/hyperlink" Target="https://talan.bank.gov.ua/get-user-certificate/sec1eX-r3TWwzgmFbtu-" TargetMode="External"/><Relationship Id="rId1357" Type="http://schemas.openxmlformats.org/officeDocument/2006/relationships/hyperlink" Target="https://talan.bank.gov.ua/get-user-certificate/sec1eTEu4092PRbsm36F" TargetMode="External"/><Relationship Id="rId1564" Type="http://schemas.openxmlformats.org/officeDocument/2006/relationships/hyperlink" Target="https://talan.bank.gov.ua/get-user-certificate/sec1eXp3aaYBHN8OJs26" TargetMode="External"/><Relationship Id="rId1771" Type="http://schemas.openxmlformats.org/officeDocument/2006/relationships/hyperlink" Target="https://talan.bank.gov.ua/get-user-certificate/sec1eSHrJGtivYAaiVJ4" TargetMode="External"/><Relationship Id="rId2408" Type="http://schemas.openxmlformats.org/officeDocument/2006/relationships/hyperlink" Target="https://talan.bank.gov.ua/get-user-certificate/sec1ewY8lqzlmFYDwBSl" TargetMode="External"/><Relationship Id="rId2615" Type="http://schemas.openxmlformats.org/officeDocument/2006/relationships/hyperlink" Target="https://talan.bank.gov.ua/get-user-certificate/sec1eKc5Dxz35aTda6oW" TargetMode="External"/><Relationship Id="rId2822" Type="http://schemas.openxmlformats.org/officeDocument/2006/relationships/hyperlink" Target="https://talan.bank.gov.ua/get-user-certificate/sec1e5nF9JKsurGDOvzo" TargetMode="External"/><Relationship Id="rId5021" Type="http://schemas.openxmlformats.org/officeDocument/2006/relationships/hyperlink" Target="https://talan.bank.gov.ua/get-user-certificate/f7i-sgtpO2t-OI9Nkdtk" TargetMode="External"/><Relationship Id="rId63" Type="http://schemas.openxmlformats.org/officeDocument/2006/relationships/hyperlink" Target="https://talan.bank.gov.ua/get-user-certificate/sec1eKtUTAOAs_QtYGqk" TargetMode="External"/><Relationship Id="rId1217" Type="http://schemas.openxmlformats.org/officeDocument/2006/relationships/hyperlink" Target="https://talan.bank.gov.ua/get-user-certificate/sec1emyInYvIoVUwjG_m" TargetMode="External"/><Relationship Id="rId1424" Type="http://schemas.openxmlformats.org/officeDocument/2006/relationships/hyperlink" Target="https://talan.bank.gov.ua/get-user-certificate/sec1ebsKKYmXnUiX8Gtw" TargetMode="External"/><Relationship Id="rId1631" Type="http://schemas.openxmlformats.org/officeDocument/2006/relationships/hyperlink" Target="https://talan.bank.gov.ua/get-user-certificate/sec1ePRNOYrveitodSYJ" TargetMode="External"/><Relationship Id="rId4787" Type="http://schemas.openxmlformats.org/officeDocument/2006/relationships/hyperlink" Target="https://talan.bank.gov.ua/get-user-certificate/sec1eqo9iMmxKU20fU_E" TargetMode="External"/><Relationship Id="rId4994" Type="http://schemas.openxmlformats.org/officeDocument/2006/relationships/hyperlink" Target="https://talan.bank.gov.ua/get-user-certificate/sec1eafx0g_-F5gkrhhb" TargetMode="External"/><Relationship Id="rId3389" Type="http://schemas.openxmlformats.org/officeDocument/2006/relationships/hyperlink" Target="https://talan.bank.gov.ua/get-user-certificate/sec1eq_odZMgkoBFL6FE" TargetMode="External"/><Relationship Id="rId3596" Type="http://schemas.openxmlformats.org/officeDocument/2006/relationships/hyperlink" Target="https://talan.bank.gov.ua/get-user-certificate/sec1ek7UcuoZPmZq4ioD" TargetMode="External"/><Relationship Id="rId4647" Type="http://schemas.openxmlformats.org/officeDocument/2006/relationships/hyperlink" Target="https://talan.bank.gov.ua/get-user-certificate/sec1eO3H55OQCS1R5-As" TargetMode="External"/><Relationship Id="rId2198" Type="http://schemas.openxmlformats.org/officeDocument/2006/relationships/hyperlink" Target="https://talan.bank.gov.ua/get-user-certificate/sec1eybTXIPBdlf2R_-V" TargetMode="External"/><Relationship Id="rId3249" Type="http://schemas.openxmlformats.org/officeDocument/2006/relationships/hyperlink" Target="https://talan.bank.gov.ua/get-user-certificate/sec1eGDD7in4OX8ATV_5" TargetMode="External"/><Relationship Id="rId3456" Type="http://schemas.openxmlformats.org/officeDocument/2006/relationships/hyperlink" Target="https://talan.bank.gov.ua/get-user-certificate/sec1eaQ2Uq6e2XXCivza" TargetMode="External"/><Relationship Id="rId4854" Type="http://schemas.openxmlformats.org/officeDocument/2006/relationships/hyperlink" Target="https://talan.bank.gov.ua/get-user-certificate/sec1enjJQnTJJKWGUJas" TargetMode="External"/><Relationship Id="rId377" Type="http://schemas.openxmlformats.org/officeDocument/2006/relationships/hyperlink" Target="https://talan.bank.gov.ua/get-user-certificate/sec1e-v0V0W1iNz6NS2j" TargetMode="External"/><Relationship Id="rId584" Type="http://schemas.openxmlformats.org/officeDocument/2006/relationships/hyperlink" Target="https://talan.bank.gov.ua/get-user-certificate/sec1ezB4rpibAzA5nyUy" TargetMode="External"/><Relationship Id="rId2058" Type="http://schemas.openxmlformats.org/officeDocument/2006/relationships/hyperlink" Target="https://talan.bank.gov.ua/get-user-certificate/sec1eEfFuStCaVvHZCwL" TargetMode="External"/><Relationship Id="rId2265" Type="http://schemas.openxmlformats.org/officeDocument/2006/relationships/hyperlink" Target="https://talan.bank.gov.ua/get-user-certificate/sec1eNkZ4-PKdzvLsgt9" TargetMode="External"/><Relationship Id="rId3109" Type="http://schemas.openxmlformats.org/officeDocument/2006/relationships/hyperlink" Target="https://talan.bank.gov.ua/get-user-certificate/sec1ez9ukkVmKFk297T8" TargetMode="External"/><Relationship Id="rId3663" Type="http://schemas.openxmlformats.org/officeDocument/2006/relationships/hyperlink" Target="https://talan.bank.gov.ua/get-user-certificate/sec1eY1EHekD0JiKkPSK" TargetMode="External"/><Relationship Id="rId3870" Type="http://schemas.openxmlformats.org/officeDocument/2006/relationships/hyperlink" Target="https://talan.bank.gov.ua/get-user-certificate/sec1ektcas1SpizPacbk" TargetMode="External"/><Relationship Id="rId4507" Type="http://schemas.openxmlformats.org/officeDocument/2006/relationships/hyperlink" Target="https://talan.bank.gov.ua/get-user-certificate/sec1efG_E3mjBRfZ8GIP" TargetMode="External"/><Relationship Id="rId4714" Type="http://schemas.openxmlformats.org/officeDocument/2006/relationships/hyperlink" Target="https://talan.bank.gov.ua/get-user-certificate/sec1e0ORp8gbRihstdfh" TargetMode="External"/><Relationship Id="rId4921" Type="http://schemas.openxmlformats.org/officeDocument/2006/relationships/hyperlink" Target="https://talan.bank.gov.ua/get-user-certificate/sec1eOjK8CzKPWHZurJ8" TargetMode="External"/><Relationship Id="rId237" Type="http://schemas.openxmlformats.org/officeDocument/2006/relationships/hyperlink" Target="https://talan.bank.gov.ua/get-user-certificate/sec1eP4rcnGj1EcvjF-U" TargetMode="External"/><Relationship Id="rId791" Type="http://schemas.openxmlformats.org/officeDocument/2006/relationships/hyperlink" Target="https://talan.bank.gov.ua/get-user-certificate/sec1eDI2Lr9S_VjrVu7M" TargetMode="External"/><Relationship Id="rId1074" Type="http://schemas.openxmlformats.org/officeDocument/2006/relationships/hyperlink" Target="https://talan.bank.gov.ua/get-user-certificate/sec1evB96s5CmTh8KGN9" TargetMode="External"/><Relationship Id="rId2472" Type="http://schemas.openxmlformats.org/officeDocument/2006/relationships/hyperlink" Target="https://talan.bank.gov.ua/get-user-certificate/sec1eMKu5ecPL-FbHOiu" TargetMode="External"/><Relationship Id="rId3316" Type="http://schemas.openxmlformats.org/officeDocument/2006/relationships/hyperlink" Target="https://talan.bank.gov.ua/get-user-certificate/sec1eSLNRAHQfhe-buy_" TargetMode="External"/><Relationship Id="rId3523" Type="http://schemas.openxmlformats.org/officeDocument/2006/relationships/hyperlink" Target="https://talan.bank.gov.ua/get-user-certificate/sec1ehNNug05Vt6XoVwl" TargetMode="External"/><Relationship Id="rId3730" Type="http://schemas.openxmlformats.org/officeDocument/2006/relationships/hyperlink" Target="https://talan.bank.gov.ua/get-user-certificate/sec1ekyISwIkfE6yacpS" TargetMode="External"/><Relationship Id="rId444" Type="http://schemas.openxmlformats.org/officeDocument/2006/relationships/hyperlink" Target="https://talan.bank.gov.ua/get-user-certificate/sec1eeMSWqtsaQxc5Usc" TargetMode="External"/><Relationship Id="rId651" Type="http://schemas.openxmlformats.org/officeDocument/2006/relationships/hyperlink" Target="https://talan.bank.gov.ua/get-user-certificate/sec1epjcMmfwYSuZzJpa" TargetMode="External"/><Relationship Id="rId1281" Type="http://schemas.openxmlformats.org/officeDocument/2006/relationships/hyperlink" Target="https://talan.bank.gov.ua/get-user-certificate/sec1eb6MpaKXycRa30Yq" TargetMode="External"/><Relationship Id="rId2125" Type="http://schemas.openxmlformats.org/officeDocument/2006/relationships/hyperlink" Target="https://talan.bank.gov.ua/get-user-certificate/sec1e1yMtwXVnViCehOB" TargetMode="External"/><Relationship Id="rId2332" Type="http://schemas.openxmlformats.org/officeDocument/2006/relationships/hyperlink" Target="https://talan.bank.gov.ua/get-user-certificate/sec1etIH_eSOWndhTTTh" TargetMode="External"/><Relationship Id="rId304" Type="http://schemas.openxmlformats.org/officeDocument/2006/relationships/hyperlink" Target="https://talan.bank.gov.ua/get-user-certificate/sec1eXvG5cC5HW9ZhmKP" TargetMode="External"/><Relationship Id="rId511" Type="http://schemas.openxmlformats.org/officeDocument/2006/relationships/hyperlink" Target="https://talan.bank.gov.ua/get-user-certificate/sec1e1kOhkeEjia55OPi" TargetMode="External"/><Relationship Id="rId1141" Type="http://schemas.openxmlformats.org/officeDocument/2006/relationships/hyperlink" Target="https://talan.bank.gov.ua/get-user-certificate/sec1eFWH9HO2gW2IyaA7" TargetMode="External"/><Relationship Id="rId4297" Type="http://schemas.openxmlformats.org/officeDocument/2006/relationships/hyperlink" Target="https://talan.bank.gov.ua/get-user-certificate/sec1e4bfPaZz_bz4rdMj" TargetMode="External"/><Relationship Id="rId1001" Type="http://schemas.openxmlformats.org/officeDocument/2006/relationships/hyperlink" Target="https://talan.bank.gov.ua/get-user-certificate/sec1e0XXksE_kx7dJOSL" TargetMode="External"/><Relationship Id="rId4157" Type="http://schemas.openxmlformats.org/officeDocument/2006/relationships/hyperlink" Target="https://talan.bank.gov.ua/get-user-certificate/sec1ewFJneiMil_FlVeo" TargetMode="External"/><Relationship Id="rId4364" Type="http://schemas.openxmlformats.org/officeDocument/2006/relationships/hyperlink" Target="https://talan.bank.gov.ua/get-user-certificate/sec1e6-ibKXFHgLpQmwz" TargetMode="External"/><Relationship Id="rId4571" Type="http://schemas.openxmlformats.org/officeDocument/2006/relationships/hyperlink" Target="https://talan.bank.gov.ua/get-user-certificate/sec1eJfRS1PxhSEWzS4x" TargetMode="External"/><Relationship Id="rId1958" Type="http://schemas.openxmlformats.org/officeDocument/2006/relationships/hyperlink" Target="https://talan.bank.gov.ua/get-user-certificate/sec1eeoAU2JMLg-zhjjr" TargetMode="External"/><Relationship Id="rId3173" Type="http://schemas.openxmlformats.org/officeDocument/2006/relationships/hyperlink" Target="https://talan.bank.gov.ua/get-user-certificate/sec1eeXqSMaRAEbvzoVP" TargetMode="External"/><Relationship Id="rId3380" Type="http://schemas.openxmlformats.org/officeDocument/2006/relationships/hyperlink" Target="https://talan.bank.gov.ua/get-user-certificate/sec1e5b1gRQ8cSBcT_T5" TargetMode="External"/><Relationship Id="rId4017" Type="http://schemas.openxmlformats.org/officeDocument/2006/relationships/hyperlink" Target="https://talan.bank.gov.ua/get-user-certificate/sec1ehBcjaaM-XrYbXSB" TargetMode="External"/><Relationship Id="rId4224" Type="http://schemas.openxmlformats.org/officeDocument/2006/relationships/hyperlink" Target="https://talan.bank.gov.ua/get-user-certificate/sec1eo-UZQTYnACUUyH_" TargetMode="External"/><Relationship Id="rId4431" Type="http://schemas.openxmlformats.org/officeDocument/2006/relationships/hyperlink" Target="https://talan.bank.gov.ua/get-user-certificate/sec1ey68GESH7bxVyQ8K" TargetMode="External"/><Relationship Id="rId1818" Type="http://schemas.openxmlformats.org/officeDocument/2006/relationships/hyperlink" Target="https://talan.bank.gov.ua/get-user-certificate/sec1eUVAJADFtsMOGkAt" TargetMode="External"/><Relationship Id="rId3033" Type="http://schemas.openxmlformats.org/officeDocument/2006/relationships/hyperlink" Target="https://talan.bank.gov.ua/get-user-certificate/sec1em1PGijRRQZ82w25" TargetMode="External"/><Relationship Id="rId3240" Type="http://schemas.openxmlformats.org/officeDocument/2006/relationships/hyperlink" Target="https://talan.bank.gov.ua/get-user-certificate/sec1e3E6fwneE-ZoSPNE" TargetMode="External"/><Relationship Id="rId161" Type="http://schemas.openxmlformats.org/officeDocument/2006/relationships/hyperlink" Target="https://talan.bank.gov.ua/get-user-certificate/sec1epsFkh1FBq5Xk6S9" TargetMode="External"/><Relationship Id="rId2799" Type="http://schemas.openxmlformats.org/officeDocument/2006/relationships/hyperlink" Target="https://talan.bank.gov.ua/get-user-certificate/sec1ebHE94ExBJq0VvXY" TargetMode="External"/><Relationship Id="rId3100" Type="http://schemas.openxmlformats.org/officeDocument/2006/relationships/hyperlink" Target="https://talan.bank.gov.ua/get-user-certificate/sec1eUbLMkltzTAV4Gzm" TargetMode="External"/><Relationship Id="rId978" Type="http://schemas.openxmlformats.org/officeDocument/2006/relationships/hyperlink" Target="https://talan.bank.gov.ua/get-user-certificate/sec1eKUlRxQwfAEEqCqZ" TargetMode="External"/><Relationship Id="rId2659" Type="http://schemas.openxmlformats.org/officeDocument/2006/relationships/hyperlink" Target="https://talan.bank.gov.ua/get-user-certificate/sec1eTFeydaVTNXzT2fH" TargetMode="External"/><Relationship Id="rId2866" Type="http://schemas.openxmlformats.org/officeDocument/2006/relationships/hyperlink" Target="https://talan.bank.gov.ua/get-user-certificate/sec1ezBGonRT8I6MTkmn" TargetMode="External"/><Relationship Id="rId3917" Type="http://schemas.openxmlformats.org/officeDocument/2006/relationships/hyperlink" Target="https://talan.bank.gov.ua/get-user-certificate/sec1ei-IYnC8bhxEtpdo" TargetMode="External"/><Relationship Id="rId838" Type="http://schemas.openxmlformats.org/officeDocument/2006/relationships/hyperlink" Target="https://talan.bank.gov.ua/get-user-certificate/sec1e7zKvf_FTpE6_Nme" TargetMode="External"/><Relationship Id="rId1468" Type="http://schemas.openxmlformats.org/officeDocument/2006/relationships/hyperlink" Target="https://talan.bank.gov.ua/get-user-certificate/sec1e7voig8jq-K-O-Rk" TargetMode="External"/><Relationship Id="rId1675" Type="http://schemas.openxmlformats.org/officeDocument/2006/relationships/hyperlink" Target="https://talan.bank.gov.ua/get-user-certificate/sec1enRft67mUWwfK4zC" TargetMode="External"/><Relationship Id="rId1882" Type="http://schemas.openxmlformats.org/officeDocument/2006/relationships/hyperlink" Target="https://talan.bank.gov.ua/get-user-certificate/sec1eiyIl4SlKZzJGRfx" TargetMode="External"/><Relationship Id="rId2519" Type="http://schemas.openxmlformats.org/officeDocument/2006/relationships/hyperlink" Target="https://talan.bank.gov.ua/get-user-certificate/sec1e2p3kDhz8-UOpJwg" TargetMode="External"/><Relationship Id="rId2726" Type="http://schemas.openxmlformats.org/officeDocument/2006/relationships/hyperlink" Target="https://talan.bank.gov.ua/get-user-certificate/sec1eHRc6TJJgEA2MKYT" TargetMode="External"/><Relationship Id="rId4081" Type="http://schemas.openxmlformats.org/officeDocument/2006/relationships/hyperlink" Target="https://talan.bank.gov.ua/get-user-certificate/sec1ev1a2xtwsTPVrWYf" TargetMode="External"/><Relationship Id="rId1328" Type="http://schemas.openxmlformats.org/officeDocument/2006/relationships/hyperlink" Target="https://talan.bank.gov.ua/get-user-certificate/sec1eQ8V2cC7-OH6OvNs" TargetMode="External"/><Relationship Id="rId1535" Type="http://schemas.openxmlformats.org/officeDocument/2006/relationships/hyperlink" Target="https://talan.bank.gov.ua/get-user-certificate/sec1elpD41h8IRLU_XR5" TargetMode="External"/><Relationship Id="rId2933" Type="http://schemas.openxmlformats.org/officeDocument/2006/relationships/hyperlink" Target="https://talan.bank.gov.ua/get-user-certificate/sec1eYZyWtzote9WCnas" TargetMode="External"/><Relationship Id="rId905" Type="http://schemas.openxmlformats.org/officeDocument/2006/relationships/hyperlink" Target="https://talan.bank.gov.ua/get-user-certificate/sec1ekrwwyiIUbx0-Fhy" TargetMode="External"/><Relationship Id="rId1742" Type="http://schemas.openxmlformats.org/officeDocument/2006/relationships/hyperlink" Target="https://talan.bank.gov.ua/get-user-certificate/sec1ejS3MecPoA5rFOP9" TargetMode="External"/><Relationship Id="rId4898" Type="http://schemas.openxmlformats.org/officeDocument/2006/relationships/hyperlink" Target="https://talan.bank.gov.ua/get-user-certificate/sec1eQJv1X9SLL5Pue5z" TargetMode="External"/><Relationship Id="rId34" Type="http://schemas.openxmlformats.org/officeDocument/2006/relationships/hyperlink" Target="https://talan.bank.gov.ua/get-user-certificate/sec1e5FcIOnN3IFPEAVE" TargetMode="External"/><Relationship Id="rId1602" Type="http://schemas.openxmlformats.org/officeDocument/2006/relationships/hyperlink" Target="https://talan.bank.gov.ua/get-user-certificate/sec1ey4kSL3l2MJFAweF" TargetMode="External"/><Relationship Id="rId4758" Type="http://schemas.openxmlformats.org/officeDocument/2006/relationships/hyperlink" Target="https://talan.bank.gov.ua/get-user-certificate/sec1eWtcELY21Kf9YR2F" TargetMode="External"/><Relationship Id="rId4965" Type="http://schemas.openxmlformats.org/officeDocument/2006/relationships/hyperlink" Target="https://talan.bank.gov.ua/get-user-certificate/sec1eL9_Bk6lHluTU1dk" TargetMode="External"/><Relationship Id="rId3567" Type="http://schemas.openxmlformats.org/officeDocument/2006/relationships/hyperlink" Target="https://talan.bank.gov.ua/get-user-certificate/sec1eVg4Ci57u0dgwksG" TargetMode="External"/><Relationship Id="rId3774" Type="http://schemas.openxmlformats.org/officeDocument/2006/relationships/hyperlink" Target="https://talan.bank.gov.ua/get-user-certificate/sec1eOTwINWu5_n1ARyW" TargetMode="External"/><Relationship Id="rId3981" Type="http://schemas.openxmlformats.org/officeDocument/2006/relationships/hyperlink" Target="https://talan.bank.gov.ua/get-user-certificate/sec1ebm7x0b59obBp2Kh" TargetMode="External"/><Relationship Id="rId4618" Type="http://schemas.openxmlformats.org/officeDocument/2006/relationships/hyperlink" Target="https://talan.bank.gov.ua/get-user-certificate/sec1eiMfGWsOZm-tElN1" TargetMode="External"/><Relationship Id="rId4825" Type="http://schemas.openxmlformats.org/officeDocument/2006/relationships/hyperlink" Target="https://talan.bank.gov.ua/get-user-certificate/sec1e141U-ietO6uyrhd" TargetMode="External"/><Relationship Id="rId488" Type="http://schemas.openxmlformats.org/officeDocument/2006/relationships/hyperlink" Target="https://talan.bank.gov.ua/get-user-certificate/sec1exOpCE9TqKOXVLMm" TargetMode="External"/><Relationship Id="rId695" Type="http://schemas.openxmlformats.org/officeDocument/2006/relationships/hyperlink" Target="https://talan.bank.gov.ua/get-user-certificate/sec1ey6fnys2UrWf_Q0f" TargetMode="External"/><Relationship Id="rId2169" Type="http://schemas.openxmlformats.org/officeDocument/2006/relationships/hyperlink" Target="https://talan.bank.gov.ua/get-user-certificate/sec1es0OEt-rU1D_xC9e" TargetMode="External"/><Relationship Id="rId2376" Type="http://schemas.openxmlformats.org/officeDocument/2006/relationships/hyperlink" Target="https://talan.bank.gov.ua/get-user-certificate/sec1efK5ISwnX-jFaU_a" TargetMode="External"/><Relationship Id="rId2583" Type="http://schemas.openxmlformats.org/officeDocument/2006/relationships/hyperlink" Target="https://talan.bank.gov.ua/get-user-certificate/sec1eXbqM-9d1C-tf449" TargetMode="External"/><Relationship Id="rId2790" Type="http://schemas.openxmlformats.org/officeDocument/2006/relationships/hyperlink" Target="https://talan.bank.gov.ua/get-user-certificate/sec1eKVuAqYG0BPCIBXp" TargetMode="External"/><Relationship Id="rId3427" Type="http://schemas.openxmlformats.org/officeDocument/2006/relationships/hyperlink" Target="https://talan.bank.gov.ua/get-user-certificate/sec1e_1d8c8BPNOqvUnD" TargetMode="External"/><Relationship Id="rId3634" Type="http://schemas.openxmlformats.org/officeDocument/2006/relationships/hyperlink" Target="https://talan.bank.gov.ua/get-user-certificate/sec1eZBd6BhVBhNmK3iv" TargetMode="External"/><Relationship Id="rId3841" Type="http://schemas.openxmlformats.org/officeDocument/2006/relationships/hyperlink" Target="https://talan.bank.gov.ua/get-user-certificate/sec1eWew6PFrUvmr4O6z" TargetMode="External"/><Relationship Id="rId348" Type="http://schemas.openxmlformats.org/officeDocument/2006/relationships/hyperlink" Target="https://talan.bank.gov.ua/get-user-certificate/sec1es9aFyj1rtZWo-aE" TargetMode="External"/><Relationship Id="rId555" Type="http://schemas.openxmlformats.org/officeDocument/2006/relationships/hyperlink" Target="https://talan.bank.gov.ua/get-user-certificate/sec1eHynhGh6BBcvdUJ9" TargetMode="External"/><Relationship Id="rId762" Type="http://schemas.openxmlformats.org/officeDocument/2006/relationships/hyperlink" Target="https://talan.bank.gov.ua/get-user-certificate/sec1eBgmk2ykCUb8iN0_" TargetMode="External"/><Relationship Id="rId1185" Type="http://schemas.openxmlformats.org/officeDocument/2006/relationships/hyperlink" Target="https://talan.bank.gov.ua/get-user-certificate/sec1eRtazH9UuXcy4gsV" TargetMode="External"/><Relationship Id="rId1392" Type="http://schemas.openxmlformats.org/officeDocument/2006/relationships/hyperlink" Target="https://talan.bank.gov.ua/get-user-certificate/sec1e9Nm7fnB4Yt6eNdD" TargetMode="External"/><Relationship Id="rId2029" Type="http://schemas.openxmlformats.org/officeDocument/2006/relationships/hyperlink" Target="https://talan.bank.gov.ua/get-user-certificate/sec1eELaAasY9jNQP2O_" TargetMode="External"/><Relationship Id="rId2236" Type="http://schemas.openxmlformats.org/officeDocument/2006/relationships/hyperlink" Target="https://talan.bank.gov.ua/get-user-certificate/sec1e82bsHMv5uk4cbED" TargetMode="External"/><Relationship Id="rId2443" Type="http://schemas.openxmlformats.org/officeDocument/2006/relationships/hyperlink" Target="https://talan.bank.gov.ua/get-user-certificate/sec1eiTkT9yYWJe1eIkJ" TargetMode="External"/><Relationship Id="rId2650" Type="http://schemas.openxmlformats.org/officeDocument/2006/relationships/hyperlink" Target="https://talan.bank.gov.ua/get-user-certificate/sec1e9pDAIiQ8PEyoLIu" TargetMode="External"/><Relationship Id="rId3701" Type="http://schemas.openxmlformats.org/officeDocument/2006/relationships/hyperlink" Target="https://talan.bank.gov.ua/get-user-certificate/sec1e9GxMJH5IelJ5-ao" TargetMode="External"/><Relationship Id="rId208" Type="http://schemas.openxmlformats.org/officeDocument/2006/relationships/hyperlink" Target="https://talan.bank.gov.ua/get-user-certificate/sec1eWbYJJx-VqEFyXsr" TargetMode="External"/><Relationship Id="rId415" Type="http://schemas.openxmlformats.org/officeDocument/2006/relationships/hyperlink" Target="https://talan.bank.gov.ua/get-user-certificate/sec1ed0VrhadVpG2x-_M" TargetMode="External"/><Relationship Id="rId622" Type="http://schemas.openxmlformats.org/officeDocument/2006/relationships/hyperlink" Target="https://talan.bank.gov.ua/get-user-certificate/sec1enN5BXI6n_IZo1bu" TargetMode="External"/><Relationship Id="rId1045" Type="http://schemas.openxmlformats.org/officeDocument/2006/relationships/hyperlink" Target="https://talan.bank.gov.ua/get-user-certificate/sec1eSZiKffJ_v5j0npk" TargetMode="External"/><Relationship Id="rId1252" Type="http://schemas.openxmlformats.org/officeDocument/2006/relationships/hyperlink" Target="https://talan.bank.gov.ua/get-user-certificate/sec1eRQT1hwi7EEpp0hw" TargetMode="External"/><Relationship Id="rId2303" Type="http://schemas.openxmlformats.org/officeDocument/2006/relationships/hyperlink" Target="https://talan.bank.gov.ua/get-user-certificate/sec1eNhCZsXFa63nxRzi" TargetMode="External"/><Relationship Id="rId2510" Type="http://schemas.openxmlformats.org/officeDocument/2006/relationships/hyperlink" Target="https://talan.bank.gov.ua/get-user-certificate/sec1eLUUHoyjaDt_aqwE" TargetMode="External"/><Relationship Id="rId1112" Type="http://schemas.openxmlformats.org/officeDocument/2006/relationships/hyperlink" Target="https://talan.bank.gov.ua/get-user-certificate/sec1eICs5DNuM1EvEV0s" TargetMode="External"/><Relationship Id="rId4268" Type="http://schemas.openxmlformats.org/officeDocument/2006/relationships/hyperlink" Target="https://talan.bank.gov.ua/get-user-certificate/sec1eSfw-q4P1hVmUfDw" TargetMode="External"/><Relationship Id="rId4475" Type="http://schemas.openxmlformats.org/officeDocument/2006/relationships/hyperlink" Target="https://talan.bank.gov.ua/get-user-certificate/sec1eai-I0CPuWkBoLzG" TargetMode="External"/><Relationship Id="rId3077" Type="http://schemas.openxmlformats.org/officeDocument/2006/relationships/hyperlink" Target="https://talan.bank.gov.ua/get-user-certificate/sec1eNnIousu5VlpryJE" TargetMode="External"/><Relationship Id="rId3284" Type="http://schemas.openxmlformats.org/officeDocument/2006/relationships/hyperlink" Target="https://talan.bank.gov.ua/get-user-certificate/sec1eUHc87PcefMkoIwz" TargetMode="External"/><Relationship Id="rId4128" Type="http://schemas.openxmlformats.org/officeDocument/2006/relationships/hyperlink" Target="https://talan.bank.gov.ua/get-user-certificate/sec1eJ7Uc7QB6jRC3JlO" TargetMode="External"/><Relationship Id="rId4682" Type="http://schemas.openxmlformats.org/officeDocument/2006/relationships/hyperlink" Target="https://talan.bank.gov.ua/get-user-certificate/sec1eVtsV642LysVE3Re" TargetMode="External"/><Relationship Id="rId1929" Type="http://schemas.openxmlformats.org/officeDocument/2006/relationships/hyperlink" Target="https://talan.bank.gov.ua/get-user-certificate/sec1eVJz3PQWc_V2WCMM" TargetMode="External"/><Relationship Id="rId2093" Type="http://schemas.openxmlformats.org/officeDocument/2006/relationships/hyperlink" Target="https://talan.bank.gov.ua/get-user-certificate/sec1elP-lkOWuH_jlnDH" TargetMode="External"/><Relationship Id="rId3491" Type="http://schemas.openxmlformats.org/officeDocument/2006/relationships/hyperlink" Target="https://talan.bank.gov.ua/get-user-certificate/sec1ejfwaLH-9m9i_eGK" TargetMode="External"/><Relationship Id="rId4335" Type="http://schemas.openxmlformats.org/officeDocument/2006/relationships/hyperlink" Target="https://talan.bank.gov.ua/get-user-certificate/sec1eh-BE-TZl7UH92AX" TargetMode="External"/><Relationship Id="rId4542" Type="http://schemas.openxmlformats.org/officeDocument/2006/relationships/hyperlink" Target="https://talan.bank.gov.ua/get-user-certificate/sec1ejM-F1ucPYO0wObE" TargetMode="External"/><Relationship Id="rId3144" Type="http://schemas.openxmlformats.org/officeDocument/2006/relationships/hyperlink" Target="https://talan.bank.gov.ua/get-user-certificate/sec1eAsH-ENd82_x-1vV" TargetMode="External"/><Relationship Id="rId3351" Type="http://schemas.openxmlformats.org/officeDocument/2006/relationships/hyperlink" Target="https://talan.bank.gov.ua/get-user-certificate/sec1eey3SNWJxAkwgI7O" TargetMode="External"/><Relationship Id="rId4402" Type="http://schemas.openxmlformats.org/officeDocument/2006/relationships/hyperlink" Target="https://talan.bank.gov.ua/get-user-certificate/sec1esN8XK8ZNJco3x8Q" TargetMode="External"/><Relationship Id="rId272" Type="http://schemas.openxmlformats.org/officeDocument/2006/relationships/hyperlink" Target="https://talan.bank.gov.ua/get-user-certificate/sec1ekfDSniMNh40vGr9" TargetMode="External"/><Relationship Id="rId2160" Type="http://schemas.openxmlformats.org/officeDocument/2006/relationships/hyperlink" Target="https://talan.bank.gov.ua/get-user-certificate/sec1ey5mqd1KPXfBdap0" TargetMode="External"/><Relationship Id="rId3004" Type="http://schemas.openxmlformats.org/officeDocument/2006/relationships/hyperlink" Target="https://talan.bank.gov.ua/get-user-certificate/sec1eEyxiy-fH3W2kyFi" TargetMode="External"/><Relationship Id="rId3211" Type="http://schemas.openxmlformats.org/officeDocument/2006/relationships/hyperlink" Target="https://talan.bank.gov.ua/get-user-certificate/sec1ehWsARmjtyCDMEwP" TargetMode="External"/><Relationship Id="rId132" Type="http://schemas.openxmlformats.org/officeDocument/2006/relationships/hyperlink" Target="https://talan.bank.gov.ua/get-user-certificate/sec1eVniD4YRJxP41lA9" TargetMode="External"/><Relationship Id="rId2020" Type="http://schemas.openxmlformats.org/officeDocument/2006/relationships/hyperlink" Target="https://talan.bank.gov.ua/get-user-certificate/sec1eaHD4FKt0jbGZaVW" TargetMode="External"/><Relationship Id="rId1579" Type="http://schemas.openxmlformats.org/officeDocument/2006/relationships/hyperlink" Target="https://talan.bank.gov.ua/get-user-certificate/sec1ey5Rsyr7RewdXh1i" TargetMode="External"/><Relationship Id="rId2977" Type="http://schemas.openxmlformats.org/officeDocument/2006/relationships/hyperlink" Target="https://talan.bank.gov.ua/get-user-certificate/sec1ecl4eO53yIVO4oCG" TargetMode="External"/><Relationship Id="rId4192" Type="http://schemas.openxmlformats.org/officeDocument/2006/relationships/hyperlink" Target="https://talan.bank.gov.ua/get-user-certificate/sec1e8y4Rhp5DwFR6tVx" TargetMode="External"/><Relationship Id="rId949" Type="http://schemas.openxmlformats.org/officeDocument/2006/relationships/hyperlink" Target="https://talan.bank.gov.ua/get-user-certificate/sec1eQVeIoIX68m4pGu0" TargetMode="External"/><Relationship Id="rId1786" Type="http://schemas.openxmlformats.org/officeDocument/2006/relationships/hyperlink" Target="https://talan.bank.gov.ua/get-user-certificate/sec1e99iKPu7YkoRayJh" TargetMode="External"/><Relationship Id="rId1993" Type="http://schemas.openxmlformats.org/officeDocument/2006/relationships/hyperlink" Target="https://talan.bank.gov.ua/get-user-certificate/sec1eIiLnf4pZxLeR2PU" TargetMode="External"/><Relationship Id="rId2837" Type="http://schemas.openxmlformats.org/officeDocument/2006/relationships/hyperlink" Target="https://talan.bank.gov.ua/get-user-certificate/sec1e4wAPB1Ecg30ExL-" TargetMode="External"/><Relationship Id="rId4052" Type="http://schemas.openxmlformats.org/officeDocument/2006/relationships/hyperlink" Target="https://talan.bank.gov.ua/get-user-certificate/sec1e_MNjFF-nHiYf-ao" TargetMode="External"/><Relationship Id="rId78" Type="http://schemas.openxmlformats.org/officeDocument/2006/relationships/hyperlink" Target="https://talan.bank.gov.ua/get-user-certificate/sec1eiw3Q-YKtEqcc11G" TargetMode="External"/><Relationship Id="rId809" Type="http://schemas.openxmlformats.org/officeDocument/2006/relationships/hyperlink" Target="https://talan.bank.gov.ua/get-user-certificate/sec1eQhqUHex00ia-mi0" TargetMode="External"/><Relationship Id="rId1439" Type="http://schemas.openxmlformats.org/officeDocument/2006/relationships/hyperlink" Target="https://talan.bank.gov.ua/get-user-certificate/sec1ePJl2Ld6oUBntDzg" TargetMode="External"/><Relationship Id="rId1646" Type="http://schemas.openxmlformats.org/officeDocument/2006/relationships/hyperlink" Target="https://talan.bank.gov.ua/get-user-certificate/sec1egJGUi-a57rjJsa8" TargetMode="External"/><Relationship Id="rId1853" Type="http://schemas.openxmlformats.org/officeDocument/2006/relationships/hyperlink" Target="https://talan.bank.gov.ua/get-user-certificate/sec1espmywjcn1_4RFA7" TargetMode="External"/><Relationship Id="rId2904" Type="http://schemas.openxmlformats.org/officeDocument/2006/relationships/hyperlink" Target="https://talan.bank.gov.ua/get-user-certificate/sec1eTnC6b5Lvq8Y53YM" TargetMode="External"/><Relationship Id="rId1506" Type="http://schemas.openxmlformats.org/officeDocument/2006/relationships/hyperlink" Target="https://talan.bank.gov.ua/get-user-certificate/sec1eEfie-53zJYgFy6L" TargetMode="External"/><Relationship Id="rId1713" Type="http://schemas.openxmlformats.org/officeDocument/2006/relationships/hyperlink" Target="https://talan.bank.gov.ua/get-user-certificate/sec1eD2oexqu-Uw0BGyW" TargetMode="External"/><Relationship Id="rId1920" Type="http://schemas.openxmlformats.org/officeDocument/2006/relationships/hyperlink" Target="https://talan.bank.gov.ua/get-user-certificate/sec1eDtgSpkQjtpDFkgx" TargetMode="External"/><Relationship Id="rId4869" Type="http://schemas.openxmlformats.org/officeDocument/2006/relationships/hyperlink" Target="https://talan.bank.gov.ua/get-user-certificate/sec1eHpjxDXWLildQGXx" TargetMode="External"/><Relationship Id="rId3678" Type="http://schemas.openxmlformats.org/officeDocument/2006/relationships/hyperlink" Target="https://talan.bank.gov.ua/get-user-certificate/sec1eOEXlIc2ypAuu-b6" TargetMode="External"/><Relationship Id="rId3885" Type="http://schemas.openxmlformats.org/officeDocument/2006/relationships/hyperlink" Target="https://talan.bank.gov.ua/get-user-certificate/sec1eAGnszsZm7DQOKDt" TargetMode="External"/><Relationship Id="rId4729" Type="http://schemas.openxmlformats.org/officeDocument/2006/relationships/hyperlink" Target="https://talan.bank.gov.ua/get-user-certificate/sec1e9XTSdIQ4_6f-tmO" TargetMode="External"/><Relationship Id="rId4936" Type="http://schemas.openxmlformats.org/officeDocument/2006/relationships/hyperlink" Target="https://talan.bank.gov.ua/get-user-certificate/sec1eOPfVYvofgaLK8RJ" TargetMode="External"/><Relationship Id="rId599" Type="http://schemas.openxmlformats.org/officeDocument/2006/relationships/hyperlink" Target="https://talan.bank.gov.ua/get-user-certificate/sec1epTseBsx4_5gK6_R" TargetMode="External"/><Relationship Id="rId2487" Type="http://schemas.openxmlformats.org/officeDocument/2006/relationships/hyperlink" Target="https://talan.bank.gov.ua/get-user-certificate/sec1enB3X49G2d4NwSOK" TargetMode="External"/><Relationship Id="rId2694" Type="http://schemas.openxmlformats.org/officeDocument/2006/relationships/hyperlink" Target="https://talan.bank.gov.ua/get-user-certificate/sec1esk_ypxLYkFG-eQG" TargetMode="External"/><Relationship Id="rId3538" Type="http://schemas.openxmlformats.org/officeDocument/2006/relationships/hyperlink" Target="https://talan.bank.gov.ua/get-user-certificate/sec1e0Lqf_zr2NYpOvSJ" TargetMode="External"/><Relationship Id="rId3745" Type="http://schemas.openxmlformats.org/officeDocument/2006/relationships/hyperlink" Target="https://talan.bank.gov.ua/get-user-certificate/sec1efqwFUyzI8uRAGTq" TargetMode="External"/><Relationship Id="rId459" Type="http://schemas.openxmlformats.org/officeDocument/2006/relationships/hyperlink" Target="https://talan.bank.gov.ua/get-user-certificate/sec1eAUIfDvHTvsgkYDL" TargetMode="External"/><Relationship Id="rId666" Type="http://schemas.openxmlformats.org/officeDocument/2006/relationships/hyperlink" Target="https://talan.bank.gov.ua/get-user-certificate/sec1eSsLI_kqK0x2mk-3" TargetMode="External"/><Relationship Id="rId873" Type="http://schemas.openxmlformats.org/officeDocument/2006/relationships/hyperlink" Target="https://talan.bank.gov.ua/get-user-certificate/sec1eFoCY8aSCIy51XAU" TargetMode="External"/><Relationship Id="rId1089" Type="http://schemas.openxmlformats.org/officeDocument/2006/relationships/hyperlink" Target="https://talan.bank.gov.ua/get-user-certificate/sec1ego7ipE4y1P_EpGo" TargetMode="External"/><Relationship Id="rId1296" Type="http://schemas.openxmlformats.org/officeDocument/2006/relationships/hyperlink" Target="https://talan.bank.gov.ua/get-user-certificate/sec1eBk8NJlsjsNDAvor" TargetMode="External"/><Relationship Id="rId2347" Type="http://schemas.openxmlformats.org/officeDocument/2006/relationships/hyperlink" Target="https://talan.bank.gov.ua/get-user-certificate/sec1e2PKTbAwubDEtxkG" TargetMode="External"/><Relationship Id="rId2554" Type="http://schemas.openxmlformats.org/officeDocument/2006/relationships/hyperlink" Target="https://talan.bank.gov.ua/get-user-certificate/sec1eMI230szYBKVOooa" TargetMode="External"/><Relationship Id="rId3952" Type="http://schemas.openxmlformats.org/officeDocument/2006/relationships/hyperlink" Target="https://talan.bank.gov.ua/get-user-certificate/sec1e1oTkGBqeaDaE2ay" TargetMode="External"/><Relationship Id="rId319" Type="http://schemas.openxmlformats.org/officeDocument/2006/relationships/hyperlink" Target="https://talan.bank.gov.ua/get-user-certificate/sec1eP91M7LDmOckyVPD" TargetMode="External"/><Relationship Id="rId526" Type="http://schemas.openxmlformats.org/officeDocument/2006/relationships/hyperlink" Target="https://talan.bank.gov.ua/get-user-certificate/sec1ejNat_AF-K7vxsfh" TargetMode="External"/><Relationship Id="rId1156" Type="http://schemas.openxmlformats.org/officeDocument/2006/relationships/hyperlink" Target="https://talan.bank.gov.ua/get-user-certificate/sec1evyxB9IDNZWlEZOs" TargetMode="External"/><Relationship Id="rId1363" Type="http://schemas.openxmlformats.org/officeDocument/2006/relationships/hyperlink" Target="https://talan.bank.gov.ua/get-user-certificate/sec1eL2Z0Rce-sfH_lRH" TargetMode="External"/><Relationship Id="rId2207" Type="http://schemas.openxmlformats.org/officeDocument/2006/relationships/hyperlink" Target="https://talan.bank.gov.ua/get-user-certificate/sec1etZsWbxL1MW-MOBp" TargetMode="External"/><Relationship Id="rId2761" Type="http://schemas.openxmlformats.org/officeDocument/2006/relationships/hyperlink" Target="https://talan.bank.gov.ua/get-user-certificate/sec1e5mwKRi2tm_3E-gn" TargetMode="External"/><Relationship Id="rId3605" Type="http://schemas.openxmlformats.org/officeDocument/2006/relationships/hyperlink" Target="https://talan.bank.gov.ua/get-user-certificate/sec1enhQ1zsFPKXR0U-x" TargetMode="External"/><Relationship Id="rId3812" Type="http://schemas.openxmlformats.org/officeDocument/2006/relationships/hyperlink" Target="https://talan.bank.gov.ua/get-user-certificate/sec1eI4x-E6PG-SPo6tJ" TargetMode="External"/><Relationship Id="rId733" Type="http://schemas.openxmlformats.org/officeDocument/2006/relationships/hyperlink" Target="https://talan.bank.gov.ua/get-user-certificate/sec1e32c9KYfMJoLZajF" TargetMode="External"/><Relationship Id="rId940" Type="http://schemas.openxmlformats.org/officeDocument/2006/relationships/hyperlink" Target="https://talan.bank.gov.ua/get-user-certificate/sec1eU0ZsQwS-74-LM9u" TargetMode="External"/><Relationship Id="rId1016" Type="http://schemas.openxmlformats.org/officeDocument/2006/relationships/hyperlink" Target="https://talan.bank.gov.ua/get-user-certificate/sec1eu4KkE9sM8WphpJ6" TargetMode="External"/><Relationship Id="rId1570" Type="http://schemas.openxmlformats.org/officeDocument/2006/relationships/hyperlink" Target="https://talan.bank.gov.ua/get-user-certificate/sec1eO74FSaUb-Ys3_2F" TargetMode="External"/><Relationship Id="rId2414" Type="http://schemas.openxmlformats.org/officeDocument/2006/relationships/hyperlink" Target="https://talan.bank.gov.ua/get-user-certificate/sec1eoqbAdILFSIiWbbJ" TargetMode="External"/><Relationship Id="rId2621" Type="http://schemas.openxmlformats.org/officeDocument/2006/relationships/hyperlink" Target="https://talan.bank.gov.ua/get-user-certificate/sec1eRozle5v7bGRbc7b" TargetMode="External"/><Relationship Id="rId800" Type="http://schemas.openxmlformats.org/officeDocument/2006/relationships/hyperlink" Target="https://talan.bank.gov.ua/get-user-certificate/sec1eIQU_GlyG0Lhgv1D" TargetMode="External"/><Relationship Id="rId1223" Type="http://schemas.openxmlformats.org/officeDocument/2006/relationships/hyperlink" Target="https://talan.bank.gov.ua/get-user-certificate/sec1enjBJwB26zZ8xzAW" TargetMode="External"/><Relationship Id="rId1430" Type="http://schemas.openxmlformats.org/officeDocument/2006/relationships/hyperlink" Target="https://talan.bank.gov.ua/get-user-certificate/sec1eLrTQu7GyJ7gO0kE" TargetMode="External"/><Relationship Id="rId4379" Type="http://schemas.openxmlformats.org/officeDocument/2006/relationships/hyperlink" Target="https://talan.bank.gov.ua/get-user-certificate/sec1eSBhAzxwCLzBcObw" TargetMode="External"/><Relationship Id="rId4586" Type="http://schemas.openxmlformats.org/officeDocument/2006/relationships/hyperlink" Target="https://talan.bank.gov.ua/get-user-certificate/sec1e7_NMgMQuWzm1bBb" TargetMode="External"/><Relationship Id="rId4793" Type="http://schemas.openxmlformats.org/officeDocument/2006/relationships/hyperlink" Target="https://talan.bank.gov.ua/get-user-certificate/sec1e0ueql6fL7qfUlp2" TargetMode="External"/><Relationship Id="rId3188" Type="http://schemas.openxmlformats.org/officeDocument/2006/relationships/hyperlink" Target="https://talan.bank.gov.ua/get-user-certificate/sec1eSi9o2MqGxZVVfL5" TargetMode="External"/><Relationship Id="rId3395" Type="http://schemas.openxmlformats.org/officeDocument/2006/relationships/hyperlink" Target="https://talan.bank.gov.ua/get-user-certificate/sec1eJKVfWJiQbfq1146" TargetMode="External"/><Relationship Id="rId4239" Type="http://schemas.openxmlformats.org/officeDocument/2006/relationships/hyperlink" Target="https://talan.bank.gov.ua/get-user-certificate/sec1eFehmHpWLFWchaoZ" TargetMode="External"/><Relationship Id="rId4446" Type="http://schemas.openxmlformats.org/officeDocument/2006/relationships/hyperlink" Target="https://talan.bank.gov.ua/get-user-certificate/sec1eOBRGy-a18WX3TPb" TargetMode="External"/><Relationship Id="rId4653" Type="http://schemas.openxmlformats.org/officeDocument/2006/relationships/hyperlink" Target="https://talan.bank.gov.ua/get-user-certificate/sec1efXGaiOORIce_0Tf" TargetMode="External"/><Relationship Id="rId4860" Type="http://schemas.openxmlformats.org/officeDocument/2006/relationships/hyperlink" Target="https://talan.bank.gov.ua/get-user-certificate/sec1eaKprfGF_kvNtlcf" TargetMode="External"/><Relationship Id="rId3048" Type="http://schemas.openxmlformats.org/officeDocument/2006/relationships/hyperlink" Target="https://talan.bank.gov.ua/get-user-certificate/sec1eQOsRdI7rdYaKHrI" TargetMode="External"/><Relationship Id="rId3255" Type="http://schemas.openxmlformats.org/officeDocument/2006/relationships/hyperlink" Target="https://talan.bank.gov.ua/get-user-certificate/sec1eSuVcU6P65rlTYle" TargetMode="External"/><Relationship Id="rId3462" Type="http://schemas.openxmlformats.org/officeDocument/2006/relationships/hyperlink" Target="https://talan.bank.gov.ua/get-user-certificate/sec1eb9ALfjrYFk0wzUL" TargetMode="External"/><Relationship Id="rId4306" Type="http://schemas.openxmlformats.org/officeDocument/2006/relationships/hyperlink" Target="https://talan.bank.gov.ua/get-user-certificate/sec1eLcBvuRwE6PxV024" TargetMode="External"/><Relationship Id="rId4513" Type="http://schemas.openxmlformats.org/officeDocument/2006/relationships/hyperlink" Target="https://talan.bank.gov.ua/get-user-certificate/sec1ep2QAd2xCnHl3ss4" TargetMode="External"/><Relationship Id="rId4720" Type="http://schemas.openxmlformats.org/officeDocument/2006/relationships/hyperlink" Target="https://talan.bank.gov.ua/get-user-certificate/sec1eila6ZaNhtP8P5iU" TargetMode="External"/><Relationship Id="rId176" Type="http://schemas.openxmlformats.org/officeDocument/2006/relationships/hyperlink" Target="https://talan.bank.gov.ua/get-user-certificate/sec1epiMyAx7K7v6092r" TargetMode="External"/><Relationship Id="rId383" Type="http://schemas.openxmlformats.org/officeDocument/2006/relationships/hyperlink" Target="https://talan.bank.gov.ua/get-user-certificate/sec1eNkFcxN20NUnSEzG" TargetMode="External"/><Relationship Id="rId590" Type="http://schemas.openxmlformats.org/officeDocument/2006/relationships/hyperlink" Target="https://talan.bank.gov.ua/get-user-certificate/sec1e8q7Ko31zV7cH2td" TargetMode="External"/><Relationship Id="rId2064" Type="http://schemas.openxmlformats.org/officeDocument/2006/relationships/hyperlink" Target="https://talan.bank.gov.ua/get-user-certificate/sec1ewAp73B6KcLQmr_x" TargetMode="External"/><Relationship Id="rId2271" Type="http://schemas.openxmlformats.org/officeDocument/2006/relationships/hyperlink" Target="https://talan.bank.gov.ua/get-user-certificate/sec1eHsmNdpbhzAvLD-U" TargetMode="External"/><Relationship Id="rId3115" Type="http://schemas.openxmlformats.org/officeDocument/2006/relationships/hyperlink" Target="https://talan.bank.gov.ua/get-user-certificate/sec1es7bXEvmDhSAwGtZ" TargetMode="External"/><Relationship Id="rId3322" Type="http://schemas.openxmlformats.org/officeDocument/2006/relationships/hyperlink" Target="https://talan.bank.gov.ua/get-user-certificate/sec1e0UuRYvsJEdq_MXD" TargetMode="External"/><Relationship Id="rId243" Type="http://schemas.openxmlformats.org/officeDocument/2006/relationships/hyperlink" Target="https://talan.bank.gov.ua/get-user-certificate/sec1e5BA9W7-oONkGAES" TargetMode="External"/><Relationship Id="rId450" Type="http://schemas.openxmlformats.org/officeDocument/2006/relationships/hyperlink" Target="https://talan.bank.gov.ua/get-user-certificate/sec1eqyFs_J_9HM58nAk" TargetMode="External"/><Relationship Id="rId1080" Type="http://schemas.openxmlformats.org/officeDocument/2006/relationships/hyperlink" Target="https://talan.bank.gov.ua/get-user-certificate/sec1eaYm-bvj6zcKkXay" TargetMode="External"/><Relationship Id="rId2131" Type="http://schemas.openxmlformats.org/officeDocument/2006/relationships/hyperlink" Target="https://talan.bank.gov.ua/get-user-certificate/sec1e1VJbdWtj_48bAVP" TargetMode="External"/><Relationship Id="rId103" Type="http://schemas.openxmlformats.org/officeDocument/2006/relationships/hyperlink" Target="https://talan.bank.gov.ua/get-user-certificate/sec1e9gureZle8tJ77Kf" TargetMode="External"/><Relationship Id="rId310" Type="http://schemas.openxmlformats.org/officeDocument/2006/relationships/hyperlink" Target="https://talan.bank.gov.ua/get-user-certificate/sec1epkqyo0DDVm26vu6" TargetMode="External"/><Relationship Id="rId4096" Type="http://schemas.openxmlformats.org/officeDocument/2006/relationships/hyperlink" Target="https://talan.bank.gov.ua/get-user-certificate/sec1ei6Txm9J_JRC7XXX" TargetMode="External"/><Relationship Id="rId1897" Type="http://schemas.openxmlformats.org/officeDocument/2006/relationships/hyperlink" Target="https://talan.bank.gov.ua/get-user-certificate/sec1e78WRzA9ohIo-Hv9" TargetMode="External"/><Relationship Id="rId2948" Type="http://schemas.openxmlformats.org/officeDocument/2006/relationships/hyperlink" Target="https://talan.bank.gov.ua/get-user-certificate/sec1e2Fc7-y2HEMNeX3o" TargetMode="External"/><Relationship Id="rId1757" Type="http://schemas.openxmlformats.org/officeDocument/2006/relationships/hyperlink" Target="https://talan.bank.gov.ua/get-user-certificate/sec1eNZw3mSAqzoAbDnb" TargetMode="External"/><Relationship Id="rId1964" Type="http://schemas.openxmlformats.org/officeDocument/2006/relationships/hyperlink" Target="https://talan.bank.gov.ua/get-user-certificate/sec1ePcMC5a1WVi7ZnS-" TargetMode="External"/><Relationship Id="rId2808" Type="http://schemas.openxmlformats.org/officeDocument/2006/relationships/hyperlink" Target="https://talan.bank.gov.ua/get-user-certificate/sec1e4I9E0mE8W0ltOV6" TargetMode="External"/><Relationship Id="rId4163" Type="http://schemas.openxmlformats.org/officeDocument/2006/relationships/hyperlink" Target="https://talan.bank.gov.ua/get-user-certificate/sec1e2NCe9QsIR1kALzZ" TargetMode="External"/><Relationship Id="rId4370" Type="http://schemas.openxmlformats.org/officeDocument/2006/relationships/hyperlink" Target="https://talan.bank.gov.ua/get-user-certificate/sec1eC4Zl7Mp241IM381" TargetMode="External"/><Relationship Id="rId5007" Type="http://schemas.openxmlformats.org/officeDocument/2006/relationships/hyperlink" Target="https://talan.bank.gov.ua/get-user-certificate/sec1e26nt43ZQ1aCuapU" TargetMode="External"/><Relationship Id="rId49" Type="http://schemas.openxmlformats.org/officeDocument/2006/relationships/hyperlink" Target="https://talan.bank.gov.ua/get-user-certificate/sec1ei6L2V7gaNwND_Zl" TargetMode="External"/><Relationship Id="rId1617" Type="http://schemas.openxmlformats.org/officeDocument/2006/relationships/hyperlink" Target="https://talan.bank.gov.ua/get-user-certificate/sec1exg96v895v3j1wuL" TargetMode="External"/><Relationship Id="rId1824" Type="http://schemas.openxmlformats.org/officeDocument/2006/relationships/hyperlink" Target="https://talan.bank.gov.ua/get-user-certificate/sec1eeo8Ft6Tn2RvoFrw" TargetMode="External"/><Relationship Id="rId4023" Type="http://schemas.openxmlformats.org/officeDocument/2006/relationships/hyperlink" Target="https://talan.bank.gov.ua/get-user-certificate/sec1etHnBAHdXge3gL7v" TargetMode="External"/><Relationship Id="rId4230" Type="http://schemas.openxmlformats.org/officeDocument/2006/relationships/hyperlink" Target="https://talan.bank.gov.ua/get-user-certificate/sec1ebJX9QieLLAJdbKc" TargetMode="External"/><Relationship Id="rId3789" Type="http://schemas.openxmlformats.org/officeDocument/2006/relationships/hyperlink" Target="https://talan.bank.gov.ua/get-user-certificate/sec1ezOh_YiC6wwd36zi" TargetMode="External"/><Relationship Id="rId2598" Type="http://schemas.openxmlformats.org/officeDocument/2006/relationships/hyperlink" Target="https://talan.bank.gov.ua/get-user-certificate/sec1eB5PaSN9LRkKwP7Y" TargetMode="External"/><Relationship Id="rId3996" Type="http://schemas.openxmlformats.org/officeDocument/2006/relationships/hyperlink" Target="https://talan.bank.gov.ua/get-user-certificate/sec1e5vpUnYbzs7ZNOH3" TargetMode="External"/><Relationship Id="rId3649" Type="http://schemas.openxmlformats.org/officeDocument/2006/relationships/hyperlink" Target="https://talan.bank.gov.ua/get-user-certificate/sec1e7UmtSolbMB_e_dy" TargetMode="External"/><Relationship Id="rId3856" Type="http://schemas.openxmlformats.org/officeDocument/2006/relationships/hyperlink" Target="https://talan.bank.gov.ua/get-user-certificate/sec1e8J3QmTwxpvdUc65" TargetMode="External"/><Relationship Id="rId4907" Type="http://schemas.openxmlformats.org/officeDocument/2006/relationships/hyperlink" Target="https://talan.bank.gov.ua/get-user-certificate/sec1egJUFMBLb6OEvt_T" TargetMode="External"/><Relationship Id="rId777" Type="http://schemas.openxmlformats.org/officeDocument/2006/relationships/hyperlink" Target="https://talan.bank.gov.ua/get-user-certificate/sec1ek8xPo6Z9X0WgemN" TargetMode="External"/><Relationship Id="rId984" Type="http://schemas.openxmlformats.org/officeDocument/2006/relationships/hyperlink" Target="https://talan.bank.gov.ua/get-user-certificate/sec1eChTYJWAuN7I-QEu" TargetMode="External"/><Relationship Id="rId2458" Type="http://schemas.openxmlformats.org/officeDocument/2006/relationships/hyperlink" Target="https://talan.bank.gov.ua/get-user-certificate/sec1e2rW-a9u89UNJzNT" TargetMode="External"/><Relationship Id="rId2665" Type="http://schemas.openxmlformats.org/officeDocument/2006/relationships/hyperlink" Target="https://talan.bank.gov.ua/get-user-certificate/sec1eRKJsmQy0UbjHnB7" TargetMode="External"/><Relationship Id="rId2872" Type="http://schemas.openxmlformats.org/officeDocument/2006/relationships/hyperlink" Target="https://talan.bank.gov.ua/get-user-certificate/sec1eE9P0THqPEYQMG81" TargetMode="External"/><Relationship Id="rId3509" Type="http://schemas.openxmlformats.org/officeDocument/2006/relationships/hyperlink" Target="https://talan.bank.gov.ua/get-user-certificate/sec1eSU-Q9zZuauQy4Yw" TargetMode="External"/><Relationship Id="rId3716" Type="http://schemas.openxmlformats.org/officeDocument/2006/relationships/hyperlink" Target="https://talan.bank.gov.ua/get-user-certificate/sec1eUkmh1Xu8I19wvzB" TargetMode="External"/><Relationship Id="rId3923" Type="http://schemas.openxmlformats.org/officeDocument/2006/relationships/hyperlink" Target="https://talan.bank.gov.ua/get-user-certificate/sec1etwpn8y8f66MYBhc" TargetMode="External"/><Relationship Id="rId637" Type="http://schemas.openxmlformats.org/officeDocument/2006/relationships/hyperlink" Target="https://talan.bank.gov.ua/get-user-certificate/sec1e_UDoIUOb-iX88V9" TargetMode="External"/><Relationship Id="rId844" Type="http://schemas.openxmlformats.org/officeDocument/2006/relationships/hyperlink" Target="https://talan.bank.gov.ua/get-user-certificate/sec1elGWTZOMThqj3LHh" TargetMode="External"/><Relationship Id="rId1267" Type="http://schemas.openxmlformats.org/officeDocument/2006/relationships/hyperlink" Target="https://talan.bank.gov.ua/get-user-certificate/sec1eOGHKjkzspZH0jNq" TargetMode="External"/><Relationship Id="rId1474" Type="http://schemas.openxmlformats.org/officeDocument/2006/relationships/hyperlink" Target="https://talan.bank.gov.ua/get-user-certificate/sec1ei-J6NADfTowt53g" TargetMode="External"/><Relationship Id="rId1681" Type="http://schemas.openxmlformats.org/officeDocument/2006/relationships/hyperlink" Target="https://talan.bank.gov.ua/get-user-certificate/sec1eKpFdswmcdGXECi-" TargetMode="External"/><Relationship Id="rId2318" Type="http://schemas.openxmlformats.org/officeDocument/2006/relationships/hyperlink" Target="https://talan.bank.gov.ua/get-user-certificate/sec1eG4jy_3N3cCzfC2y" TargetMode="External"/><Relationship Id="rId2525" Type="http://schemas.openxmlformats.org/officeDocument/2006/relationships/hyperlink" Target="https://talan.bank.gov.ua/get-user-certificate/sec1ejY-ISOnIPLuXSR3" TargetMode="External"/><Relationship Id="rId2732" Type="http://schemas.openxmlformats.org/officeDocument/2006/relationships/hyperlink" Target="https://talan.bank.gov.ua/get-user-certificate/sec1eHXJmyJ60FAqULPW" TargetMode="External"/><Relationship Id="rId704" Type="http://schemas.openxmlformats.org/officeDocument/2006/relationships/hyperlink" Target="https://talan.bank.gov.ua/get-user-certificate/sec1eAvaj16-xnpJ_UKK" TargetMode="External"/><Relationship Id="rId911" Type="http://schemas.openxmlformats.org/officeDocument/2006/relationships/hyperlink" Target="https://talan.bank.gov.ua/get-user-certificate/sec1eHrvcD1whnJ2mErH" TargetMode="External"/><Relationship Id="rId1127" Type="http://schemas.openxmlformats.org/officeDocument/2006/relationships/hyperlink" Target="https://talan.bank.gov.ua/get-user-certificate/sec1enH7EWm4O66aScfV" TargetMode="External"/><Relationship Id="rId1334" Type="http://schemas.openxmlformats.org/officeDocument/2006/relationships/hyperlink" Target="https://talan.bank.gov.ua/get-user-certificate/sec1e2mwkYdSVMXXALFL" TargetMode="External"/><Relationship Id="rId1541" Type="http://schemas.openxmlformats.org/officeDocument/2006/relationships/hyperlink" Target="https://talan.bank.gov.ua/get-user-certificate/sec1eaGNVwjX0PsezdfR" TargetMode="External"/><Relationship Id="rId4697" Type="http://schemas.openxmlformats.org/officeDocument/2006/relationships/hyperlink" Target="https://talan.bank.gov.ua/get-user-certificate/sec1ekzgi_qHKhy1u7oK" TargetMode="External"/><Relationship Id="rId40" Type="http://schemas.openxmlformats.org/officeDocument/2006/relationships/hyperlink" Target="https://talan.bank.gov.ua/get-user-certificate/sec1egTDm8QipWc-9Ume" TargetMode="External"/><Relationship Id="rId1401" Type="http://schemas.openxmlformats.org/officeDocument/2006/relationships/hyperlink" Target="https://talan.bank.gov.ua/get-user-certificate/sec1eWWFRsp_-0U_49of" TargetMode="External"/><Relationship Id="rId3299" Type="http://schemas.openxmlformats.org/officeDocument/2006/relationships/hyperlink" Target="https://talan.bank.gov.ua/get-user-certificate/sec1eq78WkYLE_4zcQX8" TargetMode="External"/><Relationship Id="rId4557" Type="http://schemas.openxmlformats.org/officeDocument/2006/relationships/hyperlink" Target="https://talan.bank.gov.ua/get-user-certificate/sec1eLLzE2Y1iS_oKGiY" TargetMode="External"/><Relationship Id="rId4764" Type="http://schemas.openxmlformats.org/officeDocument/2006/relationships/hyperlink" Target="https://talan.bank.gov.ua/get-user-certificate/sec1ea9A2VZTwT2SAYte" TargetMode="External"/><Relationship Id="rId3159" Type="http://schemas.openxmlformats.org/officeDocument/2006/relationships/hyperlink" Target="https://talan.bank.gov.ua/get-user-certificate/sec1eoyuWSw92XGQ9cuk" TargetMode="External"/><Relationship Id="rId3366" Type="http://schemas.openxmlformats.org/officeDocument/2006/relationships/hyperlink" Target="https://talan.bank.gov.ua/get-user-certificate/sec1eP7YrPaKJtCYdC4F" TargetMode="External"/><Relationship Id="rId3573" Type="http://schemas.openxmlformats.org/officeDocument/2006/relationships/hyperlink" Target="https://talan.bank.gov.ua/get-user-certificate/sec1emTp32IXRRz2tG8l" TargetMode="External"/><Relationship Id="rId4417" Type="http://schemas.openxmlformats.org/officeDocument/2006/relationships/hyperlink" Target="https://talan.bank.gov.ua/get-user-certificate/sec1e_hdM4FNRWq7-Lza" TargetMode="External"/><Relationship Id="rId4971" Type="http://schemas.openxmlformats.org/officeDocument/2006/relationships/hyperlink" Target="https://talan.bank.gov.ua/get-user-certificate/sec1e8cLYtLGH2RC4Xpm" TargetMode="External"/><Relationship Id="rId287" Type="http://schemas.openxmlformats.org/officeDocument/2006/relationships/hyperlink" Target="https://talan.bank.gov.ua/get-user-certificate/sec1eGneKaMAM49HWqas" TargetMode="External"/><Relationship Id="rId494" Type="http://schemas.openxmlformats.org/officeDocument/2006/relationships/hyperlink" Target="https://talan.bank.gov.ua/get-user-certificate/sec1epAeVSlhhlLLnUsC" TargetMode="External"/><Relationship Id="rId2175" Type="http://schemas.openxmlformats.org/officeDocument/2006/relationships/hyperlink" Target="https://talan.bank.gov.ua/get-user-certificate/sec1efg0cLaU5fzFAj0b" TargetMode="External"/><Relationship Id="rId2382" Type="http://schemas.openxmlformats.org/officeDocument/2006/relationships/hyperlink" Target="https://talan.bank.gov.ua/get-user-certificate/sec1eP13BMPhVdxhPg1O" TargetMode="External"/><Relationship Id="rId3019" Type="http://schemas.openxmlformats.org/officeDocument/2006/relationships/hyperlink" Target="https://talan.bank.gov.ua/get-user-certificate/sec1e6HyT9bHJz47Jiqj" TargetMode="External"/><Relationship Id="rId3226" Type="http://schemas.openxmlformats.org/officeDocument/2006/relationships/hyperlink" Target="https://talan.bank.gov.ua/get-user-certificate/sec1e_ZIxiNmmHACJj38" TargetMode="External"/><Relationship Id="rId3780" Type="http://schemas.openxmlformats.org/officeDocument/2006/relationships/hyperlink" Target="https://talan.bank.gov.ua/get-user-certificate/sec1ecyv6ECs0TO2tivE" TargetMode="External"/><Relationship Id="rId4624" Type="http://schemas.openxmlformats.org/officeDocument/2006/relationships/hyperlink" Target="https://talan.bank.gov.ua/get-user-certificate/sec1ebcDKf0L3N-qdv9c" TargetMode="External"/><Relationship Id="rId4831" Type="http://schemas.openxmlformats.org/officeDocument/2006/relationships/hyperlink" Target="https://talan.bank.gov.ua/get-user-certificate/sec1ervpc53hi6xnVRpk" TargetMode="External"/><Relationship Id="rId147" Type="http://schemas.openxmlformats.org/officeDocument/2006/relationships/hyperlink" Target="https://talan.bank.gov.ua/get-user-certificate/sec1eeNILfC8R10yaixm" TargetMode="External"/><Relationship Id="rId354" Type="http://schemas.openxmlformats.org/officeDocument/2006/relationships/hyperlink" Target="https://talan.bank.gov.ua/get-user-certificate/sec1etEZiSTzMfkwPbAH" TargetMode="External"/><Relationship Id="rId1191" Type="http://schemas.openxmlformats.org/officeDocument/2006/relationships/hyperlink" Target="https://talan.bank.gov.ua/get-user-certificate/sec1ej1W8_-oPckCdHPB" TargetMode="External"/><Relationship Id="rId2035" Type="http://schemas.openxmlformats.org/officeDocument/2006/relationships/hyperlink" Target="https://talan.bank.gov.ua/get-user-certificate/sec1eP_inR_G3SqiNPYl" TargetMode="External"/><Relationship Id="rId3433" Type="http://schemas.openxmlformats.org/officeDocument/2006/relationships/hyperlink" Target="https://talan.bank.gov.ua/get-user-certificate/sec1e05UeUxtEsjt-0S4" TargetMode="External"/><Relationship Id="rId3640" Type="http://schemas.openxmlformats.org/officeDocument/2006/relationships/hyperlink" Target="https://talan.bank.gov.ua/get-user-certificate/sec1ebEmzjuF738Ak70L" TargetMode="External"/><Relationship Id="rId561" Type="http://schemas.openxmlformats.org/officeDocument/2006/relationships/hyperlink" Target="https://talan.bank.gov.ua/get-user-certificate/sec1eyK4wdVGLsuUW3Xf" TargetMode="External"/><Relationship Id="rId2242" Type="http://schemas.openxmlformats.org/officeDocument/2006/relationships/hyperlink" Target="https://talan.bank.gov.ua/get-user-certificate/sec1eKZeGKGCFqqRDM0Y" TargetMode="External"/><Relationship Id="rId3500" Type="http://schemas.openxmlformats.org/officeDocument/2006/relationships/hyperlink" Target="https://talan.bank.gov.ua/get-user-certificate/sec1e3mxN1LSMVqtDAxV" TargetMode="External"/><Relationship Id="rId214" Type="http://schemas.openxmlformats.org/officeDocument/2006/relationships/hyperlink" Target="https://talan.bank.gov.ua/get-user-certificate/sec1e1LaqPcGZ3JWpqwr" TargetMode="External"/><Relationship Id="rId421" Type="http://schemas.openxmlformats.org/officeDocument/2006/relationships/hyperlink" Target="https://talan.bank.gov.ua/get-user-certificate/sec1eqkKq5UG0FOHfqK5" TargetMode="External"/><Relationship Id="rId1051" Type="http://schemas.openxmlformats.org/officeDocument/2006/relationships/hyperlink" Target="https://talan.bank.gov.ua/get-user-certificate/sec1e9vS8c90oJtSGl1k" TargetMode="External"/><Relationship Id="rId2102" Type="http://schemas.openxmlformats.org/officeDocument/2006/relationships/hyperlink" Target="https://talan.bank.gov.ua/get-user-certificate/sec1ej4HNAeEP8ojF9Jw" TargetMode="External"/><Relationship Id="rId1868" Type="http://schemas.openxmlformats.org/officeDocument/2006/relationships/hyperlink" Target="https://talan.bank.gov.ua/get-user-certificate/sec1emaNzb136oMmV1ql" TargetMode="External"/><Relationship Id="rId4067" Type="http://schemas.openxmlformats.org/officeDocument/2006/relationships/hyperlink" Target="https://talan.bank.gov.ua/get-user-certificate/sec1etPEN_kfM4alZj1H" TargetMode="External"/><Relationship Id="rId4274" Type="http://schemas.openxmlformats.org/officeDocument/2006/relationships/hyperlink" Target="https://talan.bank.gov.ua/get-user-certificate/sec1elCJf1OQ5mBTPHSP" TargetMode="External"/><Relationship Id="rId4481" Type="http://schemas.openxmlformats.org/officeDocument/2006/relationships/hyperlink" Target="https://talan.bank.gov.ua/get-user-certificate/sec1eh6BqXUSS3LY4L2d" TargetMode="External"/><Relationship Id="rId2919" Type="http://schemas.openxmlformats.org/officeDocument/2006/relationships/hyperlink" Target="https://talan.bank.gov.ua/get-user-certificate/sec1evgCR54WnVqWL34M" TargetMode="External"/><Relationship Id="rId3083" Type="http://schemas.openxmlformats.org/officeDocument/2006/relationships/hyperlink" Target="https://talan.bank.gov.ua/get-user-certificate/sec1evBLoQLaqUAZAj-Y" TargetMode="External"/><Relationship Id="rId3290" Type="http://schemas.openxmlformats.org/officeDocument/2006/relationships/hyperlink" Target="https://talan.bank.gov.ua/get-user-certificate/sec1ePDWOGZ5yBjamTow" TargetMode="External"/><Relationship Id="rId4134" Type="http://schemas.openxmlformats.org/officeDocument/2006/relationships/hyperlink" Target="https://talan.bank.gov.ua/get-user-certificate/sec1ep99vS2HinJblmvi" TargetMode="External"/><Relationship Id="rId4341" Type="http://schemas.openxmlformats.org/officeDocument/2006/relationships/hyperlink" Target="https://talan.bank.gov.ua/get-user-certificate/sec1e8Af0e11H-edtWlO" TargetMode="External"/><Relationship Id="rId1728" Type="http://schemas.openxmlformats.org/officeDocument/2006/relationships/hyperlink" Target="https://talan.bank.gov.ua/get-user-certificate/sec1eQrVE3piBHXg2ArK" TargetMode="External"/><Relationship Id="rId1935" Type="http://schemas.openxmlformats.org/officeDocument/2006/relationships/hyperlink" Target="https://talan.bank.gov.ua/get-user-certificate/sec1eBXFHzfg2g6sSY0h" TargetMode="External"/><Relationship Id="rId3150" Type="http://schemas.openxmlformats.org/officeDocument/2006/relationships/hyperlink" Target="https://talan.bank.gov.ua/get-user-certificate/sec1e2AihG56Nr92VSkj" TargetMode="External"/><Relationship Id="rId4201" Type="http://schemas.openxmlformats.org/officeDocument/2006/relationships/hyperlink" Target="https://talan.bank.gov.ua/get-user-certificate/sec1eUOVl4Mx7UEDJlVl" TargetMode="External"/><Relationship Id="rId3010" Type="http://schemas.openxmlformats.org/officeDocument/2006/relationships/hyperlink" Target="https://talan.bank.gov.ua/get-user-certificate/sec1eqJU6lKm3ox-Xej1" TargetMode="External"/><Relationship Id="rId3967" Type="http://schemas.openxmlformats.org/officeDocument/2006/relationships/hyperlink" Target="https://talan.bank.gov.ua/get-user-certificate/sec1eE_k0K563Wr4RssT" TargetMode="External"/><Relationship Id="rId4" Type="http://schemas.openxmlformats.org/officeDocument/2006/relationships/hyperlink" Target="https://talan.bank.gov.ua/get-user-certificate/sec1epfDlJnGEUHPrbpO" TargetMode="External"/><Relationship Id="rId888" Type="http://schemas.openxmlformats.org/officeDocument/2006/relationships/hyperlink" Target="https://talan.bank.gov.ua/get-user-certificate/sec1ewPqLFNDgVO-slWC" TargetMode="External"/><Relationship Id="rId2569" Type="http://schemas.openxmlformats.org/officeDocument/2006/relationships/hyperlink" Target="https://talan.bank.gov.ua/get-user-certificate/sec1ebUv9JF8VhV30qBP" TargetMode="External"/><Relationship Id="rId2776" Type="http://schemas.openxmlformats.org/officeDocument/2006/relationships/hyperlink" Target="https://talan.bank.gov.ua/get-user-certificate/sec1e8H-pbeuGq-QEisf" TargetMode="External"/><Relationship Id="rId2983" Type="http://schemas.openxmlformats.org/officeDocument/2006/relationships/hyperlink" Target="https://talan.bank.gov.ua/get-user-certificate/sec1eZBiuJS56s6ybgFq" TargetMode="External"/><Relationship Id="rId3827" Type="http://schemas.openxmlformats.org/officeDocument/2006/relationships/hyperlink" Target="https://talan.bank.gov.ua/get-user-certificate/sec1exdqTV8RjEREXrMh" TargetMode="External"/><Relationship Id="rId748" Type="http://schemas.openxmlformats.org/officeDocument/2006/relationships/hyperlink" Target="https://talan.bank.gov.ua/get-user-certificate/sec1eK_N46HsdJAL5x0C" TargetMode="External"/><Relationship Id="rId955" Type="http://schemas.openxmlformats.org/officeDocument/2006/relationships/hyperlink" Target="https://talan.bank.gov.ua/get-user-certificate/sec1ehOabJdpA5NfaVBW" TargetMode="External"/><Relationship Id="rId1378" Type="http://schemas.openxmlformats.org/officeDocument/2006/relationships/hyperlink" Target="https://talan.bank.gov.ua/get-user-certificate/sec1eTGv-Som04FDzJ1X" TargetMode="External"/><Relationship Id="rId1585" Type="http://schemas.openxmlformats.org/officeDocument/2006/relationships/hyperlink" Target="https://talan.bank.gov.ua/get-user-certificate/sec1eGEHStPaKNo3IW-K" TargetMode="External"/><Relationship Id="rId1792" Type="http://schemas.openxmlformats.org/officeDocument/2006/relationships/hyperlink" Target="https://talan.bank.gov.ua/get-user-certificate/sec1ehxhBhr-tgTzT2aG" TargetMode="External"/><Relationship Id="rId2429" Type="http://schemas.openxmlformats.org/officeDocument/2006/relationships/hyperlink" Target="https://talan.bank.gov.ua/get-user-certificate/sec1eIOsQXAZQe0IXkC8" TargetMode="External"/><Relationship Id="rId2636" Type="http://schemas.openxmlformats.org/officeDocument/2006/relationships/hyperlink" Target="https://talan.bank.gov.ua/get-user-certificate/sec1ewPlRtPigD5y4Ipj" TargetMode="External"/><Relationship Id="rId2843" Type="http://schemas.openxmlformats.org/officeDocument/2006/relationships/hyperlink" Target="https://talan.bank.gov.ua/get-user-certificate/sec1eSwc9y-_F_PRsQMo" TargetMode="External"/><Relationship Id="rId84" Type="http://schemas.openxmlformats.org/officeDocument/2006/relationships/hyperlink" Target="https://talan.bank.gov.ua/get-user-certificate/sec1eCOXKdCH0-r4Ya4k" TargetMode="External"/><Relationship Id="rId608" Type="http://schemas.openxmlformats.org/officeDocument/2006/relationships/hyperlink" Target="https://talan.bank.gov.ua/get-user-certificate/sec1eUUnUensNanMPZ2h" TargetMode="External"/><Relationship Id="rId815" Type="http://schemas.openxmlformats.org/officeDocument/2006/relationships/hyperlink" Target="https://talan.bank.gov.ua/get-user-certificate/sec1eWj7rocjD2nI4pjP" TargetMode="External"/><Relationship Id="rId1238" Type="http://schemas.openxmlformats.org/officeDocument/2006/relationships/hyperlink" Target="https://talan.bank.gov.ua/get-user-certificate/sec1ee7JKXXflW7TTeNu" TargetMode="External"/><Relationship Id="rId1445" Type="http://schemas.openxmlformats.org/officeDocument/2006/relationships/hyperlink" Target="https://talan.bank.gov.ua/get-user-certificate/sec1enInTnL2eKntw7Kj" TargetMode="External"/><Relationship Id="rId1652" Type="http://schemas.openxmlformats.org/officeDocument/2006/relationships/hyperlink" Target="https://talan.bank.gov.ua/get-user-certificate/sec1eB6eE6SxpveMekvy" TargetMode="External"/><Relationship Id="rId1305" Type="http://schemas.openxmlformats.org/officeDocument/2006/relationships/hyperlink" Target="https://talan.bank.gov.ua/get-user-certificate/sec1eft-QqTTYOVzcaJR" TargetMode="External"/><Relationship Id="rId2703" Type="http://schemas.openxmlformats.org/officeDocument/2006/relationships/hyperlink" Target="https://talan.bank.gov.ua/get-user-certificate/sec1euKS3n2V4dHUkKzJ" TargetMode="External"/><Relationship Id="rId2910" Type="http://schemas.openxmlformats.org/officeDocument/2006/relationships/hyperlink" Target="https://talan.bank.gov.ua/get-user-certificate/sec1eHugDebZo8fhKxQw" TargetMode="External"/><Relationship Id="rId1512" Type="http://schemas.openxmlformats.org/officeDocument/2006/relationships/hyperlink" Target="https://talan.bank.gov.ua/get-user-certificate/sec1euzdD28iI9aCYr9E" TargetMode="External"/><Relationship Id="rId4668" Type="http://schemas.openxmlformats.org/officeDocument/2006/relationships/hyperlink" Target="https://talan.bank.gov.ua/get-user-certificate/sec1ecmLYbRestaxglCF" TargetMode="External"/><Relationship Id="rId4875" Type="http://schemas.openxmlformats.org/officeDocument/2006/relationships/hyperlink" Target="https://talan.bank.gov.ua/get-user-certificate/sec1ebK5-1V39pU4k1Xg" TargetMode="External"/><Relationship Id="rId11" Type="http://schemas.openxmlformats.org/officeDocument/2006/relationships/hyperlink" Target="https://talan.bank.gov.ua/get-user-certificate/sec1eB6zFpcvqHriyfPK" TargetMode="External"/><Relationship Id="rId398" Type="http://schemas.openxmlformats.org/officeDocument/2006/relationships/hyperlink" Target="https://talan.bank.gov.ua/get-user-certificate/sec1eTuFQdhZvumX_l4w" TargetMode="External"/><Relationship Id="rId2079" Type="http://schemas.openxmlformats.org/officeDocument/2006/relationships/hyperlink" Target="https://talan.bank.gov.ua/get-user-certificate/sec1eXyRS2AOb6CzkWk7" TargetMode="External"/><Relationship Id="rId3477" Type="http://schemas.openxmlformats.org/officeDocument/2006/relationships/hyperlink" Target="https://talan.bank.gov.ua/get-user-certificate/sec1eRgqWh0Udz9ZDRzo" TargetMode="External"/><Relationship Id="rId3684" Type="http://schemas.openxmlformats.org/officeDocument/2006/relationships/hyperlink" Target="https://talan.bank.gov.ua/get-user-certificate/sec1esGXFldey130jT9k" TargetMode="External"/><Relationship Id="rId3891" Type="http://schemas.openxmlformats.org/officeDocument/2006/relationships/hyperlink" Target="https://talan.bank.gov.ua/get-user-certificate/sec1eea9j4e1_alxCiZv" TargetMode="External"/><Relationship Id="rId4528" Type="http://schemas.openxmlformats.org/officeDocument/2006/relationships/hyperlink" Target="https://talan.bank.gov.ua/get-user-certificate/sec1esxG8eDy4jrt46ys" TargetMode="External"/><Relationship Id="rId4735" Type="http://schemas.openxmlformats.org/officeDocument/2006/relationships/hyperlink" Target="https://talan.bank.gov.ua/get-user-certificate/sec1eZMRdbK1gKe6IoBe" TargetMode="External"/><Relationship Id="rId4942" Type="http://schemas.openxmlformats.org/officeDocument/2006/relationships/hyperlink" Target="https://talan.bank.gov.ua/get-user-certificate/sec1esn8BDcwZOa5-hlW" TargetMode="External"/><Relationship Id="rId2286" Type="http://schemas.openxmlformats.org/officeDocument/2006/relationships/hyperlink" Target="https://talan.bank.gov.ua/get-user-certificate/sec1ejJYeAHloeVRTz1b" TargetMode="External"/><Relationship Id="rId2493" Type="http://schemas.openxmlformats.org/officeDocument/2006/relationships/hyperlink" Target="https://talan.bank.gov.ua/get-user-certificate/sec1eGmPgNgzesKvjVVl" TargetMode="External"/><Relationship Id="rId3337" Type="http://schemas.openxmlformats.org/officeDocument/2006/relationships/hyperlink" Target="https://talan.bank.gov.ua/get-user-certificate/sec1e4WZ7yY9dQ1hx4Z0" TargetMode="External"/><Relationship Id="rId3544" Type="http://schemas.openxmlformats.org/officeDocument/2006/relationships/hyperlink" Target="https://talan.bank.gov.ua/get-user-certificate/sec1egENLN6fkeJtuBBT" TargetMode="External"/><Relationship Id="rId3751" Type="http://schemas.openxmlformats.org/officeDocument/2006/relationships/hyperlink" Target="https://talan.bank.gov.ua/get-user-certificate/sec1e2wAUeKYEAZDS_Qf" TargetMode="External"/><Relationship Id="rId4802" Type="http://schemas.openxmlformats.org/officeDocument/2006/relationships/hyperlink" Target="https://talan.bank.gov.ua/get-user-certificate/sec1eZostkZw3WtU37bs" TargetMode="External"/><Relationship Id="rId258" Type="http://schemas.openxmlformats.org/officeDocument/2006/relationships/hyperlink" Target="https://talan.bank.gov.ua/get-user-certificate/sec1ew9476RYnG_1U9eC" TargetMode="External"/><Relationship Id="rId465" Type="http://schemas.openxmlformats.org/officeDocument/2006/relationships/hyperlink" Target="https://talan.bank.gov.ua/get-user-certificate/sec1eXKf5K31TgGI0_UK" TargetMode="External"/><Relationship Id="rId672" Type="http://schemas.openxmlformats.org/officeDocument/2006/relationships/hyperlink" Target="https://talan.bank.gov.ua/get-user-certificate/sec1e_cORqbzY8OI41lC" TargetMode="External"/><Relationship Id="rId1095" Type="http://schemas.openxmlformats.org/officeDocument/2006/relationships/hyperlink" Target="https://talan.bank.gov.ua/get-user-certificate/sec1edeZJOTmvms8-gC9" TargetMode="External"/><Relationship Id="rId2146" Type="http://schemas.openxmlformats.org/officeDocument/2006/relationships/hyperlink" Target="https://talan.bank.gov.ua/get-user-certificate/sec1ejW8KBOEz8MGecfJ" TargetMode="External"/><Relationship Id="rId2353" Type="http://schemas.openxmlformats.org/officeDocument/2006/relationships/hyperlink" Target="https://talan.bank.gov.ua/get-user-certificate/sec1eab14eRBP_LM_4X-" TargetMode="External"/><Relationship Id="rId2560" Type="http://schemas.openxmlformats.org/officeDocument/2006/relationships/hyperlink" Target="https://talan.bank.gov.ua/get-user-certificate/sec1eoIsfmEA1LYLO79z" TargetMode="External"/><Relationship Id="rId3404" Type="http://schemas.openxmlformats.org/officeDocument/2006/relationships/hyperlink" Target="https://talan.bank.gov.ua/get-user-certificate/sec1eCcOwBknmR8yaBGx" TargetMode="External"/><Relationship Id="rId3611" Type="http://schemas.openxmlformats.org/officeDocument/2006/relationships/hyperlink" Target="https://talan.bank.gov.ua/get-user-certificate/sec1e9FP2agt4ubUMMiW" TargetMode="External"/><Relationship Id="rId118" Type="http://schemas.openxmlformats.org/officeDocument/2006/relationships/hyperlink" Target="https://talan.bank.gov.ua/get-user-certificate/sec1eZ5ebBMEtzz6L1aL" TargetMode="External"/><Relationship Id="rId325" Type="http://schemas.openxmlformats.org/officeDocument/2006/relationships/hyperlink" Target="https://talan.bank.gov.ua/get-user-certificate/sec1evG76U92tk1aDLvY" TargetMode="External"/><Relationship Id="rId532" Type="http://schemas.openxmlformats.org/officeDocument/2006/relationships/hyperlink" Target="https://talan.bank.gov.ua/get-user-certificate/sec1egLNIMiCWXS9cOPy" TargetMode="External"/><Relationship Id="rId1162" Type="http://schemas.openxmlformats.org/officeDocument/2006/relationships/hyperlink" Target="https://talan.bank.gov.ua/get-user-certificate/sec1eptshql1SG8bOYsZ" TargetMode="External"/><Relationship Id="rId2006" Type="http://schemas.openxmlformats.org/officeDocument/2006/relationships/hyperlink" Target="https://talan.bank.gov.ua/get-user-certificate/sec1ev3AETm8aeI_h-q5" TargetMode="External"/><Relationship Id="rId2213" Type="http://schemas.openxmlformats.org/officeDocument/2006/relationships/hyperlink" Target="https://talan.bank.gov.ua/get-user-certificate/sec1eqlmJV49q8JXbMt2" TargetMode="External"/><Relationship Id="rId2420" Type="http://schemas.openxmlformats.org/officeDocument/2006/relationships/hyperlink" Target="https://talan.bank.gov.ua/get-user-certificate/sec1e1nOWansZqUguG8o" TargetMode="External"/><Relationship Id="rId1022" Type="http://schemas.openxmlformats.org/officeDocument/2006/relationships/hyperlink" Target="https://talan.bank.gov.ua/get-user-certificate/sec1ee-SPc4J6wur44jc" TargetMode="External"/><Relationship Id="rId4178" Type="http://schemas.openxmlformats.org/officeDocument/2006/relationships/hyperlink" Target="https://talan.bank.gov.ua/get-user-certificate/sec1eTSKVIGSW3xNurID" TargetMode="External"/><Relationship Id="rId4385" Type="http://schemas.openxmlformats.org/officeDocument/2006/relationships/hyperlink" Target="https://talan.bank.gov.ua/get-user-certificate/sec1eJxrDprz2UVLTEwK" TargetMode="External"/><Relationship Id="rId4592" Type="http://schemas.openxmlformats.org/officeDocument/2006/relationships/hyperlink" Target="https://talan.bank.gov.ua/get-user-certificate/sec1eWnheFVAY5t4KnBN" TargetMode="External"/><Relationship Id="rId1979" Type="http://schemas.openxmlformats.org/officeDocument/2006/relationships/hyperlink" Target="https://talan.bank.gov.ua/get-user-certificate/sec1evkinJB-x_ZMr6zT" TargetMode="External"/><Relationship Id="rId3194" Type="http://schemas.openxmlformats.org/officeDocument/2006/relationships/hyperlink" Target="https://talan.bank.gov.ua/get-user-certificate/sec1eJR-5whdo__Nl--x" TargetMode="External"/><Relationship Id="rId4038" Type="http://schemas.openxmlformats.org/officeDocument/2006/relationships/hyperlink" Target="https://talan.bank.gov.ua/get-user-certificate/sec1ekhJQSeWnhvRZshv" TargetMode="External"/><Relationship Id="rId4245" Type="http://schemas.openxmlformats.org/officeDocument/2006/relationships/hyperlink" Target="https://talan.bank.gov.ua/get-user-certificate/sec1eU1zmVl7GPMKQW8a" TargetMode="External"/><Relationship Id="rId1839" Type="http://schemas.openxmlformats.org/officeDocument/2006/relationships/hyperlink" Target="https://talan.bank.gov.ua/get-user-certificate/sec1eOD9yUv7Gu4Pqm5C" TargetMode="External"/><Relationship Id="rId3054" Type="http://schemas.openxmlformats.org/officeDocument/2006/relationships/hyperlink" Target="https://talan.bank.gov.ua/get-user-certificate/sec1ePTaq6pKbNVdYmn2" TargetMode="External"/><Relationship Id="rId4452" Type="http://schemas.openxmlformats.org/officeDocument/2006/relationships/hyperlink" Target="https://talan.bank.gov.ua/get-user-certificate/sec1ejRhiZ-zZmCAwaTe" TargetMode="External"/><Relationship Id="rId182" Type="http://schemas.openxmlformats.org/officeDocument/2006/relationships/hyperlink" Target="https://talan.bank.gov.ua/get-user-certificate/sec1eJYUfIMLRIENVJrC" TargetMode="External"/><Relationship Id="rId1906" Type="http://schemas.openxmlformats.org/officeDocument/2006/relationships/hyperlink" Target="https://talan.bank.gov.ua/get-user-certificate/sec1eTqp-HroNvRqJz_Q" TargetMode="External"/><Relationship Id="rId3261" Type="http://schemas.openxmlformats.org/officeDocument/2006/relationships/hyperlink" Target="https://talan.bank.gov.ua/get-user-certificate/sec1esczCNXWdwB8W_yi" TargetMode="External"/><Relationship Id="rId4105" Type="http://schemas.openxmlformats.org/officeDocument/2006/relationships/hyperlink" Target="https://talan.bank.gov.ua/get-user-certificate/sec1ei-bwre1R2G8o88G" TargetMode="External"/><Relationship Id="rId4312" Type="http://schemas.openxmlformats.org/officeDocument/2006/relationships/hyperlink" Target="https://talan.bank.gov.ua/get-user-certificate/sec1egeWvGj44rGj4nZn" TargetMode="External"/><Relationship Id="rId2070" Type="http://schemas.openxmlformats.org/officeDocument/2006/relationships/hyperlink" Target="https://talan.bank.gov.ua/get-user-certificate/sec1eBb6vHwejD_oEjJ6" TargetMode="External"/><Relationship Id="rId3121" Type="http://schemas.openxmlformats.org/officeDocument/2006/relationships/hyperlink" Target="https://talan.bank.gov.ua/get-user-certificate/sec1emt9ZnxTScT-q2S9" TargetMode="External"/><Relationship Id="rId999" Type="http://schemas.openxmlformats.org/officeDocument/2006/relationships/hyperlink" Target="https://talan.bank.gov.ua/get-user-certificate/sec1eKFgwTE0Lq34ITFw" TargetMode="External"/><Relationship Id="rId2887" Type="http://schemas.openxmlformats.org/officeDocument/2006/relationships/hyperlink" Target="https://talan.bank.gov.ua/get-user-certificate/sec1eCSEVuo_32sdSaG_" TargetMode="External"/><Relationship Id="rId859" Type="http://schemas.openxmlformats.org/officeDocument/2006/relationships/hyperlink" Target="https://talan.bank.gov.ua/get-user-certificate/sec1e28yqj1JqEpgaxLR" TargetMode="External"/><Relationship Id="rId1489" Type="http://schemas.openxmlformats.org/officeDocument/2006/relationships/hyperlink" Target="https://talan.bank.gov.ua/get-user-certificate/sec1eUpySTM-VWPM5YQz" TargetMode="External"/><Relationship Id="rId1696" Type="http://schemas.openxmlformats.org/officeDocument/2006/relationships/hyperlink" Target="https://talan.bank.gov.ua/get-user-certificate/sec1eAJHkh9kWvQQDGhL" TargetMode="External"/><Relationship Id="rId3938" Type="http://schemas.openxmlformats.org/officeDocument/2006/relationships/hyperlink" Target="https://talan.bank.gov.ua/get-user-certificate/sec1emysmAMCCCJPHQxg" TargetMode="External"/><Relationship Id="rId1349" Type="http://schemas.openxmlformats.org/officeDocument/2006/relationships/hyperlink" Target="https://talan.bank.gov.ua/get-user-certificate/sec1eXAxp9BW-lLcOCAp" TargetMode="External"/><Relationship Id="rId2747" Type="http://schemas.openxmlformats.org/officeDocument/2006/relationships/hyperlink" Target="https://talan.bank.gov.ua/get-user-certificate/sec1eLQWk5jBw5VV5hKz" TargetMode="External"/><Relationship Id="rId2954" Type="http://schemas.openxmlformats.org/officeDocument/2006/relationships/hyperlink" Target="https://talan.bank.gov.ua/get-user-certificate/sec1eCSA9NIMVPAeR3uz" TargetMode="External"/><Relationship Id="rId5013" Type="http://schemas.openxmlformats.org/officeDocument/2006/relationships/hyperlink" Target="https://talan.bank.gov.ua/get-user-certificate/f7i-slFlUtEYGD6a9krS" TargetMode="External"/><Relationship Id="rId719" Type="http://schemas.openxmlformats.org/officeDocument/2006/relationships/hyperlink" Target="https://talan.bank.gov.ua/get-user-certificate/sec1ehbL68FKRciTz4hk" TargetMode="External"/><Relationship Id="rId926" Type="http://schemas.openxmlformats.org/officeDocument/2006/relationships/hyperlink" Target="https://talan.bank.gov.ua/get-user-certificate/sec1e0PHyJwbjdHW-0FM" TargetMode="External"/><Relationship Id="rId1556" Type="http://schemas.openxmlformats.org/officeDocument/2006/relationships/hyperlink" Target="https://talan.bank.gov.ua/get-user-certificate/sec1eLNLvPnCwCKTORU-" TargetMode="External"/><Relationship Id="rId1763" Type="http://schemas.openxmlformats.org/officeDocument/2006/relationships/hyperlink" Target="https://talan.bank.gov.ua/get-user-certificate/sec1eB-N00d8IokSuRY0" TargetMode="External"/><Relationship Id="rId1970" Type="http://schemas.openxmlformats.org/officeDocument/2006/relationships/hyperlink" Target="https://talan.bank.gov.ua/get-user-certificate/sec1edlI0cyZZN-Z-XWi" TargetMode="External"/><Relationship Id="rId2607" Type="http://schemas.openxmlformats.org/officeDocument/2006/relationships/hyperlink" Target="https://talan.bank.gov.ua/get-user-certificate/sec1eOldlLLpXdrNFjbI" TargetMode="External"/><Relationship Id="rId2814" Type="http://schemas.openxmlformats.org/officeDocument/2006/relationships/hyperlink" Target="https://talan.bank.gov.ua/get-user-certificate/sec1eK5M-xa1OUDUQB1y" TargetMode="External"/><Relationship Id="rId55" Type="http://schemas.openxmlformats.org/officeDocument/2006/relationships/hyperlink" Target="https://talan.bank.gov.ua/get-user-certificate/sec1e3p0CqO1YUV55X1a" TargetMode="External"/><Relationship Id="rId1209" Type="http://schemas.openxmlformats.org/officeDocument/2006/relationships/hyperlink" Target="https://talan.bank.gov.ua/get-user-certificate/sec1eivOLs_BJ4G_RFAF" TargetMode="External"/><Relationship Id="rId1416" Type="http://schemas.openxmlformats.org/officeDocument/2006/relationships/hyperlink" Target="https://talan.bank.gov.ua/get-user-certificate/sec1egKaN_xVgkNmRvei" TargetMode="External"/><Relationship Id="rId1623" Type="http://schemas.openxmlformats.org/officeDocument/2006/relationships/hyperlink" Target="https://talan.bank.gov.ua/get-user-certificate/sec1e9vJWMislQTRWOgP" TargetMode="External"/><Relationship Id="rId1830" Type="http://schemas.openxmlformats.org/officeDocument/2006/relationships/hyperlink" Target="https://talan.bank.gov.ua/get-user-certificate/sec1eKXCMMsCSwbEqxCE" TargetMode="External"/><Relationship Id="rId4779" Type="http://schemas.openxmlformats.org/officeDocument/2006/relationships/hyperlink" Target="https://talan.bank.gov.ua/get-user-certificate/sec1eSGHVD2eiOOZaCzT" TargetMode="External"/><Relationship Id="rId4986" Type="http://schemas.openxmlformats.org/officeDocument/2006/relationships/hyperlink" Target="https://talan.bank.gov.ua/get-user-certificate/sec1e6yjjUbCnupbitim" TargetMode="External"/><Relationship Id="rId3588" Type="http://schemas.openxmlformats.org/officeDocument/2006/relationships/hyperlink" Target="https://talan.bank.gov.ua/get-user-certificate/sec1eQ7qMXNtPIN64ZaJ" TargetMode="External"/><Relationship Id="rId3795" Type="http://schemas.openxmlformats.org/officeDocument/2006/relationships/hyperlink" Target="https://talan.bank.gov.ua/get-user-certificate/sec1eOU4mqkXMy4MQ4h0" TargetMode="External"/><Relationship Id="rId4639" Type="http://schemas.openxmlformats.org/officeDocument/2006/relationships/hyperlink" Target="https://talan.bank.gov.ua/get-user-certificate/sec1eso_qs4yD7npx4H3" TargetMode="External"/><Relationship Id="rId4846" Type="http://schemas.openxmlformats.org/officeDocument/2006/relationships/hyperlink" Target="https://talan.bank.gov.ua/get-user-certificate/sec1eXcgqrtYaSP3n2Os" TargetMode="External"/><Relationship Id="rId2397" Type="http://schemas.openxmlformats.org/officeDocument/2006/relationships/hyperlink" Target="https://talan.bank.gov.ua/get-user-certificate/sec1ecS64dySujc4yWLI" TargetMode="External"/><Relationship Id="rId3448" Type="http://schemas.openxmlformats.org/officeDocument/2006/relationships/hyperlink" Target="https://talan.bank.gov.ua/get-user-certificate/sec1elikOdLRZC1x6jXC" TargetMode="External"/><Relationship Id="rId3655" Type="http://schemas.openxmlformats.org/officeDocument/2006/relationships/hyperlink" Target="https://talan.bank.gov.ua/get-user-certificate/sec1eCVHLvphDkdOkpBs" TargetMode="External"/><Relationship Id="rId3862" Type="http://schemas.openxmlformats.org/officeDocument/2006/relationships/hyperlink" Target="https://talan.bank.gov.ua/get-user-certificate/sec1eidzqiJsevXqqbfN" TargetMode="External"/><Relationship Id="rId4706" Type="http://schemas.openxmlformats.org/officeDocument/2006/relationships/hyperlink" Target="https://talan.bank.gov.ua/get-user-certificate/sec1eMVBcrI1aOSBU6bx" TargetMode="External"/><Relationship Id="rId369" Type="http://schemas.openxmlformats.org/officeDocument/2006/relationships/hyperlink" Target="https://talan.bank.gov.ua/get-user-certificate/sec1eWopnWnTLJN884u8" TargetMode="External"/><Relationship Id="rId576" Type="http://schemas.openxmlformats.org/officeDocument/2006/relationships/hyperlink" Target="https://talan.bank.gov.ua/get-user-certificate/sec1e9RUTaGGK6HLmDTM" TargetMode="External"/><Relationship Id="rId783" Type="http://schemas.openxmlformats.org/officeDocument/2006/relationships/hyperlink" Target="https://talan.bank.gov.ua/get-user-certificate/sec1eVtFVTapVfU0PAAS" TargetMode="External"/><Relationship Id="rId990" Type="http://schemas.openxmlformats.org/officeDocument/2006/relationships/hyperlink" Target="https://talan.bank.gov.ua/get-user-certificate/sec1enqrrQ2294EENXDE" TargetMode="External"/><Relationship Id="rId2257" Type="http://schemas.openxmlformats.org/officeDocument/2006/relationships/hyperlink" Target="https://talan.bank.gov.ua/get-user-certificate/sec1e9khYw1Yf_56DZsE" TargetMode="External"/><Relationship Id="rId2464" Type="http://schemas.openxmlformats.org/officeDocument/2006/relationships/hyperlink" Target="https://talan.bank.gov.ua/get-user-certificate/sec1euYS7Rh6hw_ZJoK2" TargetMode="External"/><Relationship Id="rId2671" Type="http://schemas.openxmlformats.org/officeDocument/2006/relationships/hyperlink" Target="https://talan.bank.gov.ua/get-user-certificate/sec1eaI0hyg2ZE2QoCfD" TargetMode="External"/><Relationship Id="rId3308" Type="http://schemas.openxmlformats.org/officeDocument/2006/relationships/hyperlink" Target="https://talan.bank.gov.ua/get-user-certificate/sec1ehLXrON7nutS5hqJ" TargetMode="External"/><Relationship Id="rId3515" Type="http://schemas.openxmlformats.org/officeDocument/2006/relationships/hyperlink" Target="https://talan.bank.gov.ua/get-user-certificate/sec1eRA5KWh6xC1Py2yS" TargetMode="External"/><Relationship Id="rId4913" Type="http://schemas.openxmlformats.org/officeDocument/2006/relationships/hyperlink" Target="https://talan.bank.gov.ua/get-user-certificate/sec1enJ8fqUfWM3SwQ6Q" TargetMode="External"/><Relationship Id="rId229" Type="http://schemas.openxmlformats.org/officeDocument/2006/relationships/hyperlink" Target="https://talan.bank.gov.ua/get-user-certificate/sec1ezlSGSXZvJe_8Uy6" TargetMode="External"/><Relationship Id="rId436" Type="http://schemas.openxmlformats.org/officeDocument/2006/relationships/hyperlink" Target="https://talan.bank.gov.ua/get-user-certificate/sec1eqggQE2ktveeuN8v" TargetMode="External"/><Relationship Id="rId643" Type="http://schemas.openxmlformats.org/officeDocument/2006/relationships/hyperlink" Target="https://talan.bank.gov.ua/get-user-certificate/sec1er63vgdVgmTbl_AS" TargetMode="External"/><Relationship Id="rId1066" Type="http://schemas.openxmlformats.org/officeDocument/2006/relationships/hyperlink" Target="https://talan.bank.gov.ua/get-user-certificate/sec1eqhKCeFZ3V8tuyW_" TargetMode="External"/><Relationship Id="rId1273" Type="http://schemas.openxmlformats.org/officeDocument/2006/relationships/hyperlink" Target="https://talan.bank.gov.ua/get-user-certificate/sec1ej45GvvIVWVicb_B" TargetMode="External"/><Relationship Id="rId1480" Type="http://schemas.openxmlformats.org/officeDocument/2006/relationships/hyperlink" Target="https://talan.bank.gov.ua/get-user-certificate/sec1e3QpndrYItaukk7n" TargetMode="External"/><Relationship Id="rId2117" Type="http://schemas.openxmlformats.org/officeDocument/2006/relationships/hyperlink" Target="https://talan.bank.gov.ua/get-user-certificate/sec1epIOVi-TWuMMjJ46" TargetMode="External"/><Relationship Id="rId2324" Type="http://schemas.openxmlformats.org/officeDocument/2006/relationships/hyperlink" Target="https://talan.bank.gov.ua/get-user-certificate/sec1eyb0SQ8hK64fKCXm" TargetMode="External"/><Relationship Id="rId3722" Type="http://schemas.openxmlformats.org/officeDocument/2006/relationships/hyperlink" Target="https://talan.bank.gov.ua/get-user-certificate/sec1eSpIdfLa1mUkrv0j" TargetMode="External"/><Relationship Id="rId850" Type="http://schemas.openxmlformats.org/officeDocument/2006/relationships/hyperlink" Target="https://talan.bank.gov.ua/get-user-certificate/sec1eLP1q_4Gt56jYa6C" TargetMode="External"/><Relationship Id="rId1133" Type="http://schemas.openxmlformats.org/officeDocument/2006/relationships/hyperlink" Target="https://talan.bank.gov.ua/get-user-certificate/sec1evIO6s9Ia0uHy8Rc" TargetMode="External"/><Relationship Id="rId2531" Type="http://schemas.openxmlformats.org/officeDocument/2006/relationships/hyperlink" Target="https://talan.bank.gov.ua/get-user-certificate/sec1e5m7m46NYjtbgHQq" TargetMode="External"/><Relationship Id="rId4289" Type="http://schemas.openxmlformats.org/officeDocument/2006/relationships/hyperlink" Target="https://talan.bank.gov.ua/get-user-certificate/sec1eaeF9bC2JrY7oW7O" TargetMode="External"/><Relationship Id="rId503" Type="http://schemas.openxmlformats.org/officeDocument/2006/relationships/hyperlink" Target="https://talan.bank.gov.ua/get-user-certificate/sec1eN7VBg6EkKe13kKU" TargetMode="External"/><Relationship Id="rId710" Type="http://schemas.openxmlformats.org/officeDocument/2006/relationships/hyperlink" Target="https://talan.bank.gov.ua/get-user-certificate/sec1ePNP3TxgpKKpKY1f" TargetMode="External"/><Relationship Id="rId1340" Type="http://schemas.openxmlformats.org/officeDocument/2006/relationships/hyperlink" Target="https://talan.bank.gov.ua/get-user-certificate/sec1e1WS733Z2IhzYMeU" TargetMode="External"/><Relationship Id="rId3098" Type="http://schemas.openxmlformats.org/officeDocument/2006/relationships/hyperlink" Target="https://talan.bank.gov.ua/get-user-certificate/sec1eDAE4CiuL4BvL-Tu" TargetMode="External"/><Relationship Id="rId4496" Type="http://schemas.openxmlformats.org/officeDocument/2006/relationships/hyperlink" Target="https://talan.bank.gov.ua/get-user-certificate/sec1evh8TKej_rdr5Saz" TargetMode="External"/><Relationship Id="rId1200" Type="http://schemas.openxmlformats.org/officeDocument/2006/relationships/hyperlink" Target="https://talan.bank.gov.ua/get-user-certificate/sec1eU7WRiLWxLKbgzGX" TargetMode="External"/><Relationship Id="rId4149" Type="http://schemas.openxmlformats.org/officeDocument/2006/relationships/hyperlink" Target="https://talan.bank.gov.ua/get-user-certificate/sec1eGLfok2BnSWCCzXg" TargetMode="External"/><Relationship Id="rId4356" Type="http://schemas.openxmlformats.org/officeDocument/2006/relationships/hyperlink" Target="https://talan.bank.gov.ua/get-user-certificate/sec1ewirbjAmmEAlxZ5U" TargetMode="External"/><Relationship Id="rId4563" Type="http://schemas.openxmlformats.org/officeDocument/2006/relationships/hyperlink" Target="https://talan.bank.gov.ua/get-user-certificate/sec1eLnG_cg8NCBU3VgN" TargetMode="External"/><Relationship Id="rId4770" Type="http://schemas.openxmlformats.org/officeDocument/2006/relationships/hyperlink" Target="https://talan.bank.gov.ua/get-user-certificate/sec1egEaKu3OPTFHVpgm" TargetMode="External"/><Relationship Id="rId3165" Type="http://schemas.openxmlformats.org/officeDocument/2006/relationships/hyperlink" Target="https://talan.bank.gov.ua/get-user-certificate/sec1eDX8Tlj27JZ2ydr4" TargetMode="External"/><Relationship Id="rId3372" Type="http://schemas.openxmlformats.org/officeDocument/2006/relationships/hyperlink" Target="https://talan.bank.gov.ua/get-user-certificate/sec1euFwp8L0LFgIpecW" TargetMode="External"/><Relationship Id="rId4009" Type="http://schemas.openxmlformats.org/officeDocument/2006/relationships/hyperlink" Target="https://talan.bank.gov.ua/get-user-certificate/sec1exNoO96qzVjvGffS" TargetMode="External"/><Relationship Id="rId4216" Type="http://schemas.openxmlformats.org/officeDocument/2006/relationships/hyperlink" Target="https://talan.bank.gov.ua/get-user-certificate/sec1enwW-NgI_FIq9TDb" TargetMode="External"/><Relationship Id="rId4423" Type="http://schemas.openxmlformats.org/officeDocument/2006/relationships/hyperlink" Target="https://talan.bank.gov.ua/get-user-certificate/sec1e2ZQ7nwIv3vAG2uq" TargetMode="External"/><Relationship Id="rId4630" Type="http://schemas.openxmlformats.org/officeDocument/2006/relationships/hyperlink" Target="https://talan.bank.gov.ua/get-user-certificate/sec1eIt9qBAjCNzHEs-9" TargetMode="External"/><Relationship Id="rId293" Type="http://schemas.openxmlformats.org/officeDocument/2006/relationships/hyperlink" Target="https://talan.bank.gov.ua/get-user-certificate/sec1eovCv-39mPu6m5Ju" TargetMode="External"/><Relationship Id="rId2181" Type="http://schemas.openxmlformats.org/officeDocument/2006/relationships/hyperlink" Target="https://talan.bank.gov.ua/get-user-certificate/sec1esoXRaWGtgTXKfvv" TargetMode="External"/><Relationship Id="rId3025" Type="http://schemas.openxmlformats.org/officeDocument/2006/relationships/hyperlink" Target="https://talan.bank.gov.ua/get-user-certificate/sec1eeKLM9BFZQOiWMvN" TargetMode="External"/><Relationship Id="rId3232" Type="http://schemas.openxmlformats.org/officeDocument/2006/relationships/hyperlink" Target="https://talan.bank.gov.ua/get-user-certificate/sec1eMZ7QnVWXbMv2xQm" TargetMode="External"/><Relationship Id="rId153" Type="http://schemas.openxmlformats.org/officeDocument/2006/relationships/hyperlink" Target="https://talan.bank.gov.ua/get-user-certificate/sec1enn-JDIjg3Xd7XbM" TargetMode="External"/><Relationship Id="rId360" Type="http://schemas.openxmlformats.org/officeDocument/2006/relationships/hyperlink" Target="https://talan.bank.gov.ua/get-user-certificate/sec1ez32r3oDRhjF5tOM" TargetMode="External"/><Relationship Id="rId2041" Type="http://schemas.openxmlformats.org/officeDocument/2006/relationships/hyperlink" Target="https://talan.bank.gov.ua/get-user-certificate/sec1ecC7U_ZTpWf1t9u6" TargetMode="External"/><Relationship Id="rId220" Type="http://schemas.openxmlformats.org/officeDocument/2006/relationships/hyperlink" Target="https://talan.bank.gov.ua/get-user-certificate/sec1em2ielSgv4QeAetA" TargetMode="External"/><Relationship Id="rId2998" Type="http://schemas.openxmlformats.org/officeDocument/2006/relationships/hyperlink" Target="https://talan.bank.gov.ua/get-user-certificate/sec1e1tlc4yKC1vPH8xG" TargetMode="External"/><Relationship Id="rId2858" Type="http://schemas.openxmlformats.org/officeDocument/2006/relationships/hyperlink" Target="https://talan.bank.gov.ua/get-user-certificate/sec1enqyUKpYlNznilyS" TargetMode="External"/><Relationship Id="rId3909" Type="http://schemas.openxmlformats.org/officeDocument/2006/relationships/hyperlink" Target="https://talan.bank.gov.ua/get-user-certificate/sec1ej6UXi3Pm2bL2DBv" TargetMode="External"/><Relationship Id="rId4073" Type="http://schemas.openxmlformats.org/officeDocument/2006/relationships/hyperlink" Target="https://talan.bank.gov.ua/get-user-certificate/sec1e0MToWIMW4Uv7JOX" TargetMode="External"/><Relationship Id="rId99" Type="http://schemas.openxmlformats.org/officeDocument/2006/relationships/hyperlink" Target="https://talan.bank.gov.ua/get-user-certificate/sec1en44t8Arh3i217YT" TargetMode="External"/><Relationship Id="rId1667" Type="http://schemas.openxmlformats.org/officeDocument/2006/relationships/hyperlink" Target="https://talan.bank.gov.ua/get-user-certificate/sec1ek4st-UHU_rfU-UX" TargetMode="External"/><Relationship Id="rId1874" Type="http://schemas.openxmlformats.org/officeDocument/2006/relationships/hyperlink" Target="https://talan.bank.gov.ua/get-user-certificate/sec1e1Zb0H5QyKPz6A44" TargetMode="External"/><Relationship Id="rId2718" Type="http://schemas.openxmlformats.org/officeDocument/2006/relationships/hyperlink" Target="https://talan.bank.gov.ua/get-user-certificate/sec1eO-doGRtPl_sAdVQ" TargetMode="External"/><Relationship Id="rId2925" Type="http://schemas.openxmlformats.org/officeDocument/2006/relationships/hyperlink" Target="https://talan.bank.gov.ua/get-user-certificate/sec1eTcuyt7jxa3sxitm" TargetMode="External"/><Relationship Id="rId4280" Type="http://schemas.openxmlformats.org/officeDocument/2006/relationships/hyperlink" Target="https://talan.bank.gov.ua/get-user-certificate/sec1eBLHjFPkUU-ND-HF" TargetMode="External"/><Relationship Id="rId1527" Type="http://schemas.openxmlformats.org/officeDocument/2006/relationships/hyperlink" Target="https://talan.bank.gov.ua/get-user-certificate/sec1ehcfCZ9ZozvZeUHG" TargetMode="External"/><Relationship Id="rId1734" Type="http://schemas.openxmlformats.org/officeDocument/2006/relationships/hyperlink" Target="https://talan.bank.gov.ua/get-user-certificate/sec1ejPa2lxJMr6BWCPG" TargetMode="External"/><Relationship Id="rId1941" Type="http://schemas.openxmlformats.org/officeDocument/2006/relationships/hyperlink" Target="https://talan.bank.gov.ua/get-user-certificate/sec1eMFDFAg86V7LT-Q0" TargetMode="External"/><Relationship Id="rId4140" Type="http://schemas.openxmlformats.org/officeDocument/2006/relationships/hyperlink" Target="https://talan.bank.gov.ua/get-user-certificate/sec1eSSg_OyTtQJwZz8c" TargetMode="External"/><Relationship Id="rId26" Type="http://schemas.openxmlformats.org/officeDocument/2006/relationships/hyperlink" Target="https://talan.bank.gov.ua/get-user-certificate/sec1e8qwL_8IN4_1HI1N" TargetMode="External"/><Relationship Id="rId3699" Type="http://schemas.openxmlformats.org/officeDocument/2006/relationships/hyperlink" Target="https://talan.bank.gov.ua/get-user-certificate/sec1elUI2c6kAN66vNkR" TargetMode="External"/><Relationship Id="rId4000" Type="http://schemas.openxmlformats.org/officeDocument/2006/relationships/hyperlink" Target="https://talan.bank.gov.ua/get-user-certificate/sec1ejBns6bdc7p_isYC" TargetMode="External"/><Relationship Id="rId1801" Type="http://schemas.openxmlformats.org/officeDocument/2006/relationships/hyperlink" Target="https://talan.bank.gov.ua/get-user-certificate/sec1ewTm7mZGizhaYCT4" TargetMode="External"/><Relationship Id="rId3559" Type="http://schemas.openxmlformats.org/officeDocument/2006/relationships/hyperlink" Target="https://talan.bank.gov.ua/get-user-certificate/sec1eFC2Mc8QQAgRkSNm" TargetMode="External"/><Relationship Id="rId4957" Type="http://schemas.openxmlformats.org/officeDocument/2006/relationships/hyperlink" Target="https://talan.bank.gov.ua/get-user-certificate/sec1eicAoT2xp8_RvH_Z" TargetMode="External"/><Relationship Id="rId687" Type="http://schemas.openxmlformats.org/officeDocument/2006/relationships/hyperlink" Target="https://talan.bank.gov.ua/get-user-certificate/sec1e9xgUGpyGmRZDdxI" TargetMode="External"/><Relationship Id="rId2368" Type="http://schemas.openxmlformats.org/officeDocument/2006/relationships/hyperlink" Target="https://talan.bank.gov.ua/get-user-certificate/sec1eAIWqPvE4FRU-wGj" TargetMode="External"/><Relationship Id="rId3766" Type="http://schemas.openxmlformats.org/officeDocument/2006/relationships/hyperlink" Target="https://talan.bank.gov.ua/get-user-certificate/sec1eYiQ7Gmaf930milN" TargetMode="External"/><Relationship Id="rId3973" Type="http://schemas.openxmlformats.org/officeDocument/2006/relationships/hyperlink" Target="https://talan.bank.gov.ua/get-user-certificate/sec1ehF8Z4wbxgZfMmCW" TargetMode="External"/><Relationship Id="rId4817" Type="http://schemas.openxmlformats.org/officeDocument/2006/relationships/hyperlink" Target="https://talan.bank.gov.ua/get-user-certificate/sec1e2TIcUg3odrDKYgI" TargetMode="External"/><Relationship Id="rId894" Type="http://schemas.openxmlformats.org/officeDocument/2006/relationships/hyperlink" Target="https://talan.bank.gov.ua/get-user-certificate/sec1eUxRYGSyGGBU-OUo" TargetMode="External"/><Relationship Id="rId1177" Type="http://schemas.openxmlformats.org/officeDocument/2006/relationships/hyperlink" Target="https://talan.bank.gov.ua/get-user-certificate/sec1ePcbbHTW3RUYFoR2" TargetMode="External"/><Relationship Id="rId2575" Type="http://schemas.openxmlformats.org/officeDocument/2006/relationships/hyperlink" Target="https://talan.bank.gov.ua/get-user-certificate/sec1e8CS2BA50gmRK2r-" TargetMode="External"/><Relationship Id="rId2782" Type="http://schemas.openxmlformats.org/officeDocument/2006/relationships/hyperlink" Target="https://talan.bank.gov.ua/get-user-certificate/sec1eanNRkYo13Sm68zK" TargetMode="External"/><Relationship Id="rId3419" Type="http://schemas.openxmlformats.org/officeDocument/2006/relationships/hyperlink" Target="https://talan.bank.gov.ua/get-user-certificate/sec1ecvI7x1Cjm-brcAK" TargetMode="External"/><Relationship Id="rId3626" Type="http://schemas.openxmlformats.org/officeDocument/2006/relationships/hyperlink" Target="https://talan.bank.gov.ua/get-user-certificate/sec1eBm_TKGAXitnRRNc" TargetMode="External"/><Relationship Id="rId3833" Type="http://schemas.openxmlformats.org/officeDocument/2006/relationships/hyperlink" Target="https://talan.bank.gov.ua/get-user-certificate/sec1e99I4oKKNruVNmkc" TargetMode="External"/><Relationship Id="rId547" Type="http://schemas.openxmlformats.org/officeDocument/2006/relationships/hyperlink" Target="https://talan.bank.gov.ua/get-user-certificate/sec1eVTJJzAgdhVeSC8P" TargetMode="External"/><Relationship Id="rId754" Type="http://schemas.openxmlformats.org/officeDocument/2006/relationships/hyperlink" Target="https://talan.bank.gov.ua/get-user-certificate/sec1e9c0hk9Vel5F7LTk" TargetMode="External"/><Relationship Id="rId961" Type="http://schemas.openxmlformats.org/officeDocument/2006/relationships/hyperlink" Target="https://talan.bank.gov.ua/get-user-certificate/sec1e0nKp2XEbRPgQYkg" TargetMode="External"/><Relationship Id="rId1384" Type="http://schemas.openxmlformats.org/officeDocument/2006/relationships/hyperlink" Target="https://talan.bank.gov.ua/get-user-certificate/sec1e3N6Tw8CeBrwEG5U" TargetMode="External"/><Relationship Id="rId1591" Type="http://schemas.openxmlformats.org/officeDocument/2006/relationships/hyperlink" Target="https://talan.bank.gov.ua/get-user-certificate/sec1ejYQ7AqJgm9CIFWM" TargetMode="External"/><Relationship Id="rId2228" Type="http://schemas.openxmlformats.org/officeDocument/2006/relationships/hyperlink" Target="https://talan.bank.gov.ua/get-user-certificate/sec1ePd1-_P6WM3TPAg4" TargetMode="External"/><Relationship Id="rId2435" Type="http://schemas.openxmlformats.org/officeDocument/2006/relationships/hyperlink" Target="https://talan.bank.gov.ua/get-user-certificate/sec1eF8cnANUOVSt79zL" TargetMode="External"/><Relationship Id="rId2642" Type="http://schemas.openxmlformats.org/officeDocument/2006/relationships/hyperlink" Target="https://talan.bank.gov.ua/get-user-certificate/sec1eRTtHbd_y1LY3zZX" TargetMode="External"/><Relationship Id="rId3900" Type="http://schemas.openxmlformats.org/officeDocument/2006/relationships/hyperlink" Target="https://talan.bank.gov.ua/get-user-certificate/sec1eto9gfg0BFEi93Hf" TargetMode="External"/><Relationship Id="rId90" Type="http://schemas.openxmlformats.org/officeDocument/2006/relationships/hyperlink" Target="https://talan.bank.gov.ua/get-user-certificate/sec1e3IFYc3JNVaHCSzt" TargetMode="External"/><Relationship Id="rId407" Type="http://schemas.openxmlformats.org/officeDocument/2006/relationships/hyperlink" Target="https://talan.bank.gov.ua/get-user-certificate/sec1eQxSR6OdSgxyuPlG" TargetMode="External"/><Relationship Id="rId614" Type="http://schemas.openxmlformats.org/officeDocument/2006/relationships/hyperlink" Target="https://talan.bank.gov.ua/get-user-certificate/sec1elVxESJmbmFvRboA" TargetMode="External"/><Relationship Id="rId821" Type="http://schemas.openxmlformats.org/officeDocument/2006/relationships/hyperlink" Target="https://talan.bank.gov.ua/get-user-certificate/sec1eXsrxtJWaI33jCIf" TargetMode="External"/><Relationship Id="rId1037" Type="http://schemas.openxmlformats.org/officeDocument/2006/relationships/hyperlink" Target="https://talan.bank.gov.ua/get-user-certificate/sec1eqVL5p59QT6NtZYp" TargetMode="External"/><Relationship Id="rId1244" Type="http://schemas.openxmlformats.org/officeDocument/2006/relationships/hyperlink" Target="https://talan.bank.gov.ua/get-user-certificate/sec1eQUewSrsd54j31vo" TargetMode="External"/><Relationship Id="rId1451" Type="http://schemas.openxmlformats.org/officeDocument/2006/relationships/hyperlink" Target="https://talan.bank.gov.ua/get-user-certificate/sec1ehR72pU00GOvuA28" TargetMode="External"/><Relationship Id="rId2502" Type="http://schemas.openxmlformats.org/officeDocument/2006/relationships/hyperlink" Target="https://talan.bank.gov.ua/get-user-certificate/sec1ePCD1IrRIZNI8aTy" TargetMode="External"/><Relationship Id="rId1104" Type="http://schemas.openxmlformats.org/officeDocument/2006/relationships/hyperlink" Target="https://talan.bank.gov.ua/get-user-certificate/sec1eT8ngmwErJldCzWi" TargetMode="External"/><Relationship Id="rId1311" Type="http://schemas.openxmlformats.org/officeDocument/2006/relationships/hyperlink" Target="https://talan.bank.gov.ua/get-user-certificate/sec1en822g7vRMVnIjKM" TargetMode="External"/><Relationship Id="rId4467" Type="http://schemas.openxmlformats.org/officeDocument/2006/relationships/hyperlink" Target="https://talan.bank.gov.ua/get-user-certificate/sec1eA5qUsIr_6RUlZwg" TargetMode="External"/><Relationship Id="rId4674" Type="http://schemas.openxmlformats.org/officeDocument/2006/relationships/hyperlink" Target="https://talan.bank.gov.ua/get-user-certificate/sec1erQjXEWcRdsQWFFE" TargetMode="External"/><Relationship Id="rId4881" Type="http://schemas.openxmlformats.org/officeDocument/2006/relationships/hyperlink" Target="https://talan.bank.gov.ua/get-user-certificate/sec1ewxv71vRO06giw5l" TargetMode="External"/><Relationship Id="rId3069" Type="http://schemas.openxmlformats.org/officeDocument/2006/relationships/hyperlink" Target="https://talan.bank.gov.ua/get-user-certificate/sec1eG8qfqKOslw6Ln31" TargetMode="External"/><Relationship Id="rId3276" Type="http://schemas.openxmlformats.org/officeDocument/2006/relationships/hyperlink" Target="https://talan.bank.gov.ua/get-user-certificate/sec1eLBL-cKSpLuQfM_9" TargetMode="External"/><Relationship Id="rId3483" Type="http://schemas.openxmlformats.org/officeDocument/2006/relationships/hyperlink" Target="https://talan.bank.gov.ua/get-user-certificate/sec1e1FLXwbeoN55JLMT" TargetMode="External"/><Relationship Id="rId3690" Type="http://schemas.openxmlformats.org/officeDocument/2006/relationships/hyperlink" Target="https://talan.bank.gov.ua/get-user-certificate/sec1epri5Vsr_KlthXWZ" TargetMode="External"/><Relationship Id="rId4327" Type="http://schemas.openxmlformats.org/officeDocument/2006/relationships/hyperlink" Target="https://talan.bank.gov.ua/get-user-certificate/sec1e_cWl3a4E2mR4ERS" TargetMode="External"/><Relationship Id="rId4534" Type="http://schemas.openxmlformats.org/officeDocument/2006/relationships/hyperlink" Target="https://talan.bank.gov.ua/get-user-certificate/sec1eG7xDiP6oegHVhPz" TargetMode="External"/><Relationship Id="rId197" Type="http://schemas.openxmlformats.org/officeDocument/2006/relationships/hyperlink" Target="https://talan.bank.gov.ua/get-user-certificate/sec1eicvwuN6x373aeGs" TargetMode="External"/><Relationship Id="rId2085" Type="http://schemas.openxmlformats.org/officeDocument/2006/relationships/hyperlink" Target="https://talan.bank.gov.ua/get-user-certificate/sec1eGS8Lvrp7M-2lg8e" TargetMode="External"/><Relationship Id="rId2292" Type="http://schemas.openxmlformats.org/officeDocument/2006/relationships/hyperlink" Target="https://talan.bank.gov.ua/get-user-certificate/sec1eVqN4f-pUhZk5E4c" TargetMode="External"/><Relationship Id="rId3136" Type="http://schemas.openxmlformats.org/officeDocument/2006/relationships/hyperlink" Target="https://talan.bank.gov.ua/get-user-certificate/sec1eNx01QDvmv9LyVsY" TargetMode="External"/><Relationship Id="rId3343" Type="http://schemas.openxmlformats.org/officeDocument/2006/relationships/hyperlink" Target="https://talan.bank.gov.ua/get-user-certificate/sec1eFgNwcDmHq-PaHpc" TargetMode="External"/><Relationship Id="rId4741" Type="http://schemas.openxmlformats.org/officeDocument/2006/relationships/hyperlink" Target="https://talan.bank.gov.ua/get-user-certificate/sec1e-mh9LmZUAG-QfGY" TargetMode="External"/><Relationship Id="rId264" Type="http://schemas.openxmlformats.org/officeDocument/2006/relationships/hyperlink" Target="https://talan.bank.gov.ua/get-user-certificate/sec1ecnjM32KOoiUeUXq" TargetMode="External"/><Relationship Id="rId471" Type="http://schemas.openxmlformats.org/officeDocument/2006/relationships/hyperlink" Target="https://talan.bank.gov.ua/get-user-certificate/sec1egby2AyvKvAaMAIP" TargetMode="External"/><Relationship Id="rId2152" Type="http://schemas.openxmlformats.org/officeDocument/2006/relationships/hyperlink" Target="https://talan.bank.gov.ua/get-user-certificate/sec1e-HfKxcTogjeqN9q" TargetMode="External"/><Relationship Id="rId3550" Type="http://schemas.openxmlformats.org/officeDocument/2006/relationships/hyperlink" Target="https://talan.bank.gov.ua/get-user-certificate/sec1e6rs1543t6OYuOpv" TargetMode="External"/><Relationship Id="rId4601" Type="http://schemas.openxmlformats.org/officeDocument/2006/relationships/hyperlink" Target="https://talan.bank.gov.ua/get-user-certificate/sec1er61LzbDvqbNArY_" TargetMode="External"/><Relationship Id="rId124" Type="http://schemas.openxmlformats.org/officeDocument/2006/relationships/hyperlink" Target="https://talan.bank.gov.ua/get-user-certificate/sec1eF3jVRCVixVYXwOi" TargetMode="External"/><Relationship Id="rId3203" Type="http://schemas.openxmlformats.org/officeDocument/2006/relationships/hyperlink" Target="https://talan.bank.gov.ua/get-user-certificate/sec1efjyGzHcNsxQI4Ek" TargetMode="External"/><Relationship Id="rId3410" Type="http://schemas.openxmlformats.org/officeDocument/2006/relationships/hyperlink" Target="https://talan.bank.gov.ua/get-user-certificate/sec1eiKLR0VN2puI3bPR" TargetMode="External"/><Relationship Id="rId331" Type="http://schemas.openxmlformats.org/officeDocument/2006/relationships/hyperlink" Target="https://talan.bank.gov.ua/get-user-certificate/sec1eKTx0Pdvoup8tn8y" TargetMode="External"/><Relationship Id="rId2012" Type="http://schemas.openxmlformats.org/officeDocument/2006/relationships/hyperlink" Target="https://talan.bank.gov.ua/get-user-certificate/sec1eU9cEbA9zJ7GZMQZ" TargetMode="External"/><Relationship Id="rId2969" Type="http://schemas.openxmlformats.org/officeDocument/2006/relationships/hyperlink" Target="https://talan.bank.gov.ua/get-user-certificate/sec1eOTQjVYy0DuUddwd" TargetMode="External"/><Relationship Id="rId1778" Type="http://schemas.openxmlformats.org/officeDocument/2006/relationships/hyperlink" Target="https://talan.bank.gov.ua/get-user-certificate/sec1eKrdGbq2MnVii1Ei" TargetMode="External"/><Relationship Id="rId1985" Type="http://schemas.openxmlformats.org/officeDocument/2006/relationships/hyperlink" Target="https://talan.bank.gov.ua/get-user-certificate/sec1eZDhyNthemnjjh7j" TargetMode="External"/><Relationship Id="rId2829" Type="http://schemas.openxmlformats.org/officeDocument/2006/relationships/hyperlink" Target="https://talan.bank.gov.ua/get-user-certificate/sec1e2INPkMGCu1QRfBo" TargetMode="External"/><Relationship Id="rId4184" Type="http://schemas.openxmlformats.org/officeDocument/2006/relationships/hyperlink" Target="https://talan.bank.gov.ua/get-user-certificate/sec1emjOGDhy2Tz7nUGi" TargetMode="External"/><Relationship Id="rId4391" Type="http://schemas.openxmlformats.org/officeDocument/2006/relationships/hyperlink" Target="https://talan.bank.gov.ua/get-user-certificate/sec1eHV90lJohjeag9MM" TargetMode="External"/><Relationship Id="rId1638" Type="http://schemas.openxmlformats.org/officeDocument/2006/relationships/hyperlink" Target="https://talan.bank.gov.ua/get-user-certificate/sec1ezNrUQQIFnmFOieh" TargetMode="External"/><Relationship Id="rId4044" Type="http://schemas.openxmlformats.org/officeDocument/2006/relationships/hyperlink" Target="https://talan.bank.gov.ua/get-user-certificate/sec1e68S24rWJkF5DII7" TargetMode="External"/><Relationship Id="rId4251" Type="http://schemas.openxmlformats.org/officeDocument/2006/relationships/hyperlink" Target="https://talan.bank.gov.ua/get-user-certificate/sec1eJLyDlYm8OmCNnPV" TargetMode="External"/><Relationship Id="rId1845" Type="http://schemas.openxmlformats.org/officeDocument/2006/relationships/hyperlink" Target="https://talan.bank.gov.ua/get-user-certificate/sec1eizwdgSw1lvIdeAY" TargetMode="External"/><Relationship Id="rId3060" Type="http://schemas.openxmlformats.org/officeDocument/2006/relationships/hyperlink" Target="https://talan.bank.gov.ua/get-user-certificate/sec1eKAdqADjsQv1pLVS" TargetMode="External"/><Relationship Id="rId4111" Type="http://schemas.openxmlformats.org/officeDocument/2006/relationships/hyperlink" Target="https://talan.bank.gov.ua/get-user-certificate/sec1eye6aQ73zpFGuhAq" TargetMode="External"/><Relationship Id="rId1705" Type="http://schemas.openxmlformats.org/officeDocument/2006/relationships/hyperlink" Target="https://talan.bank.gov.ua/get-user-certificate/sec1efOoQWZ4hxEvQRu5" TargetMode="External"/><Relationship Id="rId1912" Type="http://schemas.openxmlformats.org/officeDocument/2006/relationships/hyperlink" Target="https://talan.bank.gov.ua/get-user-certificate/sec1enyv7PkZyz72tzg2" TargetMode="External"/><Relationship Id="rId3877" Type="http://schemas.openxmlformats.org/officeDocument/2006/relationships/hyperlink" Target="https://talan.bank.gov.ua/get-user-certificate/sec1eC828iIzQjHlkXmq" TargetMode="External"/><Relationship Id="rId4928" Type="http://schemas.openxmlformats.org/officeDocument/2006/relationships/hyperlink" Target="https://talan.bank.gov.ua/get-user-certificate/sec1e9DYDGkej4UfF-oC" TargetMode="External"/><Relationship Id="rId798" Type="http://schemas.openxmlformats.org/officeDocument/2006/relationships/hyperlink" Target="https://talan.bank.gov.ua/get-user-certificate/sec1eyzIcnA6eRcyinUL" TargetMode="External"/><Relationship Id="rId2479" Type="http://schemas.openxmlformats.org/officeDocument/2006/relationships/hyperlink" Target="https://talan.bank.gov.ua/get-user-certificate/sec1e92PFYzYwywwDQPq" TargetMode="External"/><Relationship Id="rId2686" Type="http://schemas.openxmlformats.org/officeDocument/2006/relationships/hyperlink" Target="https://talan.bank.gov.ua/get-user-certificate/sec1e0aV2PA0s-xBubMG" TargetMode="External"/><Relationship Id="rId2893" Type="http://schemas.openxmlformats.org/officeDocument/2006/relationships/hyperlink" Target="https://talan.bank.gov.ua/get-user-certificate/sec1evNJBO86DiJK4yAx" TargetMode="External"/><Relationship Id="rId3737" Type="http://schemas.openxmlformats.org/officeDocument/2006/relationships/hyperlink" Target="https://talan.bank.gov.ua/get-user-certificate/sec1enNmQVkMT7SJwOqB" TargetMode="External"/><Relationship Id="rId3944" Type="http://schemas.openxmlformats.org/officeDocument/2006/relationships/hyperlink" Target="https://talan.bank.gov.ua/get-user-certificate/sec1e7KwOZJZOIGkHvVs" TargetMode="External"/><Relationship Id="rId658" Type="http://schemas.openxmlformats.org/officeDocument/2006/relationships/hyperlink" Target="https://talan.bank.gov.ua/get-user-certificate/sec1eXvjhy8P-INP8aYq" TargetMode="External"/><Relationship Id="rId865" Type="http://schemas.openxmlformats.org/officeDocument/2006/relationships/hyperlink" Target="https://talan.bank.gov.ua/get-user-certificate/sec1eNJzHgsnuFWrRW0m" TargetMode="External"/><Relationship Id="rId1288" Type="http://schemas.openxmlformats.org/officeDocument/2006/relationships/hyperlink" Target="https://talan.bank.gov.ua/get-user-certificate/sec1efUBNWytPF93qHX8" TargetMode="External"/><Relationship Id="rId1495" Type="http://schemas.openxmlformats.org/officeDocument/2006/relationships/hyperlink" Target="https://talan.bank.gov.ua/get-user-certificate/sec1eLlI6SAx7Z_BNZFA" TargetMode="External"/><Relationship Id="rId2339" Type="http://schemas.openxmlformats.org/officeDocument/2006/relationships/hyperlink" Target="https://talan.bank.gov.ua/get-user-certificate/sec1e5b7JSF4bDWy5jdi" TargetMode="External"/><Relationship Id="rId2546" Type="http://schemas.openxmlformats.org/officeDocument/2006/relationships/hyperlink" Target="https://talan.bank.gov.ua/get-user-certificate/sec1eXDl93vc6OFwwWbT" TargetMode="External"/><Relationship Id="rId2753" Type="http://schemas.openxmlformats.org/officeDocument/2006/relationships/hyperlink" Target="https://talan.bank.gov.ua/get-user-certificate/sec1e6vuEAEf8gw6QTKL" TargetMode="External"/><Relationship Id="rId2960" Type="http://schemas.openxmlformats.org/officeDocument/2006/relationships/hyperlink" Target="https://talan.bank.gov.ua/get-user-certificate/sec1eKV5B6hDD1w50EQV" TargetMode="External"/><Relationship Id="rId3804" Type="http://schemas.openxmlformats.org/officeDocument/2006/relationships/hyperlink" Target="https://talan.bank.gov.ua/get-user-certificate/sec1eGC8TmqF6lWYY6na" TargetMode="External"/><Relationship Id="rId518" Type="http://schemas.openxmlformats.org/officeDocument/2006/relationships/hyperlink" Target="https://talan.bank.gov.ua/get-user-certificate/sec1ejyUcb05-_FwSFdm" TargetMode="External"/><Relationship Id="rId725" Type="http://schemas.openxmlformats.org/officeDocument/2006/relationships/hyperlink" Target="https://talan.bank.gov.ua/get-user-certificate/sec1eAZhbZ8n42_RKRvt" TargetMode="External"/><Relationship Id="rId932" Type="http://schemas.openxmlformats.org/officeDocument/2006/relationships/hyperlink" Target="https://talan.bank.gov.ua/get-user-certificate/sec1eozWFs4Dw5bNzeh2" TargetMode="External"/><Relationship Id="rId1148" Type="http://schemas.openxmlformats.org/officeDocument/2006/relationships/hyperlink" Target="https://talan.bank.gov.ua/get-user-certificate/sec1epdy0Pu4DZL06lit" TargetMode="External"/><Relationship Id="rId1355" Type="http://schemas.openxmlformats.org/officeDocument/2006/relationships/hyperlink" Target="https://talan.bank.gov.ua/get-user-certificate/sec1eXFYGmOTPKH-IIGj" TargetMode="External"/><Relationship Id="rId1562" Type="http://schemas.openxmlformats.org/officeDocument/2006/relationships/hyperlink" Target="https://talan.bank.gov.ua/get-user-certificate/sec1eEkoAFQhRAYzBVAl" TargetMode="External"/><Relationship Id="rId2406" Type="http://schemas.openxmlformats.org/officeDocument/2006/relationships/hyperlink" Target="https://talan.bank.gov.ua/get-user-certificate/sec1eZvNI1rdpcZ4R6s3" TargetMode="External"/><Relationship Id="rId2613" Type="http://schemas.openxmlformats.org/officeDocument/2006/relationships/hyperlink" Target="https://talan.bank.gov.ua/get-user-certificate/sec1ebWe90NOHeIYdJbJ" TargetMode="External"/><Relationship Id="rId1008" Type="http://schemas.openxmlformats.org/officeDocument/2006/relationships/hyperlink" Target="https://talan.bank.gov.ua/get-user-certificate/sec1e9xYCZzime-ognfD" TargetMode="External"/><Relationship Id="rId1215" Type="http://schemas.openxmlformats.org/officeDocument/2006/relationships/hyperlink" Target="https://talan.bank.gov.ua/get-user-certificate/sec1eOxs2w1QbuJI4UfQ" TargetMode="External"/><Relationship Id="rId1422" Type="http://schemas.openxmlformats.org/officeDocument/2006/relationships/hyperlink" Target="https://talan.bank.gov.ua/get-user-certificate/sec1eDZ7nHxkVfVMpUG5" TargetMode="External"/><Relationship Id="rId2820" Type="http://schemas.openxmlformats.org/officeDocument/2006/relationships/hyperlink" Target="https://talan.bank.gov.ua/get-user-certificate/sec1eRuRrfVYEjQc9leN" TargetMode="External"/><Relationship Id="rId4578" Type="http://schemas.openxmlformats.org/officeDocument/2006/relationships/hyperlink" Target="https://talan.bank.gov.ua/get-user-certificate/sec1eoQ2Jb3Q7uT3-Eo5" TargetMode="External"/><Relationship Id="rId61" Type="http://schemas.openxmlformats.org/officeDocument/2006/relationships/hyperlink" Target="https://talan.bank.gov.ua/get-user-certificate/sec1eobrvgWYULIpLDze" TargetMode="External"/><Relationship Id="rId3387" Type="http://schemas.openxmlformats.org/officeDocument/2006/relationships/hyperlink" Target="https://talan.bank.gov.ua/get-user-certificate/sec1e1SvVRY_zY-wdqAo" TargetMode="External"/><Relationship Id="rId4785" Type="http://schemas.openxmlformats.org/officeDocument/2006/relationships/hyperlink" Target="https://talan.bank.gov.ua/get-user-certificate/sec1eURYWMzixy2RrPjW" TargetMode="External"/><Relationship Id="rId4992" Type="http://schemas.openxmlformats.org/officeDocument/2006/relationships/hyperlink" Target="https://talan.bank.gov.ua/get-user-certificate/sec1ezkPImJZpB_BFg8-" TargetMode="External"/><Relationship Id="rId2196" Type="http://schemas.openxmlformats.org/officeDocument/2006/relationships/hyperlink" Target="https://talan.bank.gov.ua/get-user-certificate/sec1eljY1A0tO-PBMIsW" TargetMode="External"/><Relationship Id="rId3594" Type="http://schemas.openxmlformats.org/officeDocument/2006/relationships/hyperlink" Target="https://talan.bank.gov.ua/get-user-certificate/sec1eLmxEd8JFSP_ClpT" TargetMode="External"/><Relationship Id="rId4438" Type="http://schemas.openxmlformats.org/officeDocument/2006/relationships/hyperlink" Target="https://talan.bank.gov.ua/get-user-certificate/sec1eBmSozEKim_dUu6u" TargetMode="External"/><Relationship Id="rId4645" Type="http://schemas.openxmlformats.org/officeDocument/2006/relationships/hyperlink" Target="https://talan.bank.gov.ua/get-user-certificate/sec1e8Qm8Y-WRIQTGdOC" TargetMode="External"/><Relationship Id="rId4852" Type="http://schemas.openxmlformats.org/officeDocument/2006/relationships/hyperlink" Target="https://talan.bank.gov.ua/get-user-certificate/sec1eU40b7--hlumaZFR" TargetMode="External"/><Relationship Id="rId168" Type="http://schemas.openxmlformats.org/officeDocument/2006/relationships/hyperlink" Target="https://talan.bank.gov.ua/get-user-certificate/sec1e36JdmuxqfXGQu8t" TargetMode="External"/><Relationship Id="rId3247" Type="http://schemas.openxmlformats.org/officeDocument/2006/relationships/hyperlink" Target="https://talan.bank.gov.ua/get-user-certificate/sec1eIfTmQSPW66m0EJj" TargetMode="External"/><Relationship Id="rId3454" Type="http://schemas.openxmlformats.org/officeDocument/2006/relationships/hyperlink" Target="https://talan.bank.gov.ua/get-user-certificate/sec1e-9rni845uKtKv3b" TargetMode="External"/><Relationship Id="rId3661" Type="http://schemas.openxmlformats.org/officeDocument/2006/relationships/hyperlink" Target="https://talan.bank.gov.ua/get-user-certificate/sec1eztst6-Wd7PSK-m9" TargetMode="External"/><Relationship Id="rId4505" Type="http://schemas.openxmlformats.org/officeDocument/2006/relationships/hyperlink" Target="https://talan.bank.gov.ua/get-user-certificate/sec1eWaMP3mdiD7Hz-Ym" TargetMode="External"/><Relationship Id="rId4712" Type="http://schemas.openxmlformats.org/officeDocument/2006/relationships/hyperlink" Target="https://talan.bank.gov.ua/get-user-certificate/sec1e0dnrXVe3pVYgdmM" TargetMode="External"/><Relationship Id="rId375" Type="http://schemas.openxmlformats.org/officeDocument/2006/relationships/hyperlink" Target="https://talan.bank.gov.ua/get-user-certificate/sec1e2Z-Ae9bF9RlSe6E" TargetMode="External"/><Relationship Id="rId582" Type="http://schemas.openxmlformats.org/officeDocument/2006/relationships/hyperlink" Target="https://talan.bank.gov.ua/get-user-certificate/sec1enEI1AJmY40zizma" TargetMode="External"/><Relationship Id="rId2056" Type="http://schemas.openxmlformats.org/officeDocument/2006/relationships/hyperlink" Target="https://talan.bank.gov.ua/get-user-certificate/sec1edIvFhnOp0JaGldx" TargetMode="External"/><Relationship Id="rId2263" Type="http://schemas.openxmlformats.org/officeDocument/2006/relationships/hyperlink" Target="https://talan.bank.gov.ua/get-user-certificate/sec1eg6VSHMDlsl42KrP" TargetMode="External"/><Relationship Id="rId2470" Type="http://schemas.openxmlformats.org/officeDocument/2006/relationships/hyperlink" Target="https://talan.bank.gov.ua/get-user-certificate/sec1e-PxFCPac8bCrNsq" TargetMode="External"/><Relationship Id="rId3107" Type="http://schemas.openxmlformats.org/officeDocument/2006/relationships/hyperlink" Target="https://talan.bank.gov.ua/get-user-certificate/sec1ejNhEpbEcHtUAuhz" TargetMode="External"/><Relationship Id="rId3314" Type="http://schemas.openxmlformats.org/officeDocument/2006/relationships/hyperlink" Target="https://talan.bank.gov.ua/get-user-certificate/sec1ebO1AuJnarhjVVbz" TargetMode="External"/><Relationship Id="rId3521" Type="http://schemas.openxmlformats.org/officeDocument/2006/relationships/hyperlink" Target="https://talan.bank.gov.ua/get-user-certificate/sec1eM6aQHQj0GDqVkAP" TargetMode="External"/><Relationship Id="rId235" Type="http://schemas.openxmlformats.org/officeDocument/2006/relationships/hyperlink" Target="https://talan.bank.gov.ua/get-user-certificate/sec1evyQilaecX8n0WGm" TargetMode="External"/><Relationship Id="rId442" Type="http://schemas.openxmlformats.org/officeDocument/2006/relationships/hyperlink" Target="https://talan.bank.gov.ua/get-user-certificate/sec1eM5kiADDqZb8p90o" TargetMode="External"/><Relationship Id="rId1072" Type="http://schemas.openxmlformats.org/officeDocument/2006/relationships/hyperlink" Target="https://talan.bank.gov.ua/get-user-certificate/sec1egEvDKaU2R3HXaXl" TargetMode="External"/><Relationship Id="rId2123" Type="http://schemas.openxmlformats.org/officeDocument/2006/relationships/hyperlink" Target="https://talan.bank.gov.ua/get-user-certificate/sec1e_hU4FpTDsuTlPHH" TargetMode="External"/><Relationship Id="rId2330" Type="http://schemas.openxmlformats.org/officeDocument/2006/relationships/hyperlink" Target="https://talan.bank.gov.ua/get-user-certificate/sec1eqsZlE1SeJubfn8V" TargetMode="External"/><Relationship Id="rId302" Type="http://schemas.openxmlformats.org/officeDocument/2006/relationships/hyperlink" Target="https://talan.bank.gov.ua/get-user-certificate/sec1e2jeucjroOhnUL4p" TargetMode="External"/><Relationship Id="rId4088" Type="http://schemas.openxmlformats.org/officeDocument/2006/relationships/hyperlink" Target="https://talan.bank.gov.ua/get-user-certificate/sec1exK_Pp12S8ZWPn08" TargetMode="External"/><Relationship Id="rId4295" Type="http://schemas.openxmlformats.org/officeDocument/2006/relationships/hyperlink" Target="https://talan.bank.gov.ua/get-user-certificate/sec1eUuCHiByjFEvqm-F" TargetMode="External"/><Relationship Id="rId1889" Type="http://schemas.openxmlformats.org/officeDocument/2006/relationships/hyperlink" Target="https://talan.bank.gov.ua/get-user-certificate/sec1eADKvgYLZPEoXeI-" TargetMode="External"/><Relationship Id="rId4155" Type="http://schemas.openxmlformats.org/officeDocument/2006/relationships/hyperlink" Target="https://talan.bank.gov.ua/get-user-certificate/sec1ephK9vLbe0oiXsXh" TargetMode="External"/><Relationship Id="rId4362" Type="http://schemas.openxmlformats.org/officeDocument/2006/relationships/hyperlink" Target="https://talan.bank.gov.ua/get-user-certificate/sec1eRAuwPcxuyUVQoWA" TargetMode="External"/><Relationship Id="rId1749" Type="http://schemas.openxmlformats.org/officeDocument/2006/relationships/hyperlink" Target="https://talan.bank.gov.ua/get-user-certificate/sec1eRuPbqT86Xdc0IVT" TargetMode="External"/><Relationship Id="rId1956" Type="http://schemas.openxmlformats.org/officeDocument/2006/relationships/hyperlink" Target="https://talan.bank.gov.ua/get-user-certificate/sec1eOP0WtxIOFACHi4w" TargetMode="External"/><Relationship Id="rId3171" Type="http://schemas.openxmlformats.org/officeDocument/2006/relationships/hyperlink" Target="https://talan.bank.gov.ua/get-user-certificate/sec1ed9do485BwiASTro" TargetMode="External"/><Relationship Id="rId4015" Type="http://schemas.openxmlformats.org/officeDocument/2006/relationships/hyperlink" Target="https://talan.bank.gov.ua/get-user-certificate/sec1e6iEMdUbCa6gDiKs" TargetMode="External"/><Relationship Id="rId1609" Type="http://schemas.openxmlformats.org/officeDocument/2006/relationships/hyperlink" Target="https://talan.bank.gov.ua/get-user-certificate/sec1ei_-0yv0slylbVA8" TargetMode="External"/><Relationship Id="rId1816" Type="http://schemas.openxmlformats.org/officeDocument/2006/relationships/hyperlink" Target="https://talan.bank.gov.ua/get-user-certificate/sec1eruVxQkmj44NVJU-" TargetMode="External"/><Relationship Id="rId4222" Type="http://schemas.openxmlformats.org/officeDocument/2006/relationships/hyperlink" Target="https://talan.bank.gov.ua/get-user-certificate/sec1ex41tdSPl1fEvyBQ" TargetMode="External"/><Relationship Id="rId3031" Type="http://schemas.openxmlformats.org/officeDocument/2006/relationships/hyperlink" Target="https://talan.bank.gov.ua/get-user-certificate/sec1etrTDjFKwtKRp3uP" TargetMode="External"/><Relationship Id="rId3988" Type="http://schemas.openxmlformats.org/officeDocument/2006/relationships/hyperlink" Target="https://talan.bank.gov.ua/get-user-certificate/sec1eYOXHnqE-UyzjHhl" TargetMode="External"/><Relationship Id="rId2797" Type="http://schemas.openxmlformats.org/officeDocument/2006/relationships/hyperlink" Target="https://talan.bank.gov.ua/get-user-certificate/sec1eDjAK1k7EAjbTsC3" TargetMode="External"/><Relationship Id="rId3848" Type="http://schemas.openxmlformats.org/officeDocument/2006/relationships/hyperlink" Target="https://talan.bank.gov.ua/get-user-certificate/sec1el9KDO4DoeYGfoB5" TargetMode="External"/><Relationship Id="rId769" Type="http://schemas.openxmlformats.org/officeDocument/2006/relationships/hyperlink" Target="https://talan.bank.gov.ua/get-user-certificate/sec1eMhWzUch_U9Yfs71" TargetMode="External"/><Relationship Id="rId976" Type="http://schemas.openxmlformats.org/officeDocument/2006/relationships/hyperlink" Target="https://talan.bank.gov.ua/get-user-certificate/sec1ebqyrL3Hj0UmisEN" TargetMode="External"/><Relationship Id="rId1399" Type="http://schemas.openxmlformats.org/officeDocument/2006/relationships/hyperlink" Target="https://talan.bank.gov.ua/get-user-certificate/sec1eAw80P99pjqckFiJ" TargetMode="External"/><Relationship Id="rId2657" Type="http://schemas.openxmlformats.org/officeDocument/2006/relationships/hyperlink" Target="https://talan.bank.gov.ua/get-user-certificate/sec1eY01bMbU3qjLDScX" TargetMode="External"/><Relationship Id="rId629" Type="http://schemas.openxmlformats.org/officeDocument/2006/relationships/hyperlink" Target="https://talan.bank.gov.ua/get-user-certificate/sec1eqAUQHQ68uwKFOQf" TargetMode="External"/><Relationship Id="rId1259" Type="http://schemas.openxmlformats.org/officeDocument/2006/relationships/hyperlink" Target="https://talan.bank.gov.ua/get-user-certificate/sec1ensl6eQDeaeg5iVb" TargetMode="External"/><Relationship Id="rId1466" Type="http://schemas.openxmlformats.org/officeDocument/2006/relationships/hyperlink" Target="https://talan.bank.gov.ua/get-user-certificate/sec1e3_ainR_1ZWfmISn" TargetMode="External"/><Relationship Id="rId2864" Type="http://schemas.openxmlformats.org/officeDocument/2006/relationships/hyperlink" Target="https://talan.bank.gov.ua/get-user-certificate/sec1eztsVB_O26BhuYoL" TargetMode="External"/><Relationship Id="rId3708" Type="http://schemas.openxmlformats.org/officeDocument/2006/relationships/hyperlink" Target="https://talan.bank.gov.ua/get-user-certificate/sec1e7eXcFd-ItQpQn0u" TargetMode="External"/><Relationship Id="rId3915" Type="http://schemas.openxmlformats.org/officeDocument/2006/relationships/hyperlink" Target="https://talan.bank.gov.ua/get-user-certificate/sec1eZeR8mVT8Nrs-i3v" TargetMode="External"/><Relationship Id="rId836" Type="http://schemas.openxmlformats.org/officeDocument/2006/relationships/hyperlink" Target="https://talan.bank.gov.ua/get-user-certificate/sec1edv9Cl9_zDtjegoP" TargetMode="External"/><Relationship Id="rId1119" Type="http://schemas.openxmlformats.org/officeDocument/2006/relationships/hyperlink" Target="https://talan.bank.gov.ua/get-user-certificate/sec1eZmFrhLrbYw21U9I" TargetMode="External"/><Relationship Id="rId1673" Type="http://schemas.openxmlformats.org/officeDocument/2006/relationships/hyperlink" Target="https://talan.bank.gov.ua/get-user-certificate/sec1e8PzH47UWqaN3ODW" TargetMode="External"/><Relationship Id="rId1880" Type="http://schemas.openxmlformats.org/officeDocument/2006/relationships/hyperlink" Target="https://talan.bank.gov.ua/get-user-certificate/sec1eLj8fSDWRs70-rBi" TargetMode="External"/><Relationship Id="rId2517" Type="http://schemas.openxmlformats.org/officeDocument/2006/relationships/hyperlink" Target="https://talan.bank.gov.ua/get-user-certificate/sec1eytaZSUESBvTGJMs" TargetMode="External"/><Relationship Id="rId2724" Type="http://schemas.openxmlformats.org/officeDocument/2006/relationships/hyperlink" Target="https://talan.bank.gov.ua/get-user-certificate/sec1evPdFLsX1cj4pkMa" TargetMode="External"/><Relationship Id="rId2931" Type="http://schemas.openxmlformats.org/officeDocument/2006/relationships/hyperlink" Target="https://talan.bank.gov.ua/get-user-certificate/sec1ehtEZ_VSR4sM1GRD" TargetMode="External"/><Relationship Id="rId903" Type="http://schemas.openxmlformats.org/officeDocument/2006/relationships/hyperlink" Target="https://talan.bank.gov.ua/get-user-certificate/sec1eXX5A2CaU-4FHWQa" TargetMode="External"/><Relationship Id="rId1326" Type="http://schemas.openxmlformats.org/officeDocument/2006/relationships/hyperlink" Target="https://talan.bank.gov.ua/get-user-certificate/sec1eOO693MkAKmAfPEC" TargetMode="External"/><Relationship Id="rId1533" Type="http://schemas.openxmlformats.org/officeDocument/2006/relationships/hyperlink" Target="https://talan.bank.gov.ua/get-user-certificate/sec1eM7BQkjz4bmFr5Vj" TargetMode="External"/><Relationship Id="rId1740" Type="http://schemas.openxmlformats.org/officeDocument/2006/relationships/hyperlink" Target="https://talan.bank.gov.ua/get-user-certificate/sec1eP8mn6MTAzeLXbLp" TargetMode="External"/><Relationship Id="rId4689" Type="http://schemas.openxmlformats.org/officeDocument/2006/relationships/hyperlink" Target="https://talan.bank.gov.ua/get-user-certificate/sec1ebDn6y6uNrMsKgWD" TargetMode="External"/><Relationship Id="rId4896" Type="http://schemas.openxmlformats.org/officeDocument/2006/relationships/hyperlink" Target="https://talan.bank.gov.ua/get-user-certificate/sec1e_s2qyTosscf2lz-" TargetMode="External"/><Relationship Id="rId32" Type="http://schemas.openxmlformats.org/officeDocument/2006/relationships/hyperlink" Target="https://talan.bank.gov.ua/get-user-certificate/sec1efSA1FAqKYLVeYsE" TargetMode="External"/><Relationship Id="rId1600" Type="http://schemas.openxmlformats.org/officeDocument/2006/relationships/hyperlink" Target="https://talan.bank.gov.ua/get-user-certificate/sec1eCoXr3aPVLDDCePd" TargetMode="External"/><Relationship Id="rId3498" Type="http://schemas.openxmlformats.org/officeDocument/2006/relationships/hyperlink" Target="https://talan.bank.gov.ua/get-user-certificate/sec1eeytnd1KXDfD300D" TargetMode="External"/><Relationship Id="rId4549" Type="http://schemas.openxmlformats.org/officeDocument/2006/relationships/hyperlink" Target="https://talan.bank.gov.ua/get-user-certificate/sec1eQl4P0xfjzZlurqO" TargetMode="External"/><Relationship Id="rId4756" Type="http://schemas.openxmlformats.org/officeDocument/2006/relationships/hyperlink" Target="https://talan.bank.gov.ua/get-user-certificate/sec1ecSHGjjuJFJWdHNg" TargetMode="External"/><Relationship Id="rId4963" Type="http://schemas.openxmlformats.org/officeDocument/2006/relationships/hyperlink" Target="https://talan.bank.gov.ua/get-user-certificate/sec1eZn5BtdRH8FbH3gy" TargetMode="External"/><Relationship Id="rId3358" Type="http://schemas.openxmlformats.org/officeDocument/2006/relationships/hyperlink" Target="https://talan.bank.gov.ua/get-user-certificate/sec1eHHr9kUhkk3qsOLh" TargetMode="External"/><Relationship Id="rId3565" Type="http://schemas.openxmlformats.org/officeDocument/2006/relationships/hyperlink" Target="https://talan.bank.gov.ua/get-user-certificate/sec1ehibpNksdVtgiiq7" TargetMode="External"/><Relationship Id="rId3772" Type="http://schemas.openxmlformats.org/officeDocument/2006/relationships/hyperlink" Target="https://talan.bank.gov.ua/get-user-certificate/sec1eEsx4STtQ_yrgTaw" TargetMode="External"/><Relationship Id="rId4409" Type="http://schemas.openxmlformats.org/officeDocument/2006/relationships/hyperlink" Target="https://talan.bank.gov.ua/get-user-certificate/sec1etucuDuC9eIUHtFf" TargetMode="External"/><Relationship Id="rId4616" Type="http://schemas.openxmlformats.org/officeDocument/2006/relationships/hyperlink" Target="https://talan.bank.gov.ua/get-user-certificate/sec1eCuwTH-rV7TKQ5Kr" TargetMode="External"/><Relationship Id="rId4823" Type="http://schemas.openxmlformats.org/officeDocument/2006/relationships/hyperlink" Target="https://talan.bank.gov.ua/get-user-certificate/sec1ec3F0Ej_D3YPzgoK" TargetMode="External"/><Relationship Id="rId279" Type="http://schemas.openxmlformats.org/officeDocument/2006/relationships/hyperlink" Target="https://talan.bank.gov.ua/get-user-certificate/sec1e7wvoHNQNduzBL-n" TargetMode="External"/><Relationship Id="rId486" Type="http://schemas.openxmlformats.org/officeDocument/2006/relationships/hyperlink" Target="https://talan.bank.gov.ua/get-user-certificate/sec1ejpV2oI5RZm-JtX_" TargetMode="External"/><Relationship Id="rId693" Type="http://schemas.openxmlformats.org/officeDocument/2006/relationships/hyperlink" Target="https://talan.bank.gov.ua/get-user-certificate/sec1eEU0RFm4APAiuVen" TargetMode="External"/><Relationship Id="rId2167" Type="http://schemas.openxmlformats.org/officeDocument/2006/relationships/hyperlink" Target="https://talan.bank.gov.ua/get-user-certificate/sec1ePRePbIVsuN1OJza" TargetMode="External"/><Relationship Id="rId2374" Type="http://schemas.openxmlformats.org/officeDocument/2006/relationships/hyperlink" Target="https://talan.bank.gov.ua/get-user-certificate/sec1etvBskLaJIGHoY80" TargetMode="External"/><Relationship Id="rId2581" Type="http://schemas.openxmlformats.org/officeDocument/2006/relationships/hyperlink" Target="https://talan.bank.gov.ua/get-user-certificate/sec1eOAlD0kHeo2ijaKo" TargetMode="External"/><Relationship Id="rId3218" Type="http://schemas.openxmlformats.org/officeDocument/2006/relationships/hyperlink" Target="https://talan.bank.gov.ua/get-user-certificate/sec1eU-ReRlCITcA0gD4" TargetMode="External"/><Relationship Id="rId3425" Type="http://schemas.openxmlformats.org/officeDocument/2006/relationships/hyperlink" Target="https://talan.bank.gov.ua/get-user-certificate/sec1etE-GHmMSQFZI1Wi" TargetMode="External"/><Relationship Id="rId3632" Type="http://schemas.openxmlformats.org/officeDocument/2006/relationships/hyperlink" Target="https://talan.bank.gov.ua/get-user-certificate/sec1e2nDDmfZPp6JkF4R" TargetMode="External"/><Relationship Id="rId139" Type="http://schemas.openxmlformats.org/officeDocument/2006/relationships/hyperlink" Target="https://talan.bank.gov.ua/get-user-certificate/sec1e0o2tUUCT1F0MaqL" TargetMode="External"/><Relationship Id="rId346" Type="http://schemas.openxmlformats.org/officeDocument/2006/relationships/hyperlink" Target="https://talan.bank.gov.ua/get-user-certificate/sec1eMJinOeOmF9ew3a9" TargetMode="External"/><Relationship Id="rId553" Type="http://schemas.openxmlformats.org/officeDocument/2006/relationships/hyperlink" Target="https://talan.bank.gov.ua/get-user-certificate/sec1e6ziHXc_g2g8y__h" TargetMode="External"/><Relationship Id="rId760" Type="http://schemas.openxmlformats.org/officeDocument/2006/relationships/hyperlink" Target="https://talan.bank.gov.ua/get-user-certificate/sec1euqMA2cLYSHjA-ng" TargetMode="External"/><Relationship Id="rId1183" Type="http://schemas.openxmlformats.org/officeDocument/2006/relationships/hyperlink" Target="https://talan.bank.gov.ua/get-user-certificate/sec1ezEZqOUtZ_j6qSkM" TargetMode="External"/><Relationship Id="rId1390" Type="http://schemas.openxmlformats.org/officeDocument/2006/relationships/hyperlink" Target="https://talan.bank.gov.ua/get-user-certificate/sec1exNazUoUpMcEO9zj" TargetMode="External"/><Relationship Id="rId2027" Type="http://schemas.openxmlformats.org/officeDocument/2006/relationships/hyperlink" Target="https://talan.bank.gov.ua/get-user-certificate/sec1eqC3RMZXe8d1tS85" TargetMode="External"/><Relationship Id="rId2234" Type="http://schemas.openxmlformats.org/officeDocument/2006/relationships/hyperlink" Target="https://talan.bank.gov.ua/get-user-certificate/sec1exiHgrovJsYnTuGB" TargetMode="External"/><Relationship Id="rId2441" Type="http://schemas.openxmlformats.org/officeDocument/2006/relationships/hyperlink" Target="https://talan.bank.gov.ua/get-user-certificate/sec1edpCIjMNVJmZHVvJ" TargetMode="External"/><Relationship Id="rId206" Type="http://schemas.openxmlformats.org/officeDocument/2006/relationships/hyperlink" Target="https://talan.bank.gov.ua/get-user-certificate/sec1eVwXFCrSzqsUBvPq" TargetMode="External"/><Relationship Id="rId413" Type="http://schemas.openxmlformats.org/officeDocument/2006/relationships/hyperlink" Target="https://talan.bank.gov.ua/get-user-certificate/sec1eiC7wzlYtWDn6R30" TargetMode="External"/><Relationship Id="rId1043" Type="http://schemas.openxmlformats.org/officeDocument/2006/relationships/hyperlink" Target="https://talan.bank.gov.ua/get-user-certificate/sec1eI2sKT94T4LpzsX9" TargetMode="External"/><Relationship Id="rId4199" Type="http://schemas.openxmlformats.org/officeDocument/2006/relationships/hyperlink" Target="https://talan.bank.gov.ua/get-user-certificate/sec1eJh_BODi5ED3d49M" TargetMode="External"/><Relationship Id="rId620" Type="http://schemas.openxmlformats.org/officeDocument/2006/relationships/hyperlink" Target="https://talan.bank.gov.ua/get-user-certificate/sec1ejABIttA9ITvzP82" TargetMode="External"/><Relationship Id="rId1250" Type="http://schemas.openxmlformats.org/officeDocument/2006/relationships/hyperlink" Target="https://talan.bank.gov.ua/get-user-certificate/sec1eVSD1Q-lL8H3PnZU" TargetMode="External"/><Relationship Id="rId2301" Type="http://schemas.openxmlformats.org/officeDocument/2006/relationships/hyperlink" Target="https://talan.bank.gov.ua/get-user-certificate/sec1eDjyb45AtKDX5urw" TargetMode="External"/><Relationship Id="rId4059" Type="http://schemas.openxmlformats.org/officeDocument/2006/relationships/hyperlink" Target="https://talan.bank.gov.ua/get-user-certificate/sec1eksJKtpkO9rZw0uo" TargetMode="External"/><Relationship Id="rId1110" Type="http://schemas.openxmlformats.org/officeDocument/2006/relationships/hyperlink" Target="https://talan.bank.gov.ua/get-user-certificate/sec1ebVfAe2tuqRbPvy7" TargetMode="External"/><Relationship Id="rId4266" Type="http://schemas.openxmlformats.org/officeDocument/2006/relationships/hyperlink" Target="https://talan.bank.gov.ua/get-user-certificate/sec1ecupuMzhU5hbX3nw" TargetMode="External"/><Relationship Id="rId4473" Type="http://schemas.openxmlformats.org/officeDocument/2006/relationships/hyperlink" Target="https://talan.bank.gov.ua/get-user-certificate/sec1eHJ_tkgi7LojxMHs" TargetMode="External"/><Relationship Id="rId4680" Type="http://schemas.openxmlformats.org/officeDocument/2006/relationships/hyperlink" Target="https://talan.bank.gov.ua/get-user-certificate/sec1eBpZyrt9sc8M2v5v" TargetMode="External"/><Relationship Id="rId1927" Type="http://schemas.openxmlformats.org/officeDocument/2006/relationships/hyperlink" Target="https://talan.bank.gov.ua/get-user-certificate/sec1e2YhLH0pmjTFZPqu" TargetMode="External"/><Relationship Id="rId3075" Type="http://schemas.openxmlformats.org/officeDocument/2006/relationships/hyperlink" Target="https://talan.bank.gov.ua/get-user-certificate/sec1eQy1PFoWjwgl0N6I" TargetMode="External"/><Relationship Id="rId3282" Type="http://schemas.openxmlformats.org/officeDocument/2006/relationships/hyperlink" Target="https://talan.bank.gov.ua/get-user-certificate/sec1e2Ld2XYCDk0exAUB" TargetMode="External"/><Relationship Id="rId4126" Type="http://schemas.openxmlformats.org/officeDocument/2006/relationships/hyperlink" Target="https://talan.bank.gov.ua/get-user-certificate/sec1eBXNBnUNY-sCBopI" TargetMode="External"/><Relationship Id="rId4333" Type="http://schemas.openxmlformats.org/officeDocument/2006/relationships/hyperlink" Target="https://talan.bank.gov.ua/get-user-certificate/sec1eBCSlpbpHk52yA2x" TargetMode="External"/><Relationship Id="rId4540" Type="http://schemas.openxmlformats.org/officeDocument/2006/relationships/hyperlink" Target="https://talan.bank.gov.ua/get-user-certificate/sec1euM024-s0QUw3vCN" TargetMode="External"/><Relationship Id="rId2091" Type="http://schemas.openxmlformats.org/officeDocument/2006/relationships/hyperlink" Target="https://talan.bank.gov.ua/get-user-certificate/sec1e70iH1GWPfFib4H9" TargetMode="External"/><Relationship Id="rId3142" Type="http://schemas.openxmlformats.org/officeDocument/2006/relationships/hyperlink" Target="https://talan.bank.gov.ua/get-user-certificate/sec1e3TLNzm8PVLJpX3p" TargetMode="External"/><Relationship Id="rId4400" Type="http://schemas.openxmlformats.org/officeDocument/2006/relationships/hyperlink" Target="https://talan.bank.gov.ua/get-user-certificate/sec1etwE-OsMt8RrrqVL" TargetMode="External"/><Relationship Id="rId270" Type="http://schemas.openxmlformats.org/officeDocument/2006/relationships/hyperlink" Target="https://talan.bank.gov.ua/get-user-certificate/sec1eehSMk-PZ7vq_UQg" TargetMode="External"/><Relationship Id="rId3002" Type="http://schemas.openxmlformats.org/officeDocument/2006/relationships/hyperlink" Target="https://talan.bank.gov.ua/get-user-certificate/sec1eFInPtIN5NhikX8I" TargetMode="External"/><Relationship Id="rId130" Type="http://schemas.openxmlformats.org/officeDocument/2006/relationships/hyperlink" Target="https://talan.bank.gov.ua/get-user-certificate/sec1eXkyuHRFajaknBCS" TargetMode="External"/><Relationship Id="rId3959" Type="http://schemas.openxmlformats.org/officeDocument/2006/relationships/hyperlink" Target="https://talan.bank.gov.ua/get-user-certificate/sec1eexu0Ku2hut8kXp_" TargetMode="External"/><Relationship Id="rId2768" Type="http://schemas.openxmlformats.org/officeDocument/2006/relationships/hyperlink" Target="https://talan.bank.gov.ua/get-user-certificate/sec1e1IkMIdZlLZUU0RE" TargetMode="External"/><Relationship Id="rId2975" Type="http://schemas.openxmlformats.org/officeDocument/2006/relationships/hyperlink" Target="https://talan.bank.gov.ua/get-user-certificate/sec1eSLz9cAIiWaxTiGB" TargetMode="External"/><Relationship Id="rId3819" Type="http://schemas.openxmlformats.org/officeDocument/2006/relationships/hyperlink" Target="https://talan.bank.gov.ua/get-user-certificate/sec1eOWqX3THb9Ifpvon" TargetMode="External"/><Relationship Id="rId947" Type="http://schemas.openxmlformats.org/officeDocument/2006/relationships/hyperlink" Target="https://talan.bank.gov.ua/get-user-certificate/sec1eQst4RIDWXYMDVkI" TargetMode="External"/><Relationship Id="rId1577" Type="http://schemas.openxmlformats.org/officeDocument/2006/relationships/hyperlink" Target="https://talan.bank.gov.ua/get-user-certificate/sec1eH-69umc4EaEiVof" TargetMode="External"/><Relationship Id="rId1784" Type="http://schemas.openxmlformats.org/officeDocument/2006/relationships/hyperlink" Target="https://talan.bank.gov.ua/get-user-certificate/sec1eFeT80-GXhI_L2Rw" TargetMode="External"/><Relationship Id="rId1991" Type="http://schemas.openxmlformats.org/officeDocument/2006/relationships/hyperlink" Target="https://talan.bank.gov.ua/get-user-certificate/sec1egPWhmS-iSmyWKVc" TargetMode="External"/><Relationship Id="rId2628" Type="http://schemas.openxmlformats.org/officeDocument/2006/relationships/hyperlink" Target="https://talan.bank.gov.ua/get-user-certificate/sec1eQl9D9TO3er-OURj" TargetMode="External"/><Relationship Id="rId2835" Type="http://schemas.openxmlformats.org/officeDocument/2006/relationships/hyperlink" Target="https://talan.bank.gov.ua/get-user-certificate/sec1eSI8KJlp_UJtWzPW" TargetMode="External"/><Relationship Id="rId4190" Type="http://schemas.openxmlformats.org/officeDocument/2006/relationships/hyperlink" Target="https://talan.bank.gov.ua/get-user-certificate/sec1ewEWPEuzApR-TTe_" TargetMode="External"/><Relationship Id="rId76" Type="http://schemas.openxmlformats.org/officeDocument/2006/relationships/hyperlink" Target="https://talan.bank.gov.ua/get-user-certificate/sec1eUHAsfDL3mqrHHXd" TargetMode="External"/><Relationship Id="rId807" Type="http://schemas.openxmlformats.org/officeDocument/2006/relationships/hyperlink" Target="https://talan.bank.gov.ua/get-user-certificate/sec1en4UhXtYD9WgNkf5" TargetMode="External"/><Relationship Id="rId1437" Type="http://schemas.openxmlformats.org/officeDocument/2006/relationships/hyperlink" Target="https://talan.bank.gov.ua/get-user-certificate/sec1e8FHQZUHH72Gve3P" TargetMode="External"/><Relationship Id="rId1644" Type="http://schemas.openxmlformats.org/officeDocument/2006/relationships/hyperlink" Target="https://talan.bank.gov.ua/get-user-certificate/sec1eln58L9-3GrhI1tp" TargetMode="External"/><Relationship Id="rId1851" Type="http://schemas.openxmlformats.org/officeDocument/2006/relationships/hyperlink" Target="https://talan.bank.gov.ua/get-user-certificate/sec1ebfoYjTi2ywKeTni" TargetMode="External"/><Relationship Id="rId2902" Type="http://schemas.openxmlformats.org/officeDocument/2006/relationships/hyperlink" Target="https://talan.bank.gov.ua/get-user-certificate/sec1eQA5n4afOKCSOhtN" TargetMode="External"/><Relationship Id="rId4050" Type="http://schemas.openxmlformats.org/officeDocument/2006/relationships/hyperlink" Target="https://talan.bank.gov.ua/get-user-certificate/sec1eJt0VHUyPUS52dIx" TargetMode="External"/><Relationship Id="rId1504" Type="http://schemas.openxmlformats.org/officeDocument/2006/relationships/hyperlink" Target="https://talan.bank.gov.ua/get-user-certificate/sec1ev4YKZK3OS7aZ7vi" TargetMode="External"/><Relationship Id="rId1711" Type="http://schemas.openxmlformats.org/officeDocument/2006/relationships/hyperlink" Target="https://talan.bank.gov.ua/get-user-certificate/sec1eaOVvByNWdxuuFGj" TargetMode="External"/><Relationship Id="rId4867" Type="http://schemas.openxmlformats.org/officeDocument/2006/relationships/hyperlink" Target="https://talan.bank.gov.ua/get-user-certificate/sec1ePHyfOHmoTztN5NJ" TargetMode="External"/><Relationship Id="rId3469" Type="http://schemas.openxmlformats.org/officeDocument/2006/relationships/hyperlink" Target="https://talan.bank.gov.ua/get-user-certificate/sec1efLEJYPNFbjsloFk" TargetMode="External"/><Relationship Id="rId3676" Type="http://schemas.openxmlformats.org/officeDocument/2006/relationships/hyperlink" Target="https://talan.bank.gov.ua/get-user-certificate/sec1e-_vQJOzJk4j1Gxe" TargetMode="External"/><Relationship Id="rId597" Type="http://schemas.openxmlformats.org/officeDocument/2006/relationships/hyperlink" Target="https://talan.bank.gov.ua/get-user-certificate/sec1efXKoNezcDTkAz5R" TargetMode="External"/><Relationship Id="rId2278" Type="http://schemas.openxmlformats.org/officeDocument/2006/relationships/hyperlink" Target="https://talan.bank.gov.ua/get-user-certificate/sec1ex-rP8bvU1fhQ3uL" TargetMode="External"/><Relationship Id="rId2485" Type="http://schemas.openxmlformats.org/officeDocument/2006/relationships/hyperlink" Target="https://talan.bank.gov.ua/get-user-certificate/sec1e9esNINw69t-5_zE" TargetMode="External"/><Relationship Id="rId3329" Type="http://schemas.openxmlformats.org/officeDocument/2006/relationships/hyperlink" Target="https://talan.bank.gov.ua/get-user-certificate/sec1eJ3df4hUmu3Foivn" TargetMode="External"/><Relationship Id="rId3883" Type="http://schemas.openxmlformats.org/officeDocument/2006/relationships/hyperlink" Target="https://talan.bank.gov.ua/get-user-certificate/sec1eUwD_GEuOVeBmw_O" TargetMode="External"/><Relationship Id="rId4727" Type="http://schemas.openxmlformats.org/officeDocument/2006/relationships/hyperlink" Target="https://talan.bank.gov.ua/get-user-certificate/sec1ejz0z6RGIcix-KMN" TargetMode="External"/><Relationship Id="rId4934" Type="http://schemas.openxmlformats.org/officeDocument/2006/relationships/hyperlink" Target="https://talan.bank.gov.ua/get-user-certificate/sec1esIffKbrHYelFaS8" TargetMode="External"/><Relationship Id="rId457" Type="http://schemas.openxmlformats.org/officeDocument/2006/relationships/hyperlink" Target="https://talan.bank.gov.ua/get-user-certificate/sec1eBkIn8eDXOolVlLJ" TargetMode="External"/><Relationship Id="rId1087" Type="http://schemas.openxmlformats.org/officeDocument/2006/relationships/hyperlink" Target="https://talan.bank.gov.ua/get-user-certificate/sec1eTLpufoC_PDsRvo_" TargetMode="External"/><Relationship Id="rId1294" Type="http://schemas.openxmlformats.org/officeDocument/2006/relationships/hyperlink" Target="https://talan.bank.gov.ua/get-user-certificate/sec1eQ8nETOb7mR0iKgL" TargetMode="External"/><Relationship Id="rId2138" Type="http://schemas.openxmlformats.org/officeDocument/2006/relationships/hyperlink" Target="https://talan.bank.gov.ua/get-user-certificate/sec1eqXbZ8RG_u5pWhcW" TargetMode="External"/><Relationship Id="rId2692" Type="http://schemas.openxmlformats.org/officeDocument/2006/relationships/hyperlink" Target="https://talan.bank.gov.ua/get-user-certificate/sec1erHFtC4iGU_EHsLX" TargetMode="External"/><Relationship Id="rId3536" Type="http://schemas.openxmlformats.org/officeDocument/2006/relationships/hyperlink" Target="https://talan.bank.gov.ua/get-user-certificate/sec1eCre0tiybGnh1_eC" TargetMode="External"/><Relationship Id="rId3743" Type="http://schemas.openxmlformats.org/officeDocument/2006/relationships/hyperlink" Target="https://talan.bank.gov.ua/get-user-certificate/sec1e9O34e5rog3KPoNV" TargetMode="External"/><Relationship Id="rId3950" Type="http://schemas.openxmlformats.org/officeDocument/2006/relationships/hyperlink" Target="https://talan.bank.gov.ua/get-user-certificate/sec1eAifmLAlJVI6820u" TargetMode="External"/><Relationship Id="rId664" Type="http://schemas.openxmlformats.org/officeDocument/2006/relationships/hyperlink" Target="https://talan.bank.gov.ua/get-user-certificate/sec1eL41iSJHKMmdIcoC" TargetMode="External"/><Relationship Id="rId871" Type="http://schemas.openxmlformats.org/officeDocument/2006/relationships/hyperlink" Target="https://talan.bank.gov.ua/get-user-certificate/sec1eu6Dn3gpr_SFU7zi" TargetMode="External"/><Relationship Id="rId2345" Type="http://schemas.openxmlformats.org/officeDocument/2006/relationships/hyperlink" Target="https://talan.bank.gov.ua/get-user-certificate/sec1eeUL53bOCW5QHy24" TargetMode="External"/><Relationship Id="rId2552" Type="http://schemas.openxmlformats.org/officeDocument/2006/relationships/hyperlink" Target="https://talan.bank.gov.ua/get-user-certificate/sec1eXIw48-jDtt1TvE_" TargetMode="External"/><Relationship Id="rId3603" Type="http://schemas.openxmlformats.org/officeDocument/2006/relationships/hyperlink" Target="https://talan.bank.gov.ua/get-user-certificate/sec1egnNt37FMfr5HsAF" TargetMode="External"/><Relationship Id="rId3810" Type="http://schemas.openxmlformats.org/officeDocument/2006/relationships/hyperlink" Target="https://talan.bank.gov.ua/get-user-certificate/sec1es5IWYRDvnCZXyvs" TargetMode="External"/><Relationship Id="rId317" Type="http://schemas.openxmlformats.org/officeDocument/2006/relationships/hyperlink" Target="https://talan.bank.gov.ua/get-user-certificate/sec1esiCmrHrlzvNpyBE" TargetMode="External"/><Relationship Id="rId524" Type="http://schemas.openxmlformats.org/officeDocument/2006/relationships/hyperlink" Target="https://talan.bank.gov.ua/get-user-certificate/sec1e-8wNOwgzZKmPqLv" TargetMode="External"/><Relationship Id="rId731" Type="http://schemas.openxmlformats.org/officeDocument/2006/relationships/hyperlink" Target="https://talan.bank.gov.ua/get-user-certificate/sec1eRP0A4LK9yIXpOt9" TargetMode="External"/><Relationship Id="rId1154" Type="http://schemas.openxmlformats.org/officeDocument/2006/relationships/hyperlink" Target="https://talan.bank.gov.ua/get-user-certificate/sec1eD3nfTZXM91t2U9t" TargetMode="External"/><Relationship Id="rId1361" Type="http://schemas.openxmlformats.org/officeDocument/2006/relationships/hyperlink" Target="https://talan.bank.gov.ua/get-user-certificate/sec1eHnihM4wzto3Rrwg" TargetMode="External"/><Relationship Id="rId2205" Type="http://schemas.openxmlformats.org/officeDocument/2006/relationships/hyperlink" Target="https://talan.bank.gov.ua/get-user-certificate/sec1e04fiGViIkDwvuOA" TargetMode="External"/><Relationship Id="rId2412" Type="http://schemas.openxmlformats.org/officeDocument/2006/relationships/hyperlink" Target="https://talan.bank.gov.ua/get-user-certificate/sec1e7iCJj9SFkLE72U7" TargetMode="External"/><Relationship Id="rId1014" Type="http://schemas.openxmlformats.org/officeDocument/2006/relationships/hyperlink" Target="https://talan.bank.gov.ua/get-user-certificate/sec1e7EgxioE_n5S9ivx" TargetMode="External"/><Relationship Id="rId1221" Type="http://schemas.openxmlformats.org/officeDocument/2006/relationships/hyperlink" Target="https://talan.bank.gov.ua/get-user-certificate/sec1epvkHRBK2Ca1ELtB" TargetMode="External"/><Relationship Id="rId4377" Type="http://schemas.openxmlformats.org/officeDocument/2006/relationships/hyperlink" Target="https://talan.bank.gov.ua/get-user-certificate/sec1eeg0te2TFSqSrP5I" TargetMode="External"/><Relationship Id="rId4584" Type="http://schemas.openxmlformats.org/officeDocument/2006/relationships/hyperlink" Target="https://talan.bank.gov.ua/get-user-certificate/sec1eoi6cBaWhdzutzjJ" TargetMode="External"/><Relationship Id="rId4791" Type="http://schemas.openxmlformats.org/officeDocument/2006/relationships/hyperlink" Target="https://talan.bank.gov.ua/get-user-certificate/sec1eIryxfmhI1lCMSRY" TargetMode="External"/><Relationship Id="rId3186" Type="http://schemas.openxmlformats.org/officeDocument/2006/relationships/hyperlink" Target="https://talan.bank.gov.ua/get-user-certificate/sec1eC6TEJvuFe3P7X7l" TargetMode="External"/><Relationship Id="rId3393" Type="http://schemas.openxmlformats.org/officeDocument/2006/relationships/hyperlink" Target="https://talan.bank.gov.ua/get-user-certificate/sec1ey355OeAPNN48Lgh" TargetMode="External"/><Relationship Id="rId4237" Type="http://schemas.openxmlformats.org/officeDocument/2006/relationships/hyperlink" Target="https://talan.bank.gov.ua/get-user-certificate/sec1eK_sYoCnkd05VlBL" TargetMode="External"/><Relationship Id="rId4444" Type="http://schemas.openxmlformats.org/officeDocument/2006/relationships/hyperlink" Target="https://talan.bank.gov.ua/get-user-certificate/sec1eOof26ZXoRun9Mkb" TargetMode="External"/><Relationship Id="rId4651" Type="http://schemas.openxmlformats.org/officeDocument/2006/relationships/hyperlink" Target="https://talan.bank.gov.ua/get-user-certificate/sec1efVfux0BuJioGqO1" TargetMode="External"/><Relationship Id="rId3046" Type="http://schemas.openxmlformats.org/officeDocument/2006/relationships/hyperlink" Target="https://talan.bank.gov.ua/get-user-certificate/sec1eDcxSO072CCTm38t" TargetMode="External"/><Relationship Id="rId3253" Type="http://schemas.openxmlformats.org/officeDocument/2006/relationships/hyperlink" Target="https://talan.bank.gov.ua/get-user-certificate/sec1e47xLuBmo0LV91b3" TargetMode="External"/><Relationship Id="rId3460" Type="http://schemas.openxmlformats.org/officeDocument/2006/relationships/hyperlink" Target="https://talan.bank.gov.ua/get-user-certificate/sec1eqrXF17qYfSszjQM" TargetMode="External"/><Relationship Id="rId4304" Type="http://schemas.openxmlformats.org/officeDocument/2006/relationships/hyperlink" Target="https://talan.bank.gov.ua/get-user-certificate/sec1eLwN4MgzUcKTXFO7" TargetMode="External"/><Relationship Id="rId174" Type="http://schemas.openxmlformats.org/officeDocument/2006/relationships/hyperlink" Target="https://talan.bank.gov.ua/get-user-certificate/sec1e-PGxquxtnrEVPuL" TargetMode="External"/><Relationship Id="rId381" Type="http://schemas.openxmlformats.org/officeDocument/2006/relationships/hyperlink" Target="https://talan.bank.gov.ua/get-user-certificate/sec1eZZ12SgfdU_z1zyO" TargetMode="External"/><Relationship Id="rId2062" Type="http://schemas.openxmlformats.org/officeDocument/2006/relationships/hyperlink" Target="https://talan.bank.gov.ua/get-user-certificate/sec1esf1tURGgEPBigdQ" TargetMode="External"/><Relationship Id="rId3113" Type="http://schemas.openxmlformats.org/officeDocument/2006/relationships/hyperlink" Target="https://talan.bank.gov.ua/get-user-certificate/sec1e6XtROEa3IUgIThl" TargetMode="External"/><Relationship Id="rId4511" Type="http://schemas.openxmlformats.org/officeDocument/2006/relationships/hyperlink" Target="https://talan.bank.gov.ua/get-user-certificate/sec1e3oI247pIcHidGvI" TargetMode="External"/><Relationship Id="rId241" Type="http://schemas.openxmlformats.org/officeDocument/2006/relationships/hyperlink" Target="https://talan.bank.gov.ua/get-user-certificate/sec1eW9vuH_O179vc95W" TargetMode="External"/><Relationship Id="rId3320" Type="http://schemas.openxmlformats.org/officeDocument/2006/relationships/hyperlink" Target="https://talan.bank.gov.ua/get-user-certificate/sec1eSvPrvIALW8s7lx7" TargetMode="External"/><Relationship Id="rId2879" Type="http://schemas.openxmlformats.org/officeDocument/2006/relationships/hyperlink" Target="https://talan.bank.gov.ua/get-user-certificate/sec1eiIf5dWqiUKegGhr" TargetMode="External"/><Relationship Id="rId101" Type="http://schemas.openxmlformats.org/officeDocument/2006/relationships/hyperlink" Target="https://talan.bank.gov.ua/get-user-certificate/sec1ekdSsf9u2WRgJ8hJ" TargetMode="External"/><Relationship Id="rId1688" Type="http://schemas.openxmlformats.org/officeDocument/2006/relationships/hyperlink" Target="https://talan.bank.gov.ua/get-user-certificate/sec1e7pzsErUDdZqr_UB" TargetMode="External"/><Relationship Id="rId1895" Type="http://schemas.openxmlformats.org/officeDocument/2006/relationships/hyperlink" Target="https://talan.bank.gov.ua/get-user-certificate/sec1eBkXzZCo0eysTawn" TargetMode="External"/><Relationship Id="rId2739" Type="http://schemas.openxmlformats.org/officeDocument/2006/relationships/hyperlink" Target="https://talan.bank.gov.ua/get-user-certificate/sec1eXM0McZtVon3cw8Z" TargetMode="External"/><Relationship Id="rId2946" Type="http://schemas.openxmlformats.org/officeDocument/2006/relationships/hyperlink" Target="https://talan.bank.gov.ua/get-user-certificate/sec1eimQCPs50zW2I9tj" TargetMode="External"/><Relationship Id="rId4094" Type="http://schemas.openxmlformats.org/officeDocument/2006/relationships/hyperlink" Target="https://talan.bank.gov.ua/get-user-certificate/sec1eSyWXZGcKb-urIjM" TargetMode="External"/><Relationship Id="rId918" Type="http://schemas.openxmlformats.org/officeDocument/2006/relationships/hyperlink" Target="https://talan.bank.gov.ua/get-user-certificate/sec1eEnxlVfxV1r0laNZ" TargetMode="External"/><Relationship Id="rId1548" Type="http://schemas.openxmlformats.org/officeDocument/2006/relationships/hyperlink" Target="https://talan.bank.gov.ua/get-user-certificate/sec1eA43s8kr1j-_Y-mv" TargetMode="External"/><Relationship Id="rId1755" Type="http://schemas.openxmlformats.org/officeDocument/2006/relationships/hyperlink" Target="https://talan.bank.gov.ua/get-user-certificate/sec1eSGiqAZErYlJPS-k" TargetMode="External"/><Relationship Id="rId4161" Type="http://schemas.openxmlformats.org/officeDocument/2006/relationships/hyperlink" Target="https://talan.bank.gov.ua/get-user-certificate/sec1e7N2QBCofvSw_LH5" TargetMode="External"/><Relationship Id="rId5005" Type="http://schemas.openxmlformats.org/officeDocument/2006/relationships/hyperlink" Target="https://talan.bank.gov.ua/get-user-certificate/sec1e8dsNe9ilNBZpCk6" TargetMode="External"/><Relationship Id="rId1408" Type="http://schemas.openxmlformats.org/officeDocument/2006/relationships/hyperlink" Target="https://talan.bank.gov.ua/get-user-certificate/sec1eKsE50pkafahrSUn" TargetMode="External"/><Relationship Id="rId1962" Type="http://schemas.openxmlformats.org/officeDocument/2006/relationships/hyperlink" Target="https://talan.bank.gov.ua/get-user-certificate/sec1e5jm2xuIHgfAkizG" TargetMode="External"/><Relationship Id="rId2806" Type="http://schemas.openxmlformats.org/officeDocument/2006/relationships/hyperlink" Target="https://talan.bank.gov.ua/get-user-certificate/sec1ezHoouqybb02fM_2" TargetMode="External"/><Relationship Id="rId4021" Type="http://schemas.openxmlformats.org/officeDocument/2006/relationships/hyperlink" Target="https://talan.bank.gov.ua/get-user-certificate/sec1e4xLuqzxXW0ppGVc" TargetMode="External"/><Relationship Id="rId47" Type="http://schemas.openxmlformats.org/officeDocument/2006/relationships/hyperlink" Target="https://talan.bank.gov.ua/get-user-certificate/sec1ehV_uOTYoP9EXEbM" TargetMode="External"/><Relationship Id="rId1615" Type="http://schemas.openxmlformats.org/officeDocument/2006/relationships/hyperlink" Target="https://talan.bank.gov.ua/get-user-certificate/sec1ePC3un1fs8mDCGg7" TargetMode="External"/><Relationship Id="rId1822" Type="http://schemas.openxmlformats.org/officeDocument/2006/relationships/hyperlink" Target="https://talan.bank.gov.ua/get-user-certificate/sec1eQk-mSvaS2Cv4qe1" TargetMode="External"/><Relationship Id="rId4978" Type="http://schemas.openxmlformats.org/officeDocument/2006/relationships/hyperlink" Target="https://talan.bank.gov.ua/get-user-certificate/sec1e1cDAhEk8XHcz7FY" TargetMode="External"/><Relationship Id="rId3787" Type="http://schemas.openxmlformats.org/officeDocument/2006/relationships/hyperlink" Target="https://talan.bank.gov.ua/get-user-certificate/sec1e3K8ZR0KaISRhygs" TargetMode="External"/><Relationship Id="rId3994" Type="http://schemas.openxmlformats.org/officeDocument/2006/relationships/hyperlink" Target="https://talan.bank.gov.ua/get-user-certificate/sec1eYIP65z3Aj4r52D7" TargetMode="External"/><Relationship Id="rId4838" Type="http://schemas.openxmlformats.org/officeDocument/2006/relationships/hyperlink" Target="https://talan.bank.gov.ua/get-user-certificate/sec1eqKdf_Hgyahf4d8b" TargetMode="External"/><Relationship Id="rId2389" Type="http://schemas.openxmlformats.org/officeDocument/2006/relationships/hyperlink" Target="https://talan.bank.gov.ua/get-user-certificate/sec1eCitxL6EIPHPJZC_" TargetMode="External"/><Relationship Id="rId2596" Type="http://schemas.openxmlformats.org/officeDocument/2006/relationships/hyperlink" Target="https://talan.bank.gov.ua/get-user-certificate/sec1e63OQySqaDtMyP7n" TargetMode="External"/><Relationship Id="rId3647" Type="http://schemas.openxmlformats.org/officeDocument/2006/relationships/hyperlink" Target="https://talan.bank.gov.ua/get-user-certificate/sec1eALFNUQ-aZhSDyAg" TargetMode="External"/><Relationship Id="rId3854" Type="http://schemas.openxmlformats.org/officeDocument/2006/relationships/hyperlink" Target="https://talan.bank.gov.ua/get-user-certificate/sec1eAYakel9Maf-TXZj" TargetMode="External"/><Relationship Id="rId4905" Type="http://schemas.openxmlformats.org/officeDocument/2006/relationships/hyperlink" Target="https://talan.bank.gov.ua/get-user-certificate/sec1eN0gO1Fc-ZT0UqnL" TargetMode="External"/><Relationship Id="rId568" Type="http://schemas.openxmlformats.org/officeDocument/2006/relationships/hyperlink" Target="https://talan.bank.gov.ua/get-user-certificate/sec1e7vDeoHC2zlcPavD" TargetMode="External"/><Relationship Id="rId775" Type="http://schemas.openxmlformats.org/officeDocument/2006/relationships/hyperlink" Target="https://talan.bank.gov.ua/get-user-certificate/sec1etdcOR2C5-1t-tmD" TargetMode="External"/><Relationship Id="rId982" Type="http://schemas.openxmlformats.org/officeDocument/2006/relationships/hyperlink" Target="https://talan.bank.gov.ua/get-user-certificate/sec1eCwjzLMIYbr3uTSX" TargetMode="External"/><Relationship Id="rId1198" Type="http://schemas.openxmlformats.org/officeDocument/2006/relationships/hyperlink" Target="https://talan.bank.gov.ua/get-user-certificate/sec1eDHZY4epC5Lcd-Q2" TargetMode="External"/><Relationship Id="rId2249" Type="http://schemas.openxmlformats.org/officeDocument/2006/relationships/hyperlink" Target="https://talan.bank.gov.ua/get-user-certificate/sec1euwxxFxFrHRTzRmN" TargetMode="External"/><Relationship Id="rId2456" Type="http://schemas.openxmlformats.org/officeDocument/2006/relationships/hyperlink" Target="https://talan.bank.gov.ua/get-user-certificate/sec1eCX4oC-PUaGRKl2J" TargetMode="External"/><Relationship Id="rId2663" Type="http://schemas.openxmlformats.org/officeDocument/2006/relationships/hyperlink" Target="https://talan.bank.gov.ua/get-user-certificate/sec1edN3g6Jmc_zY4feC" TargetMode="External"/><Relationship Id="rId2870" Type="http://schemas.openxmlformats.org/officeDocument/2006/relationships/hyperlink" Target="https://talan.bank.gov.ua/get-user-certificate/sec1ePm6HGAcsr6q51OL" TargetMode="External"/><Relationship Id="rId3507" Type="http://schemas.openxmlformats.org/officeDocument/2006/relationships/hyperlink" Target="https://talan.bank.gov.ua/get-user-certificate/sec1eEr5NdezLZLmHYXv" TargetMode="External"/><Relationship Id="rId3714" Type="http://schemas.openxmlformats.org/officeDocument/2006/relationships/hyperlink" Target="https://talan.bank.gov.ua/get-user-certificate/sec1eFqfZqhqn0IMY1tv" TargetMode="External"/><Relationship Id="rId3921" Type="http://schemas.openxmlformats.org/officeDocument/2006/relationships/hyperlink" Target="https://talan.bank.gov.ua/get-user-certificate/sec1ejizv_V2qhjw-M1q" TargetMode="External"/><Relationship Id="rId428" Type="http://schemas.openxmlformats.org/officeDocument/2006/relationships/hyperlink" Target="https://talan.bank.gov.ua/get-user-certificate/sec1e2MCDM9AkXWSwzMb" TargetMode="External"/><Relationship Id="rId635" Type="http://schemas.openxmlformats.org/officeDocument/2006/relationships/hyperlink" Target="https://talan.bank.gov.ua/get-user-certificate/sec1eYdeAp2FHqGZt6v9" TargetMode="External"/><Relationship Id="rId842" Type="http://schemas.openxmlformats.org/officeDocument/2006/relationships/hyperlink" Target="https://talan.bank.gov.ua/get-user-certificate/sec1e2wpVFUbPa2iyEeA" TargetMode="External"/><Relationship Id="rId1058" Type="http://schemas.openxmlformats.org/officeDocument/2006/relationships/hyperlink" Target="https://talan.bank.gov.ua/get-user-certificate/sec1e5kbdfYgeBHemAuy" TargetMode="External"/><Relationship Id="rId1265" Type="http://schemas.openxmlformats.org/officeDocument/2006/relationships/hyperlink" Target="https://talan.bank.gov.ua/get-user-certificate/sec1e0Pxr9g3n85hXVKG" TargetMode="External"/><Relationship Id="rId1472" Type="http://schemas.openxmlformats.org/officeDocument/2006/relationships/hyperlink" Target="https://talan.bank.gov.ua/get-user-certificate/sec1edp9TFXJf1RNI_8V" TargetMode="External"/><Relationship Id="rId2109" Type="http://schemas.openxmlformats.org/officeDocument/2006/relationships/hyperlink" Target="https://talan.bank.gov.ua/get-user-certificate/sec1eOvxikHBkffL_bMe" TargetMode="External"/><Relationship Id="rId2316" Type="http://schemas.openxmlformats.org/officeDocument/2006/relationships/hyperlink" Target="https://talan.bank.gov.ua/get-user-certificate/sec1eWmDRUYGBwleayxQ" TargetMode="External"/><Relationship Id="rId2523" Type="http://schemas.openxmlformats.org/officeDocument/2006/relationships/hyperlink" Target="https://talan.bank.gov.ua/get-user-certificate/sec1ek_tAopPCnVPaFa2" TargetMode="External"/><Relationship Id="rId2730" Type="http://schemas.openxmlformats.org/officeDocument/2006/relationships/hyperlink" Target="https://talan.bank.gov.ua/get-user-certificate/sec1eLbNDfDk-cHACmKA" TargetMode="External"/><Relationship Id="rId702" Type="http://schemas.openxmlformats.org/officeDocument/2006/relationships/hyperlink" Target="https://talan.bank.gov.ua/get-user-certificate/sec1e8cBI32UA-ZbxNcd" TargetMode="External"/><Relationship Id="rId1125" Type="http://schemas.openxmlformats.org/officeDocument/2006/relationships/hyperlink" Target="https://talan.bank.gov.ua/get-user-certificate/sec1esMIfPrf_oNhlwSw" TargetMode="External"/><Relationship Id="rId1332" Type="http://schemas.openxmlformats.org/officeDocument/2006/relationships/hyperlink" Target="https://talan.bank.gov.ua/get-user-certificate/sec1ewcXjuUhQwgp0ZVW" TargetMode="External"/><Relationship Id="rId4488" Type="http://schemas.openxmlformats.org/officeDocument/2006/relationships/hyperlink" Target="https://talan.bank.gov.ua/get-user-certificate/sec1e69mSSmLu0x500wQ" TargetMode="External"/><Relationship Id="rId4695" Type="http://schemas.openxmlformats.org/officeDocument/2006/relationships/hyperlink" Target="https://talan.bank.gov.ua/get-user-certificate/sec1e6dwTF5Vpm6GL9cf" TargetMode="External"/><Relationship Id="rId3297" Type="http://schemas.openxmlformats.org/officeDocument/2006/relationships/hyperlink" Target="https://talan.bank.gov.ua/get-user-certificate/sec1e8ZGlXT4UTqi3zky" TargetMode="External"/><Relationship Id="rId4348" Type="http://schemas.openxmlformats.org/officeDocument/2006/relationships/hyperlink" Target="https://talan.bank.gov.ua/get-user-certificate/sec1enPs9IFHofHBSsVd" TargetMode="External"/><Relationship Id="rId3157" Type="http://schemas.openxmlformats.org/officeDocument/2006/relationships/hyperlink" Target="https://talan.bank.gov.ua/get-user-certificate/sec1ei4aYIVLzx3KkmDx" TargetMode="External"/><Relationship Id="rId4555" Type="http://schemas.openxmlformats.org/officeDocument/2006/relationships/hyperlink" Target="https://talan.bank.gov.ua/get-user-certificate/sec1eyXH_7o5sPwm7t8z" TargetMode="External"/><Relationship Id="rId4762" Type="http://schemas.openxmlformats.org/officeDocument/2006/relationships/hyperlink" Target="https://talan.bank.gov.ua/get-user-certificate/sec1eKCp2c_OIK_ln_wt" TargetMode="External"/><Relationship Id="rId285" Type="http://schemas.openxmlformats.org/officeDocument/2006/relationships/hyperlink" Target="https://talan.bank.gov.ua/get-user-certificate/sec1e6wnwcFiOC6iQ13J" TargetMode="External"/><Relationship Id="rId3364" Type="http://schemas.openxmlformats.org/officeDocument/2006/relationships/hyperlink" Target="https://talan.bank.gov.ua/get-user-certificate/sec1e2RTNskejrZNpCm-" TargetMode="External"/><Relationship Id="rId3571" Type="http://schemas.openxmlformats.org/officeDocument/2006/relationships/hyperlink" Target="https://talan.bank.gov.ua/get-user-certificate/sec1e4i4coJrZGiirGJh" TargetMode="External"/><Relationship Id="rId4208" Type="http://schemas.openxmlformats.org/officeDocument/2006/relationships/hyperlink" Target="https://talan.bank.gov.ua/get-user-certificate/sec1ecIZlauZIwTfHgEO" TargetMode="External"/><Relationship Id="rId4415" Type="http://schemas.openxmlformats.org/officeDocument/2006/relationships/hyperlink" Target="https://talan.bank.gov.ua/get-user-certificate/sec1en9Wv0qT9kbonvGU" TargetMode="External"/><Relationship Id="rId4622" Type="http://schemas.openxmlformats.org/officeDocument/2006/relationships/hyperlink" Target="https://talan.bank.gov.ua/get-user-certificate/sec1eVwaUAuDkKGXgyew" TargetMode="External"/><Relationship Id="rId492" Type="http://schemas.openxmlformats.org/officeDocument/2006/relationships/hyperlink" Target="https://talan.bank.gov.ua/get-user-certificate/sec1e8AGGc4yKdy_FWn1" TargetMode="External"/><Relationship Id="rId2173" Type="http://schemas.openxmlformats.org/officeDocument/2006/relationships/hyperlink" Target="https://talan.bank.gov.ua/get-user-certificate/sec1eWtqrV1dAg8xXN6I" TargetMode="External"/><Relationship Id="rId2380" Type="http://schemas.openxmlformats.org/officeDocument/2006/relationships/hyperlink" Target="https://talan.bank.gov.ua/get-user-certificate/sec1ejSuF5Tgmr_R04lM" TargetMode="External"/><Relationship Id="rId3017" Type="http://schemas.openxmlformats.org/officeDocument/2006/relationships/hyperlink" Target="https://talan.bank.gov.ua/get-user-certificate/sec1ezt3tcOoWBuswQ6z" TargetMode="External"/><Relationship Id="rId3224" Type="http://schemas.openxmlformats.org/officeDocument/2006/relationships/hyperlink" Target="https://talan.bank.gov.ua/get-user-certificate/sec1e9jVwCVOCfBrLjNL" TargetMode="External"/><Relationship Id="rId3431" Type="http://schemas.openxmlformats.org/officeDocument/2006/relationships/hyperlink" Target="https://talan.bank.gov.ua/get-user-certificate/sec1eI3kn6GLQWaePMF_" TargetMode="External"/><Relationship Id="rId145" Type="http://schemas.openxmlformats.org/officeDocument/2006/relationships/hyperlink" Target="https://talan.bank.gov.ua/get-user-certificate/sec1eBbOiibhGEwbXyTj" TargetMode="External"/><Relationship Id="rId352" Type="http://schemas.openxmlformats.org/officeDocument/2006/relationships/hyperlink" Target="https://talan.bank.gov.ua/get-user-certificate/sec1eA8Ad8B5P4KFUWLY" TargetMode="External"/><Relationship Id="rId2033" Type="http://schemas.openxmlformats.org/officeDocument/2006/relationships/hyperlink" Target="https://talan.bank.gov.ua/get-user-certificate/sec1eK6pzJbKkylYwS-I" TargetMode="External"/><Relationship Id="rId2240" Type="http://schemas.openxmlformats.org/officeDocument/2006/relationships/hyperlink" Target="https://talan.bank.gov.ua/get-user-certificate/sec1enKUk4IU4Li0If4T" TargetMode="External"/><Relationship Id="rId212" Type="http://schemas.openxmlformats.org/officeDocument/2006/relationships/hyperlink" Target="https://talan.bank.gov.ua/get-user-certificate/sec1edKcRNXnSd0oOgyr" TargetMode="External"/><Relationship Id="rId1799" Type="http://schemas.openxmlformats.org/officeDocument/2006/relationships/hyperlink" Target="https://talan.bank.gov.ua/get-user-certificate/sec1e1w3tbTLyyAMO-9n" TargetMode="External"/><Relationship Id="rId2100" Type="http://schemas.openxmlformats.org/officeDocument/2006/relationships/hyperlink" Target="https://talan.bank.gov.ua/get-user-certificate/sec1etJcdDM6i6koL8_B" TargetMode="External"/><Relationship Id="rId4065" Type="http://schemas.openxmlformats.org/officeDocument/2006/relationships/hyperlink" Target="https://talan.bank.gov.ua/get-user-certificate/sec1elLvw9IR2ba7etCb" TargetMode="External"/><Relationship Id="rId4272" Type="http://schemas.openxmlformats.org/officeDocument/2006/relationships/hyperlink" Target="https://talan.bank.gov.ua/get-user-certificate/sec1eArTS_9_Mty_qEMc" TargetMode="External"/><Relationship Id="rId1659" Type="http://schemas.openxmlformats.org/officeDocument/2006/relationships/hyperlink" Target="https://talan.bank.gov.ua/get-user-certificate/sec1e4t6doqbpqI5kiyq" TargetMode="External"/><Relationship Id="rId1866" Type="http://schemas.openxmlformats.org/officeDocument/2006/relationships/hyperlink" Target="https://talan.bank.gov.ua/get-user-certificate/sec1eeJQ4I52SqNl9tVO" TargetMode="External"/><Relationship Id="rId2917" Type="http://schemas.openxmlformats.org/officeDocument/2006/relationships/hyperlink" Target="https://talan.bank.gov.ua/get-user-certificate/sec1ePNpeGLuQ7jVZ0Gp" TargetMode="External"/><Relationship Id="rId3081" Type="http://schemas.openxmlformats.org/officeDocument/2006/relationships/hyperlink" Target="https://talan.bank.gov.ua/get-user-certificate/sec1egTh0UBCFghye2FZ" TargetMode="External"/><Relationship Id="rId4132" Type="http://schemas.openxmlformats.org/officeDocument/2006/relationships/hyperlink" Target="https://talan.bank.gov.ua/get-user-certificate/sec1e-uhF0IAr3bXb1Z8" TargetMode="External"/><Relationship Id="rId1519" Type="http://schemas.openxmlformats.org/officeDocument/2006/relationships/hyperlink" Target="https://talan.bank.gov.ua/get-user-certificate/sec1e-gCTHSYGX8RfKeb" TargetMode="External"/><Relationship Id="rId1726" Type="http://schemas.openxmlformats.org/officeDocument/2006/relationships/hyperlink" Target="https://talan.bank.gov.ua/get-user-certificate/sec1eNj8oN1nsVZFC2YI" TargetMode="External"/><Relationship Id="rId1933" Type="http://schemas.openxmlformats.org/officeDocument/2006/relationships/hyperlink" Target="https://talan.bank.gov.ua/get-user-certificate/sec1eVsLW-n4ITDBToGD" TargetMode="External"/><Relationship Id="rId18" Type="http://schemas.openxmlformats.org/officeDocument/2006/relationships/hyperlink" Target="https://talan.bank.gov.ua/get-user-certificate/sec1eSG8mDizvhjTkPZR" TargetMode="External"/><Relationship Id="rId3898" Type="http://schemas.openxmlformats.org/officeDocument/2006/relationships/hyperlink" Target="https://talan.bank.gov.ua/get-user-certificate/sec1eU7gGUrhxTM0O2yw" TargetMode="External"/><Relationship Id="rId4949" Type="http://schemas.openxmlformats.org/officeDocument/2006/relationships/hyperlink" Target="https://talan.bank.gov.ua/get-user-certificate/sec1eWkeDsh5098utIOG" TargetMode="External"/><Relationship Id="rId3758" Type="http://schemas.openxmlformats.org/officeDocument/2006/relationships/hyperlink" Target="https://talan.bank.gov.ua/get-user-certificate/sec1e4Yi3dKQJYkMMKiG" TargetMode="External"/><Relationship Id="rId3965" Type="http://schemas.openxmlformats.org/officeDocument/2006/relationships/hyperlink" Target="https://talan.bank.gov.ua/get-user-certificate/sec1esapT20WCLIFezsy" TargetMode="External"/><Relationship Id="rId4809" Type="http://schemas.openxmlformats.org/officeDocument/2006/relationships/hyperlink" Target="https://talan.bank.gov.ua/get-user-certificate/sec1enuUrDiSWy5CX52N" TargetMode="External"/><Relationship Id="rId679" Type="http://schemas.openxmlformats.org/officeDocument/2006/relationships/hyperlink" Target="https://talan.bank.gov.ua/get-user-certificate/sec1eF5wr7exapQjTXke" TargetMode="External"/><Relationship Id="rId886" Type="http://schemas.openxmlformats.org/officeDocument/2006/relationships/hyperlink" Target="https://talan.bank.gov.ua/get-user-certificate/sec1ePBKiJXjbOgrbIsS" TargetMode="External"/><Relationship Id="rId2567" Type="http://schemas.openxmlformats.org/officeDocument/2006/relationships/hyperlink" Target="https://talan.bank.gov.ua/get-user-certificate/sec1e7ZqVM2iK2XlMu7z" TargetMode="External"/><Relationship Id="rId2774" Type="http://schemas.openxmlformats.org/officeDocument/2006/relationships/hyperlink" Target="https://talan.bank.gov.ua/get-user-certificate/sec1eaCaFdXAHuySmJeQ" TargetMode="External"/><Relationship Id="rId3618" Type="http://schemas.openxmlformats.org/officeDocument/2006/relationships/hyperlink" Target="https://talan.bank.gov.ua/get-user-certificate/sec1eaneNC2Cp2mEi_wr" TargetMode="External"/><Relationship Id="rId2" Type="http://schemas.openxmlformats.org/officeDocument/2006/relationships/hyperlink" Target="https://talan.bank.gov.ua/get-user-certificate/sec1e8y_9hL9E3P66OBs" TargetMode="External"/><Relationship Id="rId539" Type="http://schemas.openxmlformats.org/officeDocument/2006/relationships/hyperlink" Target="https://talan.bank.gov.ua/get-user-certificate/sec1eq64G_22z6k0ceiI" TargetMode="External"/><Relationship Id="rId746" Type="http://schemas.openxmlformats.org/officeDocument/2006/relationships/hyperlink" Target="https://talan.bank.gov.ua/get-user-certificate/sec1eOZKKA47onu5_ovi" TargetMode="External"/><Relationship Id="rId1169" Type="http://schemas.openxmlformats.org/officeDocument/2006/relationships/hyperlink" Target="https://talan.bank.gov.ua/get-user-certificate/sec1eDT55EEFsWCyhi6z" TargetMode="External"/><Relationship Id="rId1376" Type="http://schemas.openxmlformats.org/officeDocument/2006/relationships/hyperlink" Target="https://talan.bank.gov.ua/get-user-certificate/sec1e25vqtFDiUkmsbSB" TargetMode="External"/><Relationship Id="rId1583" Type="http://schemas.openxmlformats.org/officeDocument/2006/relationships/hyperlink" Target="https://talan.bank.gov.ua/get-user-certificate/sec1eO3USD1tAduAGTet" TargetMode="External"/><Relationship Id="rId2427" Type="http://schemas.openxmlformats.org/officeDocument/2006/relationships/hyperlink" Target="https://talan.bank.gov.ua/get-user-certificate/sec1e2BdHcB2JcdzCsEN" TargetMode="External"/><Relationship Id="rId2981" Type="http://schemas.openxmlformats.org/officeDocument/2006/relationships/hyperlink" Target="https://talan.bank.gov.ua/get-user-certificate/sec1eZM2la6TVE3doMlO" TargetMode="External"/><Relationship Id="rId3825" Type="http://schemas.openxmlformats.org/officeDocument/2006/relationships/hyperlink" Target="https://talan.bank.gov.ua/get-user-certificate/sec1esfSgsxknU4_zK0p" TargetMode="External"/><Relationship Id="rId953" Type="http://schemas.openxmlformats.org/officeDocument/2006/relationships/hyperlink" Target="https://talan.bank.gov.ua/get-user-certificate/sec1e7zX9mt9801iWLwV" TargetMode="External"/><Relationship Id="rId1029" Type="http://schemas.openxmlformats.org/officeDocument/2006/relationships/hyperlink" Target="https://talan.bank.gov.ua/get-user-certificate/sec1e2FeiBMucFP8Y5HH" TargetMode="External"/><Relationship Id="rId1236" Type="http://schemas.openxmlformats.org/officeDocument/2006/relationships/hyperlink" Target="https://talan.bank.gov.ua/get-user-certificate/sec1ehx0OyE6sD6P10LW" TargetMode="External"/><Relationship Id="rId1790" Type="http://schemas.openxmlformats.org/officeDocument/2006/relationships/hyperlink" Target="https://talan.bank.gov.ua/get-user-certificate/sec1eeVB7VzKzi_1F0SE" TargetMode="External"/><Relationship Id="rId2634" Type="http://schemas.openxmlformats.org/officeDocument/2006/relationships/hyperlink" Target="https://talan.bank.gov.ua/get-user-certificate/sec1eTp3INQFWl1enoK0" TargetMode="External"/><Relationship Id="rId2841" Type="http://schemas.openxmlformats.org/officeDocument/2006/relationships/hyperlink" Target="https://talan.bank.gov.ua/get-user-certificate/sec1eORPnCaMvUwBHcx6" TargetMode="External"/><Relationship Id="rId82" Type="http://schemas.openxmlformats.org/officeDocument/2006/relationships/hyperlink" Target="https://talan.bank.gov.ua/get-user-certificate/sec1eJ0afsYR_sQ6d5l1" TargetMode="External"/><Relationship Id="rId606" Type="http://schemas.openxmlformats.org/officeDocument/2006/relationships/hyperlink" Target="https://talan.bank.gov.ua/get-user-certificate/sec1eIj-Vvue1AS25Pe9" TargetMode="External"/><Relationship Id="rId813" Type="http://schemas.openxmlformats.org/officeDocument/2006/relationships/hyperlink" Target="https://talan.bank.gov.ua/get-user-certificate/sec1ebmSgPQ71leaBhpa" TargetMode="External"/><Relationship Id="rId1443" Type="http://schemas.openxmlformats.org/officeDocument/2006/relationships/hyperlink" Target="https://talan.bank.gov.ua/get-user-certificate/sec1eQAXinL04XckEX64" TargetMode="External"/><Relationship Id="rId1650" Type="http://schemas.openxmlformats.org/officeDocument/2006/relationships/hyperlink" Target="https://talan.bank.gov.ua/get-user-certificate/sec1eDsbG-qa9p5s_V61" TargetMode="External"/><Relationship Id="rId2701" Type="http://schemas.openxmlformats.org/officeDocument/2006/relationships/hyperlink" Target="https://talan.bank.gov.ua/get-user-certificate/sec1eHH-KlkLYHFQsNIZ" TargetMode="External"/><Relationship Id="rId4599" Type="http://schemas.openxmlformats.org/officeDocument/2006/relationships/hyperlink" Target="https://talan.bank.gov.ua/get-user-certificate/sec1eI5f5ttREn1K3AIY" TargetMode="External"/><Relationship Id="rId1303" Type="http://schemas.openxmlformats.org/officeDocument/2006/relationships/hyperlink" Target="https://talan.bank.gov.ua/get-user-certificate/sec1e--uSfGNN8VjcQlZ" TargetMode="External"/><Relationship Id="rId1510" Type="http://schemas.openxmlformats.org/officeDocument/2006/relationships/hyperlink" Target="https://talan.bank.gov.ua/get-user-certificate/sec1ewL5Fy-xewOvyp5b" TargetMode="External"/><Relationship Id="rId4459" Type="http://schemas.openxmlformats.org/officeDocument/2006/relationships/hyperlink" Target="https://talan.bank.gov.ua/get-user-certificate/sec1eqK-rzYrDt8B675k" TargetMode="External"/><Relationship Id="rId4666" Type="http://schemas.openxmlformats.org/officeDocument/2006/relationships/hyperlink" Target="https://talan.bank.gov.ua/get-user-certificate/sec1eAdedUB5wE56tFhD" TargetMode="External"/><Relationship Id="rId4873" Type="http://schemas.openxmlformats.org/officeDocument/2006/relationships/hyperlink" Target="https://talan.bank.gov.ua/get-user-certificate/sec1eorSXKKawvRbiYBd" TargetMode="External"/><Relationship Id="rId3268" Type="http://schemas.openxmlformats.org/officeDocument/2006/relationships/hyperlink" Target="https://talan.bank.gov.ua/get-user-certificate/sec1eMjn1APCaHvCxUxJ" TargetMode="External"/><Relationship Id="rId3475" Type="http://schemas.openxmlformats.org/officeDocument/2006/relationships/hyperlink" Target="https://talan.bank.gov.ua/get-user-certificate/sec1exlUmIOM3DA6FS3N" TargetMode="External"/><Relationship Id="rId3682" Type="http://schemas.openxmlformats.org/officeDocument/2006/relationships/hyperlink" Target="https://talan.bank.gov.ua/get-user-certificate/sec1ePrn-kwcBHNzuzwK" TargetMode="External"/><Relationship Id="rId4319" Type="http://schemas.openxmlformats.org/officeDocument/2006/relationships/hyperlink" Target="https://talan.bank.gov.ua/get-user-certificate/sec1eVzQl7jKFOoMKlKu" TargetMode="External"/><Relationship Id="rId4526" Type="http://schemas.openxmlformats.org/officeDocument/2006/relationships/hyperlink" Target="https://talan.bank.gov.ua/get-user-certificate/sec1eLlEO33LTkELHlPB" TargetMode="External"/><Relationship Id="rId4733" Type="http://schemas.openxmlformats.org/officeDocument/2006/relationships/hyperlink" Target="https://talan.bank.gov.ua/get-user-certificate/sec1e_sVMIb1RnNlgUJE" TargetMode="External"/><Relationship Id="rId4940" Type="http://schemas.openxmlformats.org/officeDocument/2006/relationships/hyperlink" Target="https://talan.bank.gov.ua/get-user-certificate/sec1eXh-6EZwHdHnD4dJ" TargetMode="External"/><Relationship Id="rId189" Type="http://schemas.openxmlformats.org/officeDocument/2006/relationships/hyperlink" Target="https://talan.bank.gov.ua/get-user-certificate/sec1eUrbc1xI_cGHLFBG" TargetMode="External"/><Relationship Id="rId396" Type="http://schemas.openxmlformats.org/officeDocument/2006/relationships/hyperlink" Target="https://talan.bank.gov.ua/get-user-certificate/sec1er1BG3EMlpOrbh71" TargetMode="External"/><Relationship Id="rId2077" Type="http://schemas.openxmlformats.org/officeDocument/2006/relationships/hyperlink" Target="https://talan.bank.gov.ua/get-user-certificate/sec1ehsY0P8d5U7wPSMA" TargetMode="External"/><Relationship Id="rId2284" Type="http://schemas.openxmlformats.org/officeDocument/2006/relationships/hyperlink" Target="https://talan.bank.gov.ua/get-user-certificate/sec1eVna1QtURDdddpjN" TargetMode="External"/><Relationship Id="rId2491" Type="http://schemas.openxmlformats.org/officeDocument/2006/relationships/hyperlink" Target="https://talan.bank.gov.ua/get-user-certificate/sec1eocZHpMSL8vnyok6" TargetMode="External"/><Relationship Id="rId3128" Type="http://schemas.openxmlformats.org/officeDocument/2006/relationships/hyperlink" Target="https://talan.bank.gov.ua/get-user-certificate/sec1e8yUPTo35mU13Tyk" TargetMode="External"/><Relationship Id="rId3335" Type="http://schemas.openxmlformats.org/officeDocument/2006/relationships/hyperlink" Target="https://talan.bank.gov.ua/get-user-certificate/sec1eiE3G4W42VP12dU8" TargetMode="External"/><Relationship Id="rId3542" Type="http://schemas.openxmlformats.org/officeDocument/2006/relationships/hyperlink" Target="https://talan.bank.gov.ua/get-user-certificate/sec1e3ngqatHDt5LJ-fJ" TargetMode="External"/><Relationship Id="rId256" Type="http://schemas.openxmlformats.org/officeDocument/2006/relationships/hyperlink" Target="https://talan.bank.gov.ua/get-user-certificate/sec1e667KoGewG1OdjXx" TargetMode="External"/><Relationship Id="rId463" Type="http://schemas.openxmlformats.org/officeDocument/2006/relationships/hyperlink" Target="https://talan.bank.gov.ua/get-user-certificate/sec1ef_EpIpiXcs45vnC" TargetMode="External"/><Relationship Id="rId670" Type="http://schemas.openxmlformats.org/officeDocument/2006/relationships/hyperlink" Target="https://talan.bank.gov.ua/get-user-certificate/sec1eEUS6GrASOJSiX1-" TargetMode="External"/><Relationship Id="rId1093" Type="http://schemas.openxmlformats.org/officeDocument/2006/relationships/hyperlink" Target="https://talan.bank.gov.ua/get-user-certificate/sec1eXLSez4OTycGf_Vy" TargetMode="External"/><Relationship Id="rId2144" Type="http://schemas.openxmlformats.org/officeDocument/2006/relationships/hyperlink" Target="https://talan.bank.gov.ua/get-user-certificate/sec1e9opRirRWhqYH87-" TargetMode="External"/><Relationship Id="rId2351" Type="http://schemas.openxmlformats.org/officeDocument/2006/relationships/hyperlink" Target="https://talan.bank.gov.ua/get-user-certificate/sec1edG2xlc5BSQeyshl" TargetMode="External"/><Relationship Id="rId3402" Type="http://schemas.openxmlformats.org/officeDocument/2006/relationships/hyperlink" Target="https://talan.bank.gov.ua/get-user-certificate/sec1e0QauUBXu4w8PvIw" TargetMode="External"/><Relationship Id="rId4800" Type="http://schemas.openxmlformats.org/officeDocument/2006/relationships/hyperlink" Target="https://talan.bank.gov.ua/get-user-certificate/sec1e7hglmTnKNy-6U7i" TargetMode="External"/><Relationship Id="rId116" Type="http://schemas.openxmlformats.org/officeDocument/2006/relationships/hyperlink" Target="https://talan.bank.gov.ua/get-user-certificate/sec1eEHxmNqEkX08zlur" TargetMode="External"/><Relationship Id="rId323" Type="http://schemas.openxmlformats.org/officeDocument/2006/relationships/hyperlink" Target="https://talan.bank.gov.ua/get-user-certificate/sec1ep02gIPJofxJQ0pB" TargetMode="External"/><Relationship Id="rId530" Type="http://schemas.openxmlformats.org/officeDocument/2006/relationships/hyperlink" Target="https://talan.bank.gov.ua/get-user-certificate/sec1eevE4YbIv8zOuC9K" TargetMode="External"/><Relationship Id="rId1160" Type="http://schemas.openxmlformats.org/officeDocument/2006/relationships/hyperlink" Target="https://talan.bank.gov.ua/get-user-certificate/sec1edaY6SPyvT-pdI4y" TargetMode="External"/><Relationship Id="rId2004" Type="http://schemas.openxmlformats.org/officeDocument/2006/relationships/hyperlink" Target="https://talan.bank.gov.ua/get-user-certificate/sec1edZ2aR7a_Ncy1Egn" TargetMode="External"/><Relationship Id="rId2211" Type="http://schemas.openxmlformats.org/officeDocument/2006/relationships/hyperlink" Target="https://talan.bank.gov.ua/get-user-certificate/sec1edvLrDhuoiHMUwU4" TargetMode="External"/><Relationship Id="rId4176" Type="http://schemas.openxmlformats.org/officeDocument/2006/relationships/hyperlink" Target="https://talan.bank.gov.ua/get-user-certificate/sec1ezuOvHMR5Gq-DZdB" TargetMode="External"/><Relationship Id="rId1020" Type="http://schemas.openxmlformats.org/officeDocument/2006/relationships/hyperlink" Target="https://talan.bank.gov.ua/get-user-certificate/sec1eQPRHQcGtL5YJ6fF" TargetMode="External"/><Relationship Id="rId1977" Type="http://schemas.openxmlformats.org/officeDocument/2006/relationships/hyperlink" Target="https://talan.bank.gov.ua/get-user-certificate/sec1ecRUSDSqrKgYpjRH" TargetMode="External"/><Relationship Id="rId4383" Type="http://schemas.openxmlformats.org/officeDocument/2006/relationships/hyperlink" Target="https://talan.bank.gov.ua/get-user-certificate/sec1eszu9mHKH2PXNmFu" TargetMode="External"/><Relationship Id="rId4590" Type="http://schemas.openxmlformats.org/officeDocument/2006/relationships/hyperlink" Target="https://talan.bank.gov.ua/get-user-certificate/sec1eTmkiHh5eq4vXy9E" TargetMode="External"/><Relationship Id="rId1837" Type="http://schemas.openxmlformats.org/officeDocument/2006/relationships/hyperlink" Target="https://talan.bank.gov.ua/get-user-certificate/sec1eYHoQUvmXQKTjq1G" TargetMode="External"/><Relationship Id="rId3192" Type="http://schemas.openxmlformats.org/officeDocument/2006/relationships/hyperlink" Target="https://talan.bank.gov.ua/get-user-certificate/sec1egzDFmD0qvd6biDG" TargetMode="External"/><Relationship Id="rId4036" Type="http://schemas.openxmlformats.org/officeDocument/2006/relationships/hyperlink" Target="https://talan.bank.gov.ua/get-user-certificate/sec1e5q59nvzrl2rQvsf" TargetMode="External"/><Relationship Id="rId4243" Type="http://schemas.openxmlformats.org/officeDocument/2006/relationships/hyperlink" Target="https://talan.bank.gov.ua/get-user-certificate/sec1eEJCwq7SpAtiRrOr" TargetMode="External"/><Relationship Id="rId4450" Type="http://schemas.openxmlformats.org/officeDocument/2006/relationships/hyperlink" Target="https://talan.bank.gov.ua/get-user-certificate/sec1ejLeIzTt-6EzI9ux" TargetMode="External"/><Relationship Id="rId3052" Type="http://schemas.openxmlformats.org/officeDocument/2006/relationships/hyperlink" Target="https://talan.bank.gov.ua/get-user-certificate/sec1ejpao3qHJrvlJq3q" TargetMode="External"/><Relationship Id="rId4103" Type="http://schemas.openxmlformats.org/officeDocument/2006/relationships/hyperlink" Target="https://talan.bank.gov.ua/get-user-certificate/sec1e-VHDcDIXeIKkRrl" TargetMode="External"/><Relationship Id="rId4310" Type="http://schemas.openxmlformats.org/officeDocument/2006/relationships/hyperlink" Target="https://talan.bank.gov.ua/get-user-certificate/sec1eORoZXaaR_FjntKX" TargetMode="External"/><Relationship Id="rId180" Type="http://schemas.openxmlformats.org/officeDocument/2006/relationships/hyperlink" Target="https://talan.bank.gov.ua/get-user-certificate/sec1epvVbCfink_XwPr8" TargetMode="External"/><Relationship Id="rId1904" Type="http://schemas.openxmlformats.org/officeDocument/2006/relationships/hyperlink" Target="https://talan.bank.gov.ua/get-user-certificate/sec1eYZjucs_X401Xosz" TargetMode="External"/><Relationship Id="rId3869" Type="http://schemas.openxmlformats.org/officeDocument/2006/relationships/hyperlink" Target="https://talan.bank.gov.ua/get-user-certificate/sec1e1gQAdtSND38EO5x" TargetMode="External"/><Relationship Id="rId997" Type="http://schemas.openxmlformats.org/officeDocument/2006/relationships/hyperlink" Target="https://talan.bank.gov.ua/get-user-certificate/sec1eKyQkwJFYjwU-DAK" TargetMode="External"/><Relationship Id="rId2678" Type="http://schemas.openxmlformats.org/officeDocument/2006/relationships/hyperlink" Target="https://talan.bank.gov.ua/get-user-certificate/sec1egH-s9LXSI0dX3rS" TargetMode="External"/><Relationship Id="rId2885" Type="http://schemas.openxmlformats.org/officeDocument/2006/relationships/hyperlink" Target="https://talan.bank.gov.ua/get-user-certificate/sec1enFN9eklOTwzDmVR" TargetMode="External"/><Relationship Id="rId3729" Type="http://schemas.openxmlformats.org/officeDocument/2006/relationships/hyperlink" Target="https://talan.bank.gov.ua/get-user-certificate/sec1e9HJ5sdoBMw93mxA" TargetMode="External"/><Relationship Id="rId3936" Type="http://schemas.openxmlformats.org/officeDocument/2006/relationships/hyperlink" Target="https://talan.bank.gov.ua/get-user-certificate/sec1e_eKQChGwhWfLWpl" TargetMode="External"/><Relationship Id="rId857" Type="http://schemas.openxmlformats.org/officeDocument/2006/relationships/hyperlink" Target="https://talan.bank.gov.ua/get-user-certificate/sec1e-b0tbDhcvD0xkkb" TargetMode="External"/><Relationship Id="rId1487" Type="http://schemas.openxmlformats.org/officeDocument/2006/relationships/hyperlink" Target="https://talan.bank.gov.ua/get-user-certificate/sec1e6C9kAE3yDKAPYLT" TargetMode="External"/><Relationship Id="rId1694" Type="http://schemas.openxmlformats.org/officeDocument/2006/relationships/hyperlink" Target="https://talan.bank.gov.ua/get-user-certificate/sec1ewUiwE5DZvewtQGE" TargetMode="External"/><Relationship Id="rId2538" Type="http://schemas.openxmlformats.org/officeDocument/2006/relationships/hyperlink" Target="https://talan.bank.gov.ua/get-user-certificate/sec1egmyjxjEIBpvVFeX" TargetMode="External"/><Relationship Id="rId2745" Type="http://schemas.openxmlformats.org/officeDocument/2006/relationships/hyperlink" Target="https://talan.bank.gov.ua/get-user-certificate/sec1emkn_zeWh42LMK6I" TargetMode="External"/><Relationship Id="rId2952" Type="http://schemas.openxmlformats.org/officeDocument/2006/relationships/hyperlink" Target="https://talan.bank.gov.ua/get-user-certificate/sec1e9KAk2LUk6qBZICs" TargetMode="External"/><Relationship Id="rId717" Type="http://schemas.openxmlformats.org/officeDocument/2006/relationships/hyperlink" Target="https://talan.bank.gov.ua/get-user-certificate/sec1eyboeFZ6w6Hy07z_" TargetMode="External"/><Relationship Id="rId924" Type="http://schemas.openxmlformats.org/officeDocument/2006/relationships/hyperlink" Target="https://talan.bank.gov.ua/get-user-certificate/sec1eXK5-0aAZHsILljK" TargetMode="External"/><Relationship Id="rId1347" Type="http://schemas.openxmlformats.org/officeDocument/2006/relationships/hyperlink" Target="https://talan.bank.gov.ua/get-user-certificate/sec1eBndzRJB5YmRii7z" TargetMode="External"/><Relationship Id="rId1554" Type="http://schemas.openxmlformats.org/officeDocument/2006/relationships/hyperlink" Target="https://talan.bank.gov.ua/get-user-certificate/sec1ePxIrsU2Ny0t2Tf1" TargetMode="External"/><Relationship Id="rId1761" Type="http://schemas.openxmlformats.org/officeDocument/2006/relationships/hyperlink" Target="https://talan.bank.gov.ua/get-user-certificate/sec1e3Xw11HQzY6ZVLbE" TargetMode="External"/><Relationship Id="rId2605" Type="http://schemas.openxmlformats.org/officeDocument/2006/relationships/hyperlink" Target="https://talan.bank.gov.ua/get-user-certificate/sec1eIm1ljTY8xbPFteY" TargetMode="External"/><Relationship Id="rId2812" Type="http://schemas.openxmlformats.org/officeDocument/2006/relationships/hyperlink" Target="https://talan.bank.gov.ua/get-user-certificate/sec1e1a1r3yo0Xli19IF" TargetMode="External"/><Relationship Id="rId5011" Type="http://schemas.openxmlformats.org/officeDocument/2006/relationships/hyperlink" Target="https://talan.bank.gov.ua/get-user-certificate/f7i-s3-mxQncSsfI8qvL" TargetMode="External"/><Relationship Id="rId53" Type="http://schemas.openxmlformats.org/officeDocument/2006/relationships/hyperlink" Target="https://talan.bank.gov.ua/get-user-certificate/sec1e2i0-Lj0BFWhcSIh" TargetMode="External"/><Relationship Id="rId1207" Type="http://schemas.openxmlformats.org/officeDocument/2006/relationships/hyperlink" Target="https://talan.bank.gov.ua/get-user-certificate/sec1ehfXhBmRHLfuF0he" TargetMode="External"/><Relationship Id="rId1414" Type="http://schemas.openxmlformats.org/officeDocument/2006/relationships/hyperlink" Target="https://talan.bank.gov.ua/get-user-certificate/sec1eX5v-655933iQTts" TargetMode="External"/><Relationship Id="rId1621" Type="http://schemas.openxmlformats.org/officeDocument/2006/relationships/hyperlink" Target="https://talan.bank.gov.ua/get-user-certificate/sec1e56sjQOWP-luywPl" TargetMode="External"/><Relationship Id="rId4777" Type="http://schemas.openxmlformats.org/officeDocument/2006/relationships/hyperlink" Target="https://talan.bank.gov.ua/get-user-certificate/sec1eiWPxeK42uOFOyrO" TargetMode="External"/><Relationship Id="rId4984" Type="http://schemas.openxmlformats.org/officeDocument/2006/relationships/hyperlink" Target="https://talan.bank.gov.ua/get-user-certificate/sec1eSI9dKtoYYWdHWNu" TargetMode="External"/><Relationship Id="rId3379" Type="http://schemas.openxmlformats.org/officeDocument/2006/relationships/hyperlink" Target="https://talan.bank.gov.ua/get-user-certificate/sec1e8SrYLmHkjbfzH4Z" TargetMode="External"/><Relationship Id="rId3586" Type="http://schemas.openxmlformats.org/officeDocument/2006/relationships/hyperlink" Target="https://talan.bank.gov.ua/get-user-certificate/sec1efax-CLTRTm5Orrr" TargetMode="External"/><Relationship Id="rId3793" Type="http://schemas.openxmlformats.org/officeDocument/2006/relationships/hyperlink" Target="https://talan.bank.gov.ua/get-user-certificate/sec1ePTAgUCerSKAy4k4" TargetMode="External"/><Relationship Id="rId4637" Type="http://schemas.openxmlformats.org/officeDocument/2006/relationships/hyperlink" Target="https://talan.bank.gov.ua/get-user-certificate/sec1eXM-n-UFim62ulWa" TargetMode="External"/><Relationship Id="rId2188" Type="http://schemas.openxmlformats.org/officeDocument/2006/relationships/hyperlink" Target="https://talan.bank.gov.ua/get-user-certificate/sec1e64dlp1bWe41zWy5" TargetMode="External"/><Relationship Id="rId2395" Type="http://schemas.openxmlformats.org/officeDocument/2006/relationships/hyperlink" Target="https://talan.bank.gov.ua/get-user-certificate/sec1egYA9yzFTPDv5bIT" TargetMode="External"/><Relationship Id="rId3239" Type="http://schemas.openxmlformats.org/officeDocument/2006/relationships/hyperlink" Target="https://talan.bank.gov.ua/get-user-certificate/sec1ed-DLOQYkhEy4Yl_" TargetMode="External"/><Relationship Id="rId3446" Type="http://schemas.openxmlformats.org/officeDocument/2006/relationships/hyperlink" Target="https://talan.bank.gov.ua/get-user-certificate/sec1eoC-dC79Fx9djpmo" TargetMode="External"/><Relationship Id="rId4844" Type="http://schemas.openxmlformats.org/officeDocument/2006/relationships/hyperlink" Target="https://talan.bank.gov.ua/get-user-certificate/sec1e5zJxpcz7cI5DrBP" TargetMode="External"/><Relationship Id="rId367" Type="http://schemas.openxmlformats.org/officeDocument/2006/relationships/hyperlink" Target="https://talan.bank.gov.ua/get-user-certificate/sec1ec6dW7Gu8flMAQzf" TargetMode="External"/><Relationship Id="rId574" Type="http://schemas.openxmlformats.org/officeDocument/2006/relationships/hyperlink" Target="https://talan.bank.gov.ua/get-user-certificate/sec1egrcye1jyy4tFkYH" TargetMode="External"/><Relationship Id="rId2048" Type="http://schemas.openxmlformats.org/officeDocument/2006/relationships/hyperlink" Target="https://talan.bank.gov.ua/get-user-certificate/sec1egeBXBi2PaR4ckOU" TargetMode="External"/><Relationship Id="rId2255" Type="http://schemas.openxmlformats.org/officeDocument/2006/relationships/hyperlink" Target="https://talan.bank.gov.ua/get-user-certificate/sec1eOlkJr85b0E7oFp2" TargetMode="External"/><Relationship Id="rId3653" Type="http://schemas.openxmlformats.org/officeDocument/2006/relationships/hyperlink" Target="https://talan.bank.gov.ua/get-user-certificate/sec1eudSGdw4ktA_5dWA" TargetMode="External"/><Relationship Id="rId3860" Type="http://schemas.openxmlformats.org/officeDocument/2006/relationships/hyperlink" Target="https://talan.bank.gov.ua/get-user-certificate/sec1eaZKF1ucIW_eiGnh" TargetMode="External"/><Relationship Id="rId4704" Type="http://schemas.openxmlformats.org/officeDocument/2006/relationships/hyperlink" Target="https://talan.bank.gov.ua/get-user-certificate/sec1eyS5jbPs3odRDxIl" TargetMode="External"/><Relationship Id="rId4911" Type="http://schemas.openxmlformats.org/officeDocument/2006/relationships/hyperlink" Target="https://talan.bank.gov.ua/get-user-certificate/sec1e2Gri8Y6OipgO_M-" TargetMode="External"/><Relationship Id="rId227" Type="http://schemas.openxmlformats.org/officeDocument/2006/relationships/hyperlink" Target="https://talan.bank.gov.ua/get-user-certificate/sec1ehl6ES89fSzjrmFc" TargetMode="External"/><Relationship Id="rId781" Type="http://schemas.openxmlformats.org/officeDocument/2006/relationships/hyperlink" Target="https://talan.bank.gov.ua/get-user-certificate/sec1eQj-lLyJhAdh9p9T" TargetMode="External"/><Relationship Id="rId2462" Type="http://schemas.openxmlformats.org/officeDocument/2006/relationships/hyperlink" Target="https://talan.bank.gov.ua/get-user-certificate/sec1e8kJqhHgI-4aZE8P" TargetMode="External"/><Relationship Id="rId3306" Type="http://schemas.openxmlformats.org/officeDocument/2006/relationships/hyperlink" Target="https://talan.bank.gov.ua/get-user-certificate/sec1et6IYxpOOBn7C45U" TargetMode="External"/><Relationship Id="rId3513" Type="http://schemas.openxmlformats.org/officeDocument/2006/relationships/hyperlink" Target="https://talan.bank.gov.ua/get-user-certificate/sec1eFxTonZXdplsoOL7" TargetMode="External"/><Relationship Id="rId3720" Type="http://schemas.openxmlformats.org/officeDocument/2006/relationships/hyperlink" Target="https://talan.bank.gov.ua/get-user-certificate/sec1elaPGE4nZPyjLN8Q" TargetMode="External"/><Relationship Id="rId434" Type="http://schemas.openxmlformats.org/officeDocument/2006/relationships/hyperlink" Target="https://talan.bank.gov.ua/get-user-certificate/sec1emix2LGoEwZLZnic" TargetMode="External"/><Relationship Id="rId641" Type="http://schemas.openxmlformats.org/officeDocument/2006/relationships/hyperlink" Target="https://talan.bank.gov.ua/get-user-certificate/sec1eGOTnJV97fpqJDv2" TargetMode="External"/><Relationship Id="rId1064" Type="http://schemas.openxmlformats.org/officeDocument/2006/relationships/hyperlink" Target="https://talan.bank.gov.ua/get-user-certificate/sec1ew9_ainZqIiUVZhe" TargetMode="External"/><Relationship Id="rId1271" Type="http://schemas.openxmlformats.org/officeDocument/2006/relationships/hyperlink" Target="https://talan.bank.gov.ua/get-user-certificate/sec1e2gwS_30e_qLG6KR" TargetMode="External"/><Relationship Id="rId2115" Type="http://schemas.openxmlformats.org/officeDocument/2006/relationships/hyperlink" Target="https://talan.bank.gov.ua/get-user-certificate/sec1etLhzYJAd-3Zftg1" TargetMode="External"/><Relationship Id="rId2322" Type="http://schemas.openxmlformats.org/officeDocument/2006/relationships/hyperlink" Target="https://talan.bank.gov.ua/get-user-certificate/sec1ex03f0kZj6-tthfJ" TargetMode="External"/><Relationship Id="rId501" Type="http://schemas.openxmlformats.org/officeDocument/2006/relationships/hyperlink" Target="https://talan.bank.gov.ua/get-user-certificate/sec1eVm2YBZ7F6QkZy_F" TargetMode="External"/><Relationship Id="rId1131" Type="http://schemas.openxmlformats.org/officeDocument/2006/relationships/hyperlink" Target="https://talan.bank.gov.ua/get-user-certificate/sec1ez6npuUpXPeQhTKy" TargetMode="External"/><Relationship Id="rId4287" Type="http://schemas.openxmlformats.org/officeDocument/2006/relationships/hyperlink" Target="https://talan.bank.gov.ua/get-user-certificate/sec1eeFpMq452VbvHB2I" TargetMode="External"/><Relationship Id="rId4494" Type="http://schemas.openxmlformats.org/officeDocument/2006/relationships/hyperlink" Target="https://talan.bank.gov.ua/get-user-certificate/sec1evFYrm074iVij3II" TargetMode="External"/><Relationship Id="rId3096" Type="http://schemas.openxmlformats.org/officeDocument/2006/relationships/hyperlink" Target="https://talan.bank.gov.ua/get-user-certificate/sec1ema20B-8lom566ZS" TargetMode="External"/><Relationship Id="rId4147" Type="http://schemas.openxmlformats.org/officeDocument/2006/relationships/hyperlink" Target="https://talan.bank.gov.ua/get-user-certificate/sec1eqTle4cHfh1TrtrY" TargetMode="External"/><Relationship Id="rId4354" Type="http://schemas.openxmlformats.org/officeDocument/2006/relationships/hyperlink" Target="https://talan.bank.gov.ua/get-user-certificate/sec1eYlw_9pBQqX0NjYM" TargetMode="External"/><Relationship Id="rId4561" Type="http://schemas.openxmlformats.org/officeDocument/2006/relationships/hyperlink" Target="https://talan.bank.gov.ua/get-user-certificate/sec1eECGIpuciuonaQ48" TargetMode="External"/><Relationship Id="rId1948" Type="http://schemas.openxmlformats.org/officeDocument/2006/relationships/hyperlink" Target="https://talan.bank.gov.ua/get-user-certificate/sec1ehXGBrPCeON2oe6y" TargetMode="External"/><Relationship Id="rId3163" Type="http://schemas.openxmlformats.org/officeDocument/2006/relationships/hyperlink" Target="https://talan.bank.gov.ua/get-user-certificate/sec1egEnX61nmzZgOI_F" TargetMode="External"/><Relationship Id="rId3370" Type="http://schemas.openxmlformats.org/officeDocument/2006/relationships/hyperlink" Target="https://talan.bank.gov.ua/get-user-certificate/sec1eEF8YzcVeVZWehzz" TargetMode="External"/><Relationship Id="rId4007" Type="http://schemas.openxmlformats.org/officeDocument/2006/relationships/hyperlink" Target="https://talan.bank.gov.ua/get-user-certificate/sec1ebyPp6eqMoko0YWi" TargetMode="External"/><Relationship Id="rId4214" Type="http://schemas.openxmlformats.org/officeDocument/2006/relationships/hyperlink" Target="https://talan.bank.gov.ua/get-user-certificate/sec1e2-8KNjyyoGjl32G" TargetMode="External"/><Relationship Id="rId4421" Type="http://schemas.openxmlformats.org/officeDocument/2006/relationships/hyperlink" Target="https://talan.bank.gov.ua/get-user-certificate/sec1eEtqjHvKLIUto6Ih" TargetMode="External"/><Relationship Id="rId291" Type="http://schemas.openxmlformats.org/officeDocument/2006/relationships/hyperlink" Target="https://talan.bank.gov.ua/get-user-certificate/sec1eMO8kLlMJBa4gw3X" TargetMode="External"/><Relationship Id="rId1808" Type="http://schemas.openxmlformats.org/officeDocument/2006/relationships/hyperlink" Target="https://talan.bank.gov.ua/get-user-certificate/sec1ePM2edTMXjw1HppG" TargetMode="External"/><Relationship Id="rId3023" Type="http://schemas.openxmlformats.org/officeDocument/2006/relationships/hyperlink" Target="https://talan.bank.gov.ua/get-user-certificate/sec1eVLQ76lC9OmQIxJf" TargetMode="External"/><Relationship Id="rId151" Type="http://schemas.openxmlformats.org/officeDocument/2006/relationships/hyperlink" Target="https://talan.bank.gov.ua/get-user-certificate/sec1eL_rzSOmRj9bp_an" TargetMode="External"/><Relationship Id="rId3230" Type="http://schemas.openxmlformats.org/officeDocument/2006/relationships/hyperlink" Target="https://talan.bank.gov.ua/get-user-certificate/sec1e9VwHTFhJLb35qgu" TargetMode="External"/><Relationship Id="rId2789" Type="http://schemas.openxmlformats.org/officeDocument/2006/relationships/hyperlink" Target="https://talan.bank.gov.ua/get-user-certificate/sec1echCt-00_blGQmjc" TargetMode="External"/><Relationship Id="rId2996" Type="http://schemas.openxmlformats.org/officeDocument/2006/relationships/hyperlink" Target="https://talan.bank.gov.ua/get-user-certificate/sec1eH47bLvqQNWx_WaA" TargetMode="External"/><Relationship Id="rId968" Type="http://schemas.openxmlformats.org/officeDocument/2006/relationships/hyperlink" Target="https://talan.bank.gov.ua/get-user-certificate/sec1eIL-hedEIrM4RtCx" TargetMode="External"/><Relationship Id="rId1598" Type="http://schemas.openxmlformats.org/officeDocument/2006/relationships/hyperlink" Target="https://talan.bank.gov.ua/get-user-certificate/sec1etaKea7rGTHA3V-F" TargetMode="External"/><Relationship Id="rId2649" Type="http://schemas.openxmlformats.org/officeDocument/2006/relationships/hyperlink" Target="https://talan.bank.gov.ua/get-user-certificate/sec1eB6R4G6rNXIxeX9R" TargetMode="External"/><Relationship Id="rId2856" Type="http://schemas.openxmlformats.org/officeDocument/2006/relationships/hyperlink" Target="https://talan.bank.gov.ua/get-user-certificate/sec1eTf-LzgWcpReCXq_" TargetMode="External"/><Relationship Id="rId3907" Type="http://schemas.openxmlformats.org/officeDocument/2006/relationships/hyperlink" Target="https://talan.bank.gov.ua/get-user-certificate/sec1epZi_icpun2ad2Zj" TargetMode="External"/><Relationship Id="rId97" Type="http://schemas.openxmlformats.org/officeDocument/2006/relationships/hyperlink" Target="https://talan.bank.gov.ua/get-user-certificate/sec1enqbQE73X8CZ1vPx" TargetMode="External"/><Relationship Id="rId828" Type="http://schemas.openxmlformats.org/officeDocument/2006/relationships/hyperlink" Target="https://talan.bank.gov.ua/get-user-certificate/sec1eMYni2Ye2rzMqN6T" TargetMode="External"/><Relationship Id="rId1458" Type="http://schemas.openxmlformats.org/officeDocument/2006/relationships/hyperlink" Target="https://talan.bank.gov.ua/get-user-certificate/sec1eFykWSZs_b8nBm2D" TargetMode="External"/><Relationship Id="rId1665" Type="http://schemas.openxmlformats.org/officeDocument/2006/relationships/hyperlink" Target="https://talan.bank.gov.ua/get-user-certificate/sec1egVZgXHGUGqNVpV2" TargetMode="External"/><Relationship Id="rId1872" Type="http://schemas.openxmlformats.org/officeDocument/2006/relationships/hyperlink" Target="https://talan.bank.gov.ua/get-user-certificate/sec1eEwIHRt5Vnh6bAOu" TargetMode="External"/><Relationship Id="rId2509" Type="http://schemas.openxmlformats.org/officeDocument/2006/relationships/hyperlink" Target="https://talan.bank.gov.ua/get-user-certificate/sec1e_vIxR_dEqcwwAiT" TargetMode="External"/><Relationship Id="rId2716" Type="http://schemas.openxmlformats.org/officeDocument/2006/relationships/hyperlink" Target="https://talan.bank.gov.ua/get-user-certificate/sec1eqbO-_CzDAmd-RKR" TargetMode="External"/><Relationship Id="rId4071" Type="http://schemas.openxmlformats.org/officeDocument/2006/relationships/hyperlink" Target="https://talan.bank.gov.ua/get-user-certificate/sec1eCqpjVVcRIu11jtj" TargetMode="External"/><Relationship Id="rId1318" Type="http://schemas.openxmlformats.org/officeDocument/2006/relationships/hyperlink" Target="https://talan.bank.gov.ua/get-user-certificate/sec1es8H4CXVhnGP_uED" TargetMode="External"/><Relationship Id="rId1525" Type="http://schemas.openxmlformats.org/officeDocument/2006/relationships/hyperlink" Target="https://talan.bank.gov.ua/get-user-certificate/sec1e94KsmVf2_1H61El" TargetMode="External"/><Relationship Id="rId2923" Type="http://schemas.openxmlformats.org/officeDocument/2006/relationships/hyperlink" Target="https://talan.bank.gov.ua/get-user-certificate/sec1ekHLIHsmmmw-K3Vz" TargetMode="External"/><Relationship Id="rId1732" Type="http://schemas.openxmlformats.org/officeDocument/2006/relationships/hyperlink" Target="https://talan.bank.gov.ua/get-user-certificate/sec1emEBp6QbJ72M2kC4" TargetMode="External"/><Relationship Id="rId4888" Type="http://schemas.openxmlformats.org/officeDocument/2006/relationships/hyperlink" Target="https://talan.bank.gov.ua/get-user-certificate/sec1e951VGvWd_nfzZ10" TargetMode="External"/><Relationship Id="rId24" Type="http://schemas.openxmlformats.org/officeDocument/2006/relationships/hyperlink" Target="https://talan.bank.gov.ua/get-user-certificate/sec1eLtV9HTfVmJ8Q85m" TargetMode="External"/><Relationship Id="rId2299" Type="http://schemas.openxmlformats.org/officeDocument/2006/relationships/hyperlink" Target="https://talan.bank.gov.ua/get-user-certificate/sec1edQtt9oBvmsmCewr" TargetMode="External"/><Relationship Id="rId3697" Type="http://schemas.openxmlformats.org/officeDocument/2006/relationships/hyperlink" Target="https://talan.bank.gov.ua/get-user-certificate/sec1e6GyJ6yxkd9Ow6G8" TargetMode="External"/><Relationship Id="rId4748" Type="http://schemas.openxmlformats.org/officeDocument/2006/relationships/hyperlink" Target="https://talan.bank.gov.ua/get-user-certificate/sec1eTetuCCIepHMWKQQ" TargetMode="External"/><Relationship Id="rId4955" Type="http://schemas.openxmlformats.org/officeDocument/2006/relationships/hyperlink" Target="https://talan.bank.gov.ua/get-user-certificate/sec1eZK2CsFWoo0hElan" TargetMode="External"/><Relationship Id="rId3557" Type="http://schemas.openxmlformats.org/officeDocument/2006/relationships/hyperlink" Target="https://talan.bank.gov.ua/get-user-certificate/sec1eTDjrPJwjlo70JFn" TargetMode="External"/><Relationship Id="rId3764" Type="http://schemas.openxmlformats.org/officeDocument/2006/relationships/hyperlink" Target="https://talan.bank.gov.ua/get-user-certificate/sec1exh2e7p9zmbfkOWJ" TargetMode="External"/><Relationship Id="rId3971" Type="http://schemas.openxmlformats.org/officeDocument/2006/relationships/hyperlink" Target="https://talan.bank.gov.ua/get-user-certificate/sec1eudyEeGliwrjqmKr" TargetMode="External"/><Relationship Id="rId4608" Type="http://schemas.openxmlformats.org/officeDocument/2006/relationships/hyperlink" Target="https://talan.bank.gov.ua/get-user-certificate/sec1eMa0lXQ5hr9GjuEC" TargetMode="External"/><Relationship Id="rId4815" Type="http://schemas.openxmlformats.org/officeDocument/2006/relationships/hyperlink" Target="https://talan.bank.gov.ua/get-user-certificate/sec1e7lL59EenQhWdWo2" TargetMode="External"/><Relationship Id="rId478" Type="http://schemas.openxmlformats.org/officeDocument/2006/relationships/hyperlink" Target="https://talan.bank.gov.ua/get-user-certificate/sec1eC0gFqtCl514re98" TargetMode="External"/><Relationship Id="rId685" Type="http://schemas.openxmlformats.org/officeDocument/2006/relationships/hyperlink" Target="https://talan.bank.gov.ua/get-user-certificate/sec1enCZM6F4FhlLCUKh" TargetMode="External"/><Relationship Id="rId892" Type="http://schemas.openxmlformats.org/officeDocument/2006/relationships/hyperlink" Target="https://talan.bank.gov.ua/get-user-certificate/sec1eKzQtejJpKWyW3T6" TargetMode="External"/><Relationship Id="rId2159" Type="http://schemas.openxmlformats.org/officeDocument/2006/relationships/hyperlink" Target="https://talan.bank.gov.ua/get-user-certificate/sec1e8X2x1scZPd_RHyX" TargetMode="External"/><Relationship Id="rId2366" Type="http://schemas.openxmlformats.org/officeDocument/2006/relationships/hyperlink" Target="https://talan.bank.gov.ua/get-user-certificate/sec1etvE6SArYwQE73Q4" TargetMode="External"/><Relationship Id="rId2573" Type="http://schemas.openxmlformats.org/officeDocument/2006/relationships/hyperlink" Target="https://talan.bank.gov.ua/get-user-certificate/sec1ev4l3e6ioSUeANI0" TargetMode="External"/><Relationship Id="rId2780" Type="http://schemas.openxmlformats.org/officeDocument/2006/relationships/hyperlink" Target="https://talan.bank.gov.ua/get-user-certificate/sec1eVhC3Ne7DFEYU3cp" TargetMode="External"/><Relationship Id="rId3417" Type="http://schemas.openxmlformats.org/officeDocument/2006/relationships/hyperlink" Target="https://talan.bank.gov.ua/get-user-certificate/sec1e0-saVwU5JqUJpiC" TargetMode="External"/><Relationship Id="rId3624" Type="http://schemas.openxmlformats.org/officeDocument/2006/relationships/hyperlink" Target="https://talan.bank.gov.ua/get-user-certificate/sec1e1g9gYLs92FwEPXe" TargetMode="External"/><Relationship Id="rId3831" Type="http://schemas.openxmlformats.org/officeDocument/2006/relationships/hyperlink" Target="https://talan.bank.gov.ua/get-user-certificate/sec1eFupSeE5PaKU3Cbb" TargetMode="External"/><Relationship Id="rId338" Type="http://schemas.openxmlformats.org/officeDocument/2006/relationships/hyperlink" Target="https://talan.bank.gov.ua/get-user-certificate/sec1eLwSO5-tKAIthPVw" TargetMode="External"/><Relationship Id="rId545" Type="http://schemas.openxmlformats.org/officeDocument/2006/relationships/hyperlink" Target="https://talan.bank.gov.ua/get-user-certificate/sec1e7l13d0yxdH2aZNP" TargetMode="External"/><Relationship Id="rId752" Type="http://schemas.openxmlformats.org/officeDocument/2006/relationships/hyperlink" Target="https://talan.bank.gov.ua/get-user-certificate/sec1eK3WP8sN_nfuZK7a" TargetMode="External"/><Relationship Id="rId1175" Type="http://schemas.openxmlformats.org/officeDocument/2006/relationships/hyperlink" Target="https://talan.bank.gov.ua/get-user-certificate/sec1eytIH_CUmnXT7-b_" TargetMode="External"/><Relationship Id="rId1382" Type="http://schemas.openxmlformats.org/officeDocument/2006/relationships/hyperlink" Target="https://talan.bank.gov.ua/get-user-certificate/sec1eyuWfSOlC9p5onft" TargetMode="External"/><Relationship Id="rId2019" Type="http://schemas.openxmlformats.org/officeDocument/2006/relationships/hyperlink" Target="https://talan.bank.gov.ua/get-user-certificate/sec1eiEthjHP4sB4510i" TargetMode="External"/><Relationship Id="rId2226" Type="http://schemas.openxmlformats.org/officeDocument/2006/relationships/hyperlink" Target="https://talan.bank.gov.ua/get-user-certificate/sec1exk7ce-iNIy-M8K-" TargetMode="External"/><Relationship Id="rId2433" Type="http://schemas.openxmlformats.org/officeDocument/2006/relationships/hyperlink" Target="https://talan.bank.gov.ua/get-user-certificate/sec1ene8dlJ7WYHTfJXY" TargetMode="External"/><Relationship Id="rId2640" Type="http://schemas.openxmlformats.org/officeDocument/2006/relationships/hyperlink" Target="https://talan.bank.gov.ua/get-user-certificate/sec1eFH7Sfnja1Pa2T1_" TargetMode="External"/><Relationship Id="rId405" Type="http://schemas.openxmlformats.org/officeDocument/2006/relationships/hyperlink" Target="https://talan.bank.gov.ua/get-user-certificate/sec1eNCVOjxlU2CqafLs" TargetMode="External"/><Relationship Id="rId612" Type="http://schemas.openxmlformats.org/officeDocument/2006/relationships/hyperlink" Target="https://talan.bank.gov.ua/get-user-certificate/sec1ewgMdNL2EepsvUdj" TargetMode="External"/><Relationship Id="rId1035" Type="http://schemas.openxmlformats.org/officeDocument/2006/relationships/hyperlink" Target="https://talan.bank.gov.ua/get-user-certificate/sec1ev3CC1EkhiIMjW5t" TargetMode="External"/><Relationship Id="rId1242" Type="http://schemas.openxmlformats.org/officeDocument/2006/relationships/hyperlink" Target="https://talan.bank.gov.ua/get-user-certificate/sec1eJECqucfr3JE87uJ" TargetMode="External"/><Relationship Id="rId2500" Type="http://schemas.openxmlformats.org/officeDocument/2006/relationships/hyperlink" Target="https://talan.bank.gov.ua/get-user-certificate/sec1eownMKkFl4Ghkms6" TargetMode="External"/><Relationship Id="rId4398" Type="http://schemas.openxmlformats.org/officeDocument/2006/relationships/hyperlink" Target="https://talan.bank.gov.ua/get-user-certificate/sec1eZkuSzIuM6LpPa2z" TargetMode="External"/><Relationship Id="rId1102" Type="http://schemas.openxmlformats.org/officeDocument/2006/relationships/hyperlink" Target="https://talan.bank.gov.ua/get-user-certificate/sec1eTG1wh53yzjs2ytw" TargetMode="External"/><Relationship Id="rId4258" Type="http://schemas.openxmlformats.org/officeDocument/2006/relationships/hyperlink" Target="https://talan.bank.gov.ua/get-user-certificate/sec1eVKznx6P56BulKP5" TargetMode="External"/><Relationship Id="rId4465" Type="http://schemas.openxmlformats.org/officeDocument/2006/relationships/hyperlink" Target="https://talan.bank.gov.ua/get-user-certificate/sec1eGnYuhpusqoPFlbM" TargetMode="External"/><Relationship Id="rId3067" Type="http://schemas.openxmlformats.org/officeDocument/2006/relationships/hyperlink" Target="https://talan.bank.gov.ua/get-user-certificate/sec1e3v3Pfctj3SyAEcm" TargetMode="External"/><Relationship Id="rId3274" Type="http://schemas.openxmlformats.org/officeDocument/2006/relationships/hyperlink" Target="https://talan.bank.gov.ua/get-user-certificate/sec1evlNzWUmOppU3puT" TargetMode="External"/><Relationship Id="rId4118" Type="http://schemas.openxmlformats.org/officeDocument/2006/relationships/hyperlink" Target="https://talan.bank.gov.ua/get-user-certificate/sec1eYm-MwDCJXNRjqKn" TargetMode="External"/><Relationship Id="rId4672" Type="http://schemas.openxmlformats.org/officeDocument/2006/relationships/hyperlink" Target="https://talan.bank.gov.ua/get-user-certificate/sec1eyOs6kbA8jT6ivZC" TargetMode="External"/><Relationship Id="rId195" Type="http://schemas.openxmlformats.org/officeDocument/2006/relationships/hyperlink" Target="https://talan.bank.gov.ua/get-user-certificate/sec1eQXKCwG7VyIu2_V_" TargetMode="External"/><Relationship Id="rId1919" Type="http://schemas.openxmlformats.org/officeDocument/2006/relationships/hyperlink" Target="https://talan.bank.gov.ua/get-user-certificate/sec1eTgPt0CA1TEomaQl" TargetMode="External"/><Relationship Id="rId3481" Type="http://schemas.openxmlformats.org/officeDocument/2006/relationships/hyperlink" Target="https://talan.bank.gov.ua/get-user-certificate/sec1ecgfNZ-fRqAkDTUP" TargetMode="External"/><Relationship Id="rId4325" Type="http://schemas.openxmlformats.org/officeDocument/2006/relationships/hyperlink" Target="https://talan.bank.gov.ua/get-user-certificate/sec1eV9qJZQtdxu_H-9O" TargetMode="External"/><Relationship Id="rId4532" Type="http://schemas.openxmlformats.org/officeDocument/2006/relationships/hyperlink" Target="https://talan.bank.gov.ua/get-user-certificate/sec1eOBqUGQcgOo-vlBO" TargetMode="External"/><Relationship Id="rId2083" Type="http://schemas.openxmlformats.org/officeDocument/2006/relationships/hyperlink" Target="https://talan.bank.gov.ua/get-user-certificate/sec1elXRkjpOGLPobXFs" TargetMode="External"/><Relationship Id="rId2290" Type="http://schemas.openxmlformats.org/officeDocument/2006/relationships/hyperlink" Target="https://talan.bank.gov.ua/get-user-certificate/sec1eMm-GJJ-SsmJk92Q" TargetMode="External"/><Relationship Id="rId3134" Type="http://schemas.openxmlformats.org/officeDocument/2006/relationships/hyperlink" Target="https://talan.bank.gov.ua/get-user-certificate/sec1eoxZbkuhYS_KkyKb" TargetMode="External"/><Relationship Id="rId3341" Type="http://schemas.openxmlformats.org/officeDocument/2006/relationships/hyperlink" Target="https://talan.bank.gov.ua/get-user-certificate/sec1eokF7sCHaXHOfHGd" TargetMode="External"/><Relationship Id="rId262" Type="http://schemas.openxmlformats.org/officeDocument/2006/relationships/hyperlink" Target="https://talan.bank.gov.ua/get-user-certificate/sec1e5ysYoH1cdxyvTwk" TargetMode="External"/><Relationship Id="rId2150" Type="http://schemas.openxmlformats.org/officeDocument/2006/relationships/hyperlink" Target="https://talan.bank.gov.ua/get-user-certificate/sec1eFyp6zlPAY5sPxL6" TargetMode="External"/><Relationship Id="rId3201" Type="http://schemas.openxmlformats.org/officeDocument/2006/relationships/hyperlink" Target="https://talan.bank.gov.ua/get-user-certificate/sec1eQ5hkYkSUKis3kFn" TargetMode="External"/><Relationship Id="rId122" Type="http://schemas.openxmlformats.org/officeDocument/2006/relationships/hyperlink" Target="https://talan.bank.gov.ua/get-user-certificate/sec1eIbjblhA1kDeRASb" TargetMode="External"/><Relationship Id="rId2010" Type="http://schemas.openxmlformats.org/officeDocument/2006/relationships/hyperlink" Target="https://talan.bank.gov.ua/get-user-certificate/sec1eezyHpaLpgzbXE9q" TargetMode="External"/><Relationship Id="rId1569" Type="http://schemas.openxmlformats.org/officeDocument/2006/relationships/hyperlink" Target="https://talan.bank.gov.ua/get-user-certificate/sec1e2aEnuQEHLY_JQSw" TargetMode="External"/><Relationship Id="rId2967" Type="http://schemas.openxmlformats.org/officeDocument/2006/relationships/hyperlink" Target="https://talan.bank.gov.ua/get-user-certificate/sec1ercD0lZB3ylyGB6S" TargetMode="External"/><Relationship Id="rId4182" Type="http://schemas.openxmlformats.org/officeDocument/2006/relationships/hyperlink" Target="https://talan.bank.gov.ua/get-user-certificate/sec1eLVAGiWze549-PWo" TargetMode="External"/><Relationship Id="rId939" Type="http://schemas.openxmlformats.org/officeDocument/2006/relationships/hyperlink" Target="https://talan.bank.gov.ua/get-user-certificate/sec1eniOSeIGiFCnF2NB" TargetMode="External"/><Relationship Id="rId1776" Type="http://schemas.openxmlformats.org/officeDocument/2006/relationships/hyperlink" Target="https://talan.bank.gov.ua/get-user-certificate/sec1eB9KGuRu2XhkztcF" TargetMode="External"/><Relationship Id="rId1983" Type="http://schemas.openxmlformats.org/officeDocument/2006/relationships/hyperlink" Target="https://talan.bank.gov.ua/get-user-certificate/sec1eqLppYe1oTSPOTYF" TargetMode="External"/><Relationship Id="rId2827" Type="http://schemas.openxmlformats.org/officeDocument/2006/relationships/hyperlink" Target="https://talan.bank.gov.ua/get-user-certificate/sec1eXx8M2TDiNVJyOVT" TargetMode="External"/><Relationship Id="rId4042" Type="http://schemas.openxmlformats.org/officeDocument/2006/relationships/hyperlink" Target="https://talan.bank.gov.ua/get-user-certificate/sec1e-oJUTkmbbgHYP_V" TargetMode="External"/><Relationship Id="rId68" Type="http://schemas.openxmlformats.org/officeDocument/2006/relationships/hyperlink" Target="https://talan.bank.gov.ua/get-user-certificate/sec1eVqV3Ukwbh5Rm2xH" TargetMode="External"/><Relationship Id="rId1429" Type="http://schemas.openxmlformats.org/officeDocument/2006/relationships/hyperlink" Target="https://talan.bank.gov.ua/get-user-certificate/sec1ejrXWorK3Zd8yP64" TargetMode="External"/><Relationship Id="rId1636" Type="http://schemas.openxmlformats.org/officeDocument/2006/relationships/hyperlink" Target="https://talan.bank.gov.ua/get-user-certificate/sec1eKk2CCJfw24GiuBa" TargetMode="External"/><Relationship Id="rId1843" Type="http://schemas.openxmlformats.org/officeDocument/2006/relationships/hyperlink" Target="https://talan.bank.gov.ua/get-user-certificate/sec1eUxte9duBqgpgqz7" TargetMode="External"/><Relationship Id="rId4999" Type="http://schemas.openxmlformats.org/officeDocument/2006/relationships/hyperlink" Target="https://talan.bank.gov.ua/get-user-certificate/sec1eSHTpq_x1s8dYmjb" TargetMode="External"/><Relationship Id="rId1703" Type="http://schemas.openxmlformats.org/officeDocument/2006/relationships/hyperlink" Target="https://talan.bank.gov.ua/get-user-certificate/sec1esGCmTMuQ1_yT66G" TargetMode="External"/><Relationship Id="rId1910" Type="http://schemas.openxmlformats.org/officeDocument/2006/relationships/hyperlink" Target="https://talan.bank.gov.ua/get-user-certificate/sec1eXaguwrUamHxSDrg" TargetMode="External"/><Relationship Id="rId4859" Type="http://schemas.openxmlformats.org/officeDocument/2006/relationships/hyperlink" Target="https://talan.bank.gov.ua/get-user-certificate/sec1e9vpVF2WutpSBKZj" TargetMode="External"/><Relationship Id="rId3668" Type="http://schemas.openxmlformats.org/officeDocument/2006/relationships/hyperlink" Target="https://talan.bank.gov.ua/get-user-certificate/sec1e6QfQ2kUDwFDRrLU" TargetMode="External"/><Relationship Id="rId3875" Type="http://schemas.openxmlformats.org/officeDocument/2006/relationships/hyperlink" Target="https://talan.bank.gov.ua/get-user-certificate/sec1eGdJjKSz4ZuZpQ9H" TargetMode="External"/><Relationship Id="rId4719" Type="http://schemas.openxmlformats.org/officeDocument/2006/relationships/hyperlink" Target="https://talan.bank.gov.ua/get-user-certificate/sec1eJksmBDzHMIiisfq" TargetMode="External"/><Relationship Id="rId4926" Type="http://schemas.openxmlformats.org/officeDocument/2006/relationships/hyperlink" Target="https://talan.bank.gov.ua/get-user-certificate/sec1e0o8nNdgMiJrohJ4" TargetMode="External"/><Relationship Id="rId589" Type="http://schemas.openxmlformats.org/officeDocument/2006/relationships/hyperlink" Target="https://talan.bank.gov.ua/get-user-certificate/sec1e9JL5JtmHP_gW37T" TargetMode="External"/><Relationship Id="rId796" Type="http://schemas.openxmlformats.org/officeDocument/2006/relationships/hyperlink" Target="https://talan.bank.gov.ua/get-user-certificate/sec1eF08M0qYpWuyfrR4" TargetMode="External"/><Relationship Id="rId2477" Type="http://schemas.openxmlformats.org/officeDocument/2006/relationships/hyperlink" Target="https://talan.bank.gov.ua/get-user-certificate/sec1en0ap6VqKAoKpQw0" TargetMode="External"/><Relationship Id="rId2684" Type="http://schemas.openxmlformats.org/officeDocument/2006/relationships/hyperlink" Target="https://talan.bank.gov.ua/get-user-certificate/sec1eqiwPl1aiPEDH_mJ" TargetMode="External"/><Relationship Id="rId3528" Type="http://schemas.openxmlformats.org/officeDocument/2006/relationships/hyperlink" Target="https://talan.bank.gov.ua/get-user-certificate/sec1ebXS7L78u5XVhff-" TargetMode="External"/><Relationship Id="rId3735" Type="http://schemas.openxmlformats.org/officeDocument/2006/relationships/hyperlink" Target="https://talan.bank.gov.ua/get-user-certificate/sec1eBfinWpSyGKjg_Rg" TargetMode="External"/><Relationship Id="rId449" Type="http://schemas.openxmlformats.org/officeDocument/2006/relationships/hyperlink" Target="https://talan.bank.gov.ua/get-user-certificate/sec1e6vcTw6jMe_mH6h7" TargetMode="External"/><Relationship Id="rId656" Type="http://schemas.openxmlformats.org/officeDocument/2006/relationships/hyperlink" Target="https://talan.bank.gov.ua/get-user-certificate/sec1eFsTp3gJqMv7G4gk" TargetMode="External"/><Relationship Id="rId863" Type="http://schemas.openxmlformats.org/officeDocument/2006/relationships/hyperlink" Target="https://talan.bank.gov.ua/get-user-certificate/sec1ePMOuZFAdpIiJofL" TargetMode="External"/><Relationship Id="rId1079" Type="http://schemas.openxmlformats.org/officeDocument/2006/relationships/hyperlink" Target="https://talan.bank.gov.ua/get-user-certificate/sec1elFnqsaC74lYY9KI" TargetMode="External"/><Relationship Id="rId1286" Type="http://schemas.openxmlformats.org/officeDocument/2006/relationships/hyperlink" Target="https://talan.bank.gov.ua/get-user-certificate/sec1ez-FLzjrKLx5fJHY" TargetMode="External"/><Relationship Id="rId1493" Type="http://schemas.openxmlformats.org/officeDocument/2006/relationships/hyperlink" Target="https://talan.bank.gov.ua/get-user-certificate/sec1eoVAO6TOtY5OCKKf" TargetMode="External"/><Relationship Id="rId2337" Type="http://schemas.openxmlformats.org/officeDocument/2006/relationships/hyperlink" Target="https://talan.bank.gov.ua/get-user-certificate/sec1eoN84Jr6PyWVttpX" TargetMode="External"/><Relationship Id="rId2544" Type="http://schemas.openxmlformats.org/officeDocument/2006/relationships/hyperlink" Target="https://talan.bank.gov.ua/get-user-certificate/sec1eH3fBAVqaOoxqfGS" TargetMode="External"/><Relationship Id="rId2891" Type="http://schemas.openxmlformats.org/officeDocument/2006/relationships/hyperlink" Target="https://talan.bank.gov.ua/get-user-certificate/sec1eykLN-h3VyfV8Ew-" TargetMode="External"/><Relationship Id="rId3942" Type="http://schemas.openxmlformats.org/officeDocument/2006/relationships/hyperlink" Target="https://talan.bank.gov.ua/get-user-certificate/sec1eX0yBhAP0KI3AAN-" TargetMode="External"/><Relationship Id="rId309" Type="http://schemas.openxmlformats.org/officeDocument/2006/relationships/hyperlink" Target="https://talan.bank.gov.ua/get-user-certificate/sec1ej8QkPyAUrMrmJ7v" TargetMode="External"/><Relationship Id="rId516" Type="http://schemas.openxmlformats.org/officeDocument/2006/relationships/hyperlink" Target="https://talan.bank.gov.ua/get-user-certificate/sec1enO-ZvI8Izp3FlsN" TargetMode="External"/><Relationship Id="rId1146" Type="http://schemas.openxmlformats.org/officeDocument/2006/relationships/hyperlink" Target="https://talan.bank.gov.ua/get-user-certificate/sec1et-2upLf2czaDnwb" TargetMode="External"/><Relationship Id="rId2751" Type="http://schemas.openxmlformats.org/officeDocument/2006/relationships/hyperlink" Target="https://talan.bank.gov.ua/get-user-certificate/sec1e9ezzk-PoYNLZs_o" TargetMode="External"/><Relationship Id="rId3802" Type="http://schemas.openxmlformats.org/officeDocument/2006/relationships/hyperlink" Target="https://talan.bank.gov.ua/get-user-certificate/sec1elLXitV7vZVrX6V8" TargetMode="External"/><Relationship Id="rId723" Type="http://schemas.openxmlformats.org/officeDocument/2006/relationships/hyperlink" Target="https://talan.bank.gov.ua/get-user-certificate/sec1ev0Rc4jw7D6MaPKv" TargetMode="External"/><Relationship Id="rId930" Type="http://schemas.openxmlformats.org/officeDocument/2006/relationships/hyperlink" Target="https://talan.bank.gov.ua/get-user-certificate/sec1eHarQ2ad8iU0w5il" TargetMode="External"/><Relationship Id="rId1006" Type="http://schemas.openxmlformats.org/officeDocument/2006/relationships/hyperlink" Target="https://talan.bank.gov.ua/get-user-certificate/sec1eVTUA5ixdLLw1nd-" TargetMode="External"/><Relationship Id="rId1353" Type="http://schemas.openxmlformats.org/officeDocument/2006/relationships/hyperlink" Target="https://talan.bank.gov.ua/get-user-certificate/sec1ePEYHAXcXvT1idRq" TargetMode="External"/><Relationship Id="rId1560" Type="http://schemas.openxmlformats.org/officeDocument/2006/relationships/hyperlink" Target="https://talan.bank.gov.ua/get-user-certificate/sec1eGo3MjB1F6UOw8Ez" TargetMode="External"/><Relationship Id="rId2404" Type="http://schemas.openxmlformats.org/officeDocument/2006/relationships/hyperlink" Target="https://talan.bank.gov.ua/get-user-certificate/sec1e0GlAL74meGtvodN" TargetMode="External"/><Relationship Id="rId2611" Type="http://schemas.openxmlformats.org/officeDocument/2006/relationships/hyperlink" Target="https://talan.bank.gov.ua/get-user-certificate/sec1epjfsh6dfabXqoZG" TargetMode="External"/><Relationship Id="rId1213" Type="http://schemas.openxmlformats.org/officeDocument/2006/relationships/hyperlink" Target="https://talan.bank.gov.ua/get-user-certificate/sec1eoH5qGQ17CtuQdjw" TargetMode="External"/><Relationship Id="rId1420" Type="http://schemas.openxmlformats.org/officeDocument/2006/relationships/hyperlink" Target="https://talan.bank.gov.ua/get-user-certificate/sec1egmpcGUWtltEwEiu" TargetMode="External"/><Relationship Id="rId4369" Type="http://schemas.openxmlformats.org/officeDocument/2006/relationships/hyperlink" Target="https://talan.bank.gov.ua/get-user-certificate/sec1eDDzaxw5DBVyltcG" TargetMode="External"/><Relationship Id="rId4576" Type="http://schemas.openxmlformats.org/officeDocument/2006/relationships/hyperlink" Target="https://talan.bank.gov.ua/get-user-certificate/sec1eGIHz1sYA8mDHBAn" TargetMode="External"/><Relationship Id="rId4783" Type="http://schemas.openxmlformats.org/officeDocument/2006/relationships/hyperlink" Target="https://talan.bank.gov.ua/get-user-certificate/sec1eH-LnD-9akODTXch" TargetMode="External"/><Relationship Id="rId4990" Type="http://schemas.openxmlformats.org/officeDocument/2006/relationships/hyperlink" Target="https://talan.bank.gov.ua/get-user-certificate/sec1ex85CN5cpIJAiqfk" TargetMode="External"/><Relationship Id="rId3178" Type="http://schemas.openxmlformats.org/officeDocument/2006/relationships/hyperlink" Target="https://talan.bank.gov.ua/get-user-certificate/sec1ep5PNdBByFHsAff_" TargetMode="External"/><Relationship Id="rId3385" Type="http://schemas.openxmlformats.org/officeDocument/2006/relationships/hyperlink" Target="https://talan.bank.gov.ua/get-user-certificate/sec1eHRQ6v9anM_JtWHm" TargetMode="External"/><Relationship Id="rId3592" Type="http://schemas.openxmlformats.org/officeDocument/2006/relationships/hyperlink" Target="https://talan.bank.gov.ua/get-user-certificate/sec1eV4dC5dpv3sKAnTs" TargetMode="External"/><Relationship Id="rId4229" Type="http://schemas.openxmlformats.org/officeDocument/2006/relationships/hyperlink" Target="https://talan.bank.gov.ua/get-user-certificate/sec1es9RzuGlD2_K0TsX" TargetMode="External"/><Relationship Id="rId4436" Type="http://schemas.openxmlformats.org/officeDocument/2006/relationships/hyperlink" Target="https://talan.bank.gov.ua/get-user-certificate/sec1ef9IBMo7zFmui_H4" TargetMode="External"/><Relationship Id="rId4643" Type="http://schemas.openxmlformats.org/officeDocument/2006/relationships/hyperlink" Target="https://talan.bank.gov.ua/get-user-certificate/sec1ezjBVXEdQX7CmpCO" TargetMode="External"/><Relationship Id="rId4850" Type="http://schemas.openxmlformats.org/officeDocument/2006/relationships/hyperlink" Target="https://talan.bank.gov.ua/get-user-certificate/sec1eSykUtJjHWuEfw_U" TargetMode="External"/><Relationship Id="rId2194" Type="http://schemas.openxmlformats.org/officeDocument/2006/relationships/hyperlink" Target="https://talan.bank.gov.ua/get-user-certificate/sec1ep9upmdXCecaRT6W" TargetMode="External"/><Relationship Id="rId3038" Type="http://schemas.openxmlformats.org/officeDocument/2006/relationships/hyperlink" Target="https://talan.bank.gov.ua/get-user-certificate/sec1eDWtn_KNRKNH8RHm" TargetMode="External"/><Relationship Id="rId3245" Type="http://schemas.openxmlformats.org/officeDocument/2006/relationships/hyperlink" Target="https://talan.bank.gov.ua/get-user-certificate/sec1exptajtdeQxi9glC" TargetMode="External"/><Relationship Id="rId3452" Type="http://schemas.openxmlformats.org/officeDocument/2006/relationships/hyperlink" Target="https://talan.bank.gov.ua/get-user-certificate/sec1eo4uiMNmNA3ocoj0" TargetMode="External"/><Relationship Id="rId4503" Type="http://schemas.openxmlformats.org/officeDocument/2006/relationships/hyperlink" Target="https://talan.bank.gov.ua/get-user-certificate/sec1e1z8YuEDCzSOanOy" TargetMode="External"/><Relationship Id="rId4710" Type="http://schemas.openxmlformats.org/officeDocument/2006/relationships/hyperlink" Target="https://talan.bank.gov.ua/get-user-certificate/sec1eJHdZ5YR29T_jsgK" TargetMode="External"/><Relationship Id="rId166" Type="http://schemas.openxmlformats.org/officeDocument/2006/relationships/hyperlink" Target="https://talan.bank.gov.ua/get-user-certificate/sec1ebSAAz5NxJY6C_aq" TargetMode="External"/><Relationship Id="rId373" Type="http://schemas.openxmlformats.org/officeDocument/2006/relationships/hyperlink" Target="https://talan.bank.gov.ua/get-user-certificate/sec1ehbGqEVOv9x-BrcH" TargetMode="External"/><Relationship Id="rId580" Type="http://schemas.openxmlformats.org/officeDocument/2006/relationships/hyperlink" Target="https://talan.bank.gov.ua/get-user-certificate/sec1emYwnTHzLE7KSAct" TargetMode="External"/><Relationship Id="rId2054" Type="http://schemas.openxmlformats.org/officeDocument/2006/relationships/hyperlink" Target="https://talan.bank.gov.ua/get-user-certificate/sec1eZj5g1HUc9AOL5MV" TargetMode="External"/><Relationship Id="rId2261" Type="http://schemas.openxmlformats.org/officeDocument/2006/relationships/hyperlink" Target="https://talan.bank.gov.ua/get-user-certificate/sec1e07-hbPxLm83GJK-" TargetMode="External"/><Relationship Id="rId3105" Type="http://schemas.openxmlformats.org/officeDocument/2006/relationships/hyperlink" Target="https://talan.bank.gov.ua/get-user-certificate/sec1eJneLCRyz41yW83Z" TargetMode="External"/><Relationship Id="rId3312" Type="http://schemas.openxmlformats.org/officeDocument/2006/relationships/hyperlink" Target="https://talan.bank.gov.ua/get-user-certificate/sec1exHw2PDcz2eoowvc" TargetMode="External"/><Relationship Id="rId233" Type="http://schemas.openxmlformats.org/officeDocument/2006/relationships/hyperlink" Target="https://talan.bank.gov.ua/get-user-certificate/sec1eY1MHD5WnIgJluDB" TargetMode="External"/><Relationship Id="rId440" Type="http://schemas.openxmlformats.org/officeDocument/2006/relationships/hyperlink" Target="https://talan.bank.gov.ua/get-user-certificate/sec1e1s5CVZv9vIafwGD" TargetMode="External"/><Relationship Id="rId1070" Type="http://schemas.openxmlformats.org/officeDocument/2006/relationships/hyperlink" Target="https://talan.bank.gov.ua/get-user-certificate/sec1eKl0c1498XH7B9-z" TargetMode="External"/><Relationship Id="rId2121" Type="http://schemas.openxmlformats.org/officeDocument/2006/relationships/hyperlink" Target="https://talan.bank.gov.ua/get-user-certificate/sec1egCFs4EJF0sDZPoj" TargetMode="External"/><Relationship Id="rId300" Type="http://schemas.openxmlformats.org/officeDocument/2006/relationships/hyperlink" Target="https://talan.bank.gov.ua/get-user-certificate/sec1e8My740bIuoxj8_e" TargetMode="External"/><Relationship Id="rId4086" Type="http://schemas.openxmlformats.org/officeDocument/2006/relationships/hyperlink" Target="https://talan.bank.gov.ua/get-user-certificate/sec1eZrMJoyFGTIj8p7T" TargetMode="External"/><Relationship Id="rId1887" Type="http://schemas.openxmlformats.org/officeDocument/2006/relationships/hyperlink" Target="https://talan.bank.gov.ua/get-user-certificate/sec1eZsc12t7i7GmAId2" TargetMode="External"/><Relationship Id="rId2938" Type="http://schemas.openxmlformats.org/officeDocument/2006/relationships/hyperlink" Target="https://talan.bank.gov.ua/get-user-certificate/sec1ezHqn--sT_VOFwhB" TargetMode="External"/><Relationship Id="rId4293" Type="http://schemas.openxmlformats.org/officeDocument/2006/relationships/hyperlink" Target="https://talan.bank.gov.ua/get-user-certificate/sec1e8Jgg1AcMz__Os4F" TargetMode="External"/><Relationship Id="rId1747" Type="http://schemas.openxmlformats.org/officeDocument/2006/relationships/hyperlink" Target="https://talan.bank.gov.ua/get-user-certificate/sec1eExZl81E8n5h7kg1" TargetMode="External"/><Relationship Id="rId1954" Type="http://schemas.openxmlformats.org/officeDocument/2006/relationships/hyperlink" Target="https://talan.bank.gov.ua/get-user-certificate/sec1ea7cLX4w8A17kUI_" TargetMode="External"/><Relationship Id="rId4153" Type="http://schemas.openxmlformats.org/officeDocument/2006/relationships/hyperlink" Target="https://talan.bank.gov.ua/get-user-certificate/sec1eyKlLtJIkmiIZbtU" TargetMode="External"/><Relationship Id="rId4360" Type="http://schemas.openxmlformats.org/officeDocument/2006/relationships/hyperlink" Target="https://talan.bank.gov.ua/get-user-certificate/sec1ePcychleh-CA0WdA" TargetMode="External"/><Relationship Id="rId39" Type="http://schemas.openxmlformats.org/officeDocument/2006/relationships/hyperlink" Target="https://talan.bank.gov.ua/get-user-certificate/sec1eCJeFzaXViB9tUBZ" TargetMode="External"/><Relationship Id="rId1607" Type="http://schemas.openxmlformats.org/officeDocument/2006/relationships/hyperlink" Target="https://talan.bank.gov.ua/get-user-certificate/sec1eFL4EYPZZabk9a9x" TargetMode="External"/><Relationship Id="rId1814" Type="http://schemas.openxmlformats.org/officeDocument/2006/relationships/hyperlink" Target="https://talan.bank.gov.ua/get-user-certificate/sec1erowz5tK_G_4fVzn" TargetMode="External"/><Relationship Id="rId4013" Type="http://schemas.openxmlformats.org/officeDocument/2006/relationships/hyperlink" Target="https://talan.bank.gov.ua/get-user-certificate/sec1ezpG7PYAH_dsFpQs" TargetMode="External"/><Relationship Id="rId4220" Type="http://schemas.openxmlformats.org/officeDocument/2006/relationships/hyperlink" Target="https://talan.bank.gov.ua/get-user-certificate/sec1en5iAitsI_o66ppq" TargetMode="External"/><Relationship Id="rId3779" Type="http://schemas.openxmlformats.org/officeDocument/2006/relationships/hyperlink" Target="https://talan.bank.gov.ua/get-user-certificate/sec1ee86oAHLkLuCWTPR" TargetMode="External"/><Relationship Id="rId2588" Type="http://schemas.openxmlformats.org/officeDocument/2006/relationships/hyperlink" Target="https://talan.bank.gov.ua/get-user-certificate/sec1eaEGEOo6eKQAf34o" TargetMode="External"/><Relationship Id="rId3986" Type="http://schemas.openxmlformats.org/officeDocument/2006/relationships/hyperlink" Target="https://talan.bank.gov.ua/get-user-certificate/sec1esgPI6tRryVa-AJS" TargetMode="External"/><Relationship Id="rId1397" Type="http://schemas.openxmlformats.org/officeDocument/2006/relationships/hyperlink" Target="https://talan.bank.gov.ua/get-user-certificate/sec1eTljBopHwN8UK4dI" TargetMode="External"/><Relationship Id="rId2795" Type="http://schemas.openxmlformats.org/officeDocument/2006/relationships/hyperlink" Target="https://talan.bank.gov.ua/get-user-certificate/sec1eomBZVEGN4orvIVo" TargetMode="External"/><Relationship Id="rId3639" Type="http://schemas.openxmlformats.org/officeDocument/2006/relationships/hyperlink" Target="https://talan.bank.gov.ua/get-user-certificate/sec1ejSftsDIntRSAuEd" TargetMode="External"/><Relationship Id="rId3846" Type="http://schemas.openxmlformats.org/officeDocument/2006/relationships/hyperlink" Target="https://talan.bank.gov.ua/get-user-certificate/sec1ep_AELR5WTTxfl-E" TargetMode="External"/><Relationship Id="rId767" Type="http://schemas.openxmlformats.org/officeDocument/2006/relationships/hyperlink" Target="https://talan.bank.gov.ua/get-user-certificate/sec1eibUZQrrqzjowrMQ" TargetMode="External"/><Relationship Id="rId974" Type="http://schemas.openxmlformats.org/officeDocument/2006/relationships/hyperlink" Target="https://talan.bank.gov.ua/get-user-certificate/sec1eCbXvgrZagd8aebx" TargetMode="External"/><Relationship Id="rId2448" Type="http://schemas.openxmlformats.org/officeDocument/2006/relationships/hyperlink" Target="https://talan.bank.gov.ua/get-user-certificate/sec1e13CwboSHAqqYYJI" TargetMode="External"/><Relationship Id="rId2655" Type="http://schemas.openxmlformats.org/officeDocument/2006/relationships/hyperlink" Target="https://talan.bank.gov.ua/get-user-certificate/sec1eHcY3z1kk2MPSuzx" TargetMode="External"/><Relationship Id="rId2862" Type="http://schemas.openxmlformats.org/officeDocument/2006/relationships/hyperlink" Target="https://talan.bank.gov.ua/get-user-certificate/sec1eKqlPYQ29_EsTibl" TargetMode="External"/><Relationship Id="rId3706" Type="http://schemas.openxmlformats.org/officeDocument/2006/relationships/hyperlink" Target="https://talan.bank.gov.ua/get-user-certificate/sec1eyFIFno2_UsaF_tM" TargetMode="External"/><Relationship Id="rId3913" Type="http://schemas.openxmlformats.org/officeDocument/2006/relationships/hyperlink" Target="https://talan.bank.gov.ua/get-user-certificate/sec1eE5ddbN9WUG5lohx" TargetMode="External"/><Relationship Id="rId627" Type="http://schemas.openxmlformats.org/officeDocument/2006/relationships/hyperlink" Target="https://talan.bank.gov.ua/get-user-certificate/sec1eR4rCYQaxqwbIrFK" TargetMode="External"/><Relationship Id="rId834" Type="http://schemas.openxmlformats.org/officeDocument/2006/relationships/hyperlink" Target="https://talan.bank.gov.ua/get-user-certificate/sec1eoWyOpcLYtATJAUy" TargetMode="External"/><Relationship Id="rId1257" Type="http://schemas.openxmlformats.org/officeDocument/2006/relationships/hyperlink" Target="https://talan.bank.gov.ua/get-user-certificate/sec1eMk38cPRwh3CTY9P" TargetMode="External"/><Relationship Id="rId1464" Type="http://schemas.openxmlformats.org/officeDocument/2006/relationships/hyperlink" Target="https://talan.bank.gov.ua/get-user-certificate/sec1eFib2OS_7Du3qOS4" TargetMode="External"/><Relationship Id="rId1671" Type="http://schemas.openxmlformats.org/officeDocument/2006/relationships/hyperlink" Target="https://talan.bank.gov.ua/get-user-certificate/sec1exEVe_d63jdyp7aM" TargetMode="External"/><Relationship Id="rId2308" Type="http://schemas.openxmlformats.org/officeDocument/2006/relationships/hyperlink" Target="https://talan.bank.gov.ua/get-user-certificate/sec1eaEu2Cw8I5Mcm7Hh" TargetMode="External"/><Relationship Id="rId2515" Type="http://schemas.openxmlformats.org/officeDocument/2006/relationships/hyperlink" Target="https://talan.bank.gov.ua/get-user-certificate/sec1eY0knc80bi-ojnJN" TargetMode="External"/><Relationship Id="rId2722" Type="http://schemas.openxmlformats.org/officeDocument/2006/relationships/hyperlink" Target="https://talan.bank.gov.ua/get-user-certificate/sec1elqzpJV6ISLlPtCx" TargetMode="External"/><Relationship Id="rId901" Type="http://schemas.openxmlformats.org/officeDocument/2006/relationships/hyperlink" Target="https://talan.bank.gov.ua/get-user-certificate/sec1eal7RzplyWHTJ2vC" TargetMode="External"/><Relationship Id="rId1117" Type="http://schemas.openxmlformats.org/officeDocument/2006/relationships/hyperlink" Target="https://talan.bank.gov.ua/get-user-certificate/sec1e6q4dtY3YTP3zkSV" TargetMode="External"/><Relationship Id="rId1324" Type="http://schemas.openxmlformats.org/officeDocument/2006/relationships/hyperlink" Target="https://talan.bank.gov.ua/get-user-certificate/sec1eMCbXXJoUsfErx0E" TargetMode="External"/><Relationship Id="rId1531" Type="http://schemas.openxmlformats.org/officeDocument/2006/relationships/hyperlink" Target="https://talan.bank.gov.ua/get-user-certificate/sec1e75ezjeSPn2MoFVs" TargetMode="External"/><Relationship Id="rId4687" Type="http://schemas.openxmlformats.org/officeDocument/2006/relationships/hyperlink" Target="https://talan.bank.gov.ua/get-user-certificate/sec1eeSxduwxCOuoLuIy" TargetMode="External"/><Relationship Id="rId4894" Type="http://schemas.openxmlformats.org/officeDocument/2006/relationships/hyperlink" Target="https://talan.bank.gov.ua/get-user-certificate/sec1eLENEhcS45bGZOkS" TargetMode="External"/><Relationship Id="rId30" Type="http://schemas.openxmlformats.org/officeDocument/2006/relationships/hyperlink" Target="https://talan.bank.gov.ua/get-user-certificate/sec1eNRUlKqvuNIkeb4F" TargetMode="External"/><Relationship Id="rId3289" Type="http://schemas.openxmlformats.org/officeDocument/2006/relationships/hyperlink" Target="https://talan.bank.gov.ua/get-user-certificate/sec1eUFGzVVDYfR2kuGr" TargetMode="External"/><Relationship Id="rId3496" Type="http://schemas.openxmlformats.org/officeDocument/2006/relationships/hyperlink" Target="https://talan.bank.gov.ua/get-user-certificate/sec1eBjzT0OFY0paTJm2" TargetMode="External"/><Relationship Id="rId4547" Type="http://schemas.openxmlformats.org/officeDocument/2006/relationships/hyperlink" Target="https://talan.bank.gov.ua/get-user-certificate/sec1ewua4kD-pNnlYHi2" TargetMode="External"/><Relationship Id="rId4754" Type="http://schemas.openxmlformats.org/officeDocument/2006/relationships/hyperlink" Target="https://talan.bank.gov.ua/get-user-certificate/sec1eFkWxsfQqnSWcqj7" TargetMode="External"/><Relationship Id="rId2098" Type="http://schemas.openxmlformats.org/officeDocument/2006/relationships/hyperlink" Target="https://talan.bank.gov.ua/get-user-certificate/sec1ert3-AiVUVqpJVas" TargetMode="External"/><Relationship Id="rId3149" Type="http://schemas.openxmlformats.org/officeDocument/2006/relationships/hyperlink" Target="https://talan.bank.gov.ua/get-user-certificate/sec1eO5jyU6KOiVgQKs6" TargetMode="External"/><Relationship Id="rId3356" Type="http://schemas.openxmlformats.org/officeDocument/2006/relationships/hyperlink" Target="https://talan.bank.gov.ua/get-user-certificate/sec1ea7hUDifnufakZtg" TargetMode="External"/><Relationship Id="rId3563" Type="http://schemas.openxmlformats.org/officeDocument/2006/relationships/hyperlink" Target="https://talan.bank.gov.ua/get-user-certificate/sec1elJJukQCvxdokZKt" TargetMode="External"/><Relationship Id="rId4407" Type="http://schemas.openxmlformats.org/officeDocument/2006/relationships/hyperlink" Target="https://talan.bank.gov.ua/get-user-certificate/sec1eWMfdc_QGDVu8rcT" TargetMode="External"/><Relationship Id="rId4961" Type="http://schemas.openxmlformats.org/officeDocument/2006/relationships/hyperlink" Target="https://talan.bank.gov.ua/get-user-certificate/sec1evOVc-hSWwmm1p4a" TargetMode="External"/><Relationship Id="rId277" Type="http://schemas.openxmlformats.org/officeDocument/2006/relationships/hyperlink" Target="https://talan.bank.gov.ua/get-user-certificate/sec1eF5a7lmAiWLn_WKM" TargetMode="External"/><Relationship Id="rId484" Type="http://schemas.openxmlformats.org/officeDocument/2006/relationships/hyperlink" Target="https://talan.bank.gov.ua/get-user-certificate/sec1eLyo84UyYS_S4erC" TargetMode="External"/><Relationship Id="rId2165" Type="http://schemas.openxmlformats.org/officeDocument/2006/relationships/hyperlink" Target="https://talan.bank.gov.ua/get-user-certificate/sec1et2JQcMmg9UetKO1" TargetMode="External"/><Relationship Id="rId3009" Type="http://schemas.openxmlformats.org/officeDocument/2006/relationships/hyperlink" Target="https://talan.bank.gov.ua/get-user-certificate/sec1eEwJStcd6blr4jFp" TargetMode="External"/><Relationship Id="rId3216" Type="http://schemas.openxmlformats.org/officeDocument/2006/relationships/hyperlink" Target="https://talan.bank.gov.ua/get-user-certificate/sec1elAmGMmnsBDJq8sQ" TargetMode="External"/><Relationship Id="rId3770" Type="http://schemas.openxmlformats.org/officeDocument/2006/relationships/hyperlink" Target="https://talan.bank.gov.ua/get-user-certificate/sec1eBtZLDKKG9q3IMEA" TargetMode="External"/><Relationship Id="rId4614" Type="http://schemas.openxmlformats.org/officeDocument/2006/relationships/hyperlink" Target="https://talan.bank.gov.ua/get-user-certificate/sec1eN_ketTmOrYyeMy9" TargetMode="External"/><Relationship Id="rId4821" Type="http://schemas.openxmlformats.org/officeDocument/2006/relationships/hyperlink" Target="https://talan.bank.gov.ua/get-user-certificate/sec1eodhwSrJgC1-5HqF" TargetMode="External"/><Relationship Id="rId137" Type="http://schemas.openxmlformats.org/officeDocument/2006/relationships/hyperlink" Target="https://talan.bank.gov.ua/get-user-certificate/sec1epvUTo_JgQbxdkcz" TargetMode="External"/><Relationship Id="rId344" Type="http://schemas.openxmlformats.org/officeDocument/2006/relationships/hyperlink" Target="https://talan.bank.gov.ua/get-user-certificate/sec1ehIpft9KE4c0Wrtt" TargetMode="External"/><Relationship Id="rId691" Type="http://schemas.openxmlformats.org/officeDocument/2006/relationships/hyperlink" Target="https://talan.bank.gov.ua/get-user-certificate/sec1eJewH8woEPbnQhal" TargetMode="External"/><Relationship Id="rId2025" Type="http://schemas.openxmlformats.org/officeDocument/2006/relationships/hyperlink" Target="https://talan.bank.gov.ua/get-user-certificate/sec1eDQGx9uDSLffx3zi" TargetMode="External"/><Relationship Id="rId2372" Type="http://schemas.openxmlformats.org/officeDocument/2006/relationships/hyperlink" Target="https://talan.bank.gov.ua/get-user-certificate/sec1egZBcrLIUwF44RtG" TargetMode="External"/><Relationship Id="rId3423" Type="http://schemas.openxmlformats.org/officeDocument/2006/relationships/hyperlink" Target="https://talan.bank.gov.ua/get-user-certificate/sec1ey10Nk4W-rOoLxJ8" TargetMode="External"/><Relationship Id="rId3630" Type="http://schemas.openxmlformats.org/officeDocument/2006/relationships/hyperlink" Target="https://talan.bank.gov.ua/get-user-certificate/sec1eBEBj89jdD_ep6Ym" TargetMode="External"/><Relationship Id="rId551" Type="http://schemas.openxmlformats.org/officeDocument/2006/relationships/hyperlink" Target="https://talan.bank.gov.ua/get-user-certificate/sec1eS3pIyvzD2e78Gtn" TargetMode="External"/><Relationship Id="rId1181" Type="http://schemas.openxmlformats.org/officeDocument/2006/relationships/hyperlink" Target="https://talan.bank.gov.ua/get-user-certificate/sec1eJVJr6oBe9KqgPdJ" TargetMode="External"/><Relationship Id="rId2232" Type="http://schemas.openxmlformats.org/officeDocument/2006/relationships/hyperlink" Target="https://talan.bank.gov.ua/get-user-certificate/sec1eyP54iH_7Okn89Nb" TargetMode="External"/><Relationship Id="rId204" Type="http://schemas.openxmlformats.org/officeDocument/2006/relationships/hyperlink" Target="https://talan.bank.gov.ua/get-user-certificate/sec1e18PaFE3OC1DRBWo" TargetMode="External"/><Relationship Id="rId411" Type="http://schemas.openxmlformats.org/officeDocument/2006/relationships/hyperlink" Target="https://talan.bank.gov.ua/get-user-certificate/sec1eQITUcGLNNPp-RWK" TargetMode="External"/><Relationship Id="rId1041" Type="http://schemas.openxmlformats.org/officeDocument/2006/relationships/hyperlink" Target="https://talan.bank.gov.ua/get-user-certificate/sec1e7u8XJYqoiB-CJb_" TargetMode="External"/><Relationship Id="rId1998" Type="http://schemas.openxmlformats.org/officeDocument/2006/relationships/hyperlink" Target="https://talan.bank.gov.ua/get-user-certificate/sec1eeqsbyxBTTOyCCaw" TargetMode="External"/><Relationship Id="rId4197" Type="http://schemas.openxmlformats.org/officeDocument/2006/relationships/hyperlink" Target="https://talan.bank.gov.ua/get-user-certificate/sec1exIV7t-wmvri8lSd" TargetMode="External"/><Relationship Id="rId1858" Type="http://schemas.openxmlformats.org/officeDocument/2006/relationships/hyperlink" Target="https://talan.bank.gov.ua/get-user-certificate/sec1ehwQIGjsgOtoTG0K" TargetMode="External"/><Relationship Id="rId4057" Type="http://schemas.openxmlformats.org/officeDocument/2006/relationships/hyperlink" Target="https://talan.bank.gov.ua/get-user-certificate/sec1eSIc3tD5eKSG_eB4" TargetMode="External"/><Relationship Id="rId4264" Type="http://schemas.openxmlformats.org/officeDocument/2006/relationships/hyperlink" Target="https://talan.bank.gov.ua/get-user-certificate/sec1eVIeXjJRmm7R4fPU" TargetMode="External"/><Relationship Id="rId4471" Type="http://schemas.openxmlformats.org/officeDocument/2006/relationships/hyperlink" Target="https://talan.bank.gov.ua/get-user-certificate/sec1eUcQaAJcb3O0uS29" TargetMode="External"/><Relationship Id="rId2909" Type="http://schemas.openxmlformats.org/officeDocument/2006/relationships/hyperlink" Target="https://talan.bank.gov.ua/get-user-certificate/sec1ewG_Xk2uRPBPrwWF" TargetMode="External"/><Relationship Id="rId3073" Type="http://schemas.openxmlformats.org/officeDocument/2006/relationships/hyperlink" Target="https://talan.bank.gov.ua/get-user-certificate/sec1e2bWKOYo_HZpt172" TargetMode="External"/><Relationship Id="rId3280" Type="http://schemas.openxmlformats.org/officeDocument/2006/relationships/hyperlink" Target="https://talan.bank.gov.ua/get-user-certificate/sec1elp9bwzTqEeZTH9W" TargetMode="External"/><Relationship Id="rId4124" Type="http://schemas.openxmlformats.org/officeDocument/2006/relationships/hyperlink" Target="https://talan.bank.gov.ua/get-user-certificate/sec1eYXJzRSMtoNtad0s" TargetMode="External"/><Relationship Id="rId4331" Type="http://schemas.openxmlformats.org/officeDocument/2006/relationships/hyperlink" Target="https://talan.bank.gov.ua/get-user-certificate/sec1em9RxcRk37tUBSbH" TargetMode="External"/><Relationship Id="rId1718" Type="http://schemas.openxmlformats.org/officeDocument/2006/relationships/hyperlink" Target="https://talan.bank.gov.ua/get-user-certificate/sec1eaj9_or-TA063h-1" TargetMode="External"/><Relationship Id="rId1925" Type="http://schemas.openxmlformats.org/officeDocument/2006/relationships/hyperlink" Target="https://talan.bank.gov.ua/get-user-certificate/sec1eKImx27uJ1gZ0BPf" TargetMode="External"/><Relationship Id="rId3140" Type="http://schemas.openxmlformats.org/officeDocument/2006/relationships/hyperlink" Target="https://talan.bank.gov.ua/get-user-certificate/sec1epA8nRf-XgOZpUXm" TargetMode="External"/><Relationship Id="rId2699" Type="http://schemas.openxmlformats.org/officeDocument/2006/relationships/hyperlink" Target="https://talan.bank.gov.ua/get-user-certificate/sec1eCGnP9RAeMqHfy9t" TargetMode="External"/><Relationship Id="rId3000" Type="http://schemas.openxmlformats.org/officeDocument/2006/relationships/hyperlink" Target="https://talan.bank.gov.ua/get-user-certificate/sec1ehEKJTGug0iuMjrm" TargetMode="External"/><Relationship Id="rId3957" Type="http://schemas.openxmlformats.org/officeDocument/2006/relationships/hyperlink" Target="https://talan.bank.gov.ua/get-user-certificate/sec1eRBYyhPDHsd8_qPj" TargetMode="External"/><Relationship Id="rId878" Type="http://schemas.openxmlformats.org/officeDocument/2006/relationships/hyperlink" Target="https://talan.bank.gov.ua/get-user-certificate/sec1eO-4NPsqoFfzYa9N" TargetMode="External"/><Relationship Id="rId2559" Type="http://schemas.openxmlformats.org/officeDocument/2006/relationships/hyperlink" Target="https://talan.bank.gov.ua/get-user-certificate/sec1eXS92rStMZs_y029" TargetMode="External"/><Relationship Id="rId2766" Type="http://schemas.openxmlformats.org/officeDocument/2006/relationships/hyperlink" Target="https://talan.bank.gov.ua/get-user-certificate/sec1evFBqR7P6F4ih_F5" TargetMode="External"/><Relationship Id="rId2973" Type="http://schemas.openxmlformats.org/officeDocument/2006/relationships/hyperlink" Target="https://talan.bank.gov.ua/get-user-certificate/sec1ehZiINSo_hbRPKCZ" TargetMode="External"/><Relationship Id="rId3817" Type="http://schemas.openxmlformats.org/officeDocument/2006/relationships/hyperlink" Target="https://talan.bank.gov.ua/get-user-certificate/sec1en0LwW-z7otswiF2" TargetMode="External"/><Relationship Id="rId738" Type="http://schemas.openxmlformats.org/officeDocument/2006/relationships/hyperlink" Target="https://talan.bank.gov.ua/get-user-certificate/sec1eFLh2lm8E_3xoT3i" TargetMode="External"/><Relationship Id="rId945" Type="http://schemas.openxmlformats.org/officeDocument/2006/relationships/hyperlink" Target="https://talan.bank.gov.ua/get-user-certificate/sec1eCKJD6qaTtujlexT" TargetMode="External"/><Relationship Id="rId1368" Type="http://schemas.openxmlformats.org/officeDocument/2006/relationships/hyperlink" Target="https://talan.bank.gov.ua/get-user-certificate/sec1eL0HktWrD19FzU1i" TargetMode="External"/><Relationship Id="rId1575" Type="http://schemas.openxmlformats.org/officeDocument/2006/relationships/hyperlink" Target="https://talan.bank.gov.ua/get-user-certificate/sec1esnDspdt7k5Ive6W" TargetMode="External"/><Relationship Id="rId1782" Type="http://schemas.openxmlformats.org/officeDocument/2006/relationships/hyperlink" Target="https://talan.bank.gov.ua/get-user-certificate/sec1ev2V3XQ5AVuYcrWN" TargetMode="External"/><Relationship Id="rId2419" Type="http://schemas.openxmlformats.org/officeDocument/2006/relationships/hyperlink" Target="https://talan.bank.gov.ua/get-user-certificate/sec1eCIiUGN7XwrfJXi9" TargetMode="External"/><Relationship Id="rId2626" Type="http://schemas.openxmlformats.org/officeDocument/2006/relationships/hyperlink" Target="https://talan.bank.gov.ua/get-user-certificate/sec1ejDftpmAchxTyqEQ" TargetMode="External"/><Relationship Id="rId2833" Type="http://schemas.openxmlformats.org/officeDocument/2006/relationships/hyperlink" Target="https://talan.bank.gov.ua/get-user-certificate/sec1e3IBnNBabazLQxNH" TargetMode="External"/><Relationship Id="rId74" Type="http://schemas.openxmlformats.org/officeDocument/2006/relationships/hyperlink" Target="https://talan.bank.gov.ua/get-user-certificate/sec1eTEdexk7w2HoEwd4" TargetMode="External"/><Relationship Id="rId805" Type="http://schemas.openxmlformats.org/officeDocument/2006/relationships/hyperlink" Target="https://talan.bank.gov.ua/get-user-certificate/sec1eHajYD01dzOkCXaT" TargetMode="External"/><Relationship Id="rId1228" Type="http://schemas.openxmlformats.org/officeDocument/2006/relationships/hyperlink" Target="https://talan.bank.gov.ua/get-user-certificate/sec1e44hD2xIgUC1duA9" TargetMode="External"/><Relationship Id="rId1435" Type="http://schemas.openxmlformats.org/officeDocument/2006/relationships/hyperlink" Target="https://talan.bank.gov.ua/get-user-certificate/sec1ehD-VEF1i2SdWziF" TargetMode="External"/><Relationship Id="rId4798" Type="http://schemas.openxmlformats.org/officeDocument/2006/relationships/hyperlink" Target="https://talan.bank.gov.ua/get-user-certificate/sec1eTiMMkI8t2Bd0nFF" TargetMode="External"/><Relationship Id="rId1642" Type="http://schemas.openxmlformats.org/officeDocument/2006/relationships/hyperlink" Target="https://talan.bank.gov.ua/get-user-certificate/sec1e33OSzvMLKDaM8nf" TargetMode="External"/><Relationship Id="rId2900" Type="http://schemas.openxmlformats.org/officeDocument/2006/relationships/hyperlink" Target="https://talan.bank.gov.ua/get-user-certificate/sec1eO1IkskGPli724KL" TargetMode="External"/><Relationship Id="rId1502" Type="http://schemas.openxmlformats.org/officeDocument/2006/relationships/hyperlink" Target="https://talan.bank.gov.ua/get-user-certificate/sec1e-5H8Gq6Rwjf_zDh" TargetMode="External"/><Relationship Id="rId4658" Type="http://schemas.openxmlformats.org/officeDocument/2006/relationships/hyperlink" Target="https://talan.bank.gov.ua/get-user-certificate/sec1e0fcoVpBp3Z6V7Cl" TargetMode="External"/><Relationship Id="rId4865" Type="http://schemas.openxmlformats.org/officeDocument/2006/relationships/hyperlink" Target="https://talan.bank.gov.ua/get-user-certificate/sec1eeIKQsrj1cv72In9" TargetMode="External"/><Relationship Id="rId388" Type="http://schemas.openxmlformats.org/officeDocument/2006/relationships/hyperlink" Target="https://talan.bank.gov.ua/get-user-certificate/sec1e3dph_tHQ-rHqDFI" TargetMode="External"/><Relationship Id="rId2069" Type="http://schemas.openxmlformats.org/officeDocument/2006/relationships/hyperlink" Target="https://talan.bank.gov.ua/get-user-certificate/sec1e83BG3LJSva-aLk_" TargetMode="External"/><Relationship Id="rId3467" Type="http://schemas.openxmlformats.org/officeDocument/2006/relationships/hyperlink" Target="https://talan.bank.gov.ua/get-user-certificate/sec1epNAjC2aGN1CVLNl" TargetMode="External"/><Relationship Id="rId3674" Type="http://schemas.openxmlformats.org/officeDocument/2006/relationships/hyperlink" Target="https://talan.bank.gov.ua/get-user-certificate/sec1eFuQo2ODvB6p90YC" TargetMode="External"/><Relationship Id="rId3881" Type="http://schemas.openxmlformats.org/officeDocument/2006/relationships/hyperlink" Target="https://talan.bank.gov.ua/get-user-certificate/sec1e9Rb_7nPxWXi65_m" TargetMode="External"/><Relationship Id="rId4518" Type="http://schemas.openxmlformats.org/officeDocument/2006/relationships/hyperlink" Target="https://talan.bank.gov.ua/get-user-certificate/sec1eeOFe7GbPQnjh7E6" TargetMode="External"/><Relationship Id="rId4725" Type="http://schemas.openxmlformats.org/officeDocument/2006/relationships/hyperlink" Target="https://talan.bank.gov.ua/get-user-certificate/sec1ewhun30uPyAhV89o" TargetMode="External"/><Relationship Id="rId4932" Type="http://schemas.openxmlformats.org/officeDocument/2006/relationships/hyperlink" Target="https://talan.bank.gov.ua/get-user-certificate/sec1eKn-gr5k7H3kWcI_" TargetMode="External"/><Relationship Id="rId595" Type="http://schemas.openxmlformats.org/officeDocument/2006/relationships/hyperlink" Target="https://talan.bank.gov.ua/get-user-certificate/sec1eg2ZnmPmSv_Yo-xV" TargetMode="External"/><Relationship Id="rId2276" Type="http://schemas.openxmlformats.org/officeDocument/2006/relationships/hyperlink" Target="https://talan.bank.gov.ua/get-user-certificate/sec1e4FBpqpaH4QG2msN" TargetMode="External"/><Relationship Id="rId2483" Type="http://schemas.openxmlformats.org/officeDocument/2006/relationships/hyperlink" Target="https://talan.bank.gov.ua/get-user-certificate/sec1ewpQvumLEIFSaUx2" TargetMode="External"/><Relationship Id="rId2690" Type="http://schemas.openxmlformats.org/officeDocument/2006/relationships/hyperlink" Target="https://talan.bank.gov.ua/get-user-certificate/sec1eE-cBQN_NM2PtIs8" TargetMode="External"/><Relationship Id="rId3327" Type="http://schemas.openxmlformats.org/officeDocument/2006/relationships/hyperlink" Target="https://talan.bank.gov.ua/get-user-certificate/sec1ed8ASDdoVfkoihSl" TargetMode="External"/><Relationship Id="rId3534" Type="http://schemas.openxmlformats.org/officeDocument/2006/relationships/hyperlink" Target="https://talan.bank.gov.ua/get-user-certificate/sec1eE8Yc9GrHIokgby-" TargetMode="External"/><Relationship Id="rId3741" Type="http://schemas.openxmlformats.org/officeDocument/2006/relationships/hyperlink" Target="https://talan.bank.gov.ua/get-user-certificate/sec1eKEWokQ2yQWgONmt" TargetMode="External"/><Relationship Id="rId248" Type="http://schemas.openxmlformats.org/officeDocument/2006/relationships/hyperlink" Target="https://talan.bank.gov.ua/get-user-certificate/sec1efCb--zVfTJE2oF7" TargetMode="External"/><Relationship Id="rId455" Type="http://schemas.openxmlformats.org/officeDocument/2006/relationships/hyperlink" Target="https://talan.bank.gov.ua/get-user-certificate/sec1e1LpkgSCM9wKQ3Yo" TargetMode="External"/><Relationship Id="rId662" Type="http://schemas.openxmlformats.org/officeDocument/2006/relationships/hyperlink" Target="https://talan.bank.gov.ua/get-user-certificate/sec1ee3LoqGnK_4a62rP" TargetMode="External"/><Relationship Id="rId1085" Type="http://schemas.openxmlformats.org/officeDocument/2006/relationships/hyperlink" Target="https://talan.bank.gov.ua/get-user-certificate/sec1eHgLVOHrYWHXaGMI" TargetMode="External"/><Relationship Id="rId1292" Type="http://schemas.openxmlformats.org/officeDocument/2006/relationships/hyperlink" Target="https://talan.bank.gov.ua/get-user-certificate/sec1emGUf8sBliIrJ2CD" TargetMode="External"/><Relationship Id="rId2136" Type="http://schemas.openxmlformats.org/officeDocument/2006/relationships/hyperlink" Target="https://talan.bank.gov.ua/get-user-certificate/sec1e35F8UG84rj9pPkv" TargetMode="External"/><Relationship Id="rId2343" Type="http://schemas.openxmlformats.org/officeDocument/2006/relationships/hyperlink" Target="https://talan.bank.gov.ua/get-user-certificate/sec1eIA6v8EDirqHT8aO" TargetMode="External"/><Relationship Id="rId2550" Type="http://schemas.openxmlformats.org/officeDocument/2006/relationships/hyperlink" Target="https://talan.bank.gov.ua/get-user-certificate/sec1eqNGZWfp4v14e8J7" TargetMode="External"/><Relationship Id="rId3601" Type="http://schemas.openxmlformats.org/officeDocument/2006/relationships/hyperlink" Target="https://talan.bank.gov.ua/get-user-certificate/sec1eNPpb0A-jZDZb1E7" TargetMode="External"/><Relationship Id="rId108" Type="http://schemas.openxmlformats.org/officeDocument/2006/relationships/hyperlink" Target="https://talan.bank.gov.ua/get-user-certificate/sec1ePBz_ZNLtHRLc1bq" TargetMode="External"/><Relationship Id="rId315" Type="http://schemas.openxmlformats.org/officeDocument/2006/relationships/hyperlink" Target="https://talan.bank.gov.ua/get-user-certificate/sec1eojVoJNcYtAOEPR7" TargetMode="External"/><Relationship Id="rId522" Type="http://schemas.openxmlformats.org/officeDocument/2006/relationships/hyperlink" Target="https://talan.bank.gov.ua/get-user-certificate/sec1eC8ypiog7Lu_4dei" TargetMode="External"/><Relationship Id="rId1152" Type="http://schemas.openxmlformats.org/officeDocument/2006/relationships/hyperlink" Target="https://talan.bank.gov.ua/get-user-certificate/sec1eXBb4UReqoX_YY7d" TargetMode="External"/><Relationship Id="rId2203" Type="http://schemas.openxmlformats.org/officeDocument/2006/relationships/hyperlink" Target="https://talan.bank.gov.ua/get-user-certificate/sec1eiZY_vfioFW5E5ZN" TargetMode="External"/><Relationship Id="rId2410" Type="http://schemas.openxmlformats.org/officeDocument/2006/relationships/hyperlink" Target="https://talan.bank.gov.ua/get-user-certificate/sec1eH81zDGEpT1cD60w" TargetMode="External"/><Relationship Id="rId1012" Type="http://schemas.openxmlformats.org/officeDocument/2006/relationships/hyperlink" Target="https://talan.bank.gov.ua/get-user-certificate/sec1eCPzKN3QttjgJTjK" TargetMode="External"/><Relationship Id="rId4168" Type="http://schemas.openxmlformats.org/officeDocument/2006/relationships/hyperlink" Target="https://talan.bank.gov.ua/get-user-certificate/sec1eVVDZVCeZtGzZ0hG" TargetMode="External"/><Relationship Id="rId4375" Type="http://schemas.openxmlformats.org/officeDocument/2006/relationships/hyperlink" Target="https://talan.bank.gov.ua/get-user-certificate/sec1eEqEWrGWTRKWgidU" TargetMode="External"/><Relationship Id="rId1969" Type="http://schemas.openxmlformats.org/officeDocument/2006/relationships/hyperlink" Target="https://talan.bank.gov.ua/get-user-certificate/sec1eFK0noB8UfUQeyFi" TargetMode="External"/><Relationship Id="rId3184" Type="http://schemas.openxmlformats.org/officeDocument/2006/relationships/hyperlink" Target="https://talan.bank.gov.ua/get-user-certificate/sec1e3eP15jsrlmWCajg" TargetMode="External"/><Relationship Id="rId4028" Type="http://schemas.openxmlformats.org/officeDocument/2006/relationships/hyperlink" Target="https://talan.bank.gov.ua/get-user-certificate/sec1ejZi6s6xGeWfaFjH" TargetMode="External"/><Relationship Id="rId4235" Type="http://schemas.openxmlformats.org/officeDocument/2006/relationships/hyperlink" Target="https://talan.bank.gov.ua/get-user-certificate/sec1eDxGKfYxlMTU529A" TargetMode="External"/><Relationship Id="rId4582" Type="http://schemas.openxmlformats.org/officeDocument/2006/relationships/hyperlink" Target="https://talan.bank.gov.ua/get-user-certificate/sec1ewf71eQnhkjDOz6f" TargetMode="External"/><Relationship Id="rId1829" Type="http://schemas.openxmlformats.org/officeDocument/2006/relationships/hyperlink" Target="https://talan.bank.gov.ua/get-user-certificate/sec1ecxHYHwR5kdzGjbc" TargetMode="External"/><Relationship Id="rId3391" Type="http://schemas.openxmlformats.org/officeDocument/2006/relationships/hyperlink" Target="https://talan.bank.gov.ua/get-user-certificate/sec1eycGBPViFXX5DCSi" TargetMode="External"/><Relationship Id="rId4442" Type="http://schemas.openxmlformats.org/officeDocument/2006/relationships/hyperlink" Target="https://talan.bank.gov.ua/get-user-certificate/sec1eoZlkx6UUNYfqcVe" TargetMode="External"/><Relationship Id="rId3044" Type="http://schemas.openxmlformats.org/officeDocument/2006/relationships/hyperlink" Target="https://talan.bank.gov.ua/get-user-certificate/sec1e-hBHApX88he4Zfz" TargetMode="External"/><Relationship Id="rId3251" Type="http://schemas.openxmlformats.org/officeDocument/2006/relationships/hyperlink" Target="https://talan.bank.gov.ua/get-user-certificate/sec1ecLjQB5KvNws6DzK" TargetMode="External"/><Relationship Id="rId4302" Type="http://schemas.openxmlformats.org/officeDocument/2006/relationships/hyperlink" Target="https://talan.bank.gov.ua/get-user-certificate/sec1eQ6FEjY7eJWeQ-WD" TargetMode="External"/><Relationship Id="rId172" Type="http://schemas.openxmlformats.org/officeDocument/2006/relationships/hyperlink" Target="https://talan.bank.gov.ua/get-user-certificate/sec1exRC6nTvhzw_XiRC" TargetMode="External"/><Relationship Id="rId2060" Type="http://schemas.openxmlformats.org/officeDocument/2006/relationships/hyperlink" Target="https://talan.bank.gov.ua/get-user-certificate/sec1eyN0L2kFzowmWX2a" TargetMode="External"/><Relationship Id="rId3111" Type="http://schemas.openxmlformats.org/officeDocument/2006/relationships/hyperlink" Target="https://talan.bank.gov.ua/get-user-certificate/sec1eJC0LyNOayAPjDD4" TargetMode="External"/><Relationship Id="rId989" Type="http://schemas.openxmlformats.org/officeDocument/2006/relationships/hyperlink" Target="https://talan.bank.gov.ua/get-user-certificate/sec1eYry1_uMoOV4S3Wm" TargetMode="External"/><Relationship Id="rId2877" Type="http://schemas.openxmlformats.org/officeDocument/2006/relationships/hyperlink" Target="https://talan.bank.gov.ua/get-user-certificate/sec1e6Zyr8lTVCs7KF3N" TargetMode="External"/><Relationship Id="rId849" Type="http://schemas.openxmlformats.org/officeDocument/2006/relationships/hyperlink" Target="https://talan.bank.gov.ua/get-user-certificate/sec1ePtpMJHm7LiRy1nY" TargetMode="External"/><Relationship Id="rId1479" Type="http://schemas.openxmlformats.org/officeDocument/2006/relationships/hyperlink" Target="https://talan.bank.gov.ua/get-user-certificate/sec1e6aK57EbeqQZlmr0" TargetMode="External"/><Relationship Id="rId1686" Type="http://schemas.openxmlformats.org/officeDocument/2006/relationships/hyperlink" Target="https://talan.bank.gov.ua/get-user-certificate/sec1enCc1UFSUeapn4cL" TargetMode="External"/><Relationship Id="rId3928" Type="http://schemas.openxmlformats.org/officeDocument/2006/relationships/hyperlink" Target="https://talan.bank.gov.ua/get-user-certificate/sec1e_XLr2_wK04RPZFa" TargetMode="External"/><Relationship Id="rId4092" Type="http://schemas.openxmlformats.org/officeDocument/2006/relationships/hyperlink" Target="https://talan.bank.gov.ua/get-user-certificate/sec1ey9KPI257tlmsyM6" TargetMode="External"/><Relationship Id="rId1339" Type="http://schemas.openxmlformats.org/officeDocument/2006/relationships/hyperlink" Target="https://talan.bank.gov.ua/get-user-certificate/sec1eypAeanFFAH99qpE" TargetMode="External"/><Relationship Id="rId1893" Type="http://schemas.openxmlformats.org/officeDocument/2006/relationships/hyperlink" Target="https://talan.bank.gov.ua/get-user-certificate/sec1ejxtPyQNOfjIVGQD" TargetMode="External"/><Relationship Id="rId2737" Type="http://schemas.openxmlformats.org/officeDocument/2006/relationships/hyperlink" Target="https://talan.bank.gov.ua/get-user-certificate/sec1evCOxLoa6A3HuqLJ" TargetMode="External"/><Relationship Id="rId2944" Type="http://schemas.openxmlformats.org/officeDocument/2006/relationships/hyperlink" Target="https://talan.bank.gov.ua/get-user-certificate/sec1ezV1IrfKCVvfKHSa" TargetMode="External"/><Relationship Id="rId5003" Type="http://schemas.openxmlformats.org/officeDocument/2006/relationships/hyperlink" Target="https://talan.bank.gov.ua/get-user-certificate/sec1e86TbicuZY5ugi7u" TargetMode="External"/><Relationship Id="rId709" Type="http://schemas.openxmlformats.org/officeDocument/2006/relationships/hyperlink" Target="https://talan.bank.gov.ua/get-user-certificate/sec1ev56YmutPX6VgKp4" TargetMode="External"/><Relationship Id="rId916" Type="http://schemas.openxmlformats.org/officeDocument/2006/relationships/hyperlink" Target="https://talan.bank.gov.ua/get-user-certificate/sec1el14qktQr_PozAwO" TargetMode="External"/><Relationship Id="rId1546" Type="http://schemas.openxmlformats.org/officeDocument/2006/relationships/hyperlink" Target="https://talan.bank.gov.ua/get-user-certificate/sec1eLRh6w33i4sptAzB" TargetMode="External"/><Relationship Id="rId1753" Type="http://schemas.openxmlformats.org/officeDocument/2006/relationships/hyperlink" Target="https://talan.bank.gov.ua/get-user-certificate/sec1ejBleHG2wHcEJ5Pc" TargetMode="External"/><Relationship Id="rId1960" Type="http://schemas.openxmlformats.org/officeDocument/2006/relationships/hyperlink" Target="https://talan.bank.gov.ua/get-user-certificate/sec1eRcb4_-wx0TpZQQp" TargetMode="External"/><Relationship Id="rId2804" Type="http://schemas.openxmlformats.org/officeDocument/2006/relationships/hyperlink" Target="https://talan.bank.gov.ua/get-user-certificate/sec1edd186L9izkLq3pT" TargetMode="External"/><Relationship Id="rId45" Type="http://schemas.openxmlformats.org/officeDocument/2006/relationships/hyperlink" Target="https://talan.bank.gov.ua/get-user-certificate/sec1eE3xfbmbys3queKk" TargetMode="External"/><Relationship Id="rId1406" Type="http://schemas.openxmlformats.org/officeDocument/2006/relationships/hyperlink" Target="https://talan.bank.gov.ua/get-user-certificate/sec1engRVj7WBkltMJi1" TargetMode="External"/><Relationship Id="rId1613" Type="http://schemas.openxmlformats.org/officeDocument/2006/relationships/hyperlink" Target="https://talan.bank.gov.ua/get-user-certificate/sec1eQPN8Glv_yHp0jhe" TargetMode="External"/><Relationship Id="rId1820" Type="http://schemas.openxmlformats.org/officeDocument/2006/relationships/hyperlink" Target="https://talan.bank.gov.ua/get-user-certificate/sec1esP7ZOEYpR2Oztvq" TargetMode="External"/><Relationship Id="rId4769" Type="http://schemas.openxmlformats.org/officeDocument/2006/relationships/hyperlink" Target="https://talan.bank.gov.ua/get-user-certificate/sec1e3lP6ODjJh3dU-mK" TargetMode="External"/><Relationship Id="rId4976" Type="http://schemas.openxmlformats.org/officeDocument/2006/relationships/hyperlink" Target="https://talan.bank.gov.ua/get-user-certificate/sec1eIOK6m7VbPkpeaXj" TargetMode="External"/><Relationship Id="rId3578" Type="http://schemas.openxmlformats.org/officeDocument/2006/relationships/hyperlink" Target="https://talan.bank.gov.ua/get-user-certificate/sec1e0PFh5fPwl2QDmuq" TargetMode="External"/><Relationship Id="rId3785" Type="http://schemas.openxmlformats.org/officeDocument/2006/relationships/hyperlink" Target="https://talan.bank.gov.ua/get-user-certificate/sec1ejTReRBJXQnSjEo5" TargetMode="External"/><Relationship Id="rId3992" Type="http://schemas.openxmlformats.org/officeDocument/2006/relationships/hyperlink" Target="https://talan.bank.gov.ua/get-user-certificate/sec1eUbvlb-Ie7xHGoob" TargetMode="External"/><Relationship Id="rId4629" Type="http://schemas.openxmlformats.org/officeDocument/2006/relationships/hyperlink" Target="https://talan.bank.gov.ua/get-user-certificate/sec1enArn6cj3ITi82IN" TargetMode="External"/><Relationship Id="rId4836" Type="http://schemas.openxmlformats.org/officeDocument/2006/relationships/hyperlink" Target="https://talan.bank.gov.ua/get-user-certificate/sec1eUuXd_S4L4mBqaTN" TargetMode="External"/><Relationship Id="rId499" Type="http://schemas.openxmlformats.org/officeDocument/2006/relationships/hyperlink" Target="https://talan.bank.gov.ua/get-user-certificate/sec1eOCUSc8ZXcjZcesS" TargetMode="External"/><Relationship Id="rId2387" Type="http://schemas.openxmlformats.org/officeDocument/2006/relationships/hyperlink" Target="https://talan.bank.gov.ua/get-user-certificate/sec1euV29LBbHJNNMi2s" TargetMode="External"/><Relationship Id="rId2594" Type="http://schemas.openxmlformats.org/officeDocument/2006/relationships/hyperlink" Target="https://talan.bank.gov.ua/get-user-certificate/sec1enN0iod4eOA3_2BV" TargetMode="External"/><Relationship Id="rId3438" Type="http://schemas.openxmlformats.org/officeDocument/2006/relationships/hyperlink" Target="https://talan.bank.gov.ua/get-user-certificate/sec1e8tlJVQhTBPIK7OU" TargetMode="External"/><Relationship Id="rId3645" Type="http://schemas.openxmlformats.org/officeDocument/2006/relationships/hyperlink" Target="https://talan.bank.gov.ua/get-user-certificate/sec1ejfm8GvMbopPxCFh" TargetMode="External"/><Relationship Id="rId3852" Type="http://schemas.openxmlformats.org/officeDocument/2006/relationships/hyperlink" Target="https://talan.bank.gov.ua/get-user-certificate/sec1e4oYMX4m9I881V30" TargetMode="External"/><Relationship Id="rId359" Type="http://schemas.openxmlformats.org/officeDocument/2006/relationships/hyperlink" Target="https://talan.bank.gov.ua/get-user-certificate/sec1eITwDPvTWYa3t9tT" TargetMode="External"/><Relationship Id="rId566" Type="http://schemas.openxmlformats.org/officeDocument/2006/relationships/hyperlink" Target="https://talan.bank.gov.ua/get-user-certificate/sec1ew2Eywl3oZIBzC-D" TargetMode="External"/><Relationship Id="rId773" Type="http://schemas.openxmlformats.org/officeDocument/2006/relationships/hyperlink" Target="https://talan.bank.gov.ua/get-user-certificate/sec1ekOjtSEXc764vkMe" TargetMode="External"/><Relationship Id="rId1196" Type="http://schemas.openxmlformats.org/officeDocument/2006/relationships/hyperlink" Target="https://talan.bank.gov.ua/get-user-certificate/sec1e6Z2EM53DVLOefy6" TargetMode="External"/><Relationship Id="rId2247" Type="http://schemas.openxmlformats.org/officeDocument/2006/relationships/hyperlink" Target="https://talan.bank.gov.ua/get-user-certificate/sec1eQO8ksDaNGkRSLjB" TargetMode="External"/><Relationship Id="rId2454" Type="http://schemas.openxmlformats.org/officeDocument/2006/relationships/hyperlink" Target="https://talan.bank.gov.ua/get-user-certificate/sec1e7T9WZb6S1Pxc-8P" TargetMode="External"/><Relationship Id="rId3505" Type="http://schemas.openxmlformats.org/officeDocument/2006/relationships/hyperlink" Target="https://talan.bank.gov.ua/get-user-certificate/sec1emXn9YtHulRF0KgN" TargetMode="External"/><Relationship Id="rId4903" Type="http://schemas.openxmlformats.org/officeDocument/2006/relationships/hyperlink" Target="https://talan.bank.gov.ua/get-user-certificate/sec1ebjaaKGEz1TodVmi" TargetMode="External"/><Relationship Id="rId219" Type="http://schemas.openxmlformats.org/officeDocument/2006/relationships/hyperlink" Target="https://talan.bank.gov.ua/get-user-certificate/sec1eUV1HLiH0HDZqGUD" TargetMode="External"/><Relationship Id="rId426" Type="http://schemas.openxmlformats.org/officeDocument/2006/relationships/hyperlink" Target="https://talan.bank.gov.ua/get-user-certificate/sec1eY0H0kSjnIFJqrR7" TargetMode="External"/><Relationship Id="rId633" Type="http://schemas.openxmlformats.org/officeDocument/2006/relationships/hyperlink" Target="https://talan.bank.gov.ua/get-user-certificate/sec1eGug1eOS-7cKVigX" TargetMode="External"/><Relationship Id="rId980" Type="http://schemas.openxmlformats.org/officeDocument/2006/relationships/hyperlink" Target="https://talan.bank.gov.ua/get-user-certificate/sec1e5IuT3FKFpFxheJx" TargetMode="External"/><Relationship Id="rId1056" Type="http://schemas.openxmlformats.org/officeDocument/2006/relationships/hyperlink" Target="https://talan.bank.gov.ua/get-user-certificate/sec1eh-i-CVyuATa_9nm" TargetMode="External"/><Relationship Id="rId1263" Type="http://schemas.openxmlformats.org/officeDocument/2006/relationships/hyperlink" Target="https://talan.bank.gov.ua/get-user-certificate/sec1e2rcz-u6cuIcQnTA" TargetMode="External"/><Relationship Id="rId2107" Type="http://schemas.openxmlformats.org/officeDocument/2006/relationships/hyperlink" Target="https://talan.bank.gov.ua/get-user-certificate/sec1eq02GtxOLARHmo_D" TargetMode="External"/><Relationship Id="rId2314" Type="http://schemas.openxmlformats.org/officeDocument/2006/relationships/hyperlink" Target="https://talan.bank.gov.ua/get-user-certificate/sec1enP2SU6WHjzVMnIa" TargetMode="External"/><Relationship Id="rId2661" Type="http://schemas.openxmlformats.org/officeDocument/2006/relationships/hyperlink" Target="https://talan.bank.gov.ua/get-user-certificate/sec1e3hctyCY2NcGVcRr" TargetMode="External"/><Relationship Id="rId3712" Type="http://schemas.openxmlformats.org/officeDocument/2006/relationships/hyperlink" Target="https://talan.bank.gov.ua/get-user-certificate/sec1ezax8c9_KQZZnoFN" TargetMode="External"/><Relationship Id="rId840" Type="http://schemas.openxmlformats.org/officeDocument/2006/relationships/hyperlink" Target="https://talan.bank.gov.ua/get-user-certificate/sec1ejpBhXV-b5-wO7Z1" TargetMode="External"/><Relationship Id="rId1470" Type="http://schemas.openxmlformats.org/officeDocument/2006/relationships/hyperlink" Target="https://talan.bank.gov.ua/get-user-certificate/sec1emlO_W28yFJBVjc-" TargetMode="External"/><Relationship Id="rId2521" Type="http://schemas.openxmlformats.org/officeDocument/2006/relationships/hyperlink" Target="https://talan.bank.gov.ua/get-user-certificate/sec1e_BG1UusoPqjGmdp" TargetMode="External"/><Relationship Id="rId4279" Type="http://schemas.openxmlformats.org/officeDocument/2006/relationships/hyperlink" Target="https://talan.bank.gov.ua/get-user-certificate/sec1egA9cbFi3oRvBmYw" TargetMode="External"/><Relationship Id="rId700" Type="http://schemas.openxmlformats.org/officeDocument/2006/relationships/hyperlink" Target="https://talan.bank.gov.ua/get-user-certificate/sec1ejJuYN7Q9TxMHCTK" TargetMode="External"/><Relationship Id="rId1123" Type="http://schemas.openxmlformats.org/officeDocument/2006/relationships/hyperlink" Target="https://talan.bank.gov.ua/get-user-certificate/sec1eMb75pvW0VaoW_Te" TargetMode="External"/><Relationship Id="rId1330" Type="http://schemas.openxmlformats.org/officeDocument/2006/relationships/hyperlink" Target="https://talan.bank.gov.ua/get-user-certificate/sec1es91d63R7I_wci7q" TargetMode="External"/><Relationship Id="rId3088" Type="http://schemas.openxmlformats.org/officeDocument/2006/relationships/hyperlink" Target="https://talan.bank.gov.ua/get-user-certificate/sec1erqAUXfmkBxl-aQ2" TargetMode="External"/><Relationship Id="rId4486" Type="http://schemas.openxmlformats.org/officeDocument/2006/relationships/hyperlink" Target="https://talan.bank.gov.ua/get-user-certificate/sec1esS0zovbiENLRu75" TargetMode="External"/><Relationship Id="rId4693" Type="http://schemas.openxmlformats.org/officeDocument/2006/relationships/hyperlink" Target="https://talan.bank.gov.ua/get-user-certificate/sec1eeekl6f-S5t_DHvu" TargetMode="External"/><Relationship Id="rId3295" Type="http://schemas.openxmlformats.org/officeDocument/2006/relationships/hyperlink" Target="https://talan.bank.gov.ua/get-user-certificate/sec1eYgfosLwrLCX-2jg" TargetMode="External"/><Relationship Id="rId4139" Type="http://schemas.openxmlformats.org/officeDocument/2006/relationships/hyperlink" Target="https://talan.bank.gov.ua/get-user-certificate/sec1ezmdqUBylKadIXl7" TargetMode="External"/><Relationship Id="rId4346" Type="http://schemas.openxmlformats.org/officeDocument/2006/relationships/hyperlink" Target="https://talan.bank.gov.ua/get-user-certificate/sec1eU0QTMjZ0hLe49Hb" TargetMode="External"/><Relationship Id="rId4553" Type="http://schemas.openxmlformats.org/officeDocument/2006/relationships/hyperlink" Target="https://talan.bank.gov.ua/get-user-certificate/sec1eutfiEz2SpJpbQln" TargetMode="External"/><Relationship Id="rId4760" Type="http://schemas.openxmlformats.org/officeDocument/2006/relationships/hyperlink" Target="https://talan.bank.gov.ua/get-user-certificate/sec1e_ZdvsHiqYZuJN1u" TargetMode="External"/><Relationship Id="rId3155" Type="http://schemas.openxmlformats.org/officeDocument/2006/relationships/hyperlink" Target="https://talan.bank.gov.ua/get-user-certificate/sec1e7f1t2t438ubJIA6" TargetMode="External"/><Relationship Id="rId3362" Type="http://schemas.openxmlformats.org/officeDocument/2006/relationships/hyperlink" Target="https://talan.bank.gov.ua/get-user-certificate/sec1eU5qxKOiGFat-yQJ" TargetMode="External"/><Relationship Id="rId4206" Type="http://schemas.openxmlformats.org/officeDocument/2006/relationships/hyperlink" Target="https://talan.bank.gov.ua/get-user-certificate/sec1eTDiyUOa8XC1NSAZ" TargetMode="External"/><Relationship Id="rId4413" Type="http://schemas.openxmlformats.org/officeDocument/2006/relationships/hyperlink" Target="https://talan.bank.gov.ua/get-user-certificate/sec1epylAw5dN2W-2zaK" TargetMode="External"/><Relationship Id="rId4620" Type="http://schemas.openxmlformats.org/officeDocument/2006/relationships/hyperlink" Target="https://talan.bank.gov.ua/get-user-certificate/sec1esrnMkJ-cFUklidX" TargetMode="External"/><Relationship Id="rId283" Type="http://schemas.openxmlformats.org/officeDocument/2006/relationships/hyperlink" Target="https://talan.bank.gov.ua/get-user-certificate/sec1epMKzyHwDVdTIYFK" TargetMode="External"/><Relationship Id="rId490" Type="http://schemas.openxmlformats.org/officeDocument/2006/relationships/hyperlink" Target="https://talan.bank.gov.ua/get-user-certificate/sec1ecVv3yR2woU-ukCZ" TargetMode="External"/><Relationship Id="rId2171" Type="http://schemas.openxmlformats.org/officeDocument/2006/relationships/hyperlink" Target="https://talan.bank.gov.ua/get-user-certificate/sec1eAJf7ZV-uUoSc52H" TargetMode="External"/><Relationship Id="rId3015" Type="http://schemas.openxmlformats.org/officeDocument/2006/relationships/hyperlink" Target="https://talan.bank.gov.ua/get-user-certificate/sec1eLCKKTl8gDBSThC1" TargetMode="External"/><Relationship Id="rId3222" Type="http://schemas.openxmlformats.org/officeDocument/2006/relationships/hyperlink" Target="https://talan.bank.gov.ua/get-user-certificate/sec1elRiDG4n0YiULifR" TargetMode="External"/><Relationship Id="rId143" Type="http://schemas.openxmlformats.org/officeDocument/2006/relationships/hyperlink" Target="https://talan.bank.gov.ua/get-user-certificate/sec1eeGfJ4w4RTpmlk2W" TargetMode="External"/><Relationship Id="rId350" Type="http://schemas.openxmlformats.org/officeDocument/2006/relationships/hyperlink" Target="https://talan.bank.gov.ua/get-user-certificate/sec1e2x56cky8oVgUiWJ" TargetMode="External"/><Relationship Id="rId2031" Type="http://schemas.openxmlformats.org/officeDocument/2006/relationships/hyperlink" Target="https://talan.bank.gov.ua/get-user-certificate/sec1emaId_5Byxa9GAkX" TargetMode="External"/><Relationship Id="rId9" Type="http://schemas.openxmlformats.org/officeDocument/2006/relationships/hyperlink" Target="https://talan.bank.gov.ua/get-user-certificate/sec1e5n8MAffEJiPaL9w" TargetMode="External"/><Relationship Id="rId210" Type="http://schemas.openxmlformats.org/officeDocument/2006/relationships/hyperlink" Target="https://talan.bank.gov.ua/get-user-certificate/sec1etKRG35yVDsO2ece" TargetMode="External"/><Relationship Id="rId2988" Type="http://schemas.openxmlformats.org/officeDocument/2006/relationships/hyperlink" Target="https://talan.bank.gov.ua/get-user-certificate/sec1eIHuA-8Oz62kqsfm" TargetMode="External"/><Relationship Id="rId1797" Type="http://schemas.openxmlformats.org/officeDocument/2006/relationships/hyperlink" Target="https://talan.bank.gov.ua/get-user-certificate/sec1eXUcwu8-tvXT5TvI" TargetMode="External"/><Relationship Id="rId2848" Type="http://schemas.openxmlformats.org/officeDocument/2006/relationships/hyperlink" Target="https://talan.bank.gov.ua/get-user-certificate/sec1e4PevthqVN3zNNiL" TargetMode="External"/><Relationship Id="rId89" Type="http://schemas.openxmlformats.org/officeDocument/2006/relationships/hyperlink" Target="https://talan.bank.gov.ua/get-user-certificate/sec1enn5OCeIe3QvXTcC" TargetMode="External"/><Relationship Id="rId1657" Type="http://schemas.openxmlformats.org/officeDocument/2006/relationships/hyperlink" Target="https://talan.bank.gov.ua/get-user-certificate/sec1ehhSmLj57Whu_NEY" TargetMode="External"/><Relationship Id="rId1864" Type="http://schemas.openxmlformats.org/officeDocument/2006/relationships/hyperlink" Target="https://talan.bank.gov.ua/get-user-certificate/sec1eozJw_5n_3ki2pxR" TargetMode="External"/><Relationship Id="rId2708" Type="http://schemas.openxmlformats.org/officeDocument/2006/relationships/hyperlink" Target="https://talan.bank.gov.ua/get-user-certificate/sec1er5fHHeqW8oEA2D0" TargetMode="External"/><Relationship Id="rId2915" Type="http://schemas.openxmlformats.org/officeDocument/2006/relationships/hyperlink" Target="https://talan.bank.gov.ua/get-user-certificate/sec1eLXI-RyJv1-FmA5Y" TargetMode="External"/><Relationship Id="rId4063" Type="http://schemas.openxmlformats.org/officeDocument/2006/relationships/hyperlink" Target="https://talan.bank.gov.ua/get-user-certificate/sec1eSMnbvww4FPc7566" TargetMode="External"/><Relationship Id="rId4270" Type="http://schemas.openxmlformats.org/officeDocument/2006/relationships/hyperlink" Target="https://talan.bank.gov.ua/get-user-certificate/sec1e1zmMIgwlxo5iqWF" TargetMode="External"/><Relationship Id="rId1517" Type="http://schemas.openxmlformats.org/officeDocument/2006/relationships/hyperlink" Target="https://talan.bank.gov.ua/get-user-certificate/sec1etQkgXs9oJmqIfol" TargetMode="External"/><Relationship Id="rId1724" Type="http://schemas.openxmlformats.org/officeDocument/2006/relationships/hyperlink" Target="https://talan.bank.gov.ua/get-user-certificate/sec1ejKcmiOuVcNRUPOM" TargetMode="External"/><Relationship Id="rId4130" Type="http://schemas.openxmlformats.org/officeDocument/2006/relationships/hyperlink" Target="https://talan.bank.gov.ua/get-user-certificate/sec1erHzJ5sazriEjyl-" TargetMode="External"/><Relationship Id="rId16" Type="http://schemas.openxmlformats.org/officeDocument/2006/relationships/hyperlink" Target="https://talan.bank.gov.ua/get-user-certificate/sec1elzMOa8Msl9oCGcf" TargetMode="External"/><Relationship Id="rId1931" Type="http://schemas.openxmlformats.org/officeDocument/2006/relationships/hyperlink" Target="https://talan.bank.gov.ua/get-user-certificate/sec1eyMw9kCdwMY3TyUn" TargetMode="External"/><Relationship Id="rId3689" Type="http://schemas.openxmlformats.org/officeDocument/2006/relationships/hyperlink" Target="https://talan.bank.gov.ua/get-user-certificate/sec1eP7Gr2CdTahZPFkq" TargetMode="External"/><Relationship Id="rId3896" Type="http://schemas.openxmlformats.org/officeDocument/2006/relationships/hyperlink" Target="https://talan.bank.gov.ua/get-user-certificate/sec1eKVV67o34nU8knrJ" TargetMode="External"/><Relationship Id="rId2498" Type="http://schemas.openxmlformats.org/officeDocument/2006/relationships/hyperlink" Target="https://talan.bank.gov.ua/get-user-certificate/sec1eWT7pBu6X6foPN0m" TargetMode="External"/><Relationship Id="rId3549" Type="http://schemas.openxmlformats.org/officeDocument/2006/relationships/hyperlink" Target="https://talan.bank.gov.ua/get-user-certificate/sec1eyotn6C5nueOAltR" TargetMode="External"/><Relationship Id="rId4947" Type="http://schemas.openxmlformats.org/officeDocument/2006/relationships/hyperlink" Target="https://talan.bank.gov.ua/get-user-certificate/sec1e0KtG23NNc9aAH-7" TargetMode="External"/><Relationship Id="rId677" Type="http://schemas.openxmlformats.org/officeDocument/2006/relationships/hyperlink" Target="https://talan.bank.gov.ua/get-user-certificate/sec1eUTjRXnD-7NXJ-Zr" TargetMode="External"/><Relationship Id="rId2358" Type="http://schemas.openxmlformats.org/officeDocument/2006/relationships/hyperlink" Target="https://talan.bank.gov.ua/get-user-certificate/sec1eJjd4fVfLyK3XSOf" TargetMode="External"/><Relationship Id="rId3756" Type="http://schemas.openxmlformats.org/officeDocument/2006/relationships/hyperlink" Target="https://talan.bank.gov.ua/get-user-certificate/sec1elTtoR9813cAfUmk" TargetMode="External"/><Relationship Id="rId3963" Type="http://schemas.openxmlformats.org/officeDocument/2006/relationships/hyperlink" Target="https://talan.bank.gov.ua/get-user-certificate/sec1eTrtxoOiB_WNLgrg" TargetMode="External"/><Relationship Id="rId4807" Type="http://schemas.openxmlformats.org/officeDocument/2006/relationships/hyperlink" Target="https://talan.bank.gov.ua/get-user-certificate/sec1eftJad8XVxWFddQj" TargetMode="External"/><Relationship Id="rId884" Type="http://schemas.openxmlformats.org/officeDocument/2006/relationships/hyperlink" Target="https://talan.bank.gov.ua/get-user-certificate/sec1eYTruN7vsQao7DOI" TargetMode="External"/><Relationship Id="rId2565" Type="http://schemas.openxmlformats.org/officeDocument/2006/relationships/hyperlink" Target="https://talan.bank.gov.ua/get-user-certificate/sec1eUus1Ii9FJSSGLXY" TargetMode="External"/><Relationship Id="rId2772" Type="http://schemas.openxmlformats.org/officeDocument/2006/relationships/hyperlink" Target="https://talan.bank.gov.ua/get-user-certificate/sec1el07OWHDsy1pl7YE" TargetMode="External"/><Relationship Id="rId3409" Type="http://schemas.openxmlformats.org/officeDocument/2006/relationships/hyperlink" Target="https://talan.bank.gov.ua/get-user-certificate/sec1eZgrOmOkv0U8cddt" TargetMode="External"/><Relationship Id="rId3616" Type="http://schemas.openxmlformats.org/officeDocument/2006/relationships/hyperlink" Target="https://talan.bank.gov.ua/get-user-certificate/sec1eKIfFPqsIcK4slP9" TargetMode="External"/><Relationship Id="rId3823" Type="http://schemas.openxmlformats.org/officeDocument/2006/relationships/hyperlink" Target="https://talan.bank.gov.ua/get-user-certificate/sec1ep6CFF6oXGXbztPF" TargetMode="External"/><Relationship Id="rId537" Type="http://schemas.openxmlformats.org/officeDocument/2006/relationships/hyperlink" Target="https://talan.bank.gov.ua/get-user-certificate/sec1eFv3LedqZzilF96H" TargetMode="External"/><Relationship Id="rId744" Type="http://schemas.openxmlformats.org/officeDocument/2006/relationships/hyperlink" Target="https://talan.bank.gov.ua/get-user-certificate/sec1ePrglBJGWZsL7z5M" TargetMode="External"/><Relationship Id="rId951" Type="http://schemas.openxmlformats.org/officeDocument/2006/relationships/hyperlink" Target="https://talan.bank.gov.ua/get-user-certificate/sec1e1voXvsyl_Yq_cRs" TargetMode="External"/><Relationship Id="rId1167" Type="http://schemas.openxmlformats.org/officeDocument/2006/relationships/hyperlink" Target="https://talan.bank.gov.ua/get-user-certificate/sec1eeIq4QDSZpOwvd53" TargetMode="External"/><Relationship Id="rId1374" Type="http://schemas.openxmlformats.org/officeDocument/2006/relationships/hyperlink" Target="https://talan.bank.gov.ua/get-user-certificate/sec1eqpfjAZbyDflPefN" TargetMode="External"/><Relationship Id="rId1581" Type="http://schemas.openxmlformats.org/officeDocument/2006/relationships/hyperlink" Target="https://talan.bank.gov.ua/get-user-certificate/sec1enrpzzk1Y6H6Syan" TargetMode="External"/><Relationship Id="rId2218" Type="http://schemas.openxmlformats.org/officeDocument/2006/relationships/hyperlink" Target="https://talan.bank.gov.ua/get-user-certificate/sec1eUn1TfY1Du4KuLqH" TargetMode="External"/><Relationship Id="rId2425" Type="http://schemas.openxmlformats.org/officeDocument/2006/relationships/hyperlink" Target="https://talan.bank.gov.ua/get-user-certificate/sec1enwRISMRsxNJ9jkK" TargetMode="External"/><Relationship Id="rId2632" Type="http://schemas.openxmlformats.org/officeDocument/2006/relationships/hyperlink" Target="https://talan.bank.gov.ua/get-user-certificate/sec1e8T247VuwXzNikf6" TargetMode="External"/><Relationship Id="rId80" Type="http://schemas.openxmlformats.org/officeDocument/2006/relationships/hyperlink" Target="https://talan.bank.gov.ua/get-user-certificate/sec1e4YoOTbMs4oiM6Wz" TargetMode="External"/><Relationship Id="rId604" Type="http://schemas.openxmlformats.org/officeDocument/2006/relationships/hyperlink" Target="https://talan.bank.gov.ua/get-user-certificate/sec1e8dmtc84546LBId5" TargetMode="External"/><Relationship Id="rId811" Type="http://schemas.openxmlformats.org/officeDocument/2006/relationships/hyperlink" Target="https://talan.bank.gov.ua/get-user-certificate/sec1eWvR2ZQRrfqlJadC" TargetMode="External"/><Relationship Id="rId1027" Type="http://schemas.openxmlformats.org/officeDocument/2006/relationships/hyperlink" Target="https://talan.bank.gov.ua/get-user-certificate/sec1ekRUrYoKJdANSaQl" TargetMode="External"/><Relationship Id="rId1234" Type="http://schemas.openxmlformats.org/officeDocument/2006/relationships/hyperlink" Target="https://talan.bank.gov.ua/get-user-certificate/sec1ecGjvKTyKrpuZPeg" TargetMode="External"/><Relationship Id="rId1441" Type="http://schemas.openxmlformats.org/officeDocument/2006/relationships/hyperlink" Target="https://talan.bank.gov.ua/get-user-certificate/sec1ePmpmufzjJAl-fdc" TargetMode="External"/><Relationship Id="rId4597" Type="http://schemas.openxmlformats.org/officeDocument/2006/relationships/hyperlink" Target="https://talan.bank.gov.ua/get-user-certificate/sec1edMfzJH4Xwa_B6od" TargetMode="External"/><Relationship Id="rId1301" Type="http://schemas.openxmlformats.org/officeDocument/2006/relationships/hyperlink" Target="https://talan.bank.gov.ua/get-user-certificate/sec1eRe53rqNBKcB-v_k" TargetMode="External"/><Relationship Id="rId3199" Type="http://schemas.openxmlformats.org/officeDocument/2006/relationships/hyperlink" Target="https://talan.bank.gov.ua/get-user-certificate/sec1eYueLKvq8hZmwWpa" TargetMode="External"/><Relationship Id="rId4457" Type="http://schemas.openxmlformats.org/officeDocument/2006/relationships/hyperlink" Target="https://talan.bank.gov.ua/get-user-certificate/sec1e0b-c9HvH0OWftgy" TargetMode="External"/><Relationship Id="rId4664" Type="http://schemas.openxmlformats.org/officeDocument/2006/relationships/hyperlink" Target="https://talan.bank.gov.ua/get-user-certificate/sec1e94272bkekhl6ZrI" TargetMode="External"/><Relationship Id="rId3059" Type="http://schemas.openxmlformats.org/officeDocument/2006/relationships/hyperlink" Target="https://talan.bank.gov.ua/get-user-certificate/sec1eT9hdQr-mNXW-r5-" TargetMode="External"/><Relationship Id="rId3266" Type="http://schemas.openxmlformats.org/officeDocument/2006/relationships/hyperlink" Target="https://talan.bank.gov.ua/get-user-certificate/sec1eSl0r-pgEuBl4y0Y" TargetMode="External"/><Relationship Id="rId3473" Type="http://schemas.openxmlformats.org/officeDocument/2006/relationships/hyperlink" Target="https://talan.bank.gov.ua/get-user-certificate/sec1e6_IL4RcvYRuBt1J" TargetMode="External"/><Relationship Id="rId4317" Type="http://schemas.openxmlformats.org/officeDocument/2006/relationships/hyperlink" Target="https://talan.bank.gov.ua/get-user-certificate/sec1evrrnX0Ojo3lBpFV" TargetMode="External"/><Relationship Id="rId4524" Type="http://schemas.openxmlformats.org/officeDocument/2006/relationships/hyperlink" Target="https://talan.bank.gov.ua/get-user-certificate/sec1e7YMm7lU2ii9Y0Vp" TargetMode="External"/><Relationship Id="rId4871" Type="http://schemas.openxmlformats.org/officeDocument/2006/relationships/hyperlink" Target="https://talan.bank.gov.ua/get-user-certificate/sec1e8bV-YTXHw69Z5n7" TargetMode="External"/><Relationship Id="rId187" Type="http://schemas.openxmlformats.org/officeDocument/2006/relationships/hyperlink" Target="https://talan.bank.gov.ua/get-user-certificate/sec1e5Rb0uHMNcFEcdpB" TargetMode="External"/><Relationship Id="rId394" Type="http://schemas.openxmlformats.org/officeDocument/2006/relationships/hyperlink" Target="https://talan.bank.gov.ua/get-user-certificate/sec1etVcI9oOxvNaT19S" TargetMode="External"/><Relationship Id="rId2075" Type="http://schemas.openxmlformats.org/officeDocument/2006/relationships/hyperlink" Target="https://talan.bank.gov.ua/get-user-certificate/sec1ezqU9pmXutLmaKOp" TargetMode="External"/><Relationship Id="rId2282" Type="http://schemas.openxmlformats.org/officeDocument/2006/relationships/hyperlink" Target="https://talan.bank.gov.ua/get-user-certificate/sec1eqWb7YxnmtWn0d5t" TargetMode="External"/><Relationship Id="rId3126" Type="http://schemas.openxmlformats.org/officeDocument/2006/relationships/hyperlink" Target="https://talan.bank.gov.ua/get-user-certificate/sec1eBxCEM77R-BMPcz4" TargetMode="External"/><Relationship Id="rId3680" Type="http://schemas.openxmlformats.org/officeDocument/2006/relationships/hyperlink" Target="https://talan.bank.gov.ua/get-user-certificate/sec1e7mpwK8rOQTno8tD" TargetMode="External"/><Relationship Id="rId4731" Type="http://schemas.openxmlformats.org/officeDocument/2006/relationships/hyperlink" Target="https://talan.bank.gov.ua/get-user-certificate/sec1epSKQZLJiGZqDBIh" TargetMode="External"/><Relationship Id="rId254" Type="http://schemas.openxmlformats.org/officeDocument/2006/relationships/hyperlink" Target="https://talan.bank.gov.ua/get-user-certificate/sec1e36AKkGZDgVJLeKt" TargetMode="External"/><Relationship Id="rId1091" Type="http://schemas.openxmlformats.org/officeDocument/2006/relationships/hyperlink" Target="https://talan.bank.gov.ua/get-user-certificate/sec1e3FCgDlZ8L4oWFec" TargetMode="External"/><Relationship Id="rId3333" Type="http://schemas.openxmlformats.org/officeDocument/2006/relationships/hyperlink" Target="https://talan.bank.gov.ua/get-user-certificate/sec1eKAUBQPK_wCU_-7K" TargetMode="External"/><Relationship Id="rId3540" Type="http://schemas.openxmlformats.org/officeDocument/2006/relationships/hyperlink" Target="https://talan.bank.gov.ua/get-user-certificate/sec1e7f2qzVlk-flOMGr" TargetMode="External"/><Relationship Id="rId114" Type="http://schemas.openxmlformats.org/officeDocument/2006/relationships/hyperlink" Target="https://talan.bank.gov.ua/get-user-certificate/sec1e8a0MaLFWLvxfPnA" TargetMode="External"/><Relationship Id="rId461" Type="http://schemas.openxmlformats.org/officeDocument/2006/relationships/hyperlink" Target="https://talan.bank.gov.ua/get-user-certificate/sec1e03C5-81UU9zCiXK" TargetMode="External"/><Relationship Id="rId2142" Type="http://schemas.openxmlformats.org/officeDocument/2006/relationships/hyperlink" Target="https://talan.bank.gov.ua/get-user-certificate/sec1e3fwHeOqy2dkzlet" TargetMode="External"/><Relationship Id="rId3400" Type="http://schemas.openxmlformats.org/officeDocument/2006/relationships/hyperlink" Target="https://talan.bank.gov.ua/get-user-certificate/sec1eGgq6JY9SEeSsF0A" TargetMode="External"/><Relationship Id="rId321" Type="http://schemas.openxmlformats.org/officeDocument/2006/relationships/hyperlink" Target="https://talan.bank.gov.ua/get-user-certificate/sec1ehBWbHX_8HIZnUo3" TargetMode="External"/><Relationship Id="rId2002" Type="http://schemas.openxmlformats.org/officeDocument/2006/relationships/hyperlink" Target="https://talan.bank.gov.ua/get-user-certificate/sec1evkB2txuhCvisJYP" TargetMode="External"/><Relationship Id="rId2959" Type="http://schemas.openxmlformats.org/officeDocument/2006/relationships/hyperlink" Target="https://talan.bank.gov.ua/get-user-certificate/sec1eY38EaTNzdmAHuUh" TargetMode="External"/><Relationship Id="rId1768" Type="http://schemas.openxmlformats.org/officeDocument/2006/relationships/hyperlink" Target="https://talan.bank.gov.ua/get-user-certificate/sec1e7uylJH5UJ0q-GNz" TargetMode="External"/><Relationship Id="rId2819" Type="http://schemas.openxmlformats.org/officeDocument/2006/relationships/hyperlink" Target="https://talan.bank.gov.ua/get-user-certificate/sec1e7tJOwbDgevT-mmD" TargetMode="External"/><Relationship Id="rId4174" Type="http://schemas.openxmlformats.org/officeDocument/2006/relationships/hyperlink" Target="https://talan.bank.gov.ua/get-user-certificate/sec1eFJEYa9_IdRJ1p7W" TargetMode="External"/><Relationship Id="rId4381" Type="http://schemas.openxmlformats.org/officeDocument/2006/relationships/hyperlink" Target="https://talan.bank.gov.ua/get-user-certificate/sec1e9rYnKg3PCBSSZ0U" TargetMode="External"/><Relationship Id="rId5018" Type="http://schemas.openxmlformats.org/officeDocument/2006/relationships/hyperlink" Target="https://talan.bank.gov.ua/get-user-certificate/f7i-sPHY-cLMp-Gq2OE9" TargetMode="External"/><Relationship Id="rId1628" Type="http://schemas.openxmlformats.org/officeDocument/2006/relationships/hyperlink" Target="https://talan.bank.gov.ua/get-user-certificate/sec1ecnGlI5MLnV3pzJp" TargetMode="External"/><Relationship Id="rId1975" Type="http://schemas.openxmlformats.org/officeDocument/2006/relationships/hyperlink" Target="https://talan.bank.gov.ua/get-user-certificate/sec1eQonN0o2RJ7-244O" TargetMode="External"/><Relationship Id="rId3190" Type="http://schemas.openxmlformats.org/officeDocument/2006/relationships/hyperlink" Target="https://talan.bank.gov.ua/get-user-certificate/sec1e5wL-bE70ccAsnuH" TargetMode="External"/><Relationship Id="rId4034" Type="http://schemas.openxmlformats.org/officeDocument/2006/relationships/hyperlink" Target="https://talan.bank.gov.ua/get-user-certificate/sec1eaQDQG5jVstSYqCB" TargetMode="External"/><Relationship Id="rId4241" Type="http://schemas.openxmlformats.org/officeDocument/2006/relationships/hyperlink" Target="https://talan.bank.gov.ua/get-user-certificate/sec1erLQy-pDV5UIjdf5" TargetMode="External"/><Relationship Id="rId1835" Type="http://schemas.openxmlformats.org/officeDocument/2006/relationships/hyperlink" Target="https://talan.bank.gov.ua/get-user-certificate/sec1eAJ3Lg0dH76dRLlX" TargetMode="External"/><Relationship Id="rId3050" Type="http://schemas.openxmlformats.org/officeDocument/2006/relationships/hyperlink" Target="https://talan.bank.gov.ua/get-user-certificate/sec1eqchgdTBIeuHAWJc" TargetMode="External"/><Relationship Id="rId4101" Type="http://schemas.openxmlformats.org/officeDocument/2006/relationships/hyperlink" Target="https://talan.bank.gov.ua/get-user-certificate/sec1eFJMZtmVkaJFXro2" TargetMode="External"/><Relationship Id="rId1902" Type="http://schemas.openxmlformats.org/officeDocument/2006/relationships/hyperlink" Target="https://talan.bank.gov.ua/get-user-certificate/sec1eJX08ji2UFLMWg6N" TargetMode="External"/><Relationship Id="rId3867" Type="http://schemas.openxmlformats.org/officeDocument/2006/relationships/hyperlink" Target="https://talan.bank.gov.ua/get-user-certificate/sec1eEn3qdxE0Kkj1zaH" TargetMode="External"/><Relationship Id="rId4918" Type="http://schemas.openxmlformats.org/officeDocument/2006/relationships/hyperlink" Target="https://talan.bank.gov.ua/get-user-certificate/sec1euqIlIOUc_ZB4vy7" TargetMode="External"/><Relationship Id="rId788" Type="http://schemas.openxmlformats.org/officeDocument/2006/relationships/hyperlink" Target="https://talan.bank.gov.ua/get-user-certificate/sec1eNOW5VsSqZDoA6lw" TargetMode="External"/><Relationship Id="rId995" Type="http://schemas.openxmlformats.org/officeDocument/2006/relationships/hyperlink" Target="https://talan.bank.gov.ua/get-user-certificate/sec1elIBDt1fkLjxAweV" TargetMode="External"/><Relationship Id="rId2469" Type="http://schemas.openxmlformats.org/officeDocument/2006/relationships/hyperlink" Target="https://talan.bank.gov.ua/get-user-certificate/sec1ei49kBAHYbUU6wvo" TargetMode="External"/><Relationship Id="rId2676" Type="http://schemas.openxmlformats.org/officeDocument/2006/relationships/hyperlink" Target="https://talan.bank.gov.ua/get-user-certificate/sec1eGpaOlMJFtJAKbk4" TargetMode="External"/><Relationship Id="rId2883" Type="http://schemas.openxmlformats.org/officeDocument/2006/relationships/hyperlink" Target="https://talan.bank.gov.ua/get-user-certificate/sec1eYXXSGh7ZpfF7Svc" TargetMode="External"/><Relationship Id="rId3727" Type="http://schemas.openxmlformats.org/officeDocument/2006/relationships/hyperlink" Target="https://talan.bank.gov.ua/get-user-certificate/sec1elvfaj8uNIpEdahw" TargetMode="External"/><Relationship Id="rId3934" Type="http://schemas.openxmlformats.org/officeDocument/2006/relationships/hyperlink" Target="https://talan.bank.gov.ua/get-user-certificate/sec1etUfVWiMakHpXku0" TargetMode="External"/><Relationship Id="rId648" Type="http://schemas.openxmlformats.org/officeDocument/2006/relationships/hyperlink" Target="https://talan.bank.gov.ua/get-user-certificate/sec1eWfN30SA1S8nHnlY" TargetMode="External"/><Relationship Id="rId855" Type="http://schemas.openxmlformats.org/officeDocument/2006/relationships/hyperlink" Target="https://talan.bank.gov.ua/get-user-certificate/sec1eHjxpR8itQhyDgRJ" TargetMode="External"/><Relationship Id="rId1278" Type="http://schemas.openxmlformats.org/officeDocument/2006/relationships/hyperlink" Target="https://talan.bank.gov.ua/get-user-certificate/sec1efeI5MvgsdSbGtcC" TargetMode="External"/><Relationship Id="rId1485" Type="http://schemas.openxmlformats.org/officeDocument/2006/relationships/hyperlink" Target="https://talan.bank.gov.ua/get-user-certificate/sec1eMIgzrXG6pMBWzyb" TargetMode="External"/><Relationship Id="rId1692" Type="http://schemas.openxmlformats.org/officeDocument/2006/relationships/hyperlink" Target="https://talan.bank.gov.ua/get-user-certificate/sec1eM7NazlYJiWZoGOV" TargetMode="External"/><Relationship Id="rId2329" Type="http://schemas.openxmlformats.org/officeDocument/2006/relationships/hyperlink" Target="https://talan.bank.gov.ua/get-user-certificate/sec1eMtxHnUr9ns0bsU5" TargetMode="External"/><Relationship Id="rId2536" Type="http://schemas.openxmlformats.org/officeDocument/2006/relationships/hyperlink" Target="https://talan.bank.gov.ua/get-user-certificate/sec1eMKXz6nWjTdZ6x2M" TargetMode="External"/><Relationship Id="rId2743" Type="http://schemas.openxmlformats.org/officeDocument/2006/relationships/hyperlink" Target="https://talan.bank.gov.ua/get-user-certificate/sec1eaJbjI3tE8z3Lbz4" TargetMode="External"/><Relationship Id="rId508" Type="http://schemas.openxmlformats.org/officeDocument/2006/relationships/hyperlink" Target="https://talan.bank.gov.ua/get-user-certificate/sec1ea0w8mWykrTKJX-3" TargetMode="External"/><Relationship Id="rId715" Type="http://schemas.openxmlformats.org/officeDocument/2006/relationships/hyperlink" Target="https://talan.bank.gov.ua/get-user-certificate/sec1eGrn1V_dlyQooVrv" TargetMode="External"/><Relationship Id="rId922" Type="http://schemas.openxmlformats.org/officeDocument/2006/relationships/hyperlink" Target="https://talan.bank.gov.ua/get-user-certificate/sec1eBcWRfPaiekBCoQV" TargetMode="External"/><Relationship Id="rId1138" Type="http://schemas.openxmlformats.org/officeDocument/2006/relationships/hyperlink" Target="https://talan.bank.gov.ua/get-user-certificate/sec1ewNc4F4oItEEcTbz" TargetMode="External"/><Relationship Id="rId1345" Type="http://schemas.openxmlformats.org/officeDocument/2006/relationships/hyperlink" Target="https://talan.bank.gov.ua/get-user-certificate/sec1e-L5aRPgJ7IwNFIK" TargetMode="External"/><Relationship Id="rId1552" Type="http://schemas.openxmlformats.org/officeDocument/2006/relationships/hyperlink" Target="https://talan.bank.gov.ua/get-user-certificate/sec1ejieKGQOlBsoEBlS" TargetMode="External"/><Relationship Id="rId2603" Type="http://schemas.openxmlformats.org/officeDocument/2006/relationships/hyperlink" Target="https://talan.bank.gov.ua/get-user-certificate/sec1eDr2p7f7MTkdcO6i" TargetMode="External"/><Relationship Id="rId2950" Type="http://schemas.openxmlformats.org/officeDocument/2006/relationships/hyperlink" Target="https://talan.bank.gov.ua/get-user-certificate/sec1e2NGZF0cYDx-7bfC" TargetMode="External"/><Relationship Id="rId1205" Type="http://schemas.openxmlformats.org/officeDocument/2006/relationships/hyperlink" Target="https://talan.bank.gov.ua/get-user-certificate/sec1eR7aC5WxamOg09iF" TargetMode="External"/><Relationship Id="rId2810" Type="http://schemas.openxmlformats.org/officeDocument/2006/relationships/hyperlink" Target="https://talan.bank.gov.ua/get-user-certificate/sec1eyBiJmuLLVngfsPE" TargetMode="External"/><Relationship Id="rId4568" Type="http://schemas.openxmlformats.org/officeDocument/2006/relationships/hyperlink" Target="https://talan.bank.gov.ua/get-user-certificate/sec1ecQS28e-zkLhzret" TargetMode="External"/><Relationship Id="rId51" Type="http://schemas.openxmlformats.org/officeDocument/2006/relationships/hyperlink" Target="https://talan.bank.gov.ua/get-user-certificate/sec1eQBkBaFXKyJrIK3A" TargetMode="External"/><Relationship Id="rId1412" Type="http://schemas.openxmlformats.org/officeDocument/2006/relationships/hyperlink" Target="https://talan.bank.gov.ua/get-user-certificate/sec1ezO6DVbI7wKsyglG" TargetMode="External"/><Relationship Id="rId3377" Type="http://schemas.openxmlformats.org/officeDocument/2006/relationships/hyperlink" Target="https://talan.bank.gov.ua/get-user-certificate/sec1e0hBtGyyeeYJPUFq" TargetMode="External"/><Relationship Id="rId4775" Type="http://schemas.openxmlformats.org/officeDocument/2006/relationships/hyperlink" Target="https://talan.bank.gov.ua/get-user-certificate/sec1e40ytNrfan6nYcjW" TargetMode="External"/><Relationship Id="rId4982" Type="http://schemas.openxmlformats.org/officeDocument/2006/relationships/hyperlink" Target="https://talan.bank.gov.ua/get-user-certificate/sec1exdIgNtGX4e-Pejk" TargetMode="External"/><Relationship Id="rId298" Type="http://schemas.openxmlformats.org/officeDocument/2006/relationships/hyperlink" Target="https://talan.bank.gov.ua/get-user-certificate/sec1eSu0f7hDqOM9UqHz" TargetMode="External"/><Relationship Id="rId3584" Type="http://schemas.openxmlformats.org/officeDocument/2006/relationships/hyperlink" Target="https://talan.bank.gov.ua/get-user-certificate/sec1eK91P5mCdskDurGZ" TargetMode="External"/><Relationship Id="rId3791" Type="http://schemas.openxmlformats.org/officeDocument/2006/relationships/hyperlink" Target="https://talan.bank.gov.ua/get-user-certificate/sec1ere_PBwhH3ecHT7m" TargetMode="External"/><Relationship Id="rId4428" Type="http://schemas.openxmlformats.org/officeDocument/2006/relationships/hyperlink" Target="https://talan.bank.gov.ua/get-user-certificate/sec1eYrmCHQS9vll6izX" TargetMode="External"/><Relationship Id="rId4635" Type="http://schemas.openxmlformats.org/officeDocument/2006/relationships/hyperlink" Target="https://talan.bank.gov.ua/get-user-certificate/sec1es4wlMl7IKLg7NkM" TargetMode="External"/><Relationship Id="rId4842" Type="http://schemas.openxmlformats.org/officeDocument/2006/relationships/hyperlink" Target="https://talan.bank.gov.ua/get-user-certificate/sec1eJxPL9J45A5h10pO" TargetMode="External"/><Relationship Id="rId158" Type="http://schemas.openxmlformats.org/officeDocument/2006/relationships/hyperlink" Target="https://talan.bank.gov.ua/get-user-certificate/sec1e14gniwo5dCBulaT" TargetMode="External"/><Relationship Id="rId2186" Type="http://schemas.openxmlformats.org/officeDocument/2006/relationships/hyperlink" Target="https://talan.bank.gov.ua/get-user-certificate/sec1eeJRxYTkgLliS4On" TargetMode="External"/><Relationship Id="rId2393" Type="http://schemas.openxmlformats.org/officeDocument/2006/relationships/hyperlink" Target="https://talan.bank.gov.ua/get-user-certificate/sec1e_7ZJH62XJhra8Ar" TargetMode="External"/><Relationship Id="rId3237" Type="http://schemas.openxmlformats.org/officeDocument/2006/relationships/hyperlink" Target="https://talan.bank.gov.ua/get-user-certificate/sec1e1oyk7QzcxzCnjkG" TargetMode="External"/><Relationship Id="rId3444" Type="http://schemas.openxmlformats.org/officeDocument/2006/relationships/hyperlink" Target="https://talan.bank.gov.ua/get-user-certificate/sec1eo-rHte0wYqXLrIX" TargetMode="External"/><Relationship Id="rId3651" Type="http://schemas.openxmlformats.org/officeDocument/2006/relationships/hyperlink" Target="https://talan.bank.gov.ua/get-user-certificate/sec1eVWFHtyIM1xLK9Ax" TargetMode="External"/><Relationship Id="rId4702" Type="http://schemas.openxmlformats.org/officeDocument/2006/relationships/hyperlink" Target="https://talan.bank.gov.ua/get-user-certificate/sec1etZX_5zbXMmtez_T" TargetMode="External"/><Relationship Id="rId365" Type="http://schemas.openxmlformats.org/officeDocument/2006/relationships/hyperlink" Target="https://talan.bank.gov.ua/get-user-certificate/sec1e71aAM_hYQhxMPyd" TargetMode="External"/><Relationship Id="rId572" Type="http://schemas.openxmlformats.org/officeDocument/2006/relationships/hyperlink" Target="https://talan.bank.gov.ua/get-user-certificate/sec1eGOoNmpQ52stWDeT" TargetMode="External"/><Relationship Id="rId2046" Type="http://schemas.openxmlformats.org/officeDocument/2006/relationships/hyperlink" Target="https://talan.bank.gov.ua/get-user-certificate/sec1eBVyBcYPn9No3cHZ" TargetMode="External"/><Relationship Id="rId2253" Type="http://schemas.openxmlformats.org/officeDocument/2006/relationships/hyperlink" Target="https://talan.bank.gov.ua/get-user-certificate/sec1eyFeCyufPki4oadC" TargetMode="External"/><Relationship Id="rId2460" Type="http://schemas.openxmlformats.org/officeDocument/2006/relationships/hyperlink" Target="https://talan.bank.gov.ua/get-user-certificate/sec1eQujgxK5zs__DrG-" TargetMode="External"/><Relationship Id="rId3304" Type="http://schemas.openxmlformats.org/officeDocument/2006/relationships/hyperlink" Target="https://talan.bank.gov.ua/get-user-certificate/sec1e9tVV3A4fAsmvPX5" TargetMode="External"/><Relationship Id="rId3511" Type="http://schemas.openxmlformats.org/officeDocument/2006/relationships/hyperlink" Target="https://talan.bank.gov.ua/get-user-certificate/sec1ec5Oym4l_imVgDF4" TargetMode="External"/><Relationship Id="rId225" Type="http://schemas.openxmlformats.org/officeDocument/2006/relationships/hyperlink" Target="https://talan.bank.gov.ua/get-user-certificate/sec1ebViLg62L-5xq26M" TargetMode="External"/><Relationship Id="rId432" Type="http://schemas.openxmlformats.org/officeDocument/2006/relationships/hyperlink" Target="https://talan.bank.gov.ua/get-user-certificate/sec1e_JoW00JXUeF8bxK" TargetMode="External"/><Relationship Id="rId1062" Type="http://schemas.openxmlformats.org/officeDocument/2006/relationships/hyperlink" Target="https://talan.bank.gov.ua/get-user-certificate/sec1ez6PuhfjCy3XTRWJ" TargetMode="External"/><Relationship Id="rId2113" Type="http://schemas.openxmlformats.org/officeDocument/2006/relationships/hyperlink" Target="https://talan.bank.gov.ua/get-user-certificate/sec1ejpyNpDvCfxIVUHP" TargetMode="External"/><Relationship Id="rId2320" Type="http://schemas.openxmlformats.org/officeDocument/2006/relationships/hyperlink" Target="https://talan.bank.gov.ua/get-user-certificate/sec1ecLK80vaFh0bSM6I" TargetMode="External"/><Relationship Id="rId4078" Type="http://schemas.openxmlformats.org/officeDocument/2006/relationships/hyperlink" Target="https://talan.bank.gov.ua/get-user-certificate/sec1eBrX5lG-lExaFuUj" TargetMode="External"/><Relationship Id="rId4285" Type="http://schemas.openxmlformats.org/officeDocument/2006/relationships/hyperlink" Target="https://talan.bank.gov.ua/get-user-certificate/sec1eE-JpXGJ-XRFXjBk" TargetMode="External"/><Relationship Id="rId4492" Type="http://schemas.openxmlformats.org/officeDocument/2006/relationships/hyperlink" Target="https://talan.bank.gov.ua/get-user-certificate/sec1edxaGEYhbvK61GVu" TargetMode="External"/><Relationship Id="rId1879" Type="http://schemas.openxmlformats.org/officeDocument/2006/relationships/hyperlink" Target="https://talan.bank.gov.ua/get-user-certificate/sec1eGlVafLfpiyYNR6C" TargetMode="External"/><Relationship Id="rId3094" Type="http://schemas.openxmlformats.org/officeDocument/2006/relationships/hyperlink" Target="https://talan.bank.gov.ua/get-user-certificate/sec1eKb5YSHz9fftQ2H6" TargetMode="External"/><Relationship Id="rId4145" Type="http://schemas.openxmlformats.org/officeDocument/2006/relationships/hyperlink" Target="https://talan.bank.gov.ua/get-user-certificate/sec1eYqKE0isFLcuXeep" TargetMode="External"/><Relationship Id="rId1739" Type="http://schemas.openxmlformats.org/officeDocument/2006/relationships/hyperlink" Target="https://talan.bank.gov.ua/get-user-certificate/sec1e2qNysK0rJE6JcUi" TargetMode="External"/><Relationship Id="rId1946" Type="http://schemas.openxmlformats.org/officeDocument/2006/relationships/hyperlink" Target="https://talan.bank.gov.ua/get-user-certificate/sec1eVMg9pfjlBaCJMN5" TargetMode="External"/><Relationship Id="rId4005" Type="http://schemas.openxmlformats.org/officeDocument/2006/relationships/hyperlink" Target="https://talan.bank.gov.ua/get-user-certificate/sec1e8B4kYjU8ymRxXVC" TargetMode="External"/><Relationship Id="rId4352" Type="http://schemas.openxmlformats.org/officeDocument/2006/relationships/hyperlink" Target="https://talan.bank.gov.ua/get-user-certificate/sec1eYWhv7TyTh805CSm" TargetMode="External"/><Relationship Id="rId1806" Type="http://schemas.openxmlformats.org/officeDocument/2006/relationships/hyperlink" Target="https://talan.bank.gov.ua/get-user-certificate/sec1eoQQ13GrnTZ2STTP" TargetMode="External"/><Relationship Id="rId3161" Type="http://schemas.openxmlformats.org/officeDocument/2006/relationships/hyperlink" Target="https://talan.bank.gov.ua/get-user-certificate/sec1e4zdYwBIbpccbE2I" TargetMode="External"/><Relationship Id="rId4212" Type="http://schemas.openxmlformats.org/officeDocument/2006/relationships/hyperlink" Target="https://talan.bank.gov.ua/get-user-certificate/sec1e37O3O47cg6GdNqQ" TargetMode="External"/><Relationship Id="rId3021" Type="http://schemas.openxmlformats.org/officeDocument/2006/relationships/hyperlink" Target="https://talan.bank.gov.ua/get-user-certificate/sec1eGBsNcfkvgTg0QdS" TargetMode="External"/><Relationship Id="rId3978" Type="http://schemas.openxmlformats.org/officeDocument/2006/relationships/hyperlink" Target="https://talan.bank.gov.ua/get-user-certificate/sec1ej39_0ZpiKYH-Pgq" TargetMode="External"/><Relationship Id="rId899" Type="http://schemas.openxmlformats.org/officeDocument/2006/relationships/hyperlink" Target="https://talan.bank.gov.ua/get-user-certificate/sec1eHe3Bcaekf24jmCM" TargetMode="External"/><Relationship Id="rId2787" Type="http://schemas.openxmlformats.org/officeDocument/2006/relationships/hyperlink" Target="https://talan.bank.gov.ua/get-user-certificate/sec1emEUbskD3Vr1Jxgy" TargetMode="External"/><Relationship Id="rId3838" Type="http://schemas.openxmlformats.org/officeDocument/2006/relationships/hyperlink" Target="https://talan.bank.gov.ua/get-user-certificate/sec1egbA7hl_tqAwoTEj" TargetMode="External"/><Relationship Id="rId759" Type="http://schemas.openxmlformats.org/officeDocument/2006/relationships/hyperlink" Target="https://talan.bank.gov.ua/get-user-certificate/sec1epoDsSVo78CuIaEH" TargetMode="External"/><Relationship Id="rId966" Type="http://schemas.openxmlformats.org/officeDocument/2006/relationships/hyperlink" Target="https://talan.bank.gov.ua/get-user-certificate/sec1e9JbaHQqd8FZ4sGU" TargetMode="External"/><Relationship Id="rId1389" Type="http://schemas.openxmlformats.org/officeDocument/2006/relationships/hyperlink" Target="https://talan.bank.gov.ua/get-user-certificate/sec1eLpXA6r9dCP0O9Xg" TargetMode="External"/><Relationship Id="rId1596" Type="http://schemas.openxmlformats.org/officeDocument/2006/relationships/hyperlink" Target="https://talan.bank.gov.ua/get-user-certificate/sec1etnwdO9heh5U8Ti7" TargetMode="External"/><Relationship Id="rId2647" Type="http://schemas.openxmlformats.org/officeDocument/2006/relationships/hyperlink" Target="https://talan.bank.gov.ua/get-user-certificate/sec1eqQt3c7W5RL7mviZ" TargetMode="External"/><Relationship Id="rId2994" Type="http://schemas.openxmlformats.org/officeDocument/2006/relationships/hyperlink" Target="https://talan.bank.gov.ua/get-user-certificate/sec1eDmFbgP2RM5Do0Ux" TargetMode="External"/><Relationship Id="rId619" Type="http://schemas.openxmlformats.org/officeDocument/2006/relationships/hyperlink" Target="https://talan.bank.gov.ua/get-user-certificate/sec1el6CmGf_Ia25NAy-" TargetMode="External"/><Relationship Id="rId1249" Type="http://schemas.openxmlformats.org/officeDocument/2006/relationships/hyperlink" Target="https://talan.bank.gov.ua/get-user-certificate/sec1e-hcgaWrXEkdXeu8" TargetMode="External"/><Relationship Id="rId2854" Type="http://schemas.openxmlformats.org/officeDocument/2006/relationships/hyperlink" Target="https://talan.bank.gov.ua/get-user-certificate/sec1eibqcrmycJWAgHIj" TargetMode="External"/><Relationship Id="rId3905" Type="http://schemas.openxmlformats.org/officeDocument/2006/relationships/hyperlink" Target="https://talan.bank.gov.ua/get-user-certificate/sec1egSHDjctkBx8AGv4" TargetMode="External"/><Relationship Id="rId95" Type="http://schemas.openxmlformats.org/officeDocument/2006/relationships/hyperlink" Target="https://talan.bank.gov.ua/get-user-certificate/sec1euFSbyZW3fKCcweY" TargetMode="External"/><Relationship Id="rId826" Type="http://schemas.openxmlformats.org/officeDocument/2006/relationships/hyperlink" Target="https://talan.bank.gov.ua/get-user-certificate/sec1e-nZyVxRbAuWNEcc" TargetMode="External"/><Relationship Id="rId1109" Type="http://schemas.openxmlformats.org/officeDocument/2006/relationships/hyperlink" Target="https://talan.bank.gov.ua/get-user-certificate/sec1ecxq5hxYybhvokHk" TargetMode="External"/><Relationship Id="rId1456" Type="http://schemas.openxmlformats.org/officeDocument/2006/relationships/hyperlink" Target="https://talan.bank.gov.ua/get-user-certificate/sec1eztc7qM4Sw7u1_8v" TargetMode="External"/><Relationship Id="rId1663" Type="http://schemas.openxmlformats.org/officeDocument/2006/relationships/hyperlink" Target="https://talan.bank.gov.ua/get-user-certificate/sec1eU4Kw2CrsHn7VgZf" TargetMode="External"/><Relationship Id="rId1870" Type="http://schemas.openxmlformats.org/officeDocument/2006/relationships/hyperlink" Target="https://talan.bank.gov.ua/get-user-certificate/sec1ee8nvwilx8ObVd38" TargetMode="External"/><Relationship Id="rId2507" Type="http://schemas.openxmlformats.org/officeDocument/2006/relationships/hyperlink" Target="https://talan.bank.gov.ua/get-user-certificate/sec1eE9W8inbvPe8ZN3T" TargetMode="External"/><Relationship Id="rId2714" Type="http://schemas.openxmlformats.org/officeDocument/2006/relationships/hyperlink" Target="https://talan.bank.gov.ua/get-user-certificate/sec1eaD7bQx27oTFNiDD" TargetMode="External"/><Relationship Id="rId2921" Type="http://schemas.openxmlformats.org/officeDocument/2006/relationships/hyperlink" Target="https://talan.bank.gov.ua/get-user-certificate/sec1elN_vbsRftiZ1Uo-" TargetMode="External"/><Relationship Id="rId1316" Type="http://schemas.openxmlformats.org/officeDocument/2006/relationships/hyperlink" Target="https://talan.bank.gov.ua/get-user-certificate/sec1eNqojZC9_POUCvPR" TargetMode="External"/><Relationship Id="rId1523" Type="http://schemas.openxmlformats.org/officeDocument/2006/relationships/hyperlink" Target="https://talan.bank.gov.ua/get-user-certificate/sec1evKOwXd9RFz1_XOk" TargetMode="External"/><Relationship Id="rId1730" Type="http://schemas.openxmlformats.org/officeDocument/2006/relationships/hyperlink" Target="https://talan.bank.gov.ua/get-user-certificate/sec1efmbhlhEeajjp0F9" TargetMode="External"/><Relationship Id="rId4679" Type="http://schemas.openxmlformats.org/officeDocument/2006/relationships/hyperlink" Target="https://talan.bank.gov.ua/get-user-certificate/sec1ezVOHmhXRrr3Evy_" TargetMode="External"/><Relationship Id="rId4886" Type="http://schemas.openxmlformats.org/officeDocument/2006/relationships/hyperlink" Target="https://talan.bank.gov.ua/get-user-certificate/sec1ebDFl0_Q7a4rYRzM" TargetMode="External"/><Relationship Id="rId22" Type="http://schemas.openxmlformats.org/officeDocument/2006/relationships/hyperlink" Target="https://talan.bank.gov.ua/get-user-certificate/sec1ePNwi2-SJtqIOO3_" TargetMode="External"/><Relationship Id="rId3488" Type="http://schemas.openxmlformats.org/officeDocument/2006/relationships/hyperlink" Target="https://talan.bank.gov.ua/get-user-certificate/sec1eA26_31Nmhgi8Lzp" TargetMode="External"/><Relationship Id="rId3695" Type="http://schemas.openxmlformats.org/officeDocument/2006/relationships/hyperlink" Target="https://talan.bank.gov.ua/get-user-certificate/sec1eUdM1OPm6OylAg5S" TargetMode="External"/><Relationship Id="rId4539" Type="http://schemas.openxmlformats.org/officeDocument/2006/relationships/hyperlink" Target="https://talan.bank.gov.ua/get-user-certificate/sec1e038Q5JwrtM6OdIS" TargetMode="External"/><Relationship Id="rId4746" Type="http://schemas.openxmlformats.org/officeDocument/2006/relationships/hyperlink" Target="https://talan.bank.gov.ua/get-user-certificate/sec1eA-wCImjRtUwVNI4" TargetMode="External"/><Relationship Id="rId4953" Type="http://schemas.openxmlformats.org/officeDocument/2006/relationships/hyperlink" Target="https://talan.bank.gov.ua/get-user-certificate/sec1eQrILesmYMM5U8Ry" TargetMode="External"/><Relationship Id="rId2297" Type="http://schemas.openxmlformats.org/officeDocument/2006/relationships/hyperlink" Target="https://talan.bank.gov.ua/get-user-certificate/sec1en8NGGeZxRcxxb7w" TargetMode="External"/><Relationship Id="rId3348" Type="http://schemas.openxmlformats.org/officeDocument/2006/relationships/hyperlink" Target="https://talan.bank.gov.ua/get-user-certificate/sec1ev1vftgOBwayWoqz" TargetMode="External"/><Relationship Id="rId3555" Type="http://schemas.openxmlformats.org/officeDocument/2006/relationships/hyperlink" Target="https://talan.bank.gov.ua/get-user-certificate/sec1e8qz0lfXXI--ef5K" TargetMode="External"/><Relationship Id="rId3762" Type="http://schemas.openxmlformats.org/officeDocument/2006/relationships/hyperlink" Target="https://talan.bank.gov.ua/get-user-certificate/sec1eC2VdWvNe6Nfms5C" TargetMode="External"/><Relationship Id="rId4606" Type="http://schemas.openxmlformats.org/officeDocument/2006/relationships/hyperlink" Target="https://talan.bank.gov.ua/get-user-certificate/sec1ek-SCOOetZX0-1le" TargetMode="External"/><Relationship Id="rId4813" Type="http://schemas.openxmlformats.org/officeDocument/2006/relationships/hyperlink" Target="https://talan.bank.gov.ua/get-user-certificate/sec1e1PctmmKMx544_ce" TargetMode="External"/><Relationship Id="rId269" Type="http://schemas.openxmlformats.org/officeDocument/2006/relationships/hyperlink" Target="https://talan.bank.gov.ua/get-user-certificate/sec1eOd7mNejZwDCHjAL" TargetMode="External"/><Relationship Id="rId476" Type="http://schemas.openxmlformats.org/officeDocument/2006/relationships/hyperlink" Target="https://talan.bank.gov.ua/get-user-certificate/sec1eJFwNRqnMIMDY6Fw" TargetMode="External"/><Relationship Id="rId683" Type="http://schemas.openxmlformats.org/officeDocument/2006/relationships/hyperlink" Target="https://talan.bank.gov.ua/get-user-certificate/sec1ezzTTJzBodpCTSp3" TargetMode="External"/><Relationship Id="rId890" Type="http://schemas.openxmlformats.org/officeDocument/2006/relationships/hyperlink" Target="https://talan.bank.gov.ua/get-user-certificate/sec1eejKZOYdjvhEZjKR" TargetMode="External"/><Relationship Id="rId2157" Type="http://schemas.openxmlformats.org/officeDocument/2006/relationships/hyperlink" Target="https://talan.bank.gov.ua/get-user-certificate/sec1edXW9h6LgNXoA8Y3" TargetMode="External"/><Relationship Id="rId2364" Type="http://schemas.openxmlformats.org/officeDocument/2006/relationships/hyperlink" Target="https://talan.bank.gov.ua/get-user-certificate/sec1eLzz2u_MksVEVOAg" TargetMode="External"/><Relationship Id="rId2571" Type="http://schemas.openxmlformats.org/officeDocument/2006/relationships/hyperlink" Target="https://talan.bank.gov.ua/get-user-certificate/sec1e2qMFDyxBN-Bi7HD" TargetMode="External"/><Relationship Id="rId3208" Type="http://schemas.openxmlformats.org/officeDocument/2006/relationships/hyperlink" Target="https://talan.bank.gov.ua/get-user-certificate/sec1e6HY3Rc1a5z6VD5r" TargetMode="External"/><Relationship Id="rId3415" Type="http://schemas.openxmlformats.org/officeDocument/2006/relationships/hyperlink" Target="https://talan.bank.gov.ua/get-user-certificate/sec1ebNVg6T4rI_O1rq1" TargetMode="External"/><Relationship Id="rId129" Type="http://schemas.openxmlformats.org/officeDocument/2006/relationships/hyperlink" Target="https://talan.bank.gov.ua/get-user-certificate/sec1eimJT7jsPPkemWPm" TargetMode="External"/><Relationship Id="rId336" Type="http://schemas.openxmlformats.org/officeDocument/2006/relationships/hyperlink" Target="https://talan.bank.gov.ua/get-user-certificate/sec1epRS4S5ADbCcwkZQ" TargetMode="External"/><Relationship Id="rId543" Type="http://schemas.openxmlformats.org/officeDocument/2006/relationships/hyperlink" Target="https://talan.bank.gov.ua/get-user-certificate/sec1e5WVe0nMWBCJaTxn" TargetMode="External"/><Relationship Id="rId1173" Type="http://schemas.openxmlformats.org/officeDocument/2006/relationships/hyperlink" Target="https://talan.bank.gov.ua/get-user-certificate/sec1eq8uXO28PlIFsEQb" TargetMode="External"/><Relationship Id="rId1380" Type="http://schemas.openxmlformats.org/officeDocument/2006/relationships/hyperlink" Target="https://talan.bank.gov.ua/get-user-certificate/sec1eojwElS_wh-_Ap2U" TargetMode="External"/><Relationship Id="rId2017" Type="http://schemas.openxmlformats.org/officeDocument/2006/relationships/hyperlink" Target="https://talan.bank.gov.ua/get-user-certificate/sec1e7caL44xDepiBDME" TargetMode="External"/><Relationship Id="rId2224" Type="http://schemas.openxmlformats.org/officeDocument/2006/relationships/hyperlink" Target="https://talan.bank.gov.ua/get-user-certificate/sec1ezwJ7gJ47qAAs_bL" TargetMode="External"/><Relationship Id="rId3622" Type="http://schemas.openxmlformats.org/officeDocument/2006/relationships/hyperlink" Target="https://talan.bank.gov.ua/get-user-certificate/sec1eJwLD_ICZffWa4_f" TargetMode="External"/><Relationship Id="rId403" Type="http://schemas.openxmlformats.org/officeDocument/2006/relationships/hyperlink" Target="https://talan.bank.gov.ua/get-user-certificate/sec1ev8Rd50EtmWgo8bf" TargetMode="External"/><Relationship Id="rId750" Type="http://schemas.openxmlformats.org/officeDocument/2006/relationships/hyperlink" Target="https://talan.bank.gov.ua/get-user-certificate/sec1eqPlpV132hGoL_rK" TargetMode="External"/><Relationship Id="rId1033" Type="http://schemas.openxmlformats.org/officeDocument/2006/relationships/hyperlink" Target="https://talan.bank.gov.ua/get-user-certificate/sec1eZcojmLD--fcKMAq" TargetMode="External"/><Relationship Id="rId2431" Type="http://schemas.openxmlformats.org/officeDocument/2006/relationships/hyperlink" Target="https://talan.bank.gov.ua/get-user-certificate/sec1e5Uou5CWV-ZedU0f" TargetMode="External"/><Relationship Id="rId4189" Type="http://schemas.openxmlformats.org/officeDocument/2006/relationships/hyperlink" Target="https://talan.bank.gov.ua/get-user-certificate/sec1esjVnOIlrsve99Dr" TargetMode="External"/><Relationship Id="rId610" Type="http://schemas.openxmlformats.org/officeDocument/2006/relationships/hyperlink" Target="https://talan.bank.gov.ua/get-user-certificate/sec1eF3GOZ5T6QeYTrUK" TargetMode="External"/><Relationship Id="rId1240" Type="http://schemas.openxmlformats.org/officeDocument/2006/relationships/hyperlink" Target="https://talan.bank.gov.ua/get-user-certificate/sec1eCp0mMLuErI-qgTT" TargetMode="External"/><Relationship Id="rId4049" Type="http://schemas.openxmlformats.org/officeDocument/2006/relationships/hyperlink" Target="https://talan.bank.gov.ua/get-user-certificate/sec1elwo1mpcyA1oLfux" TargetMode="External"/><Relationship Id="rId4396" Type="http://schemas.openxmlformats.org/officeDocument/2006/relationships/hyperlink" Target="https://talan.bank.gov.ua/get-user-certificate/sec1eVk-60cn0_Neuk4Z" TargetMode="External"/><Relationship Id="rId1100" Type="http://schemas.openxmlformats.org/officeDocument/2006/relationships/hyperlink" Target="https://talan.bank.gov.ua/get-user-certificate/sec1epvq0t_PKh3MIy1t" TargetMode="External"/><Relationship Id="rId4256" Type="http://schemas.openxmlformats.org/officeDocument/2006/relationships/hyperlink" Target="https://talan.bank.gov.ua/get-user-certificate/sec1e6RDbT8GHn57387x" TargetMode="External"/><Relationship Id="rId4463" Type="http://schemas.openxmlformats.org/officeDocument/2006/relationships/hyperlink" Target="https://talan.bank.gov.ua/get-user-certificate/sec1eXbNRrp1hZBbnBSK" TargetMode="External"/><Relationship Id="rId4670" Type="http://schemas.openxmlformats.org/officeDocument/2006/relationships/hyperlink" Target="https://talan.bank.gov.ua/get-user-certificate/sec1eYetZl5ZzIfSIEls" TargetMode="External"/><Relationship Id="rId1917" Type="http://schemas.openxmlformats.org/officeDocument/2006/relationships/hyperlink" Target="https://talan.bank.gov.ua/get-user-certificate/sec1eJF_P23_5rI_Pgps" TargetMode="External"/><Relationship Id="rId3065" Type="http://schemas.openxmlformats.org/officeDocument/2006/relationships/hyperlink" Target="https://talan.bank.gov.ua/get-user-certificate/sec1eMaX5IFlKxZdOgRa" TargetMode="External"/><Relationship Id="rId3272" Type="http://schemas.openxmlformats.org/officeDocument/2006/relationships/hyperlink" Target="https://talan.bank.gov.ua/get-user-certificate/sec1eR6-tnQcQAgW7TVz" TargetMode="External"/><Relationship Id="rId4116" Type="http://schemas.openxmlformats.org/officeDocument/2006/relationships/hyperlink" Target="https://talan.bank.gov.ua/get-user-certificate/sec1e4mJrEEYC8pSGm7A" TargetMode="External"/><Relationship Id="rId4323" Type="http://schemas.openxmlformats.org/officeDocument/2006/relationships/hyperlink" Target="https://talan.bank.gov.ua/get-user-certificate/sec1eEejX4cJZGeG-Y1U" TargetMode="External"/><Relationship Id="rId4530" Type="http://schemas.openxmlformats.org/officeDocument/2006/relationships/hyperlink" Target="https://talan.bank.gov.ua/get-user-certificate/sec1e3sZQAgr-VWZkDDi" TargetMode="External"/><Relationship Id="rId193" Type="http://schemas.openxmlformats.org/officeDocument/2006/relationships/hyperlink" Target="https://talan.bank.gov.ua/get-user-certificate/sec1eeDyWJqSo5EmkkDX" TargetMode="External"/><Relationship Id="rId2081" Type="http://schemas.openxmlformats.org/officeDocument/2006/relationships/hyperlink" Target="https://talan.bank.gov.ua/get-user-certificate/sec1eVa4fuKT_PmFRu-7" TargetMode="External"/><Relationship Id="rId3132" Type="http://schemas.openxmlformats.org/officeDocument/2006/relationships/hyperlink" Target="https://talan.bank.gov.ua/get-user-certificate/sec1eV8djBlwfbGVRD3c" TargetMode="External"/><Relationship Id="rId260" Type="http://schemas.openxmlformats.org/officeDocument/2006/relationships/hyperlink" Target="https://talan.bank.gov.ua/get-user-certificate/sec1easry0DXJxM8icUf" TargetMode="External"/><Relationship Id="rId120" Type="http://schemas.openxmlformats.org/officeDocument/2006/relationships/hyperlink" Target="https://talan.bank.gov.ua/get-user-certificate/sec1e0IfY70kYTYiTnTB" TargetMode="External"/><Relationship Id="rId2898" Type="http://schemas.openxmlformats.org/officeDocument/2006/relationships/hyperlink" Target="https://talan.bank.gov.ua/get-user-certificate/sec1eHfRyeqBA9ppeYvD" TargetMode="External"/><Relationship Id="rId3949" Type="http://schemas.openxmlformats.org/officeDocument/2006/relationships/hyperlink" Target="https://talan.bank.gov.ua/get-user-certificate/sec1eGDuTFz4d4VdsQzW" TargetMode="External"/><Relationship Id="rId2758" Type="http://schemas.openxmlformats.org/officeDocument/2006/relationships/hyperlink" Target="https://talan.bank.gov.ua/get-user-certificate/sec1em0RN46vRWzsj8pO" TargetMode="External"/><Relationship Id="rId2965" Type="http://schemas.openxmlformats.org/officeDocument/2006/relationships/hyperlink" Target="https://talan.bank.gov.ua/get-user-certificate/sec1eYHpy4dxPpb5dbDQ" TargetMode="External"/><Relationship Id="rId3809" Type="http://schemas.openxmlformats.org/officeDocument/2006/relationships/hyperlink" Target="https://talan.bank.gov.ua/get-user-certificate/sec1elMrCerC4QnHQcTy" TargetMode="External"/><Relationship Id="rId5024" Type="http://schemas.openxmlformats.org/officeDocument/2006/relationships/hyperlink" Target="https://talan.bank.gov.ua/get-user-certificate/f7i-sNAVavBwKXqRcKkV" TargetMode="External"/><Relationship Id="rId937" Type="http://schemas.openxmlformats.org/officeDocument/2006/relationships/hyperlink" Target="https://talan.bank.gov.ua/get-user-certificate/sec1enCNbMVschWGBe7e" TargetMode="External"/><Relationship Id="rId1567" Type="http://schemas.openxmlformats.org/officeDocument/2006/relationships/hyperlink" Target="https://talan.bank.gov.ua/get-user-certificate/sec1eQWhk_mW9zSD8ph5" TargetMode="External"/><Relationship Id="rId1774" Type="http://schemas.openxmlformats.org/officeDocument/2006/relationships/hyperlink" Target="https://talan.bank.gov.ua/get-user-certificate/sec1eelmQr_-80mbJ7tP" TargetMode="External"/><Relationship Id="rId1981" Type="http://schemas.openxmlformats.org/officeDocument/2006/relationships/hyperlink" Target="https://talan.bank.gov.ua/get-user-certificate/sec1eB1v57IbldSpvq1s" TargetMode="External"/><Relationship Id="rId2618" Type="http://schemas.openxmlformats.org/officeDocument/2006/relationships/hyperlink" Target="https://talan.bank.gov.ua/get-user-certificate/sec1eTotjyN0kUfQonT0" TargetMode="External"/><Relationship Id="rId2825" Type="http://schemas.openxmlformats.org/officeDocument/2006/relationships/hyperlink" Target="https://talan.bank.gov.ua/get-user-certificate/sec1esSWwkAFCpWf9lMA" TargetMode="External"/><Relationship Id="rId4180" Type="http://schemas.openxmlformats.org/officeDocument/2006/relationships/hyperlink" Target="https://talan.bank.gov.ua/get-user-certificate/sec1ek8gadegUjOj3jbe" TargetMode="External"/><Relationship Id="rId66" Type="http://schemas.openxmlformats.org/officeDocument/2006/relationships/hyperlink" Target="https://talan.bank.gov.ua/get-user-certificate/sec1eohwNT42SCjdhT2b" TargetMode="External"/><Relationship Id="rId1427" Type="http://schemas.openxmlformats.org/officeDocument/2006/relationships/hyperlink" Target="https://talan.bank.gov.ua/get-user-certificate/sec1eqa5D7YBzaH3UtvN" TargetMode="External"/><Relationship Id="rId1634" Type="http://schemas.openxmlformats.org/officeDocument/2006/relationships/hyperlink" Target="https://talan.bank.gov.ua/get-user-certificate/sec1eyGnbHGRTpNSrVms" TargetMode="External"/><Relationship Id="rId1841" Type="http://schemas.openxmlformats.org/officeDocument/2006/relationships/hyperlink" Target="https://talan.bank.gov.ua/get-user-certificate/sec1eNvNBGYBBUTYSv2B" TargetMode="External"/><Relationship Id="rId4040" Type="http://schemas.openxmlformats.org/officeDocument/2006/relationships/hyperlink" Target="https://talan.bank.gov.ua/get-user-certificate/sec1e3zXQscR1OLLJaeV" TargetMode="External"/><Relationship Id="rId4997" Type="http://schemas.openxmlformats.org/officeDocument/2006/relationships/hyperlink" Target="https://talan.bank.gov.ua/get-user-certificate/sec1ewWkPYw6TXHglXQr" TargetMode="External"/><Relationship Id="rId3599" Type="http://schemas.openxmlformats.org/officeDocument/2006/relationships/hyperlink" Target="https://talan.bank.gov.ua/get-user-certificate/sec1ecaQcYltfDszyfi8" TargetMode="External"/><Relationship Id="rId4857" Type="http://schemas.openxmlformats.org/officeDocument/2006/relationships/hyperlink" Target="https://talan.bank.gov.ua/get-user-certificate/sec1ejvzBIO0ztoJZrEq" TargetMode="External"/><Relationship Id="rId1701" Type="http://schemas.openxmlformats.org/officeDocument/2006/relationships/hyperlink" Target="https://talan.bank.gov.ua/get-user-certificate/sec1eSRJpevPon1v0axA" TargetMode="External"/><Relationship Id="rId3459" Type="http://schemas.openxmlformats.org/officeDocument/2006/relationships/hyperlink" Target="https://talan.bank.gov.ua/get-user-certificate/sec1eFSEeIackOV8E33r" TargetMode="External"/><Relationship Id="rId3666" Type="http://schemas.openxmlformats.org/officeDocument/2006/relationships/hyperlink" Target="https://talan.bank.gov.ua/get-user-certificate/sec1etROn7u3rrSbiTVg" TargetMode="External"/><Relationship Id="rId587" Type="http://schemas.openxmlformats.org/officeDocument/2006/relationships/hyperlink" Target="https://talan.bank.gov.ua/get-user-certificate/sec1egSt3_-Y2cTGTHG4" TargetMode="External"/><Relationship Id="rId2268" Type="http://schemas.openxmlformats.org/officeDocument/2006/relationships/hyperlink" Target="https://talan.bank.gov.ua/get-user-certificate/sec1etySMuLoB0Y28seU" TargetMode="External"/><Relationship Id="rId3319" Type="http://schemas.openxmlformats.org/officeDocument/2006/relationships/hyperlink" Target="https://talan.bank.gov.ua/get-user-certificate/sec1eLemNuP6njxOvkPy" TargetMode="External"/><Relationship Id="rId3873" Type="http://schemas.openxmlformats.org/officeDocument/2006/relationships/hyperlink" Target="https://talan.bank.gov.ua/get-user-certificate/sec1eaWSVkZPLDR6WKRu" TargetMode="External"/><Relationship Id="rId4717" Type="http://schemas.openxmlformats.org/officeDocument/2006/relationships/hyperlink" Target="https://talan.bank.gov.ua/get-user-certificate/sec1e7nq8eA0MiLB9dIp" TargetMode="External"/><Relationship Id="rId4924" Type="http://schemas.openxmlformats.org/officeDocument/2006/relationships/hyperlink" Target="https://talan.bank.gov.ua/get-user-certificate/sec1eMsLbHfYgQETzOId" TargetMode="External"/><Relationship Id="rId447" Type="http://schemas.openxmlformats.org/officeDocument/2006/relationships/hyperlink" Target="https://talan.bank.gov.ua/get-user-certificate/sec1e5hGf9Rvvv6NN1k-" TargetMode="External"/><Relationship Id="rId794" Type="http://schemas.openxmlformats.org/officeDocument/2006/relationships/hyperlink" Target="https://talan.bank.gov.ua/get-user-certificate/sec1ezODMtQM09njYgrZ" TargetMode="External"/><Relationship Id="rId1077" Type="http://schemas.openxmlformats.org/officeDocument/2006/relationships/hyperlink" Target="https://talan.bank.gov.ua/get-user-certificate/sec1eUoPQZenAtMg4--0" TargetMode="External"/><Relationship Id="rId2128" Type="http://schemas.openxmlformats.org/officeDocument/2006/relationships/hyperlink" Target="https://talan.bank.gov.ua/get-user-certificate/sec1e4LKUi-Wp4nT888-" TargetMode="External"/><Relationship Id="rId2475" Type="http://schemas.openxmlformats.org/officeDocument/2006/relationships/hyperlink" Target="https://talan.bank.gov.ua/get-user-certificate/sec1e1vU51xQOmhd72pW" TargetMode="External"/><Relationship Id="rId2682" Type="http://schemas.openxmlformats.org/officeDocument/2006/relationships/hyperlink" Target="https://talan.bank.gov.ua/get-user-certificate/sec1eZLQyIMM1rlhaiYx" TargetMode="External"/><Relationship Id="rId3526" Type="http://schemas.openxmlformats.org/officeDocument/2006/relationships/hyperlink" Target="https://talan.bank.gov.ua/get-user-certificate/sec1en-M-b6kNf5YiC5V" TargetMode="External"/><Relationship Id="rId3733" Type="http://schemas.openxmlformats.org/officeDocument/2006/relationships/hyperlink" Target="https://talan.bank.gov.ua/get-user-certificate/sec1ed491_AslcNC5nRn" TargetMode="External"/><Relationship Id="rId3940" Type="http://schemas.openxmlformats.org/officeDocument/2006/relationships/hyperlink" Target="https://talan.bank.gov.ua/get-user-certificate/sec1e-4o19dlwy5RHReO" TargetMode="External"/><Relationship Id="rId654" Type="http://schemas.openxmlformats.org/officeDocument/2006/relationships/hyperlink" Target="https://talan.bank.gov.ua/get-user-certificate/sec1eagLPr-8thzUpLwE" TargetMode="External"/><Relationship Id="rId861" Type="http://schemas.openxmlformats.org/officeDocument/2006/relationships/hyperlink" Target="https://talan.bank.gov.ua/get-user-certificate/sec1elLDk_perxkzaJWx" TargetMode="External"/><Relationship Id="rId1284" Type="http://schemas.openxmlformats.org/officeDocument/2006/relationships/hyperlink" Target="https://talan.bank.gov.ua/get-user-certificate/sec1ecqcbzzUnMXcMxU3" TargetMode="External"/><Relationship Id="rId1491" Type="http://schemas.openxmlformats.org/officeDocument/2006/relationships/hyperlink" Target="https://talan.bank.gov.ua/get-user-certificate/sec1eUL9t9AyWobfkJsj" TargetMode="External"/><Relationship Id="rId2335" Type="http://schemas.openxmlformats.org/officeDocument/2006/relationships/hyperlink" Target="https://talan.bank.gov.ua/get-user-certificate/sec1eKQJypYbhrn6_Pu2" TargetMode="External"/><Relationship Id="rId2542" Type="http://schemas.openxmlformats.org/officeDocument/2006/relationships/hyperlink" Target="https://talan.bank.gov.ua/get-user-certificate/sec1e0g99kBxLLuilFTI" TargetMode="External"/><Relationship Id="rId3800" Type="http://schemas.openxmlformats.org/officeDocument/2006/relationships/hyperlink" Target="https://talan.bank.gov.ua/get-user-certificate/sec1eQtwPKRe_tO-2ThU" TargetMode="External"/><Relationship Id="rId307" Type="http://schemas.openxmlformats.org/officeDocument/2006/relationships/hyperlink" Target="https://talan.bank.gov.ua/get-user-certificate/sec1e_IqV5wElnYUPjPJ" TargetMode="External"/><Relationship Id="rId514" Type="http://schemas.openxmlformats.org/officeDocument/2006/relationships/hyperlink" Target="https://talan.bank.gov.ua/get-user-certificate/sec1eB-_Bd-ZFfvmOPGw" TargetMode="External"/><Relationship Id="rId721" Type="http://schemas.openxmlformats.org/officeDocument/2006/relationships/hyperlink" Target="https://talan.bank.gov.ua/get-user-certificate/sec1euj02qo0lX2l-K9n" TargetMode="External"/><Relationship Id="rId1144" Type="http://schemas.openxmlformats.org/officeDocument/2006/relationships/hyperlink" Target="https://talan.bank.gov.ua/get-user-certificate/sec1ecXvUDtwuaNw86Q3" TargetMode="External"/><Relationship Id="rId1351" Type="http://schemas.openxmlformats.org/officeDocument/2006/relationships/hyperlink" Target="https://talan.bank.gov.ua/get-user-certificate/sec1eMectONRk1flpm9T" TargetMode="External"/><Relationship Id="rId2402" Type="http://schemas.openxmlformats.org/officeDocument/2006/relationships/hyperlink" Target="https://talan.bank.gov.ua/get-user-certificate/sec1eest6BC_Qo0rJACk" TargetMode="External"/><Relationship Id="rId1004" Type="http://schemas.openxmlformats.org/officeDocument/2006/relationships/hyperlink" Target="https://talan.bank.gov.ua/get-user-certificate/sec1e_QIDlshev-aM-Q-" TargetMode="External"/><Relationship Id="rId1211" Type="http://schemas.openxmlformats.org/officeDocument/2006/relationships/hyperlink" Target="https://talan.bank.gov.ua/get-user-certificate/sec1e-PVSZggJ6anZJAG" TargetMode="External"/><Relationship Id="rId4367" Type="http://schemas.openxmlformats.org/officeDocument/2006/relationships/hyperlink" Target="https://talan.bank.gov.ua/get-user-certificate/sec1eZhpH9whIpEkq28T" TargetMode="External"/><Relationship Id="rId4574" Type="http://schemas.openxmlformats.org/officeDocument/2006/relationships/hyperlink" Target="https://talan.bank.gov.ua/get-user-certificate/sec1e7_gBoPOKldMOXbX" TargetMode="External"/><Relationship Id="rId4781" Type="http://schemas.openxmlformats.org/officeDocument/2006/relationships/hyperlink" Target="https://talan.bank.gov.ua/get-user-certificate/sec1eGqlWm3diuf7se8N" TargetMode="External"/><Relationship Id="rId3176" Type="http://schemas.openxmlformats.org/officeDocument/2006/relationships/hyperlink" Target="https://talan.bank.gov.ua/get-user-certificate/sec1ejJpZvUzDrxMBP7V" TargetMode="External"/><Relationship Id="rId3383" Type="http://schemas.openxmlformats.org/officeDocument/2006/relationships/hyperlink" Target="https://talan.bank.gov.ua/get-user-certificate/sec1elF0t-L1pkkUy6Ux" TargetMode="External"/><Relationship Id="rId3590" Type="http://schemas.openxmlformats.org/officeDocument/2006/relationships/hyperlink" Target="https://talan.bank.gov.ua/get-user-certificate/sec1efrkEPfj3EBh-Jh2" TargetMode="External"/><Relationship Id="rId4227" Type="http://schemas.openxmlformats.org/officeDocument/2006/relationships/hyperlink" Target="https://talan.bank.gov.ua/get-user-certificate/sec1eiRh8oCE5Of2oE4A" TargetMode="External"/><Relationship Id="rId4434" Type="http://schemas.openxmlformats.org/officeDocument/2006/relationships/hyperlink" Target="https://talan.bank.gov.ua/get-user-certificate/sec1ep_QtvF_XRZ11th5" TargetMode="External"/><Relationship Id="rId2192" Type="http://schemas.openxmlformats.org/officeDocument/2006/relationships/hyperlink" Target="https://talan.bank.gov.ua/get-user-certificate/sec1e-9D1fZhrv0ZfMcA" TargetMode="External"/><Relationship Id="rId3036" Type="http://schemas.openxmlformats.org/officeDocument/2006/relationships/hyperlink" Target="https://talan.bank.gov.ua/get-user-certificate/sec1e_INruJtFB8OLuP_" TargetMode="External"/><Relationship Id="rId3243" Type="http://schemas.openxmlformats.org/officeDocument/2006/relationships/hyperlink" Target="https://talan.bank.gov.ua/get-user-certificate/sec1ebs-8xNqaf9uPFhc" TargetMode="External"/><Relationship Id="rId4641" Type="http://schemas.openxmlformats.org/officeDocument/2006/relationships/hyperlink" Target="https://talan.bank.gov.ua/get-user-certificate/sec1e38Z4L5QNhvnOqnw" TargetMode="External"/><Relationship Id="rId164" Type="http://schemas.openxmlformats.org/officeDocument/2006/relationships/hyperlink" Target="https://talan.bank.gov.ua/get-user-certificate/sec1eASivvEiEqeyv1ym" TargetMode="External"/><Relationship Id="rId371" Type="http://schemas.openxmlformats.org/officeDocument/2006/relationships/hyperlink" Target="https://talan.bank.gov.ua/get-user-certificate/sec1eP3febIFYALVXJGn" TargetMode="External"/><Relationship Id="rId2052" Type="http://schemas.openxmlformats.org/officeDocument/2006/relationships/hyperlink" Target="https://talan.bank.gov.ua/get-user-certificate/sec1ex3v1GGfNWrCmpPn" TargetMode="External"/><Relationship Id="rId3450" Type="http://schemas.openxmlformats.org/officeDocument/2006/relationships/hyperlink" Target="https://talan.bank.gov.ua/get-user-certificate/sec1etKBVYqH5PDQ7dqE" TargetMode="External"/><Relationship Id="rId4501" Type="http://schemas.openxmlformats.org/officeDocument/2006/relationships/hyperlink" Target="https://talan.bank.gov.ua/get-user-certificate/sec1ed9aiuJz3LUrq5lC" TargetMode="External"/><Relationship Id="rId3103" Type="http://schemas.openxmlformats.org/officeDocument/2006/relationships/hyperlink" Target="https://talan.bank.gov.ua/get-user-certificate/sec1es6D29Wc_3xxiKmb" TargetMode="External"/><Relationship Id="rId3310" Type="http://schemas.openxmlformats.org/officeDocument/2006/relationships/hyperlink" Target="https://talan.bank.gov.ua/get-user-certificate/sec1ejNAPo242rhmX9WK" TargetMode="External"/><Relationship Id="rId231" Type="http://schemas.openxmlformats.org/officeDocument/2006/relationships/hyperlink" Target="https://talan.bank.gov.ua/get-user-certificate/sec1e6AFAiYiiIg__88y" TargetMode="External"/><Relationship Id="rId2869" Type="http://schemas.openxmlformats.org/officeDocument/2006/relationships/hyperlink" Target="https://talan.bank.gov.ua/get-user-certificate/sec1e0Q3zUXQEO_t448R" TargetMode="External"/><Relationship Id="rId1678" Type="http://schemas.openxmlformats.org/officeDocument/2006/relationships/hyperlink" Target="https://talan.bank.gov.ua/get-user-certificate/sec1eL8GAbwXSv28R_Gq" TargetMode="External"/><Relationship Id="rId1885" Type="http://schemas.openxmlformats.org/officeDocument/2006/relationships/hyperlink" Target="https://talan.bank.gov.ua/get-user-certificate/sec1e_AOEfzNqC9TZdP9" TargetMode="External"/><Relationship Id="rId2729" Type="http://schemas.openxmlformats.org/officeDocument/2006/relationships/hyperlink" Target="https://talan.bank.gov.ua/get-user-certificate/sec1epl8MiNuxVN-cZIO" TargetMode="External"/><Relationship Id="rId2936" Type="http://schemas.openxmlformats.org/officeDocument/2006/relationships/hyperlink" Target="https://talan.bank.gov.ua/get-user-certificate/sec1ef7DRs6njGiO2_hp" TargetMode="External"/><Relationship Id="rId4084" Type="http://schemas.openxmlformats.org/officeDocument/2006/relationships/hyperlink" Target="https://talan.bank.gov.ua/get-user-certificate/sec1eYgLl82rS8aU1mFL" TargetMode="External"/><Relationship Id="rId4291" Type="http://schemas.openxmlformats.org/officeDocument/2006/relationships/hyperlink" Target="https://talan.bank.gov.ua/get-user-certificate/sec1edE2GWxG6UKMHySG" TargetMode="External"/><Relationship Id="rId908" Type="http://schemas.openxmlformats.org/officeDocument/2006/relationships/hyperlink" Target="https://talan.bank.gov.ua/get-user-certificate/sec1eJlV4Vmg-wB_zQMF" TargetMode="External"/><Relationship Id="rId1538" Type="http://schemas.openxmlformats.org/officeDocument/2006/relationships/hyperlink" Target="https://talan.bank.gov.ua/get-user-certificate/sec1eUfC1lNMpxQ6FiVB" TargetMode="External"/><Relationship Id="rId4151" Type="http://schemas.openxmlformats.org/officeDocument/2006/relationships/hyperlink" Target="https://talan.bank.gov.ua/get-user-certificate/sec1eZGKw7sK5WyAKNZQ" TargetMode="External"/><Relationship Id="rId1745" Type="http://schemas.openxmlformats.org/officeDocument/2006/relationships/hyperlink" Target="https://talan.bank.gov.ua/get-user-certificate/sec1eh8lq3_gwQUdsqv1" TargetMode="External"/><Relationship Id="rId1952" Type="http://schemas.openxmlformats.org/officeDocument/2006/relationships/hyperlink" Target="https://talan.bank.gov.ua/get-user-certificate/sec1eTEBK68aDMj3CO-0" TargetMode="External"/><Relationship Id="rId4011" Type="http://schemas.openxmlformats.org/officeDocument/2006/relationships/hyperlink" Target="https://talan.bank.gov.ua/get-user-certificate/sec1e27O19HrwLIsfKRB" TargetMode="External"/><Relationship Id="rId37" Type="http://schemas.openxmlformats.org/officeDocument/2006/relationships/hyperlink" Target="https://talan.bank.gov.ua/get-user-certificate/sec1euwjk6TtUdD5w8Ya" TargetMode="External"/><Relationship Id="rId1605" Type="http://schemas.openxmlformats.org/officeDocument/2006/relationships/hyperlink" Target="https://talan.bank.gov.ua/get-user-certificate/sec1eACNt20LELb6CHfs" TargetMode="External"/><Relationship Id="rId1812" Type="http://schemas.openxmlformats.org/officeDocument/2006/relationships/hyperlink" Target="https://talan.bank.gov.ua/get-user-certificate/sec1euvxfuYheGkUqxQ4" TargetMode="External"/><Relationship Id="rId4968" Type="http://schemas.openxmlformats.org/officeDocument/2006/relationships/hyperlink" Target="https://talan.bank.gov.ua/get-user-certificate/sec1eK2wFhUbcIYwFdOn" TargetMode="External"/><Relationship Id="rId3777" Type="http://schemas.openxmlformats.org/officeDocument/2006/relationships/hyperlink" Target="https://talan.bank.gov.ua/get-user-certificate/sec1ejq8M9xUDaZ9u00J" TargetMode="External"/><Relationship Id="rId3984" Type="http://schemas.openxmlformats.org/officeDocument/2006/relationships/hyperlink" Target="https://talan.bank.gov.ua/get-user-certificate/sec1ezTVO2gRfpJo4wpE" TargetMode="External"/><Relationship Id="rId4828" Type="http://schemas.openxmlformats.org/officeDocument/2006/relationships/hyperlink" Target="https://talan.bank.gov.ua/get-user-certificate/sec1es9-j2RJ4mLCsgnV" TargetMode="External"/><Relationship Id="rId698" Type="http://schemas.openxmlformats.org/officeDocument/2006/relationships/hyperlink" Target="https://talan.bank.gov.ua/get-user-certificate/sec1eKPs4tAAmMMi9dgP" TargetMode="External"/><Relationship Id="rId2379" Type="http://schemas.openxmlformats.org/officeDocument/2006/relationships/hyperlink" Target="https://talan.bank.gov.ua/get-user-certificate/sec1esYd8SVYALgpTiFP" TargetMode="External"/><Relationship Id="rId2586" Type="http://schemas.openxmlformats.org/officeDocument/2006/relationships/hyperlink" Target="https://talan.bank.gov.ua/get-user-certificate/sec1e4dHJ5SaY86dzaKm" TargetMode="External"/><Relationship Id="rId2793" Type="http://schemas.openxmlformats.org/officeDocument/2006/relationships/hyperlink" Target="https://talan.bank.gov.ua/get-user-certificate/sec1eDxdhGpmyAB8KDEr" TargetMode="External"/><Relationship Id="rId3637" Type="http://schemas.openxmlformats.org/officeDocument/2006/relationships/hyperlink" Target="https://talan.bank.gov.ua/get-user-certificate/sec1eMOhukPkVvX_vpm4" TargetMode="External"/><Relationship Id="rId3844" Type="http://schemas.openxmlformats.org/officeDocument/2006/relationships/hyperlink" Target="https://talan.bank.gov.ua/get-user-certificate/sec1eBD9hZUAYkt5B-2T" TargetMode="External"/><Relationship Id="rId558" Type="http://schemas.openxmlformats.org/officeDocument/2006/relationships/hyperlink" Target="https://talan.bank.gov.ua/get-user-certificate/sec1eLEK1yKwrjjG1yMp" TargetMode="External"/><Relationship Id="rId765" Type="http://schemas.openxmlformats.org/officeDocument/2006/relationships/hyperlink" Target="https://talan.bank.gov.ua/get-user-certificate/sec1ej352dG_7KgXpmUb" TargetMode="External"/><Relationship Id="rId972" Type="http://schemas.openxmlformats.org/officeDocument/2006/relationships/hyperlink" Target="https://talan.bank.gov.ua/get-user-certificate/sec1e4LomjcKBOX0QsTf" TargetMode="External"/><Relationship Id="rId1188" Type="http://schemas.openxmlformats.org/officeDocument/2006/relationships/hyperlink" Target="https://talan.bank.gov.ua/get-user-certificate/sec1en9MCdBpDTU5wlAs" TargetMode="External"/><Relationship Id="rId1395" Type="http://schemas.openxmlformats.org/officeDocument/2006/relationships/hyperlink" Target="https://talan.bank.gov.ua/get-user-certificate/sec1eFiEItbHMjePdc-r" TargetMode="External"/><Relationship Id="rId2239" Type="http://schemas.openxmlformats.org/officeDocument/2006/relationships/hyperlink" Target="https://talan.bank.gov.ua/get-user-certificate/sec1efa5qVOuEUH43So0" TargetMode="External"/><Relationship Id="rId2446" Type="http://schemas.openxmlformats.org/officeDocument/2006/relationships/hyperlink" Target="https://talan.bank.gov.ua/get-user-certificate/sec1eH-lWc4YBs_wziWq" TargetMode="External"/><Relationship Id="rId2653" Type="http://schemas.openxmlformats.org/officeDocument/2006/relationships/hyperlink" Target="https://talan.bank.gov.ua/get-user-certificate/sec1ehcTxclT_fGSqCMj" TargetMode="External"/><Relationship Id="rId2860" Type="http://schemas.openxmlformats.org/officeDocument/2006/relationships/hyperlink" Target="https://talan.bank.gov.ua/get-user-certificate/sec1eZ2pW7oePiJJVOA3" TargetMode="External"/><Relationship Id="rId3704" Type="http://schemas.openxmlformats.org/officeDocument/2006/relationships/hyperlink" Target="https://talan.bank.gov.ua/get-user-certificate/sec1eJQGiY3GJW34zljV" TargetMode="External"/><Relationship Id="rId418" Type="http://schemas.openxmlformats.org/officeDocument/2006/relationships/hyperlink" Target="https://talan.bank.gov.ua/get-user-certificate/sec1em7fYghd1XHJhuR8" TargetMode="External"/><Relationship Id="rId625" Type="http://schemas.openxmlformats.org/officeDocument/2006/relationships/hyperlink" Target="https://talan.bank.gov.ua/get-user-certificate/sec1eDdezZYz845bwbhf" TargetMode="External"/><Relationship Id="rId832" Type="http://schemas.openxmlformats.org/officeDocument/2006/relationships/hyperlink" Target="https://talan.bank.gov.ua/get-user-certificate/sec1e81SsGa97PwvKZrA" TargetMode="External"/><Relationship Id="rId1048" Type="http://schemas.openxmlformats.org/officeDocument/2006/relationships/hyperlink" Target="https://talan.bank.gov.ua/get-user-certificate/sec1eZ3U6VeMWZ8uDRyN" TargetMode="External"/><Relationship Id="rId1255" Type="http://schemas.openxmlformats.org/officeDocument/2006/relationships/hyperlink" Target="https://talan.bank.gov.ua/get-user-certificate/sec1ebLyklMqqxg_fabu" TargetMode="External"/><Relationship Id="rId1462" Type="http://schemas.openxmlformats.org/officeDocument/2006/relationships/hyperlink" Target="https://talan.bank.gov.ua/get-user-certificate/sec1eAlVg-9DDubOircA" TargetMode="External"/><Relationship Id="rId2306" Type="http://schemas.openxmlformats.org/officeDocument/2006/relationships/hyperlink" Target="https://talan.bank.gov.ua/get-user-certificate/sec1ejiY06m6neqa0_76" TargetMode="External"/><Relationship Id="rId2513" Type="http://schemas.openxmlformats.org/officeDocument/2006/relationships/hyperlink" Target="https://talan.bank.gov.ua/get-user-certificate/sec1ewhfqjQpBWliA_I2" TargetMode="External"/><Relationship Id="rId3911" Type="http://schemas.openxmlformats.org/officeDocument/2006/relationships/hyperlink" Target="https://talan.bank.gov.ua/get-user-certificate/sec1eoAOzfsg7G6goOhO" TargetMode="External"/><Relationship Id="rId1115" Type="http://schemas.openxmlformats.org/officeDocument/2006/relationships/hyperlink" Target="https://talan.bank.gov.ua/get-user-certificate/sec1em6KCV1Fj3zkHWo2" TargetMode="External"/><Relationship Id="rId1322" Type="http://schemas.openxmlformats.org/officeDocument/2006/relationships/hyperlink" Target="https://talan.bank.gov.ua/get-user-certificate/sec1eX9qdXljnX9mhBj3" TargetMode="External"/><Relationship Id="rId2720" Type="http://schemas.openxmlformats.org/officeDocument/2006/relationships/hyperlink" Target="https://talan.bank.gov.ua/get-user-certificate/sec1eaYqz-Bqxe33WOWa" TargetMode="External"/><Relationship Id="rId4478" Type="http://schemas.openxmlformats.org/officeDocument/2006/relationships/hyperlink" Target="https://talan.bank.gov.ua/get-user-certificate/sec1eUc9zu8aSIvWKJ2L" TargetMode="External"/><Relationship Id="rId3287" Type="http://schemas.openxmlformats.org/officeDocument/2006/relationships/hyperlink" Target="https://talan.bank.gov.ua/get-user-certificate/sec1eVKbvlC5k4TJ8BWz" TargetMode="External"/><Relationship Id="rId4338" Type="http://schemas.openxmlformats.org/officeDocument/2006/relationships/hyperlink" Target="https://talan.bank.gov.ua/get-user-certificate/sec1e0djHjM2MaO3UfE0" TargetMode="External"/><Relationship Id="rId4685" Type="http://schemas.openxmlformats.org/officeDocument/2006/relationships/hyperlink" Target="https://talan.bank.gov.ua/get-user-certificate/sec1e45WbINS2Sznff44" TargetMode="External"/><Relationship Id="rId4892" Type="http://schemas.openxmlformats.org/officeDocument/2006/relationships/hyperlink" Target="https://talan.bank.gov.ua/get-user-certificate/sec1e6sooYq8mgf1tHh7" TargetMode="External"/><Relationship Id="rId2096" Type="http://schemas.openxmlformats.org/officeDocument/2006/relationships/hyperlink" Target="https://talan.bank.gov.ua/get-user-certificate/sec1e3h8KdmgiHOemEKQ" TargetMode="External"/><Relationship Id="rId3494" Type="http://schemas.openxmlformats.org/officeDocument/2006/relationships/hyperlink" Target="https://talan.bank.gov.ua/get-user-certificate/sec1e6JLPuG6KzD_UDoi" TargetMode="External"/><Relationship Id="rId4545" Type="http://schemas.openxmlformats.org/officeDocument/2006/relationships/hyperlink" Target="https://talan.bank.gov.ua/get-user-certificate/sec1eBA-w_jNrnAH1Xtk" TargetMode="External"/><Relationship Id="rId4752" Type="http://schemas.openxmlformats.org/officeDocument/2006/relationships/hyperlink" Target="https://talan.bank.gov.ua/get-user-certificate/sec1e5ySzzcvx2vJ84lj" TargetMode="External"/><Relationship Id="rId3147" Type="http://schemas.openxmlformats.org/officeDocument/2006/relationships/hyperlink" Target="https://talan.bank.gov.ua/get-user-certificate/sec1erUJ6Yc4C3Vp2vXG" TargetMode="External"/><Relationship Id="rId3354" Type="http://schemas.openxmlformats.org/officeDocument/2006/relationships/hyperlink" Target="https://talan.bank.gov.ua/get-user-certificate/sec1e71yOLBM0cEv-Q2Y" TargetMode="External"/><Relationship Id="rId3561" Type="http://schemas.openxmlformats.org/officeDocument/2006/relationships/hyperlink" Target="https://talan.bank.gov.ua/get-user-certificate/sec1enlKm-hsprk_VAVv" TargetMode="External"/><Relationship Id="rId4405" Type="http://schemas.openxmlformats.org/officeDocument/2006/relationships/hyperlink" Target="https://talan.bank.gov.ua/get-user-certificate/sec1enXIle56W2d8HiuZ" TargetMode="External"/><Relationship Id="rId4612" Type="http://schemas.openxmlformats.org/officeDocument/2006/relationships/hyperlink" Target="https://talan.bank.gov.ua/get-user-certificate/sec1eV0S6zRs_jeEa0wX" TargetMode="External"/><Relationship Id="rId275" Type="http://schemas.openxmlformats.org/officeDocument/2006/relationships/hyperlink" Target="https://talan.bank.gov.ua/get-user-certificate/sec1eFWqc7cnHa1p_Dsn" TargetMode="External"/><Relationship Id="rId482" Type="http://schemas.openxmlformats.org/officeDocument/2006/relationships/hyperlink" Target="https://talan.bank.gov.ua/get-user-certificate/sec1eTTKT4Lb9Ie8Tbuu" TargetMode="External"/><Relationship Id="rId2163" Type="http://schemas.openxmlformats.org/officeDocument/2006/relationships/hyperlink" Target="https://talan.bank.gov.ua/get-user-certificate/sec1emg2OixXssaW3yyw" TargetMode="External"/><Relationship Id="rId2370" Type="http://schemas.openxmlformats.org/officeDocument/2006/relationships/hyperlink" Target="https://talan.bank.gov.ua/get-user-certificate/sec1emCL8767nvuc0sJX" TargetMode="External"/><Relationship Id="rId3007" Type="http://schemas.openxmlformats.org/officeDocument/2006/relationships/hyperlink" Target="https://talan.bank.gov.ua/get-user-certificate/sec1eHKBJux-ESl0WxJm" TargetMode="External"/><Relationship Id="rId3214" Type="http://schemas.openxmlformats.org/officeDocument/2006/relationships/hyperlink" Target="https://talan.bank.gov.ua/get-user-certificate/sec1eBaniNcka4slAkBX" TargetMode="External"/><Relationship Id="rId3421" Type="http://schemas.openxmlformats.org/officeDocument/2006/relationships/hyperlink" Target="https://talan.bank.gov.ua/get-user-certificate/sec1eS--ifDH4MFZeMna" TargetMode="External"/><Relationship Id="rId135" Type="http://schemas.openxmlformats.org/officeDocument/2006/relationships/hyperlink" Target="https://talan.bank.gov.ua/get-user-certificate/sec1eZHFx11tk5DSQhAl" TargetMode="External"/><Relationship Id="rId342" Type="http://schemas.openxmlformats.org/officeDocument/2006/relationships/hyperlink" Target="https://talan.bank.gov.ua/get-user-certificate/sec1eBekU2vZCj4P9MVU" TargetMode="External"/><Relationship Id="rId2023" Type="http://schemas.openxmlformats.org/officeDocument/2006/relationships/hyperlink" Target="https://talan.bank.gov.ua/get-user-certificate/sec1erp545aFUeJ5xT7P" TargetMode="External"/><Relationship Id="rId2230" Type="http://schemas.openxmlformats.org/officeDocument/2006/relationships/hyperlink" Target="https://talan.bank.gov.ua/get-user-certificate/sec1eWIyhonNFgAh6g5P" TargetMode="External"/><Relationship Id="rId202" Type="http://schemas.openxmlformats.org/officeDocument/2006/relationships/hyperlink" Target="https://talan.bank.gov.ua/get-user-certificate/sec1eyyLTz1Za_JeeneI" TargetMode="External"/><Relationship Id="rId4195" Type="http://schemas.openxmlformats.org/officeDocument/2006/relationships/hyperlink" Target="https://talan.bank.gov.ua/get-user-certificate/sec1e3TFmGYmu_C2Ho9d" TargetMode="External"/><Relationship Id="rId1789" Type="http://schemas.openxmlformats.org/officeDocument/2006/relationships/hyperlink" Target="https://talan.bank.gov.ua/get-user-certificate/sec1eJFuQJ5mbji0msCz" TargetMode="External"/><Relationship Id="rId1996" Type="http://schemas.openxmlformats.org/officeDocument/2006/relationships/hyperlink" Target="https://talan.bank.gov.ua/get-user-certificate/sec1eGJqoUH4m3GGFj72" TargetMode="External"/><Relationship Id="rId4055" Type="http://schemas.openxmlformats.org/officeDocument/2006/relationships/hyperlink" Target="https://talan.bank.gov.ua/get-user-certificate/sec1evQ6xvJWmwPqBFmH" TargetMode="External"/><Relationship Id="rId4262" Type="http://schemas.openxmlformats.org/officeDocument/2006/relationships/hyperlink" Target="https://talan.bank.gov.ua/get-user-certificate/sec1e_9P9BOU8ITInNzg" TargetMode="External"/><Relationship Id="rId1649" Type="http://schemas.openxmlformats.org/officeDocument/2006/relationships/hyperlink" Target="https://talan.bank.gov.ua/get-user-certificate/sec1eew9evob96lFdJxO" TargetMode="External"/><Relationship Id="rId1856" Type="http://schemas.openxmlformats.org/officeDocument/2006/relationships/hyperlink" Target="https://talan.bank.gov.ua/get-user-certificate/sec1eJBOKmqZv52-uddg" TargetMode="External"/><Relationship Id="rId2907" Type="http://schemas.openxmlformats.org/officeDocument/2006/relationships/hyperlink" Target="https://talan.bank.gov.ua/get-user-certificate/sec1edYI7bvLtQJ1Cy8-" TargetMode="External"/><Relationship Id="rId3071" Type="http://schemas.openxmlformats.org/officeDocument/2006/relationships/hyperlink" Target="https://talan.bank.gov.ua/get-user-certificate/sec1eEt-7-xYyjmVm5ku" TargetMode="External"/><Relationship Id="rId1509" Type="http://schemas.openxmlformats.org/officeDocument/2006/relationships/hyperlink" Target="https://talan.bank.gov.ua/get-user-certificate/sec1e0GgKTxltUpCye8m" TargetMode="External"/><Relationship Id="rId1716" Type="http://schemas.openxmlformats.org/officeDocument/2006/relationships/hyperlink" Target="https://talan.bank.gov.ua/get-user-certificate/sec1e5oj20O6qnIlq4Dg" TargetMode="External"/><Relationship Id="rId1923" Type="http://schemas.openxmlformats.org/officeDocument/2006/relationships/hyperlink" Target="https://talan.bank.gov.ua/get-user-certificate/sec1eMVtHr9U7rXT69gB" TargetMode="External"/><Relationship Id="rId4122" Type="http://schemas.openxmlformats.org/officeDocument/2006/relationships/hyperlink" Target="https://talan.bank.gov.ua/get-user-certificate/sec1esH1GnmtsN9yeXgW" TargetMode="External"/><Relationship Id="rId3888" Type="http://schemas.openxmlformats.org/officeDocument/2006/relationships/hyperlink" Target="https://talan.bank.gov.ua/get-user-certificate/sec1e38BKN38vZDbrELY" TargetMode="External"/><Relationship Id="rId4939" Type="http://schemas.openxmlformats.org/officeDocument/2006/relationships/hyperlink" Target="https://talan.bank.gov.ua/get-user-certificate/sec1eK34yhNBBU5_uPhU" TargetMode="External"/><Relationship Id="rId2697" Type="http://schemas.openxmlformats.org/officeDocument/2006/relationships/hyperlink" Target="https://talan.bank.gov.ua/get-user-certificate/sec1eK9_6ZXEMoclhFvS" TargetMode="External"/><Relationship Id="rId3748" Type="http://schemas.openxmlformats.org/officeDocument/2006/relationships/hyperlink" Target="https://talan.bank.gov.ua/get-user-certificate/sec1erz-GazSlWtpTTLq" TargetMode="External"/><Relationship Id="rId669" Type="http://schemas.openxmlformats.org/officeDocument/2006/relationships/hyperlink" Target="https://talan.bank.gov.ua/get-user-certificate/sec1egIotGWSx8iuBEea" TargetMode="External"/><Relationship Id="rId876" Type="http://schemas.openxmlformats.org/officeDocument/2006/relationships/hyperlink" Target="https://talan.bank.gov.ua/get-user-certificate/sec1e7HLea-IjTTO2VWU" TargetMode="External"/><Relationship Id="rId1299" Type="http://schemas.openxmlformats.org/officeDocument/2006/relationships/hyperlink" Target="https://talan.bank.gov.ua/get-user-certificate/sec1eEnssOG9nntNa0xV" TargetMode="External"/><Relationship Id="rId2557" Type="http://schemas.openxmlformats.org/officeDocument/2006/relationships/hyperlink" Target="https://talan.bank.gov.ua/get-user-certificate/sec1eJO341GPb3XFLT-H" TargetMode="External"/><Relationship Id="rId3608" Type="http://schemas.openxmlformats.org/officeDocument/2006/relationships/hyperlink" Target="https://talan.bank.gov.ua/get-user-certificate/sec1e3ABgV4cVpBAOjw6" TargetMode="External"/><Relationship Id="rId3955" Type="http://schemas.openxmlformats.org/officeDocument/2006/relationships/hyperlink" Target="https://talan.bank.gov.ua/get-user-certificate/sec1eBLlfC2AAGVWrtqJ" TargetMode="External"/><Relationship Id="rId529" Type="http://schemas.openxmlformats.org/officeDocument/2006/relationships/hyperlink" Target="https://talan.bank.gov.ua/get-user-certificate/sec1eg6UnOP_fgwd2Gql" TargetMode="External"/><Relationship Id="rId736" Type="http://schemas.openxmlformats.org/officeDocument/2006/relationships/hyperlink" Target="https://talan.bank.gov.ua/get-user-certificate/sec1eLZhHMoyBqI8rJvY" TargetMode="External"/><Relationship Id="rId1159" Type="http://schemas.openxmlformats.org/officeDocument/2006/relationships/hyperlink" Target="https://talan.bank.gov.ua/get-user-certificate/sec1eSADRPcELkkvr_9N" TargetMode="External"/><Relationship Id="rId1366" Type="http://schemas.openxmlformats.org/officeDocument/2006/relationships/hyperlink" Target="https://talan.bank.gov.ua/get-user-certificate/sec1e_8kbtoxs42kB3Pu" TargetMode="External"/><Relationship Id="rId2417" Type="http://schemas.openxmlformats.org/officeDocument/2006/relationships/hyperlink" Target="https://talan.bank.gov.ua/get-user-certificate/sec1ef0PWUDDK8pxFE_G" TargetMode="External"/><Relationship Id="rId2764" Type="http://schemas.openxmlformats.org/officeDocument/2006/relationships/hyperlink" Target="https://talan.bank.gov.ua/get-user-certificate/sec1eus_GDgkcCRs0eAR" TargetMode="External"/><Relationship Id="rId2971" Type="http://schemas.openxmlformats.org/officeDocument/2006/relationships/hyperlink" Target="https://talan.bank.gov.ua/get-user-certificate/sec1eQz5I9r95sjOhVZS" TargetMode="External"/><Relationship Id="rId3815" Type="http://schemas.openxmlformats.org/officeDocument/2006/relationships/hyperlink" Target="https://talan.bank.gov.ua/get-user-certificate/sec1eaRqKtScyAmtYXUc" TargetMode="External"/><Relationship Id="rId943" Type="http://schemas.openxmlformats.org/officeDocument/2006/relationships/hyperlink" Target="https://talan.bank.gov.ua/get-user-certificate/sec1eXX9smpIwl3_7gfD" TargetMode="External"/><Relationship Id="rId1019" Type="http://schemas.openxmlformats.org/officeDocument/2006/relationships/hyperlink" Target="https://talan.bank.gov.ua/get-user-certificate/sec1enKyrFNM-a1y3UK7" TargetMode="External"/><Relationship Id="rId1573" Type="http://schemas.openxmlformats.org/officeDocument/2006/relationships/hyperlink" Target="https://talan.bank.gov.ua/get-user-certificate/sec1ePANS0spEyHb4FCG" TargetMode="External"/><Relationship Id="rId1780" Type="http://schemas.openxmlformats.org/officeDocument/2006/relationships/hyperlink" Target="https://talan.bank.gov.ua/get-user-certificate/sec1e-4V7WGnDn8Oo4Xt" TargetMode="External"/><Relationship Id="rId2624" Type="http://schemas.openxmlformats.org/officeDocument/2006/relationships/hyperlink" Target="https://talan.bank.gov.ua/get-user-certificate/sec1e3xnFffHqgr6YL4O" TargetMode="External"/><Relationship Id="rId2831" Type="http://schemas.openxmlformats.org/officeDocument/2006/relationships/hyperlink" Target="https://talan.bank.gov.ua/get-user-certificate/sec1eQqewjfxefNX1VWD" TargetMode="External"/><Relationship Id="rId72" Type="http://schemas.openxmlformats.org/officeDocument/2006/relationships/hyperlink" Target="https://talan.bank.gov.ua/get-user-certificate/sec1e5wzwaJHclEer3j9" TargetMode="External"/><Relationship Id="rId803" Type="http://schemas.openxmlformats.org/officeDocument/2006/relationships/hyperlink" Target="https://talan.bank.gov.ua/get-user-certificate/sec1eqUJfdqobYKuMhJ3" TargetMode="External"/><Relationship Id="rId1226" Type="http://schemas.openxmlformats.org/officeDocument/2006/relationships/hyperlink" Target="https://talan.bank.gov.ua/get-user-certificate/sec1e203iYFaDS88Ys56" TargetMode="External"/><Relationship Id="rId1433" Type="http://schemas.openxmlformats.org/officeDocument/2006/relationships/hyperlink" Target="https://talan.bank.gov.ua/get-user-certificate/sec1ebxoQCG_ESrMxiIn" TargetMode="External"/><Relationship Id="rId1640" Type="http://schemas.openxmlformats.org/officeDocument/2006/relationships/hyperlink" Target="https://talan.bank.gov.ua/get-user-certificate/sec1eBIvowvM-RG-Hv0X" TargetMode="External"/><Relationship Id="rId4589" Type="http://schemas.openxmlformats.org/officeDocument/2006/relationships/hyperlink" Target="https://talan.bank.gov.ua/get-user-certificate/sec1e8aHFxMpjwIAxkP9" TargetMode="External"/><Relationship Id="rId4796" Type="http://schemas.openxmlformats.org/officeDocument/2006/relationships/hyperlink" Target="https://talan.bank.gov.ua/get-user-certificate/sec1e5VFjSOaE1Lz5SkF" TargetMode="External"/><Relationship Id="rId1500" Type="http://schemas.openxmlformats.org/officeDocument/2006/relationships/hyperlink" Target="https://talan.bank.gov.ua/get-user-certificate/sec1eFAZWF_kpJ9xITcV" TargetMode="External"/><Relationship Id="rId3398" Type="http://schemas.openxmlformats.org/officeDocument/2006/relationships/hyperlink" Target="https://talan.bank.gov.ua/get-user-certificate/sec1e2uEV5HEVYYWT6Dh" TargetMode="External"/><Relationship Id="rId4449" Type="http://schemas.openxmlformats.org/officeDocument/2006/relationships/hyperlink" Target="https://talan.bank.gov.ua/get-user-certificate/sec1e4j92TfHwfMnrQEp" TargetMode="External"/><Relationship Id="rId4656" Type="http://schemas.openxmlformats.org/officeDocument/2006/relationships/hyperlink" Target="https://talan.bank.gov.ua/get-user-certificate/sec1eEygf22wRcq9bpO6" TargetMode="External"/><Relationship Id="rId4863" Type="http://schemas.openxmlformats.org/officeDocument/2006/relationships/hyperlink" Target="https://talan.bank.gov.ua/get-user-certificate/sec1e6WJzMWppJVtmKfw" TargetMode="External"/><Relationship Id="rId3258" Type="http://schemas.openxmlformats.org/officeDocument/2006/relationships/hyperlink" Target="https://talan.bank.gov.ua/get-user-certificate/sec1eSJ2KsiaeTaZAaXB" TargetMode="External"/><Relationship Id="rId3465" Type="http://schemas.openxmlformats.org/officeDocument/2006/relationships/hyperlink" Target="https://talan.bank.gov.ua/get-user-certificate/sec1ejzXNJDMszrg9f6X" TargetMode="External"/><Relationship Id="rId3672" Type="http://schemas.openxmlformats.org/officeDocument/2006/relationships/hyperlink" Target="https://talan.bank.gov.ua/get-user-certificate/sec1exSMkye8t5fddosq" TargetMode="External"/><Relationship Id="rId4309" Type="http://schemas.openxmlformats.org/officeDocument/2006/relationships/hyperlink" Target="https://talan.bank.gov.ua/get-user-certificate/sec1egEJr7DdtB6a5vJT" TargetMode="External"/><Relationship Id="rId4516" Type="http://schemas.openxmlformats.org/officeDocument/2006/relationships/hyperlink" Target="https://talan.bank.gov.ua/get-user-certificate/sec1efKihjiiGO0h78HG" TargetMode="External"/><Relationship Id="rId4723" Type="http://schemas.openxmlformats.org/officeDocument/2006/relationships/hyperlink" Target="https://talan.bank.gov.ua/get-user-certificate/sec1e_7cnTw98Q5vXOMR" TargetMode="External"/><Relationship Id="rId179" Type="http://schemas.openxmlformats.org/officeDocument/2006/relationships/hyperlink" Target="https://talan.bank.gov.ua/get-user-certificate/sec1eIfvWWD0R4YHlk_Q" TargetMode="External"/><Relationship Id="rId386" Type="http://schemas.openxmlformats.org/officeDocument/2006/relationships/hyperlink" Target="https://talan.bank.gov.ua/get-user-certificate/sec1ey7BOpRb47itD5R-" TargetMode="External"/><Relationship Id="rId593" Type="http://schemas.openxmlformats.org/officeDocument/2006/relationships/hyperlink" Target="https://talan.bank.gov.ua/get-user-certificate/sec1eUXJUO-cwykiAK1w" TargetMode="External"/><Relationship Id="rId2067" Type="http://schemas.openxmlformats.org/officeDocument/2006/relationships/hyperlink" Target="https://talan.bank.gov.ua/get-user-certificate/sec1eQjfPsd2jrfgDtUg" TargetMode="External"/><Relationship Id="rId2274" Type="http://schemas.openxmlformats.org/officeDocument/2006/relationships/hyperlink" Target="https://talan.bank.gov.ua/get-user-certificate/sec1e7tuhPZy6qnRNLZm" TargetMode="External"/><Relationship Id="rId2481" Type="http://schemas.openxmlformats.org/officeDocument/2006/relationships/hyperlink" Target="https://talan.bank.gov.ua/get-user-certificate/sec1efNR4rEfkU4lCyUZ" TargetMode="External"/><Relationship Id="rId3118" Type="http://schemas.openxmlformats.org/officeDocument/2006/relationships/hyperlink" Target="https://talan.bank.gov.ua/get-user-certificate/sec1eiEABbCVDYdFs3kL" TargetMode="External"/><Relationship Id="rId3325" Type="http://schemas.openxmlformats.org/officeDocument/2006/relationships/hyperlink" Target="https://talan.bank.gov.ua/get-user-certificate/sec1eWHRA_m-qpJHfyb3" TargetMode="External"/><Relationship Id="rId3532" Type="http://schemas.openxmlformats.org/officeDocument/2006/relationships/hyperlink" Target="https://talan.bank.gov.ua/get-user-certificate/sec1eV-IZawKr8vg2Onq" TargetMode="External"/><Relationship Id="rId4930" Type="http://schemas.openxmlformats.org/officeDocument/2006/relationships/hyperlink" Target="https://talan.bank.gov.ua/get-user-certificate/sec1ewOONypdlLRmcIV6" TargetMode="External"/><Relationship Id="rId246" Type="http://schemas.openxmlformats.org/officeDocument/2006/relationships/hyperlink" Target="https://talan.bank.gov.ua/get-user-certificate/sec1eSGVd8Kd1fJCFUV0" TargetMode="External"/><Relationship Id="rId453" Type="http://schemas.openxmlformats.org/officeDocument/2006/relationships/hyperlink" Target="https://talan.bank.gov.ua/get-user-certificate/sec1eEYEZdsbCgdmqF-y" TargetMode="External"/><Relationship Id="rId660" Type="http://schemas.openxmlformats.org/officeDocument/2006/relationships/hyperlink" Target="https://talan.bank.gov.ua/get-user-certificate/sec1eFtfUVVwnc6ltov5" TargetMode="External"/><Relationship Id="rId1083" Type="http://schemas.openxmlformats.org/officeDocument/2006/relationships/hyperlink" Target="https://talan.bank.gov.ua/get-user-certificate/sec1e-8SbaM4obox3PbD" TargetMode="External"/><Relationship Id="rId1290" Type="http://schemas.openxmlformats.org/officeDocument/2006/relationships/hyperlink" Target="https://talan.bank.gov.ua/get-user-certificate/sec1eDa62u8D_Zf4lSvF" TargetMode="External"/><Relationship Id="rId2134" Type="http://schemas.openxmlformats.org/officeDocument/2006/relationships/hyperlink" Target="https://talan.bank.gov.ua/get-user-certificate/sec1eYQcIIQSgpVJrnTM" TargetMode="External"/><Relationship Id="rId2341" Type="http://schemas.openxmlformats.org/officeDocument/2006/relationships/hyperlink" Target="https://talan.bank.gov.ua/get-user-certificate/sec1emxnx_AzT1mhPBys" TargetMode="External"/><Relationship Id="rId106" Type="http://schemas.openxmlformats.org/officeDocument/2006/relationships/hyperlink" Target="https://talan.bank.gov.ua/get-user-certificate/sec1eC-chbRbxcF1_7ar" TargetMode="External"/><Relationship Id="rId313" Type="http://schemas.openxmlformats.org/officeDocument/2006/relationships/hyperlink" Target="https://talan.bank.gov.ua/get-user-certificate/sec1eZUCmQzV5GeGFFK2" TargetMode="External"/><Relationship Id="rId1150" Type="http://schemas.openxmlformats.org/officeDocument/2006/relationships/hyperlink" Target="https://talan.bank.gov.ua/get-user-certificate/sec1eNbqf7UHjloEZyGa" TargetMode="External"/><Relationship Id="rId4099" Type="http://schemas.openxmlformats.org/officeDocument/2006/relationships/hyperlink" Target="https://talan.bank.gov.ua/get-user-certificate/sec1es8B3rTBOZCwaW7g" TargetMode="External"/><Relationship Id="rId520" Type="http://schemas.openxmlformats.org/officeDocument/2006/relationships/hyperlink" Target="https://talan.bank.gov.ua/get-user-certificate/sec1eZcSh1hnrj7O1VyC" TargetMode="External"/><Relationship Id="rId2201" Type="http://schemas.openxmlformats.org/officeDocument/2006/relationships/hyperlink" Target="https://talan.bank.gov.ua/get-user-certificate/sec1e1YX2SiEEQPomSPP" TargetMode="External"/><Relationship Id="rId1010" Type="http://schemas.openxmlformats.org/officeDocument/2006/relationships/hyperlink" Target="https://talan.bank.gov.ua/get-user-certificate/sec1eOHx0Orky__xqfUd" TargetMode="External"/><Relationship Id="rId1967" Type="http://schemas.openxmlformats.org/officeDocument/2006/relationships/hyperlink" Target="https://talan.bank.gov.ua/get-user-certificate/sec1elMissvjspGZ8xO9" TargetMode="External"/><Relationship Id="rId4166" Type="http://schemas.openxmlformats.org/officeDocument/2006/relationships/hyperlink" Target="https://talan.bank.gov.ua/get-user-certificate/sec1ecHKvkcZPJWUD1Od" TargetMode="External"/><Relationship Id="rId4373" Type="http://schemas.openxmlformats.org/officeDocument/2006/relationships/hyperlink" Target="https://talan.bank.gov.ua/get-user-certificate/sec1eEbrbPXID3dMgAt9" TargetMode="External"/><Relationship Id="rId4580" Type="http://schemas.openxmlformats.org/officeDocument/2006/relationships/hyperlink" Target="https://talan.bank.gov.ua/get-user-certificate/sec1eKhue3eohqTfPBtT" TargetMode="External"/><Relationship Id="rId4026" Type="http://schemas.openxmlformats.org/officeDocument/2006/relationships/hyperlink" Target="https://talan.bank.gov.ua/get-user-certificate/sec1eM_W60Ff0ieVBDZt" TargetMode="External"/><Relationship Id="rId4440" Type="http://schemas.openxmlformats.org/officeDocument/2006/relationships/hyperlink" Target="https://talan.bank.gov.ua/get-user-certificate/sec1eSLNtlyejVWPi8H7" TargetMode="External"/><Relationship Id="rId3042" Type="http://schemas.openxmlformats.org/officeDocument/2006/relationships/hyperlink" Target="https://talan.bank.gov.ua/get-user-certificate/sec1esQwrolh1z0IOjOf" TargetMode="External"/><Relationship Id="rId3859" Type="http://schemas.openxmlformats.org/officeDocument/2006/relationships/hyperlink" Target="https://talan.bank.gov.ua/get-user-certificate/sec1epiqTsu6sR6DA24K" TargetMode="External"/><Relationship Id="rId2875" Type="http://schemas.openxmlformats.org/officeDocument/2006/relationships/hyperlink" Target="https://talan.bank.gov.ua/get-user-certificate/sec1eI2TgSatv3zzJ2bd" TargetMode="External"/><Relationship Id="rId3926" Type="http://schemas.openxmlformats.org/officeDocument/2006/relationships/hyperlink" Target="https://talan.bank.gov.ua/get-user-certificate/sec1ebgqApOuuSdhzle_" TargetMode="External"/><Relationship Id="rId847" Type="http://schemas.openxmlformats.org/officeDocument/2006/relationships/hyperlink" Target="https://talan.bank.gov.ua/get-user-certificate/sec1eGuFXvjl77BXsFUA" TargetMode="External"/><Relationship Id="rId1477" Type="http://schemas.openxmlformats.org/officeDocument/2006/relationships/hyperlink" Target="https://talan.bank.gov.ua/get-user-certificate/sec1eWPr4iDzWvW28893" TargetMode="External"/><Relationship Id="rId1891" Type="http://schemas.openxmlformats.org/officeDocument/2006/relationships/hyperlink" Target="https://talan.bank.gov.ua/get-user-certificate/sec1exDjUbrx5eI2HHge" TargetMode="External"/><Relationship Id="rId2528" Type="http://schemas.openxmlformats.org/officeDocument/2006/relationships/hyperlink" Target="https://talan.bank.gov.ua/get-user-certificate/sec1eX_wZaUaJfcUWLxl" TargetMode="External"/><Relationship Id="rId2942" Type="http://schemas.openxmlformats.org/officeDocument/2006/relationships/hyperlink" Target="https://talan.bank.gov.ua/get-user-certificate/sec1eHvw7RX_Mk3oY0jH" TargetMode="External"/><Relationship Id="rId914" Type="http://schemas.openxmlformats.org/officeDocument/2006/relationships/hyperlink" Target="https://talan.bank.gov.ua/get-user-certificate/sec1eS8z4cFFpvfg4G0S" TargetMode="External"/><Relationship Id="rId1544" Type="http://schemas.openxmlformats.org/officeDocument/2006/relationships/hyperlink" Target="https://talan.bank.gov.ua/get-user-certificate/sec1eQKym8lPQaLYyW9S" TargetMode="External"/><Relationship Id="rId5001" Type="http://schemas.openxmlformats.org/officeDocument/2006/relationships/hyperlink" Target="https://talan.bank.gov.ua/get-user-certificate/sec1emzSo9nTN74AtvVp" TargetMode="External"/><Relationship Id="rId1611" Type="http://schemas.openxmlformats.org/officeDocument/2006/relationships/hyperlink" Target="https://talan.bank.gov.ua/get-user-certificate/sec1eJucDPKOtwrJt424" TargetMode="External"/><Relationship Id="rId4767" Type="http://schemas.openxmlformats.org/officeDocument/2006/relationships/hyperlink" Target="https://talan.bank.gov.ua/get-user-certificate/sec1edT1uzmgaoyi8mVk" TargetMode="External"/><Relationship Id="rId3369" Type="http://schemas.openxmlformats.org/officeDocument/2006/relationships/hyperlink" Target="https://talan.bank.gov.ua/get-user-certificate/sec1e-0JaM8uiLjcCJFL" TargetMode="External"/><Relationship Id="rId2385" Type="http://schemas.openxmlformats.org/officeDocument/2006/relationships/hyperlink" Target="https://talan.bank.gov.ua/get-user-certificate/sec1euSOdy0EXuEoDu0h" TargetMode="External"/><Relationship Id="rId3783" Type="http://schemas.openxmlformats.org/officeDocument/2006/relationships/hyperlink" Target="https://talan.bank.gov.ua/get-user-certificate/sec1efpsOj2h9N-zwgXy" TargetMode="External"/><Relationship Id="rId4834" Type="http://schemas.openxmlformats.org/officeDocument/2006/relationships/hyperlink" Target="https://talan.bank.gov.ua/get-user-certificate/sec1e6t2QtSaWC2va1rn" TargetMode="External"/><Relationship Id="rId357" Type="http://schemas.openxmlformats.org/officeDocument/2006/relationships/hyperlink" Target="https://talan.bank.gov.ua/get-user-certificate/sec1eOxmdMT2pDYzXuO0" TargetMode="External"/><Relationship Id="rId2038" Type="http://schemas.openxmlformats.org/officeDocument/2006/relationships/hyperlink" Target="https://talan.bank.gov.ua/get-user-certificate/sec1eqb_9ycBjjs8A3Sj" TargetMode="External"/><Relationship Id="rId3436" Type="http://schemas.openxmlformats.org/officeDocument/2006/relationships/hyperlink" Target="https://talan.bank.gov.ua/get-user-certificate/sec1eg3tdb91riawCxGX" TargetMode="External"/><Relationship Id="rId3850" Type="http://schemas.openxmlformats.org/officeDocument/2006/relationships/hyperlink" Target="https://talan.bank.gov.ua/get-user-certificate/sec1e9xz1VFxilmqDu_f" TargetMode="External"/><Relationship Id="rId4901" Type="http://schemas.openxmlformats.org/officeDocument/2006/relationships/hyperlink" Target="https://talan.bank.gov.ua/get-user-certificate/sec1eklJ-P3ZNUrfQL1N" TargetMode="External"/><Relationship Id="rId771" Type="http://schemas.openxmlformats.org/officeDocument/2006/relationships/hyperlink" Target="https://talan.bank.gov.ua/get-user-certificate/sec1eByGtTKt-mhlVXSA" TargetMode="External"/><Relationship Id="rId2452" Type="http://schemas.openxmlformats.org/officeDocument/2006/relationships/hyperlink" Target="https://talan.bank.gov.ua/get-user-certificate/sec1ehPEROu9utcmQb7H" TargetMode="External"/><Relationship Id="rId3503" Type="http://schemas.openxmlformats.org/officeDocument/2006/relationships/hyperlink" Target="https://talan.bank.gov.ua/get-user-certificate/sec1enP0vl7whxa-pu4g" TargetMode="External"/><Relationship Id="rId424" Type="http://schemas.openxmlformats.org/officeDocument/2006/relationships/hyperlink" Target="https://talan.bank.gov.ua/get-user-certificate/sec1eKCYCtEy5Dg1II8n" TargetMode="External"/><Relationship Id="rId1054" Type="http://schemas.openxmlformats.org/officeDocument/2006/relationships/hyperlink" Target="https://talan.bank.gov.ua/get-user-certificate/sec1e6UYywEVOeQ9RXSH" TargetMode="External"/><Relationship Id="rId2105" Type="http://schemas.openxmlformats.org/officeDocument/2006/relationships/hyperlink" Target="https://talan.bank.gov.ua/get-user-certificate/sec1enzjIYjJ5GylYRzk" TargetMode="External"/><Relationship Id="rId1121" Type="http://schemas.openxmlformats.org/officeDocument/2006/relationships/hyperlink" Target="https://talan.bank.gov.ua/get-user-certificate/sec1ePnurn1crN-7r1cB" TargetMode="External"/><Relationship Id="rId4277" Type="http://schemas.openxmlformats.org/officeDocument/2006/relationships/hyperlink" Target="https://talan.bank.gov.ua/get-user-certificate/sec1ePs0OQ5fi_XQAyxO" TargetMode="External"/><Relationship Id="rId4691" Type="http://schemas.openxmlformats.org/officeDocument/2006/relationships/hyperlink" Target="https://talan.bank.gov.ua/get-user-certificate/sec1e8QWhq8CtUXcHXcD" TargetMode="External"/><Relationship Id="rId3293" Type="http://schemas.openxmlformats.org/officeDocument/2006/relationships/hyperlink" Target="https://talan.bank.gov.ua/get-user-certificate/sec1eLihlBUO8B7xKer5" TargetMode="External"/><Relationship Id="rId4344" Type="http://schemas.openxmlformats.org/officeDocument/2006/relationships/hyperlink" Target="https://talan.bank.gov.ua/get-user-certificate/sec1eEayNs6ORRTKM2KZ" TargetMode="External"/><Relationship Id="rId1938" Type="http://schemas.openxmlformats.org/officeDocument/2006/relationships/hyperlink" Target="https://talan.bank.gov.ua/get-user-certificate/sec1e9EAM2m2k_WD9DtK" TargetMode="External"/><Relationship Id="rId3360" Type="http://schemas.openxmlformats.org/officeDocument/2006/relationships/hyperlink" Target="https://talan.bank.gov.ua/get-user-certificate/sec1eFnj51hzjBmyw8Bq" TargetMode="External"/><Relationship Id="rId281" Type="http://schemas.openxmlformats.org/officeDocument/2006/relationships/hyperlink" Target="https://talan.bank.gov.ua/get-user-certificate/sec1eE--A1YpUdtCewqa" TargetMode="External"/><Relationship Id="rId3013" Type="http://schemas.openxmlformats.org/officeDocument/2006/relationships/hyperlink" Target="https://talan.bank.gov.ua/get-user-certificate/sec1eje_3UZ4mEQXhVCa" TargetMode="External"/><Relationship Id="rId4411" Type="http://schemas.openxmlformats.org/officeDocument/2006/relationships/hyperlink" Target="https://talan.bank.gov.ua/get-user-certificate/sec1eseZdCFMbDawu3rU" TargetMode="External"/><Relationship Id="rId2779" Type="http://schemas.openxmlformats.org/officeDocument/2006/relationships/hyperlink" Target="https://talan.bank.gov.ua/get-user-certificate/sec1eV7-mRNUFZBBz0jK" TargetMode="External"/><Relationship Id="rId1795" Type="http://schemas.openxmlformats.org/officeDocument/2006/relationships/hyperlink" Target="https://talan.bank.gov.ua/get-user-certificate/sec1e69AUbgeixY7x6Zm" TargetMode="External"/><Relationship Id="rId2846" Type="http://schemas.openxmlformats.org/officeDocument/2006/relationships/hyperlink" Target="https://talan.bank.gov.ua/get-user-certificate/sec1emKPmLr4R0ensEWJ" TargetMode="External"/><Relationship Id="rId87" Type="http://schemas.openxmlformats.org/officeDocument/2006/relationships/hyperlink" Target="https://talan.bank.gov.ua/get-user-certificate/sec1eGK5ITGaxj7-dGgj" TargetMode="External"/><Relationship Id="rId818" Type="http://schemas.openxmlformats.org/officeDocument/2006/relationships/hyperlink" Target="https://talan.bank.gov.ua/get-user-certificate/sec1eNXpIE1LzEoGp4NP" TargetMode="External"/><Relationship Id="rId1448" Type="http://schemas.openxmlformats.org/officeDocument/2006/relationships/hyperlink" Target="https://talan.bank.gov.ua/get-user-certificate/sec1ep_8Mj6e_PEA4MMA" TargetMode="External"/><Relationship Id="rId1862" Type="http://schemas.openxmlformats.org/officeDocument/2006/relationships/hyperlink" Target="https://talan.bank.gov.ua/get-user-certificate/sec1ejMPf9ftfJAOqKBK" TargetMode="External"/><Relationship Id="rId2913" Type="http://schemas.openxmlformats.org/officeDocument/2006/relationships/hyperlink" Target="https://talan.bank.gov.ua/get-user-certificate/sec1eBWPuoaaMDTZT0WA" TargetMode="External"/><Relationship Id="rId1515" Type="http://schemas.openxmlformats.org/officeDocument/2006/relationships/hyperlink" Target="https://talan.bank.gov.ua/get-user-certificate/sec1eEPKjU4jZ9ZApjyB" TargetMode="External"/><Relationship Id="rId3687" Type="http://schemas.openxmlformats.org/officeDocument/2006/relationships/hyperlink" Target="https://talan.bank.gov.ua/get-user-certificate/sec1eU-sTT54CWq53uOZ" TargetMode="External"/><Relationship Id="rId4738" Type="http://schemas.openxmlformats.org/officeDocument/2006/relationships/hyperlink" Target="https://talan.bank.gov.ua/get-user-certificate/sec1ezAUmuxU6IKaLoWY" TargetMode="External"/><Relationship Id="rId2289" Type="http://schemas.openxmlformats.org/officeDocument/2006/relationships/hyperlink" Target="https://talan.bank.gov.ua/get-user-certificate/sec1eGZEYI58EdxfgJsI" TargetMode="External"/><Relationship Id="rId3754" Type="http://schemas.openxmlformats.org/officeDocument/2006/relationships/hyperlink" Target="https://talan.bank.gov.ua/get-user-certificate/sec1eOD_4HgVpXiuFvLW" TargetMode="External"/><Relationship Id="rId4805" Type="http://schemas.openxmlformats.org/officeDocument/2006/relationships/hyperlink" Target="https://talan.bank.gov.ua/get-user-certificate/sec1epxNkmnwfUY7KyxC" TargetMode="External"/><Relationship Id="rId675" Type="http://schemas.openxmlformats.org/officeDocument/2006/relationships/hyperlink" Target="https://talan.bank.gov.ua/get-user-certificate/sec1e42YyjnRCdq4393h" TargetMode="External"/><Relationship Id="rId2356" Type="http://schemas.openxmlformats.org/officeDocument/2006/relationships/hyperlink" Target="https://talan.bank.gov.ua/get-user-certificate/sec1e13YkV8WlAacmcVA" TargetMode="External"/><Relationship Id="rId2770" Type="http://schemas.openxmlformats.org/officeDocument/2006/relationships/hyperlink" Target="https://talan.bank.gov.ua/get-user-certificate/sec1ewgjSp5k5e2GDfT9" TargetMode="External"/><Relationship Id="rId3407" Type="http://schemas.openxmlformats.org/officeDocument/2006/relationships/hyperlink" Target="https://talan.bank.gov.ua/get-user-certificate/sec1eTVVRiJkubfQD80C" TargetMode="External"/><Relationship Id="rId3821" Type="http://schemas.openxmlformats.org/officeDocument/2006/relationships/hyperlink" Target="https://talan.bank.gov.ua/get-user-certificate/sec1e1-Qn7QlanvZzt4c" TargetMode="External"/><Relationship Id="rId328" Type="http://schemas.openxmlformats.org/officeDocument/2006/relationships/hyperlink" Target="https://talan.bank.gov.ua/get-user-certificate/sec1eJc8F19jPfSGKo0Q" TargetMode="External"/><Relationship Id="rId742" Type="http://schemas.openxmlformats.org/officeDocument/2006/relationships/hyperlink" Target="https://talan.bank.gov.ua/get-user-certificate/sec1eTxN55lUWSMSBm3n" TargetMode="External"/><Relationship Id="rId1372" Type="http://schemas.openxmlformats.org/officeDocument/2006/relationships/hyperlink" Target="https://talan.bank.gov.ua/get-user-certificate/sec1e7Rd_5-Svzaradk7" TargetMode="External"/><Relationship Id="rId2009" Type="http://schemas.openxmlformats.org/officeDocument/2006/relationships/hyperlink" Target="https://talan.bank.gov.ua/get-user-certificate/sec1eucXdmcyLfHGpG5C" TargetMode="External"/><Relationship Id="rId2423" Type="http://schemas.openxmlformats.org/officeDocument/2006/relationships/hyperlink" Target="https://talan.bank.gov.ua/get-user-certificate/sec1exFq_iJ8F55FlUgI" TargetMode="External"/><Relationship Id="rId1025" Type="http://schemas.openxmlformats.org/officeDocument/2006/relationships/hyperlink" Target="https://talan.bank.gov.ua/get-user-certificate/sec1eODXpVjV6W_glvEk" TargetMode="External"/><Relationship Id="rId4595" Type="http://schemas.openxmlformats.org/officeDocument/2006/relationships/hyperlink" Target="https://talan.bank.gov.ua/get-user-certificate/sec1edfMpET_JRnFRimB" TargetMode="External"/><Relationship Id="rId3197" Type="http://schemas.openxmlformats.org/officeDocument/2006/relationships/hyperlink" Target="https://talan.bank.gov.ua/get-user-certificate/sec1ezpUwJ6F_0Gw_NCh" TargetMode="External"/><Relationship Id="rId4248" Type="http://schemas.openxmlformats.org/officeDocument/2006/relationships/hyperlink" Target="https://talan.bank.gov.ua/get-user-certificate/sec1edILjAOjNFbHD56A" TargetMode="External"/><Relationship Id="rId4662" Type="http://schemas.openxmlformats.org/officeDocument/2006/relationships/hyperlink" Target="https://talan.bank.gov.ua/get-user-certificate/sec1egUXbunilRx1QbgP" TargetMode="External"/><Relationship Id="rId185" Type="http://schemas.openxmlformats.org/officeDocument/2006/relationships/hyperlink" Target="https://talan.bank.gov.ua/get-user-certificate/sec1eS5gfldm3MGsI3uc" TargetMode="External"/><Relationship Id="rId1909" Type="http://schemas.openxmlformats.org/officeDocument/2006/relationships/hyperlink" Target="https://talan.bank.gov.ua/get-user-certificate/sec1ev144tCfowfMhZZ-" TargetMode="External"/><Relationship Id="rId3264" Type="http://schemas.openxmlformats.org/officeDocument/2006/relationships/hyperlink" Target="https://talan.bank.gov.ua/get-user-certificate/sec1eokCl7M3_k1WJJ5q" TargetMode="External"/><Relationship Id="rId4315" Type="http://schemas.openxmlformats.org/officeDocument/2006/relationships/hyperlink" Target="https://talan.bank.gov.ua/get-user-certificate/sec1efE96sAKE5S-JZvV" TargetMode="External"/><Relationship Id="rId2280" Type="http://schemas.openxmlformats.org/officeDocument/2006/relationships/hyperlink" Target="https://talan.bank.gov.ua/get-user-certificate/sec1ez2rBSk8sXJaOJUS" TargetMode="External"/><Relationship Id="rId3331" Type="http://schemas.openxmlformats.org/officeDocument/2006/relationships/hyperlink" Target="https://talan.bank.gov.ua/get-user-certificate/sec1e98VjOT6Fg79N_-a" TargetMode="External"/><Relationship Id="rId252" Type="http://schemas.openxmlformats.org/officeDocument/2006/relationships/hyperlink" Target="https://talan.bank.gov.ua/get-user-certificate/sec1eo9Pk1qFekItMShr" TargetMode="External"/><Relationship Id="rId1699" Type="http://schemas.openxmlformats.org/officeDocument/2006/relationships/hyperlink" Target="https://talan.bank.gov.ua/get-user-certificate/sec1eOaIWI0eYv_oTPqU" TargetMode="External"/><Relationship Id="rId2000" Type="http://schemas.openxmlformats.org/officeDocument/2006/relationships/hyperlink" Target="https://talan.bank.gov.ua/get-user-certificate/sec1ea75ICs-yHmiVHu7" TargetMode="External"/><Relationship Id="rId4172" Type="http://schemas.openxmlformats.org/officeDocument/2006/relationships/hyperlink" Target="https://talan.bank.gov.ua/get-user-certificate/sec1ejqaaFnMvqQZqkP9" TargetMode="External"/><Relationship Id="rId1766" Type="http://schemas.openxmlformats.org/officeDocument/2006/relationships/hyperlink" Target="https://talan.bank.gov.ua/get-user-certificate/sec1ekypPlROLuH7i1pP" TargetMode="External"/><Relationship Id="rId2817" Type="http://schemas.openxmlformats.org/officeDocument/2006/relationships/hyperlink" Target="https://talan.bank.gov.ua/get-user-certificate/sec1evwpxIsMTKMy4j1h" TargetMode="External"/><Relationship Id="rId58" Type="http://schemas.openxmlformats.org/officeDocument/2006/relationships/hyperlink" Target="https://talan.bank.gov.ua/get-user-certificate/sec1eBOCYxfYQq-ylfj6" TargetMode="External"/><Relationship Id="rId1419" Type="http://schemas.openxmlformats.org/officeDocument/2006/relationships/hyperlink" Target="https://talan.bank.gov.ua/get-user-certificate/sec1ev4X4MjDV0MdhD6B" TargetMode="External"/><Relationship Id="rId1833" Type="http://schemas.openxmlformats.org/officeDocument/2006/relationships/hyperlink" Target="https://talan.bank.gov.ua/get-user-certificate/sec1enxiEv9__p4Sjgt9" TargetMode="External"/><Relationship Id="rId4989" Type="http://schemas.openxmlformats.org/officeDocument/2006/relationships/hyperlink" Target="https://talan.bank.gov.ua/get-user-certificate/sec1et61qv6J7A1lDZIu" TargetMode="External"/><Relationship Id="rId1900" Type="http://schemas.openxmlformats.org/officeDocument/2006/relationships/hyperlink" Target="https://talan.bank.gov.ua/get-user-certificate/sec1e7ywDSAAPb8TxGj8" TargetMode="External"/><Relationship Id="rId3658" Type="http://schemas.openxmlformats.org/officeDocument/2006/relationships/hyperlink" Target="https://talan.bank.gov.ua/get-user-certificate/sec1eLmrimD7HiFyTjMy" TargetMode="External"/><Relationship Id="rId4709" Type="http://schemas.openxmlformats.org/officeDocument/2006/relationships/hyperlink" Target="https://talan.bank.gov.ua/get-user-certificate/sec1eAESvgfAGymcHBNe" TargetMode="External"/><Relationship Id="rId579" Type="http://schemas.openxmlformats.org/officeDocument/2006/relationships/hyperlink" Target="https://talan.bank.gov.ua/get-user-certificate/sec1ewYEAMaYxzLOJ6dK" TargetMode="External"/><Relationship Id="rId993" Type="http://schemas.openxmlformats.org/officeDocument/2006/relationships/hyperlink" Target="https://talan.bank.gov.ua/get-user-certificate/sec1eEubX1HFz8lFB5Hu" TargetMode="External"/><Relationship Id="rId2674" Type="http://schemas.openxmlformats.org/officeDocument/2006/relationships/hyperlink" Target="https://talan.bank.gov.ua/get-user-certificate/sec1eSTUci3NBJNyY7Db" TargetMode="External"/><Relationship Id="rId646" Type="http://schemas.openxmlformats.org/officeDocument/2006/relationships/hyperlink" Target="https://talan.bank.gov.ua/get-user-certificate/sec1eOOa-OCUMoVvVb7J" TargetMode="External"/><Relationship Id="rId1276" Type="http://schemas.openxmlformats.org/officeDocument/2006/relationships/hyperlink" Target="https://talan.bank.gov.ua/get-user-certificate/sec1e2-pVH48Deth88a4" TargetMode="External"/><Relationship Id="rId2327" Type="http://schemas.openxmlformats.org/officeDocument/2006/relationships/hyperlink" Target="https://talan.bank.gov.ua/get-user-certificate/sec1eCsazUd73dLDkIAc" TargetMode="External"/><Relationship Id="rId3725" Type="http://schemas.openxmlformats.org/officeDocument/2006/relationships/hyperlink" Target="https://talan.bank.gov.ua/get-user-certificate/sec1ekmf1-HTIN8nsfBA" TargetMode="External"/><Relationship Id="rId1690" Type="http://schemas.openxmlformats.org/officeDocument/2006/relationships/hyperlink" Target="https://talan.bank.gov.ua/get-user-certificate/sec1ekoEwoq6TwhIEaOL" TargetMode="External"/><Relationship Id="rId2741" Type="http://schemas.openxmlformats.org/officeDocument/2006/relationships/hyperlink" Target="https://talan.bank.gov.ua/get-user-certificate/sec1e9hyr7yBdlURNrJu" TargetMode="External"/><Relationship Id="rId713" Type="http://schemas.openxmlformats.org/officeDocument/2006/relationships/hyperlink" Target="https://talan.bank.gov.ua/get-user-certificate/sec1enysxvO9b0-fx20o" TargetMode="External"/><Relationship Id="rId1343" Type="http://schemas.openxmlformats.org/officeDocument/2006/relationships/hyperlink" Target="https://talan.bank.gov.ua/get-user-certificate/sec1e0Q_N9GzCopzRvY_" TargetMode="External"/><Relationship Id="rId4499" Type="http://schemas.openxmlformats.org/officeDocument/2006/relationships/hyperlink" Target="https://talan.bank.gov.ua/get-user-certificate/sec1empgr5r2cVEdpz38" TargetMode="External"/><Relationship Id="rId1410" Type="http://schemas.openxmlformats.org/officeDocument/2006/relationships/hyperlink" Target="https://talan.bank.gov.ua/get-user-certificate/sec1eCbaBrjVJ4Vmr5Kn" TargetMode="External"/><Relationship Id="rId4566" Type="http://schemas.openxmlformats.org/officeDocument/2006/relationships/hyperlink" Target="https://talan.bank.gov.ua/get-user-certificate/sec1ec-eeKhxV3iaQK2r" TargetMode="External"/><Relationship Id="rId4980" Type="http://schemas.openxmlformats.org/officeDocument/2006/relationships/hyperlink" Target="https://talan.bank.gov.ua/get-user-certificate/sec1ewzQl0ni1EhxllHC" TargetMode="External"/><Relationship Id="rId3168" Type="http://schemas.openxmlformats.org/officeDocument/2006/relationships/hyperlink" Target="https://talan.bank.gov.ua/get-user-certificate/sec1e_M9ghaw7xal-V2-" TargetMode="External"/><Relationship Id="rId3582" Type="http://schemas.openxmlformats.org/officeDocument/2006/relationships/hyperlink" Target="https://talan.bank.gov.ua/get-user-certificate/sec1ef2Djv5r6JperLH4" TargetMode="External"/><Relationship Id="rId4219" Type="http://schemas.openxmlformats.org/officeDocument/2006/relationships/hyperlink" Target="https://talan.bank.gov.ua/get-user-certificate/sec1eD14e64rvBfef1O_" TargetMode="External"/><Relationship Id="rId4633" Type="http://schemas.openxmlformats.org/officeDocument/2006/relationships/hyperlink" Target="https://talan.bank.gov.ua/get-user-certificate/sec1eEfXwIekanNgJvoF" TargetMode="External"/><Relationship Id="rId2184" Type="http://schemas.openxmlformats.org/officeDocument/2006/relationships/hyperlink" Target="https://talan.bank.gov.ua/get-user-certificate/sec1eeoiONOTRZTBYx9o" TargetMode="External"/><Relationship Id="rId3235" Type="http://schemas.openxmlformats.org/officeDocument/2006/relationships/hyperlink" Target="https://talan.bank.gov.ua/get-user-certificate/sec1ey8316ePhDygxV1v" TargetMode="External"/><Relationship Id="rId156" Type="http://schemas.openxmlformats.org/officeDocument/2006/relationships/hyperlink" Target="https://talan.bank.gov.ua/get-user-certificate/sec1e1dmgS3uUNcVmYdE" TargetMode="External"/><Relationship Id="rId570" Type="http://schemas.openxmlformats.org/officeDocument/2006/relationships/hyperlink" Target="https://talan.bank.gov.ua/get-user-certificate/sec1e6sz3Js4Df9r0n8B" TargetMode="External"/><Relationship Id="rId2251" Type="http://schemas.openxmlformats.org/officeDocument/2006/relationships/hyperlink" Target="https://talan.bank.gov.ua/get-user-certificate/sec1evBumsHFlpgOdyks" TargetMode="External"/><Relationship Id="rId3302" Type="http://schemas.openxmlformats.org/officeDocument/2006/relationships/hyperlink" Target="https://talan.bank.gov.ua/get-user-certificate/sec1e3gbs52f-qZqONUy" TargetMode="External"/><Relationship Id="rId4700" Type="http://schemas.openxmlformats.org/officeDocument/2006/relationships/hyperlink" Target="https://talan.bank.gov.ua/get-user-certificate/sec1eSXp7qd6Nc5tQs2C" TargetMode="External"/><Relationship Id="rId223" Type="http://schemas.openxmlformats.org/officeDocument/2006/relationships/hyperlink" Target="https://talan.bank.gov.ua/get-user-certificate/sec1euIAd8iNYWjj1lfy" TargetMode="External"/><Relationship Id="rId4076" Type="http://schemas.openxmlformats.org/officeDocument/2006/relationships/hyperlink" Target="https://talan.bank.gov.ua/get-user-certificate/sec1enLUGsgBZhf6iimM" TargetMode="External"/><Relationship Id="rId4490" Type="http://schemas.openxmlformats.org/officeDocument/2006/relationships/hyperlink" Target="https://talan.bank.gov.ua/get-user-certificate/sec1e0JOqO2X-2y9QVo9" TargetMode="External"/><Relationship Id="rId1737" Type="http://schemas.openxmlformats.org/officeDocument/2006/relationships/hyperlink" Target="https://talan.bank.gov.ua/get-user-certificate/sec1e_RZcB6tXKH6MMjz" TargetMode="External"/><Relationship Id="rId3092" Type="http://schemas.openxmlformats.org/officeDocument/2006/relationships/hyperlink" Target="https://talan.bank.gov.ua/get-user-certificate/sec1eTawUakTUWpcqHNb" TargetMode="External"/><Relationship Id="rId4143" Type="http://schemas.openxmlformats.org/officeDocument/2006/relationships/hyperlink" Target="https://talan.bank.gov.ua/get-user-certificate/sec1e69jwTTlqqsSZBCB" TargetMode="External"/><Relationship Id="rId29" Type="http://schemas.openxmlformats.org/officeDocument/2006/relationships/hyperlink" Target="https://talan.bank.gov.ua/get-user-certificate/sec1e3OXImnrGHHGU-CX" TargetMode="External"/><Relationship Id="rId4210" Type="http://schemas.openxmlformats.org/officeDocument/2006/relationships/hyperlink" Target="https://talan.bank.gov.ua/get-user-certificate/sec1ed0ImqSGyPZABiol" TargetMode="External"/><Relationship Id="rId1804" Type="http://schemas.openxmlformats.org/officeDocument/2006/relationships/hyperlink" Target="https://talan.bank.gov.ua/get-user-certificate/sec1e66GbJiElfYdOjq0" TargetMode="External"/><Relationship Id="rId3976" Type="http://schemas.openxmlformats.org/officeDocument/2006/relationships/hyperlink" Target="https://talan.bank.gov.ua/get-user-certificate/sec1e6SK5vY6UmlDBrS-" TargetMode="External"/><Relationship Id="rId897" Type="http://schemas.openxmlformats.org/officeDocument/2006/relationships/hyperlink" Target="https://talan.bank.gov.ua/get-user-certificate/sec1eCdfGN74w76u9yNN" TargetMode="External"/><Relationship Id="rId2578" Type="http://schemas.openxmlformats.org/officeDocument/2006/relationships/hyperlink" Target="https://talan.bank.gov.ua/get-user-certificate/sec1e1gsMIuOcUhu4U6w" TargetMode="External"/><Relationship Id="rId2992" Type="http://schemas.openxmlformats.org/officeDocument/2006/relationships/hyperlink" Target="https://talan.bank.gov.ua/get-user-certificate/sec1eWlNB0mSYxl5g6Y5" TargetMode="External"/><Relationship Id="rId3629" Type="http://schemas.openxmlformats.org/officeDocument/2006/relationships/hyperlink" Target="https://talan.bank.gov.ua/get-user-certificate/sec1esOKZS4Ffd0zfMTi" TargetMode="External"/><Relationship Id="rId964" Type="http://schemas.openxmlformats.org/officeDocument/2006/relationships/hyperlink" Target="https://talan.bank.gov.ua/get-user-certificate/sec1eh_pgvE5G40L1ll3" TargetMode="External"/><Relationship Id="rId1594" Type="http://schemas.openxmlformats.org/officeDocument/2006/relationships/hyperlink" Target="https://talan.bank.gov.ua/get-user-certificate/sec1ex3b4ANngkledOlO" TargetMode="External"/><Relationship Id="rId2645" Type="http://schemas.openxmlformats.org/officeDocument/2006/relationships/hyperlink" Target="https://talan.bank.gov.ua/get-user-certificate/sec1eOE9EupZHAd8SHT-" TargetMode="External"/><Relationship Id="rId617" Type="http://schemas.openxmlformats.org/officeDocument/2006/relationships/hyperlink" Target="https://talan.bank.gov.ua/get-user-certificate/sec1eUTWYufNVyD4-RSR" TargetMode="External"/><Relationship Id="rId1247" Type="http://schemas.openxmlformats.org/officeDocument/2006/relationships/hyperlink" Target="https://talan.bank.gov.ua/get-user-certificate/sec1eRnYYbxsagWLX0Dp" TargetMode="External"/><Relationship Id="rId1661" Type="http://schemas.openxmlformats.org/officeDocument/2006/relationships/hyperlink" Target="https://talan.bank.gov.ua/get-user-certificate/sec1eBKngkuMAOimu13q" TargetMode="External"/><Relationship Id="rId2712" Type="http://schemas.openxmlformats.org/officeDocument/2006/relationships/hyperlink" Target="https://talan.bank.gov.ua/get-user-certificate/sec1esaOOesdQ1PBPaIJ" TargetMode="External"/><Relationship Id="rId1314" Type="http://schemas.openxmlformats.org/officeDocument/2006/relationships/hyperlink" Target="https://talan.bank.gov.ua/get-user-certificate/sec1eW4baTAJ0Jism9RC" TargetMode="External"/><Relationship Id="rId4884" Type="http://schemas.openxmlformats.org/officeDocument/2006/relationships/hyperlink" Target="https://talan.bank.gov.ua/get-user-certificate/sec1eEIWYDhMkM24Qtq5" TargetMode="External"/><Relationship Id="rId3486" Type="http://schemas.openxmlformats.org/officeDocument/2006/relationships/hyperlink" Target="https://talan.bank.gov.ua/get-user-certificate/sec1ehWztxdr9boHOgLD" TargetMode="External"/><Relationship Id="rId4537" Type="http://schemas.openxmlformats.org/officeDocument/2006/relationships/hyperlink" Target="https://talan.bank.gov.ua/get-user-certificate/sec1eZgg7deygd1CtmmL" TargetMode="External"/><Relationship Id="rId20" Type="http://schemas.openxmlformats.org/officeDocument/2006/relationships/hyperlink" Target="https://talan.bank.gov.ua/get-user-certificate/sec1eDqNy8StbrFCPrCv" TargetMode="External"/><Relationship Id="rId2088" Type="http://schemas.openxmlformats.org/officeDocument/2006/relationships/hyperlink" Target="https://talan.bank.gov.ua/get-user-certificate/sec1eE9efdLMkea1Prvr" TargetMode="External"/><Relationship Id="rId3139" Type="http://schemas.openxmlformats.org/officeDocument/2006/relationships/hyperlink" Target="https://talan.bank.gov.ua/get-user-certificate/sec1eSidRhVQL4zGbLLc" TargetMode="External"/><Relationship Id="rId4951" Type="http://schemas.openxmlformats.org/officeDocument/2006/relationships/hyperlink" Target="https://talan.bank.gov.ua/get-user-certificate/sec1eEPurGYiTtwWMH2r" TargetMode="External"/><Relationship Id="rId474" Type="http://schemas.openxmlformats.org/officeDocument/2006/relationships/hyperlink" Target="https://talan.bank.gov.ua/get-user-certificate/sec1eexIgMlG-76xcAHY" TargetMode="External"/><Relationship Id="rId2155" Type="http://schemas.openxmlformats.org/officeDocument/2006/relationships/hyperlink" Target="https://talan.bank.gov.ua/get-user-certificate/sec1eThc0o09K7jyKXTj" TargetMode="External"/><Relationship Id="rId3553" Type="http://schemas.openxmlformats.org/officeDocument/2006/relationships/hyperlink" Target="https://talan.bank.gov.ua/get-user-certificate/sec1e7ZewZ0Z0harpMLG" TargetMode="External"/><Relationship Id="rId4604" Type="http://schemas.openxmlformats.org/officeDocument/2006/relationships/hyperlink" Target="https://talan.bank.gov.ua/get-user-certificate/sec1eJiKNMlLzBhcKJqy" TargetMode="External"/><Relationship Id="rId127" Type="http://schemas.openxmlformats.org/officeDocument/2006/relationships/hyperlink" Target="https://talan.bank.gov.ua/get-user-certificate/sec1epiYQ1Ds0esEWjWZ" TargetMode="External"/><Relationship Id="rId3206" Type="http://schemas.openxmlformats.org/officeDocument/2006/relationships/hyperlink" Target="https://talan.bank.gov.ua/get-user-certificate/sec1epmLKlkAl8UmCfqY" TargetMode="External"/><Relationship Id="rId3620" Type="http://schemas.openxmlformats.org/officeDocument/2006/relationships/hyperlink" Target="https://talan.bank.gov.ua/get-user-certificate/sec1eWLSTvoyWq5e6poe" TargetMode="External"/><Relationship Id="rId541" Type="http://schemas.openxmlformats.org/officeDocument/2006/relationships/hyperlink" Target="https://talan.bank.gov.ua/get-user-certificate/sec1e2lUJ8ePHQiNPy9d" TargetMode="External"/><Relationship Id="rId1171" Type="http://schemas.openxmlformats.org/officeDocument/2006/relationships/hyperlink" Target="https://talan.bank.gov.ua/get-user-certificate/sec1ec0-euWFIjgscIIq" TargetMode="External"/><Relationship Id="rId2222" Type="http://schemas.openxmlformats.org/officeDocument/2006/relationships/hyperlink" Target="https://talan.bank.gov.ua/get-user-certificate/sec1e5yYAWsq7IVaJUuf" TargetMode="External"/><Relationship Id="rId1988" Type="http://schemas.openxmlformats.org/officeDocument/2006/relationships/hyperlink" Target="https://talan.bank.gov.ua/get-user-certificate/sec1edXJ7RJGAu_xtWTW" TargetMode="External"/><Relationship Id="rId4394" Type="http://schemas.openxmlformats.org/officeDocument/2006/relationships/hyperlink" Target="https://talan.bank.gov.ua/get-user-certificate/sec1eP520Tfc8iqx52Z_" TargetMode="External"/><Relationship Id="rId4047" Type="http://schemas.openxmlformats.org/officeDocument/2006/relationships/hyperlink" Target="https://talan.bank.gov.ua/get-user-certificate/sec1e3nPi_kj1hFWZR_F" TargetMode="External"/><Relationship Id="rId4461" Type="http://schemas.openxmlformats.org/officeDocument/2006/relationships/hyperlink" Target="https://talan.bank.gov.ua/get-user-certificate/sec1eXm6DALaGdQJR-U6" TargetMode="External"/><Relationship Id="rId3063" Type="http://schemas.openxmlformats.org/officeDocument/2006/relationships/hyperlink" Target="https://talan.bank.gov.ua/get-user-certificate/sec1e8pxiZWXybYgzSn5" TargetMode="External"/><Relationship Id="rId4114" Type="http://schemas.openxmlformats.org/officeDocument/2006/relationships/hyperlink" Target="https://talan.bank.gov.ua/get-user-certificate/sec1eaOonVVPhQigI-ua" TargetMode="External"/><Relationship Id="rId1708" Type="http://schemas.openxmlformats.org/officeDocument/2006/relationships/hyperlink" Target="https://talan.bank.gov.ua/get-user-certificate/sec1ed22aiGIxoQK-8Sd" TargetMode="External"/><Relationship Id="rId3130" Type="http://schemas.openxmlformats.org/officeDocument/2006/relationships/hyperlink" Target="https://talan.bank.gov.ua/get-user-certificate/sec1ehxwoFveHQZHg3O-" TargetMode="External"/><Relationship Id="rId2896" Type="http://schemas.openxmlformats.org/officeDocument/2006/relationships/hyperlink" Target="https://talan.bank.gov.ua/get-user-certificate/sec1ehn5PUD-v889hCap" TargetMode="External"/><Relationship Id="rId3947" Type="http://schemas.openxmlformats.org/officeDocument/2006/relationships/hyperlink" Target="https://talan.bank.gov.ua/get-user-certificate/sec1eesBWyowGwP9Ixo2" TargetMode="External"/><Relationship Id="rId868" Type="http://schemas.openxmlformats.org/officeDocument/2006/relationships/hyperlink" Target="https://talan.bank.gov.ua/get-user-certificate/sec1eJwLK7CZ3hlVqnkH" TargetMode="External"/><Relationship Id="rId1498" Type="http://schemas.openxmlformats.org/officeDocument/2006/relationships/hyperlink" Target="https://talan.bank.gov.ua/get-user-certificate/sec1elcAAmWv2Tala0o2" TargetMode="External"/><Relationship Id="rId2549" Type="http://schemas.openxmlformats.org/officeDocument/2006/relationships/hyperlink" Target="https://talan.bank.gov.ua/get-user-certificate/sec1eSW-qYpVAaq8ypGX" TargetMode="External"/><Relationship Id="rId2963" Type="http://schemas.openxmlformats.org/officeDocument/2006/relationships/hyperlink" Target="https://talan.bank.gov.ua/get-user-certificate/sec1ezLtT8AoQJNUV8xl" TargetMode="External"/><Relationship Id="rId935" Type="http://schemas.openxmlformats.org/officeDocument/2006/relationships/hyperlink" Target="https://talan.bank.gov.ua/get-user-certificate/sec1elR-CgnxsANdo8ez" TargetMode="External"/><Relationship Id="rId1565" Type="http://schemas.openxmlformats.org/officeDocument/2006/relationships/hyperlink" Target="https://talan.bank.gov.ua/get-user-certificate/sec1e5j4zxjo1tTN8Uwm" TargetMode="External"/><Relationship Id="rId2616" Type="http://schemas.openxmlformats.org/officeDocument/2006/relationships/hyperlink" Target="https://talan.bank.gov.ua/get-user-certificate/sec1e3GPfCEWlhtVtmKA" TargetMode="External"/><Relationship Id="rId5022" Type="http://schemas.openxmlformats.org/officeDocument/2006/relationships/hyperlink" Target="https://talan.bank.gov.ua/get-user-certificate/f7i-swip9haEu_tXWEP-" TargetMode="External"/><Relationship Id="rId1218" Type="http://schemas.openxmlformats.org/officeDocument/2006/relationships/hyperlink" Target="https://talan.bank.gov.ua/get-user-certificate/sec1eriRYUWIT1caO56z" TargetMode="External"/><Relationship Id="rId1632" Type="http://schemas.openxmlformats.org/officeDocument/2006/relationships/hyperlink" Target="https://talan.bank.gov.ua/get-user-certificate/sec1eClg7SYP-WrCjI7n" TargetMode="External"/><Relationship Id="rId4788" Type="http://schemas.openxmlformats.org/officeDocument/2006/relationships/hyperlink" Target="https://talan.bank.gov.ua/get-user-certificate/sec1eOidn7vvfrbNt8M7" TargetMode="External"/><Relationship Id="rId4855" Type="http://schemas.openxmlformats.org/officeDocument/2006/relationships/hyperlink" Target="https://talan.bank.gov.ua/get-user-certificate/sec1eiCBQ9RpkMHwHUAR" TargetMode="External"/><Relationship Id="rId3457" Type="http://schemas.openxmlformats.org/officeDocument/2006/relationships/hyperlink" Target="https://talan.bank.gov.ua/get-user-certificate/sec1egotEF5fZufrnskb" TargetMode="External"/><Relationship Id="rId3871" Type="http://schemas.openxmlformats.org/officeDocument/2006/relationships/hyperlink" Target="https://talan.bank.gov.ua/get-user-certificate/sec1ejSgnt1xPwTLDbAx" TargetMode="External"/><Relationship Id="rId4508" Type="http://schemas.openxmlformats.org/officeDocument/2006/relationships/hyperlink" Target="https://talan.bank.gov.ua/get-user-certificate/sec1e86FOc2bKw9o3xKf" TargetMode="External"/><Relationship Id="rId4922" Type="http://schemas.openxmlformats.org/officeDocument/2006/relationships/hyperlink" Target="https://talan.bank.gov.ua/get-user-certificate/sec1ejriZRXScDmzHQ7y" TargetMode="External"/><Relationship Id="rId378" Type="http://schemas.openxmlformats.org/officeDocument/2006/relationships/hyperlink" Target="https://talan.bank.gov.ua/get-user-certificate/sec1ej-bzqQ7R2VX3MQh" TargetMode="External"/><Relationship Id="rId792" Type="http://schemas.openxmlformats.org/officeDocument/2006/relationships/hyperlink" Target="https://talan.bank.gov.ua/get-user-certificate/sec1eWahaeORWFy7Pf3P" TargetMode="External"/><Relationship Id="rId2059" Type="http://schemas.openxmlformats.org/officeDocument/2006/relationships/hyperlink" Target="https://talan.bank.gov.ua/get-user-certificate/sec1esB4qYG21vAfFL3M" TargetMode="External"/><Relationship Id="rId2473" Type="http://schemas.openxmlformats.org/officeDocument/2006/relationships/hyperlink" Target="https://talan.bank.gov.ua/get-user-certificate/sec1edHjpRDAB0B1h4Va" TargetMode="External"/><Relationship Id="rId3524" Type="http://schemas.openxmlformats.org/officeDocument/2006/relationships/hyperlink" Target="https://talan.bank.gov.ua/get-user-certificate/sec1e5MftMPCr15A6m5N" TargetMode="External"/><Relationship Id="rId445" Type="http://schemas.openxmlformats.org/officeDocument/2006/relationships/hyperlink" Target="https://talan.bank.gov.ua/get-user-certificate/sec1eCBi6Xp2ACm8SX1S" TargetMode="External"/><Relationship Id="rId1075" Type="http://schemas.openxmlformats.org/officeDocument/2006/relationships/hyperlink" Target="https://talan.bank.gov.ua/get-user-certificate/sec1ecgZq6ptxlPu9m8C" TargetMode="External"/><Relationship Id="rId2126" Type="http://schemas.openxmlformats.org/officeDocument/2006/relationships/hyperlink" Target="https://talan.bank.gov.ua/get-user-certificate/sec1e-yOA6tT8M0_Cgpq" TargetMode="External"/><Relationship Id="rId2540" Type="http://schemas.openxmlformats.org/officeDocument/2006/relationships/hyperlink" Target="https://talan.bank.gov.ua/get-user-certificate/sec1ep0I2_FMJpYQ4wQ8" TargetMode="External"/><Relationship Id="rId512" Type="http://schemas.openxmlformats.org/officeDocument/2006/relationships/hyperlink" Target="https://talan.bank.gov.ua/get-user-certificate/sec1eyHPbJAEovP_qcx4" TargetMode="External"/><Relationship Id="rId1142" Type="http://schemas.openxmlformats.org/officeDocument/2006/relationships/hyperlink" Target="https://talan.bank.gov.ua/get-user-certificate/sec1eingUI4bHMxlqlJK" TargetMode="External"/><Relationship Id="rId4298" Type="http://schemas.openxmlformats.org/officeDocument/2006/relationships/hyperlink" Target="https://talan.bank.gov.ua/get-user-certificate/sec1euy11DuaW4cKzppU" TargetMode="External"/><Relationship Id="rId4365" Type="http://schemas.openxmlformats.org/officeDocument/2006/relationships/hyperlink" Target="https://talan.bank.gov.ua/get-user-certificate/sec1eXjVKh8JzpAh9Dpa" TargetMode="External"/><Relationship Id="rId1959" Type="http://schemas.openxmlformats.org/officeDocument/2006/relationships/hyperlink" Target="https://talan.bank.gov.ua/get-user-certificate/sec1eC3zKgPUY7-dXmkd" TargetMode="External"/><Relationship Id="rId4018" Type="http://schemas.openxmlformats.org/officeDocument/2006/relationships/hyperlink" Target="https://talan.bank.gov.ua/get-user-certificate/sec1eb30BR4uWu9gW5SM" TargetMode="External"/><Relationship Id="rId3381" Type="http://schemas.openxmlformats.org/officeDocument/2006/relationships/hyperlink" Target="https://talan.bank.gov.ua/get-user-certificate/sec1elV1jl89b5BRVrTv" TargetMode="External"/><Relationship Id="rId4432" Type="http://schemas.openxmlformats.org/officeDocument/2006/relationships/hyperlink" Target="https://talan.bank.gov.ua/get-user-certificate/sec1ebdqTlmZTDvRk045" TargetMode="External"/><Relationship Id="rId3034" Type="http://schemas.openxmlformats.org/officeDocument/2006/relationships/hyperlink" Target="https://talan.bank.gov.ua/get-user-certificate/sec1e8anCGC6VMCgVch6" TargetMode="External"/><Relationship Id="rId2050" Type="http://schemas.openxmlformats.org/officeDocument/2006/relationships/hyperlink" Target="https://talan.bank.gov.ua/get-user-certificate/sec1ev3knqd5oVTbYmO9" TargetMode="External"/><Relationship Id="rId3101" Type="http://schemas.openxmlformats.org/officeDocument/2006/relationships/hyperlink" Target="https://talan.bank.gov.ua/get-user-certificate/sec1eRPhHeNofeZRqyTf" TargetMode="External"/><Relationship Id="rId839" Type="http://schemas.openxmlformats.org/officeDocument/2006/relationships/hyperlink" Target="https://talan.bank.gov.ua/get-user-certificate/sec1eMUuUgqZIAGsSN5O" TargetMode="External"/><Relationship Id="rId1469" Type="http://schemas.openxmlformats.org/officeDocument/2006/relationships/hyperlink" Target="https://talan.bank.gov.ua/get-user-certificate/sec1e0gRkNaDJFJG_iAu" TargetMode="External"/><Relationship Id="rId2867" Type="http://schemas.openxmlformats.org/officeDocument/2006/relationships/hyperlink" Target="https://talan.bank.gov.ua/get-user-certificate/sec1evlC5hjrOmitW_Qy" TargetMode="External"/><Relationship Id="rId3918" Type="http://schemas.openxmlformats.org/officeDocument/2006/relationships/hyperlink" Target="https://talan.bank.gov.ua/get-user-certificate/sec1evp3iJfNf7WP2qJ_" TargetMode="External"/><Relationship Id="rId1883" Type="http://schemas.openxmlformats.org/officeDocument/2006/relationships/hyperlink" Target="https://talan.bank.gov.ua/get-user-certificate/sec1eCJ_7uaVoCD57TzO" TargetMode="External"/><Relationship Id="rId2934" Type="http://schemas.openxmlformats.org/officeDocument/2006/relationships/hyperlink" Target="https://talan.bank.gov.ua/get-user-certificate/sec1e5tcvb_tOs_0Kzq5" TargetMode="External"/><Relationship Id="rId906" Type="http://schemas.openxmlformats.org/officeDocument/2006/relationships/hyperlink" Target="https://talan.bank.gov.ua/get-user-certificate/sec1eh-J4TbUHTrRe2F_" TargetMode="External"/><Relationship Id="rId1536" Type="http://schemas.openxmlformats.org/officeDocument/2006/relationships/hyperlink" Target="https://talan.bank.gov.ua/get-user-certificate/sec1exb1acGqqkhcopJF" TargetMode="External"/><Relationship Id="rId1950" Type="http://schemas.openxmlformats.org/officeDocument/2006/relationships/hyperlink" Target="https://talan.bank.gov.ua/get-user-certificate/sec1eRK9SshQo8Uoerfw" TargetMode="External"/><Relationship Id="rId1603" Type="http://schemas.openxmlformats.org/officeDocument/2006/relationships/hyperlink" Target="https://talan.bank.gov.ua/get-user-certificate/sec1e9mCGhiuBYXDf6PP" TargetMode="External"/><Relationship Id="rId4759" Type="http://schemas.openxmlformats.org/officeDocument/2006/relationships/hyperlink" Target="https://talan.bank.gov.ua/get-user-certificate/sec1eiQLwY5MgABYY_bG" TargetMode="External"/><Relationship Id="rId3775" Type="http://schemas.openxmlformats.org/officeDocument/2006/relationships/hyperlink" Target="https://talan.bank.gov.ua/get-user-certificate/sec1e8-K8OUUhKZlVOmq" TargetMode="External"/><Relationship Id="rId4826" Type="http://schemas.openxmlformats.org/officeDocument/2006/relationships/hyperlink" Target="https://talan.bank.gov.ua/get-user-certificate/sec1eOlIodaWR_1LNrIt" TargetMode="External"/><Relationship Id="rId696" Type="http://schemas.openxmlformats.org/officeDocument/2006/relationships/hyperlink" Target="https://talan.bank.gov.ua/get-user-certificate/sec1ez9iPLuSi8MfUzEk" TargetMode="External"/><Relationship Id="rId2377" Type="http://schemas.openxmlformats.org/officeDocument/2006/relationships/hyperlink" Target="https://talan.bank.gov.ua/get-user-certificate/sec1eVgK70yNPF7qYaxX" TargetMode="External"/><Relationship Id="rId2791" Type="http://schemas.openxmlformats.org/officeDocument/2006/relationships/hyperlink" Target="https://talan.bank.gov.ua/get-user-certificate/sec1eaTM-DdNrRmaUR4r" TargetMode="External"/><Relationship Id="rId3428" Type="http://schemas.openxmlformats.org/officeDocument/2006/relationships/hyperlink" Target="https://talan.bank.gov.ua/get-user-certificate/sec1ewG7HFfwz6yFe_vA" TargetMode="External"/><Relationship Id="rId349" Type="http://schemas.openxmlformats.org/officeDocument/2006/relationships/hyperlink" Target="https://talan.bank.gov.ua/get-user-certificate/sec1euYRD9wHlmVkk1Pv" TargetMode="External"/><Relationship Id="rId763" Type="http://schemas.openxmlformats.org/officeDocument/2006/relationships/hyperlink" Target="https://talan.bank.gov.ua/get-user-certificate/sec1eK-pjG1z9Hnmox_3" TargetMode="External"/><Relationship Id="rId1393" Type="http://schemas.openxmlformats.org/officeDocument/2006/relationships/hyperlink" Target="https://talan.bank.gov.ua/get-user-certificate/sec1eBo3rnPTRIVpwOb8" TargetMode="External"/><Relationship Id="rId2444" Type="http://schemas.openxmlformats.org/officeDocument/2006/relationships/hyperlink" Target="https://talan.bank.gov.ua/get-user-certificate/sec1efSA4RAYn6BVHUti" TargetMode="External"/><Relationship Id="rId3842" Type="http://schemas.openxmlformats.org/officeDocument/2006/relationships/hyperlink" Target="https://talan.bank.gov.ua/get-user-certificate/sec1epdVAGQo17-JcJTn" TargetMode="External"/><Relationship Id="rId416" Type="http://schemas.openxmlformats.org/officeDocument/2006/relationships/hyperlink" Target="https://talan.bank.gov.ua/get-user-certificate/sec1e9bdzSEykyAhm2hS" TargetMode="External"/><Relationship Id="rId1046" Type="http://schemas.openxmlformats.org/officeDocument/2006/relationships/hyperlink" Target="https://talan.bank.gov.ua/get-user-certificate/sec1e2ORk8oKJI258MU4" TargetMode="External"/><Relationship Id="rId830" Type="http://schemas.openxmlformats.org/officeDocument/2006/relationships/hyperlink" Target="https://talan.bank.gov.ua/get-user-certificate/sec1erBQrvhPmrHMHHvA" TargetMode="External"/><Relationship Id="rId1460" Type="http://schemas.openxmlformats.org/officeDocument/2006/relationships/hyperlink" Target="https://talan.bank.gov.ua/get-user-certificate/sec1exfKK1mlCOW8FQ5h" TargetMode="External"/><Relationship Id="rId2511" Type="http://schemas.openxmlformats.org/officeDocument/2006/relationships/hyperlink" Target="https://talan.bank.gov.ua/get-user-certificate/sec1e7JMR_8IEJaBrNmQ" TargetMode="External"/><Relationship Id="rId1113" Type="http://schemas.openxmlformats.org/officeDocument/2006/relationships/hyperlink" Target="https://talan.bank.gov.ua/get-user-certificate/sec1e9nOJ7JoRiv6oTWM" TargetMode="External"/><Relationship Id="rId4269" Type="http://schemas.openxmlformats.org/officeDocument/2006/relationships/hyperlink" Target="https://talan.bank.gov.ua/get-user-certificate/sec1ekmuj77D0hyAa0Vc" TargetMode="External"/><Relationship Id="rId4683" Type="http://schemas.openxmlformats.org/officeDocument/2006/relationships/hyperlink" Target="https://talan.bank.gov.ua/get-user-certificate/sec1eolY6T0t8g4ZXNX4" TargetMode="External"/><Relationship Id="rId3285" Type="http://schemas.openxmlformats.org/officeDocument/2006/relationships/hyperlink" Target="https://talan.bank.gov.ua/get-user-certificate/sec1eYxkm85ijFTyGxHJ" TargetMode="External"/><Relationship Id="rId4336" Type="http://schemas.openxmlformats.org/officeDocument/2006/relationships/hyperlink" Target="https://talan.bank.gov.ua/get-user-certificate/sec1eFd1-MGj_6urdL6P" TargetMode="External"/><Relationship Id="rId4750" Type="http://schemas.openxmlformats.org/officeDocument/2006/relationships/hyperlink" Target="https://talan.bank.gov.ua/get-user-certificate/sec1ewCF11A8n91QMoqT" TargetMode="External"/><Relationship Id="rId3352" Type="http://schemas.openxmlformats.org/officeDocument/2006/relationships/hyperlink" Target="https://talan.bank.gov.ua/get-user-certificate/sec1e3_6EGcjIdjTxNkm" TargetMode="External"/><Relationship Id="rId4403" Type="http://schemas.openxmlformats.org/officeDocument/2006/relationships/hyperlink" Target="https://talan.bank.gov.ua/get-user-certificate/sec1e8squlqxr1BdBlgx" TargetMode="External"/><Relationship Id="rId273" Type="http://schemas.openxmlformats.org/officeDocument/2006/relationships/hyperlink" Target="https://talan.bank.gov.ua/get-user-certificate/sec1e7KBbFdsTBnage8A" TargetMode="External"/><Relationship Id="rId3005" Type="http://schemas.openxmlformats.org/officeDocument/2006/relationships/hyperlink" Target="https://talan.bank.gov.ua/get-user-certificate/sec1emrTyHSXWetos2F7" TargetMode="External"/><Relationship Id="rId340" Type="http://schemas.openxmlformats.org/officeDocument/2006/relationships/hyperlink" Target="https://talan.bank.gov.ua/get-user-certificate/sec1ei-f0S7d4syVKf4P" TargetMode="External"/><Relationship Id="rId2021" Type="http://schemas.openxmlformats.org/officeDocument/2006/relationships/hyperlink" Target="https://talan.bank.gov.ua/get-user-certificate/sec1eiW5OK_0pnvVt8LJ" TargetMode="External"/><Relationship Id="rId4193" Type="http://schemas.openxmlformats.org/officeDocument/2006/relationships/hyperlink" Target="https://talan.bank.gov.ua/get-user-certificate/sec1eYD4ZjMZ3zybg0Wd" TargetMode="External"/><Relationship Id="rId1787" Type="http://schemas.openxmlformats.org/officeDocument/2006/relationships/hyperlink" Target="https://talan.bank.gov.ua/get-user-certificate/sec1ejhDjQ112o5nUJMz" TargetMode="External"/><Relationship Id="rId2838" Type="http://schemas.openxmlformats.org/officeDocument/2006/relationships/hyperlink" Target="https://talan.bank.gov.ua/get-user-certificate/sec1eilUxk9C68hZXkGw" TargetMode="External"/><Relationship Id="rId79" Type="http://schemas.openxmlformats.org/officeDocument/2006/relationships/hyperlink" Target="https://talan.bank.gov.ua/get-user-certificate/sec1eA4i-9gWrrU7rgC4" TargetMode="External"/><Relationship Id="rId1854" Type="http://schemas.openxmlformats.org/officeDocument/2006/relationships/hyperlink" Target="https://talan.bank.gov.ua/get-user-certificate/sec1eUDvbJ26_LUWuzZg" TargetMode="External"/><Relationship Id="rId2905" Type="http://schemas.openxmlformats.org/officeDocument/2006/relationships/hyperlink" Target="https://talan.bank.gov.ua/get-user-certificate/sec1eSkzYlH9mzRT01ru" TargetMode="External"/><Relationship Id="rId4260" Type="http://schemas.openxmlformats.org/officeDocument/2006/relationships/hyperlink" Target="https://talan.bank.gov.ua/get-user-certificate/sec1eqdd_Ul6QOHkgf8N" TargetMode="External"/><Relationship Id="rId1507" Type="http://schemas.openxmlformats.org/officeDocument/2006/relationships/hyperlink" Target="https://talan.bank.gov.ua/get-user-certificate/sec1e69CerA_uOO0GPVo" TargetMode="External"/><Relationship Id="rId1921" Type="http://schemas.openxmlformats.org/officeDocument/2006/relationships/hyperlink" Target="https://talan.bank.gov.ua/get-user-certificate/sec1e7SxXUIrxkIA9K72" TargetMode="External"/><Relationship Id="rId3679" Type="http://schemas.openxmlformats.org/officeDocument/2006/relationships/hyperlink" Target="https://talan.bank.gov.ua/get-user-certificate/sec1eNCGgOq82i02gtUG" TargetMode="External"/><Relationship Id="rId1297" Type="http://schemas.openxmlformats.org/officeDocument/2006/relationships/hyperlink" Target="https://talan.bank.gov.ua/get-user-certificate/sec1eE8sGM4xqTaPol0n" TargetMode="External"/><Relationship Id="rId2695" Type="http://schemas.openxmlformats.org/officeDocument/2006/relationships/hyperlink" Target="https://talan.bank.gov.ua/get-user-certificate/sec1euIgvyfqUehKikvW" TargetMode="External"/><Relationship Id="rId3746" Type="http://schemas.openxmlformats.org/officeDocument/2006/relationships/hyperlink" Target="https://talan.bank.gov.ua/get-user-certificate/sec1e5VX7O1-_vonCIXn" TargetMode="External"/><Relationship Id="rId667" Type="http://schemas.openxmlformats.org/officeDocument/2006/relationships/hyperlink" Target="https://talan.bank.gov.ua/get-user-certificate/sec1eaOmurCmH0ozaIGo" TargetMode="External"/><Relationship Id="rId2348" Type="http://schemas.openxmlformats.org/officeDocument/2006/relationships/hyperlink" Target="https://talan.bank.gov.ua/get-user-certificate/sec1eqFnilrj8GPrOnlI" TargetMode="External"/><Relationship Id="rId2762" Type="http://schemas.openxmlformats.org/officeDocument/2006/relationships/hyperlink" Target="https://talan.bank.gov.ua/get-user-certificate/sec1eG1TXazErXCCRehD" TargetMode="External"/><Relationship Id="rId3813" Type="http://schemas.openxmlformats.org/officeDocument/2006/relationships/hyperlink" Target="https://talan.bank.gov.ua/get-user-certificate/sec1enFIRGL6C30i05s5" TargetMode="External"/><Relationship Id="rId734" Type="http://schemas.openxmlformats.org/officeDocument/2006/relationships/hyperlink" Target="https://talan.bank.gov.ua/get-user-certificate/sec1eGEUVsv1pojcXshR" TargetMode="External"/><Relationship Id="rId1364" Type="http://schemas.openxmlformats.org/officeDocument/2006/relationships/hyperlink" Target="https://talan.bank.gov.ua/get-user-certificate/sec1ehi8tF8bGOn319ti" TargetMode="External"/><Relationship Id="rId2415" Type="http://schemas.openxmlformats.org/officeDocument/2006/relationships/hyperlink" Target="https://talan.bank.gov.ua/get-user-certificate/sec1eA8YPOiSiQ4hisu6" TargetMode="External"/><Relationship Id="rId70" Type="http://schemas.openxmlformats.org/officeDocument/2006/relationships/hyperlink" Target="https://talan.bank.gov.ua/get-user-certificate/sec1eyizd309DMXKYTXQ" TargetMode="External"/><Relationship Id="rId801" Type="http://schemas.openxmlformats.org/officeDocument/2006/relationships/hyperlink" Target="https://talan.bank.gov.ua/get-user-certificate/sec1evZe77Z1y1SkDiPO" TargetMode="External"/><Relationship Id="rId1017" Type="http://schemas.openxmlformats.org/officeDocument/2006/relationships/hyperlink" Target="https://talan.bank.gov.ua/get-user-certificate/sec1eqir5xH7FM5dVlIx" TargetMode="External"/><Relationship Id="rId1431" Type="http://schemas.openxmlformats.org/officeDocument/2006/relationships/hyperlink" Target="https://talan.bank.gov.ua/get-user-certificate/sec1eRRNsAOWN12tKaWM" TargetMode="External"/><Relationship Id="rId4587" Type="http://schemas.openxmlformats.org/officeDocument/2006/relationships/hyperlink" Target="https://talan.bank.gov.ua/get-user-certificate/sec1e5LIJAZnR43BYL3S" TargetMode="External"/><Relationship Id="rId3189" Type="http://schemas.openxmlformats.org/officeDocument/2006/relationships/hyperlink" Target="https://talan.bank.gov.ua/get-user-certificate/sec1eJPzjUF83T9W-fTA" TargetMode="External"/><Relationship Id="rId4654" Type="http://schemas.openxmlformats.org/officeDocument/2006/relationships/hyperlink" Target="https://talan.bank.gov.ua/get-user-certificate/sec1ex-dRlIjnpwtlfaZ" TargetMode="External"/><Relationship Id="rId3256" Type="http://schemas.openxmlformats.org/officeDocument/2006/relationships/hyperlink" Target="https://talan.bank.gov.ua/get-user-certificate/sec1eAQ6MnMg7SzqRUUC" TargetMode="External"/><Relationship Id="rId4307" Type="http://schemas.openxmlformats.org/officeDocument/2006/relationships/hyperlink" Target="https://talan.bank.gov.ua/get-user-certificate/sec1emBFtzQ1tMQivfe3" TargetMode="External"/><Relationship Id="rId177" Type="http://schemas.openxmlformats.org/officeDocument/2006/relationships/hyperlink" Target="https://talan.bank.gov.ua/get-user-certificate/sec1e1l3hXN4lCxA1l9P" TargetMode="External"/><Relationship Id="rId591" Type="http://schemas.openxmlformats.org/officeDocument/2006/relationships/hyperlink" Target="https://talan.bank.gov.ua/get-user-certificate/sec1eULT2EKC5s4Dmytd" TargetMode="External"/><Relationship Id="rId2272" Type="http://schemas.openxmlformats.org/officeDocument/2006/relationships/hyperlink" Target="https://talan.bank.gov.ua/get-user-certificate/sec1ep6Mc4tX1nHScstS" TargetMode="External"/><Relationship Id="rId3670" Type="http://schemas.openxmlformats.org/officeDocument/2006/relationships/hyperlink" Target="https://talan.bank.gov.ua/get-user-certificate/sec1eMrczvafMqvnEa1z" TargetMode="External"/><Relationship Id="rId4721" Type="http://schemas.openxmlformats.org/officeDocument/2006/relationships/hyperlink" Target="https://talan.bank.gov.ua/get-user-certificate/sec1eXCc8RewixblKhtm" TargetMode="External"/><Relationship Id="rId244" Type="http://schemas.openxmlformats.org/officeDocument/2006/relationships/hyperlink" Target="https://talan.bank.gov.ua/get-user-certificate/sec1eOIpHqvABszin9VO" TargetMode="External"/><Relationship Id="rId3323" Type="http://schemas.openxmlformats.org/officeDocument/2006/relationships/hyperlink" Target="https://talan.bank.gov.ua/get-user-certificate/sec1eyAbK8f_1Lyy6NFI" TargetMode="External"/><Relationship Id="rId311" Type="http://schemas.openxmlformats.org/officeDocument/2006/relationships/hyperlink" Target="https://talan.bank.gov.ua/get-user-certificate/sec1efmDeGgFdiyUSSbI" TargetMode="External"/><Relationship Id="rId4097" Type="http://schemas.openxmlformats.org/officeDocument/2006/relationships/hyperlink" Target="https://talan.bank.gov.ua/get-user-certificate/sec1eR1pZfvJU3pczy-q" TargetMode="External"/><Relationship Id="rId1758" Type="http://schemas.openxmlformats.org/officeDocument/2006/relationships/hyperlink" Target="https://talan.bank.gov.ua/get-user-certificate/sec1e_vrZmPlu80Ao-Cy" TargetMode="External"/><Relationship Id="rId2809" Type="http://schemas.openxmlformats.org/officeDocument/2006/relationships/hyperlink" Target="https://talan.bank.gov.ua/get-user-certificate/sec1eax62td4PlgTdfBY" TargetMode="External"/><Relationship Id="rId4164" Type="http://schemas.openxmlformats.org/officeDocument/2006/relationships/hyperlink" Target="https://talan.bank.gov.ua/get-user-certificate/sec1eQjrtr4Eh1ubPJjb" TargetMode="External"/><Relationship Id="rId3180" Type="http://schemas.openxmlformats.org/officeDocument/2006/relationships/hyperlink" Target="https://talan.bank.gov.ua/get-user-certificate/sec1eW4iShIpQf8RM7Ek" TargetMode="External"/><Relationship Id="rId4231" Type="http://schemas.openxmlformats.org/officeDocument/2006/relationships/hyperlink" Target="https://talan.bank.gov.ua/get-user-certificate/sec1eKnXx-AgzCm5eFhB" TargetMode="External"/><Relationship Id="rId1825" Type="http://schemas.openxmlformats.org/officeDocument/2006/relationships/hyperlink" Target="https://talan.bank.gov.ua/get-user-certificate/sec1e4REs6cHyieRLazf" TargetMode="External"/><Relationship Id="rId3997" Type="http://schemas.openxmlformats.org/officeDocument/2006/relationships/hyperlink" Target="https://talan.bank.gov.ua/get-user-certificate/sec1eCt55ERkUtaDp5E2" TargetMode="External"/><Relationship Id="rId2599" Type="http://schemas.openxmlformats.org/officeDocument/2006/relationships/hyperlink" Target="https://talan.bank.gov.ua/get-user-certificate/sec1ef8rNwQBGGpCx9JB" TargetMode="External"/><Relationship Id="rId985" Type="http://schemas.openxmlformats.org/officeDocument/2006/relationships/hyperlink" Target="https://talan.bank.gov.ua/get-user-certificate/sec1eFmroniB6vwmWZx-" TargetMode="External"/><Relationship Id="rId2666" Type="http://schemas.openxmlformats.org/officeDocument/2006/relationships/hyperlink" Target="https://talan.bank.gov.ua/get-user-certificate/sec1e0MX6JYzvoYR5LLs" TargetMode="External"/><Relationship Id="rId3717" Type="http://schemas.openxmlformats.org/officeDocument/2006/relationships/hyperlink" Target="https://talan.bank.gov.ua/get-user-certificate/sec1efEyh82p6hixL2ns" TargetMode="External"/><Relationship Id="rId638" Type="http://schemas.openxmlformats.org/officeDocument/2006/relationships/hyperlink" Target="https://talan.bank.gov.ua/get-user-certificate/sec1ee4JCNsFYz5axSk4" TargetMode="External"/><Relationship Id="rId1268" Type="http://schemas.openxmlformats.org/officeDocument/2006/relationships/hyperlink" Target="https://talan.bank.gov.ua/get-user-certificate/sec1epL2aSis_bmAPVwC" TargetMode="External"/><Relationship Id="rId1682" Type="http://schemas.openxmlformats.org/officeDocument/2006/relationships/hyperlink" Target="https://talan.bank.gov.ua/get-user-certificate/sec1eOKiMDT5sFh5jVCT" TargetMode="External"/><Relationship Id="rId2319" Type="http://schemas.openxmlformats.org/officeDocument/2006/relationships/hyperlink" Target="https://talan.bank.gov.ua/get-user-certificate/sec1e3xpGvH4iXnmyDNg" TargetMode="External"/><Relationship Id="rId2733" Type="http://schemas.openxmlformats.org/officeDocument/2006/relationships/hyperlink" Target="https://talan.bank.gov.ua/get-user-certificate/sec1eFyUhsejP4sbJlWq" TargetMode="External"/><Relationship Id="rId705" Type="http://schemas.openxmlformats.org/officeDocument/2006/relationships/hyperlink" Target="https://talan.bank.gov.ua/get-user-certificate/sec1eiFrIlLOjnN_gvzm" TargetMode="External"/><Relationship Id="rId1335" Type="http://schemas.openxmlformats.org/officeDocument/2006/relationships/hyperlink" Target="https://talan.bank.gov.ua/get-user-certificate/sec1e0mkJkRDvJ5B3yIj" TargetMode="External"/><Relationship Id="rId2800" Type="http://schemas.openxmlformats.org/officeDocument/2006/relationships/hyperlink" Target="https://talan.bank.gov.ua/get-user-certificate/sec1eN4t08oXAX8Bxwvw" TargetMode="External"/><Relationship Id="rId41" Type="http://schemas.openxmlformats.org/officeDocument/2006/relationships/hyperlink" Target="https://talan.bank.gov.ua/get-user-certificate/sec1eRVQxiG3HQ4JjxtG" TargetMode="External"/><Relationship Id="rId1402" Type="http://schemas.openxmlformats.org/officeDocument/2006/relationships/hyperlink" Target="https://talan.bank.gov.ua/get-user-certificate/sec1efDQA5mjYgUX1Nfw" TargetMode="External"/><Relationship Id="rId4558" Type="http://schemas.openxmlformats.org/officeDocument/2006/relationships/hyperlink" Target="https://talan.bank.gov.ua/get-user-certificate/sec1eFcmnOyOGObC9Zrk" TargetMode="External"/><Relationship Id="rId4972" Type="http://schemas.openxmlformats.org/officeDocument/2006/relationships/hyperlink" Target="https://talan.bank.gov.ua/get-user-certificate/sec1esZfU0iuGcA89jVX" TargetMode="External"/><Relationship Id="rId3574" Type="http://schemas.openxmlformats.org/officeDocument/2006/relationships/hyperlink" Target="https://talan.bank.gov.ua/get-user-certificate/sec1eMKw21LfKtPOeXts" TargetMode="External"/><Relationship Id="rId4625" Type="http://schemas.openxmlformats.org/officeDocument/2006/relationships/hyperlink" Target="https://talan.bank.gov.ua/get-user-certificate/sec1eFqCgomdWFHhvsau" TargetMode="External"/><Relationship Id="rId495" Type="http://schemas.openxmlformats.org/officeDocument/2006/relationships/hyperlink" Target="https://talan.bank.gov.ua/get-user-certificate/sec1ekpF20o9Gp6mNztN" TargetMode="External"/><Relationship Id="rId2176" Type="http://schemas.openxmlformats.org/officeDocument/2006/relationships/hyperlink" Target="https://talan.bank.gov.ua/get-user-certificate/sec1eVmW-CemGu3zdthx" TargetMode="External"/><Relationship Id="rId2590" Type="http://schemas.openxmlformats.org/officeDocument/2006/relationships/hyperlink" Target="https://talan.bank.gov.ua/get-user-certificate/sec1e88WqtlvN6oQ54iD" TargetMode="External"/><Relationship Id="rId3227" Type="http://schemas.openxmlformats.org/officeDocument/2006/relationships/hyperlink" Target="https://talan.bank.gov.ua/get-user-certificate/sec1eNsHjOs3vPVZiNKV" TargetMode="External"/><Relationship Id="rId3641" Type="http://schemas.openxmlformats.org/officeDocument/2006/relationships/hyperlink" Target="https://talan.bank.gov.ua/get-user-certificate/sec1eKU-QomO5Ii1ogZp" TargetMode="External"/><Relationship Id="rId148" Type="http://schemas.openxmlformats.org/officeDocument/2006/relationships/hyperlink" Target="https://talan.bank.gov.ua/get-user-certificate/sec1eLI2zy9zi-JKJmno" TargetMode="External"/><Relationship Id="rId562" Type="http://schemas.openxmlformats.org/officeDocument/2006/relationships/hyperlink" Target="https://talan.bank.gov.ua/get-user-certificate/sec1eBrZU30WbzHCammx" TargetMode="External"/><Relationship Id="rId1192" Type="http://schemas.openxmlformats.org/officeDocument/2006/relationships/hyperlink" Target="https://talan.bank.gov.ua/get-user-certificate/sec1el-38myzjeQ0RS1G" TargetMode="External"/><Relationship Id="rId2243" Type="http://schemas.openxmlformats.org/officeDocument/2006/relationships/hyperlink" Target="https://talan.bank.gov.ua/get-user-certificate/sec1ecZLv7x4sqmIbI8K" TargetMode="External"/><Relationship Id="rId215" Type="http://schemas.openxmlformats.org/officeDocument/2006/relationships/hyperlink" Target="https://talan.bank.gov.ua/get-user-certificate/sec1e6RtKqN1zqE8YGN7" TargetMode="External"/><Relationship Id="rId2310" Type="http://schemas.openxmlformats.org/officeDocument/2006/relationships/hyperlink" Target="https://talan.bank.gov.ua/get-user-certificate/sec1e6P3zx3wyO_5iBk2" TargetMode="External"/><Relationship Id="rId4068" Type="http://schemas.openxmlformats.org/officeDocument/2006/relationships/hyperlink" Target="https://talan.bank.gov.ua/get-user-certificate/sec1eK10n4Kwrr7j0b-K" TargetMode="External"/><Relationship Id="rId4482" Type="http://schemas.openxmlformats.org/officeDocument/2006/relationships/hyperlink" Target="https://talan.bank.gov.ua/get-user-certificate/sec1exVNqP_SHBBDXYof" TargetMode="External"/><Relationship Id="rId3084" Type="http://schemas.openxmlformats.org/officeDocument/2006/relationships/hyperlink" Target="https://talan.bank.gov.ua/get-user-certificate/sec1e_Qyu4wOnY3w40RJ" TargetMode="External"/><Relationship Id="rId4135" Type="http://schemas.openxmlformats.org/officeDocument/2006/relationships/hyperlink" Target="https://talan.bank.gov.ua/get-user-certificate/sec1e-QXFLo3oNfiXI-t" TargetMode="External"/><Relationship Id="rId1729" Type="http://schemas.openxmlformats.org/officeDocument/2006/relationships/hyperlink" Target="https://talan.bank.gov.ua/get-user-certificate/sec1enwrGaQ1whcK1dzk" TargetMode="External"/><Relationship Id="rId3151" Type="http://schemas.openxmlformats.org/officeDocument/2006/relationships/hyperlink" Target="https://talan.bank.gov.ua/get-user-certificate/sec1e_MfWWknjuhvs_QI" TargetMode="External"/><Relationship Id="rId4202" Type="http://schemas.openxmlformats.org/officeDocument/2006/relationships/hyperlink" Target="https://talan.bank.gov.ua/get-user-certificate/sec1eMPABjxoXbEfYig6" TargetMode="External"/><Relationship Id="rId3968" Type="http://schemas.openxmlformats.org/officeDocument/2006/relationships/hyperlink" Target="https://talan.bank.gov.ua/get-user-certificate/sec1ehTqghPhCupH7wI8" TargetMode="External"/><Relationship Id="rId5" Type="http://schemas.openxmlformats.org/officeDocument/2006/relationships/hyperlink" Target="https://talan.bank.gov.ua/get-user-certificate/sec1ePq4b2zkTvxJGpk3" TargetMode="External"/><Relationship Id="rId889" Type="http://schemas.openxmlformats.org/officeDocument/2006/relationships/hyperlink" Target="https://talan.bank.gov.ua/get-user-certificate/sec1eEVOcv9AKkQ63sha" TargetMode="External"/><Relationship Id="rId1586" Type="http://schemas.openxmlformats.org/officeDocument/2006/relationships/hyperlink" Target="https://talan.bank.gov.ua/get-user-certificate/sec1eEyTu4lu7lmZPkP5" TargetMode="External"/><Relationship Id="rId2984" Type="http://schemas.openxmlformats.org/officeDocument/2006/relationships/hyperlink" Target="https://talan.bank.gov.ua/get-user-certificate/sec1exBHUs_vPPSM-i3L" TargetMode="External"/><Relationship Id="rId609" Type="http://schemas.openxmlformats.org/officeDocument/2006/relationships/hyperlink" Target="https://talan.bank.gov.ua/get-user-certificate/sec1etSbXa2t02KKpHP9" TargetMode="External"/><Relationship Id="rId956" Type="http://schemas.openxmlformats.org/officeDocument/2006/relationships/hyperlink" Target="https://talan.bank.gov.ua/get-user-certificate/sec1eWmDXXBZP0jmeXW6" TargetMode="External"/><Relationship Id="rId1239" Type="http://schemas.openxmlformats.org/officeDocument/2006/relationships/hyperlink" Target="https://talan.bank.gov.ua/get-user-certificate/sec1e-foTIt7sIZy38ek" TargetMode="External"/><Relationship Id="rId2637" Type="http://schemas.openxmlformats.org/officeDocument/2006/relationships/hyperlink" Target="https://talan.bank.gov.ua/get-user-certificate/sec1eoA3Et0lO_Ukdqbb" TargetMode="External"/><Relationship Id="rId1653" Type="http://schemas.openxmlformats.org/officeDocument/2006/relationships/hyperlink" Target="https://talan.bank.gov.ua/get-user-certificate/sec1eEb_y1KGRX8Ckjm8" TargetMode="External"/><Relationship Id="rId2704" Type="http://schemas.openxmlformats.org/officeDocument/2006/relationships/hyperlink" Target="https://talan.bank.gov.ua/get-user-certificate/sec1evzVCpA1IfoEU_3n" TargetMode="External"/><Relationship Id="rId1306" Type="http://schemas.openxmlformats.org/officeDocument/2006/relationships/hyperlink" Target="https://talan.bank.gov.ua/get-user-certificate/sec1ejW5x_jacRB4I3a4" TargetMode="External"/><Relationship Id="rId1720" Type="http://schemas.openxmlformats.org/officeDocument/2006/relationships/hyperlink" Target="https://talan.bank.gov.ua/get-user-certificate/sec1eblvt6MKqvzXYuEP" TargetMode="External"/><Relationship Id="rId4876" Type="http://schemas.openxmlformats.org/officeDocument/2006/relationships/hyperlink" Target="https://talan.bank.gov.ua/get-user-certificate/sec1eVCKUqKnqKyU3K4e" TargetMode="External"/><Relationship Id="rId12" Type="http://schemas.openxmlformats.org/officeDocument/2006/relationships/hyperlink" Target="https://talan.bank.gov.ua/get-user-certificate/sec1eR1wahnBnKimyHzw" TargetMode="External"/><Relationship Id="rId3478" Type="http://schemas.openxmlformats.org/officeDocument/2006/relationships/hyperlink" Target="https://talan.bank.gov.ua/get-user-certificate/sec1eg8c6oIlrkXWCXTF" TargetMode="External"/><Relationship Id="rId3892" Type="http://schemas.openxmlformats.org/officeDocument/2006/relationships/hyperlink" Target="https://talan.bank.gov.ua/get-user-certificate/sec1eRcpIdXLW22GvxHu" TargetMode="External"/><Relationship Id="rId4529" Type="http://schemas.openxmlformats.org/officeDocument/2006/relationships/hyperlink" Target="https://talan.bank.gov.ua/get-user-certificate/sec1eu1PWJDKOtiuHHnF" TargetMode="External"/><Relationship Id="rId4943" Type="http://schemas.openxmlformats.org/officeDocument/2006/relationships/hyperlink" Target="https://talan.bank.gov.ua/get-user-certificate/sec1e8MO2hXI3nLynZ1z" TargetMode="External"/><Relationship Id="rId399" Type="http://schemas.openxmlformats.org/officeDocument/2006/relationships/hyperlink" Target="https://talan.bank.gov.ua/get-user-certificate/sec1eRIbpeI9rtFjWiWD" TargetMode="External"/><Relationship Id="rId2494" Type="http://schemas.openxmlformats.org/officeDocument/2006/relationships/hyperlink" Target="https://talan.bank.gov.ua/get-user-certificate/sec1eCn-SFBBRkR3sAss" TargetMode="External"/><Relationship Id="rId3545" Type="http://schemas.openxmlformats.org/officeDocument/2006/relationships/hyperlink" Target="https://talan.bank.gov.ua/get-user-certificate/sec1e7UDS2nwih2vgH0W" TargetMode="External"/><Relationship Id="rId466" Type="http://schemas.openxmlformats.org/officeDocument/2006/relationships/hyperlink" Target="https://talan.bank.gov.ua/get-user-certificate/sec1eQ8SKFWf2FZMMzcB" TargetMode="External"/><Relationship Id="rId880" Type="http://schemas.openxmlformats.org/officeDocument/2006/relationships/hyperlink" Target="https://talan.bank.gov.ua/get-user-certificate/sec1e7Aieeze0PLXzKi0" TargetMode="External"/><Relationship Id="rId1096" Type="http://schemas.openxmlformats.org/officeDocument/2006/relationships/hyperlink" Target="https://talan.bank.gov.ua/get-user-certificate/sec1eeElcICP2mmYCBxz" TargetMode="External"/><Relationship Id="rId2147" Type="http://schemas.openxmlformats.org/officeDocument/2006/relationships/hyperlink" Target="https://talan.bank.gov.ua/get-user-certificate/sec1e2zjpaTlNSR-ef-G" TargetMode="External"/><Relationship Id="rId2561" Type="http://schemas.openxmlformats.org/officeDocument/2006/relationships/hyperlink" Target="https://talan.bank.gov.ua/get-user-certificate/sec1eQEfDEpNFqI6WmqQ" TargetMode="External"/><Relationship Id="rId119" Type="http://schemas.openxmlformats.org/officeDocument/2006/relationships/hyperlink" Target="https://talan.bank.gov.ua/get-user-certificate/sec1euuBRrB9Vo7VQz6R" TargetMode="External"/><Relationship Id="rId533" Type="http://schemas.openxmlformats.org/officeDocument/2006/relationships/hyperlink" Target="https://talan.bank.gov.ua/get-user-certificate/sec1ezXhNhYPMjyxfxCP" TargetMode="External"/><Relationship Id="rId1163" Type="http://schemas.openxmlformats.org/officeDocument/2006/relationships/hyperlink" Target="https://talan.bank.gov.ua/get-user-certificate/sec1e4z51ib_kFw9_zJp" TargetMode="External"/><Relationship Id="rId2214" Type="http://schemas.openxmlformats.org/officeDocument/2006/relationships/hyperlink" Target="https://talan.bank.gov.ua/get-user-certificate/sec1ekw-IRQp2IKF-MvS" TargetMode="External"/><Relationship Id="rId3612" Type="http://schemas.openxmlformats.org/officeDocument/2006/relationships/hyperlink" Target="https://talan.bank.gov.ua/get-user-certificate/sec1eotF6CTvL1I1X1TR" TargetMode="External"/><Relationship Id="rId600" Type="http://schemas.openxmlformats.org/officeDocument/2006/relationships/hyperlink" Target="https://talan.bank.gov.ua/get-user-certificate/sec1efKoGkFvj63ofAZO" TargetMode="External"/><Relationship Id="rId1230" Type="http://schemas.openxmlformats.org/officeDocument/2006/relationships/hyperlink" Target="https://talan.bank.gov.ua/get-user-certificate/sec1epnjAo1lU4o1q2e3" TargetMode="External"/><Relationship Id="rId4386" Type="http://schemas.openxmlformats.org/officeDocument/2006/relationships/hyperlink" Target="https://talan.bank.gov.ua/get-user-certificate/sec1eVs3KJKW2VWr3jWV" TargetMode="External"/><Relationship Id="rId4039" Type="http://schemas.openxmlformats.org/officeDocument/2006/relationships/hyperlink" Target="https://talan.bank.gov.ua/get-user-certificate/sec1emk1FOGQO7THcugj" TargetMode="External"/><Relationship Id="rId4453" Type="http://schemas.openxmlformats.org/officeDocument/2006/relationships/hyperlink" Target="https://talan.bank.gov.ua/get-user-certificate/sec1eTvUmfihZ-ZUlTya" TargetMode="External"/><Relationship Id="rId3055" Type="http://schemas.openxmlformats.org/officeDocument/2006/relationships/hyperlink" Target="https://talan.bank.gov.ua/get-user-certificate/sec1ebX1jI7b1rzPEL0n" TargetMode="External"/><Relationship Id="rId4106" Type="http://schemas.openxmlformats.org/officeDocument/2006/relationships/hyperlink" Target="https://talan.bank.gov.ua/get-user-certificate/sec1e46AuvmfdSqWtDIl" TargetMode="External"/><Relationship Id="rId4520" Type="http://schemas.openxmlformats.org/officeDocument/2006/relationships/hyperlink" Target="https://talan.bank.gov.ua/get-user-certificate/sec1eqhJYVGDPdOwtxTl" TargetMode="External"/><Relationship Id="rId390" Type="http://schemas.openxmlformats.org/officeDocument/2006/relationships/hyperlink" Target="https://talan.bank.gov.ua/get-user-certificate/sec1eEI-CzmTFPIYTMoo" TargetMode="External"/><Relationship Id="rId2071" Type="http://schemas.openxmlformats.org/officeDocument/2006/relationships/hyperlink" Target="https://talan.bank.gov.ua/get-user-certificate/sec1eyC38386OjUxyXnT" TargetMode="External"/><Relationship Id="rId3122" Type="http://schemas.openxmlformats.org/officeDocument/2006/relationships/hyperlink" Target="https://talan.bank.gov.ua/get-user-certificate/sec1e2LsjFVrNynALVii" TargetMode="External"/><Relationship Id="rId110" Type="http://schemas.openxmlformats.org/officeDocument/2006/relationships/hyperlink" Target="https://talan.bank.gov.ua/get-user-certificate/sec1e04kyydY7AtGisfQ" TargetMode="External"/><Relationship Id="rId2888" Type="http://schemas.openxmlformats.org/officeDocument/2006/relationships/hyperlink" Target="https://talan.bank.gov.ua/get-user-certificate/sec1eGT46tG3Sj6ZYDQ5" TargetMode="External"/><Relationship Id="rId3939" Type="http://schemas.openxmlformats.org/officeDocument/2006/relationships/hyperlink" Target="https://talan.bank.gov.ua/get-user-certificate/sec1eC5j4sy3UxCNIAfj" TargetMode="External"/><Relationship Id="rId2955" Type="http://schemas.openxmlformats.org/officeDocument/2006/relationships/hyperlink" Target="https://talan.bank.gov.ua/get-user-certificate/sec1e5X0b4KrN3C0jQOQ" TargetMode="External"/><Relationship Id="rId927" Type="http://schemas.openxmlformats.org/officeDocument/2006/relationships/hyperlink" Target="https://talan.bank.gov.ua/get-user-certificate/sec1eBCUy7D-ke2XKn5Y" TargetMode="External"/><Relationship Id="rId1557" Type="http://schemas.openxmlformats.org/officeDocument/2006/relationships/hyperlink" Target="https://talan.bank.gov.ua/get-user-certificate/sec1exyLeDviR89BUK-I" TargetMode="External"/><Relationship Id="rId1971" Type="http://schemas.openxmlformats.org/officeDocument/2006/relationships/hyperlink" Target="https://talan.bank.gov.ua/get-user-certificate/sec1eUz3Re8S0HD8bonb" TargetMode="External"/><Relationship Id="rId2608" Type="http://schemas.openxmlformats.org/officeDocument/2006/relationships/hyperlink" Target="https://talan.bank.gov.ua/get-user-certificate/sec1eoL1QiXMBIFxet3W" TargetMode="External"/><Relationship Id="rId5014" Type="http://schemas.openxmlformats.org/officeDocument/2006/relationships/hyperlink" Target="https://talan.bank.gov.ua/get-user-certificate/f7i-sCaq7BsWTDv7J5Zg" TargetMode="External"/><Relationship Id="rId1624" Type="http://schemas.openxmlformats.org/officeDocument/2006/relationships/hyperlink" Target="https://talan.bank.gov.ua/get-user-certificate/sec1eKADm1JHr8_NIDNG" TargetMode="External"/><Relationship Id="rId4030" Type="http://schemas.openxmlformats.org/officeDocument/2006/relationships/hyperlink" Target="https://talan.bank.gov.ua/get-user-certificate/sec1eBhlqw1iHibWH5b1" TargetMode="External"/><Relationship Id="rId3796" Type="http://schemas.openxmlformats.org/officeDocument/2006/relationships/hyperlink" Target="https://talan.bank.gov.ua/get-user-certificate/sec1eBe481WUfi2rEsyF" TargetMode="External"/><Relationship Id="rId2398" Type="http://schemas.openxmlformats.org/officeDocument/2006/relationships/hyperlink" Target="https://talan.bank.gov.ua/get-user-certificate/sec1egN4iT7rlgrvBAiV" TargetMode="External"/><Relationship Id="rId3449" Type="http://schemas.openxmlformats.org/officeDocument/2006/relationships/hyperlink" Target="https://talan.bank.gov.ua/get-user-certificate/sec1eofeBUZWD4x-woUY" TargetMode="External"/><Relationship Id="rId4847" Type="http://schemas.openxmlformats.org/officeDocument/2006/relationships/hyperlink" Target="https://talan.bank.gov.ua/get-user-certificate/sec1er63S6M5l3p2G1YO" TargetMode="External"/><Relationship Id="rId3863" Type="http://schemas.openxmlformats.org/officeDocument/2006/relationships/hyperlink" Target="https://talan.bank.gov.ua/get-user-certificate/sec1eQcFhqVuuMLzWPql" TargetMode="External"/><Relationship Id="rId4914" Type="http://schemas.openxmlformats.org/officeDocument/2006/relationships/hyperlink" Target="https://talan.bank.gov.ua/get-user-certificate/sec1eZoZrsS-9-edtME4" TargetMode="External"/><Relationship Id="rId784" Type="http://schemas.openxmlformats.org/officeDocument/2006/relationships/hyperlink" Target="https://talan.bank.gov.ua/get-user-certificate/sec1eINpMHFzPgxYas3f" TargetMode="External"/><Relationship Id="rId1067" Type="http://schemas.openxmlformats.org/officeDocument/2006/relationships/hyperlink" Target="https://talan.bank.gov.ua/get-user-certificate/sec1eRQMv08nfxUkisH_" TargetMode="External"/><Relationship Id="rId2465" Type="http://schemas.openxmlformats.org/officeDocument/2006/relationships/hyperlink" Target="https://talan.bank.gov.ua/get-user-certificate/sec1eC8ayZLWiWQpzkFG" TargetMode="External"/><Relationship Id="rId3516" Type="http://schemas.openxmlformats.org/officeDocument/2006/relationships/hyperlink" Target="https://talan.bank.gov.ua/get-user-certificate/sec1eqxMens_ZvbVti-N" TargetMode="External"/><Relationship Id="rId3930" Type="http://schemas.openxmlformats.org/officeDocument/2006/relationships/hyperlink" Target="https://talan.bank.gov.ua/get-user-certificate/sec1edWbYX0cDTapOV-Z" TargetMode="External"/><Relationship Id="rId437" Type="http://schemas.openxmlformats.org/officeDocument/2006/relationships/hyperlink" Target="https://talan.bank.gov.ua/get-user-certificate/sec1e5W7XsdtN3aaMa7K" TargetMode="External"/><Relationship Id="rId851" Type="http://schemas.openxmlformats.org/officeDocument/2006/relationships/hyperlink" Target="https://talan.bank.gov.ua/get-user-certificate/sec1ehkF2ucSNl2nKX4q" TargetMode="External"/><Relationship Id="rId1481" Type="http://schemas.openxmlformats.org/officeDocument/2006/relationships/hyperlink" Target="https://talan.bank.gov.ua/get-user-certificate/sec1e9RW5-e5IOPTDycu" TargetMode="External"/><Relationship Id="rId2118" Type="http://schemas.openxmlformats.org/officeDocument/2006/relationships/hyperlink" Target="https://talan.bank.gov.ua/get-user-certificate/sec1ek-NXWSAVEt6LA-w" TargetMode="External"/><Relationship Id="rId2532" Type="http://schemas.openxmlformats.org/officeDocument/2006/relationships/hyperlink" Target="https://talan.bank.gov.ua/get-user-certificate/sec1ePPu9rHD8FeLUNWJ" TargetMode="External"/><Relationship Id="rId504" Type="http://schemas.openxmlformats.org/officeDocument/2006/relationships/hyperlink" Target="https://talan.bank.gov.ua/get-user-certificate/sec1eaVEr6G3UgxFGpLp" TargetMode="External"/><Relationship Id="rId1134" Type="http://schemas.openxmlformats.org/officeDocument/2006/relationships/hyperlink" Target="https://talan.bank.gov.ua/get-user-certificate/sec1eWhQwCbOQQTUYXjq" TargetMode="External"/><Relationship Id="rId1201" Type="http://schemas.openxmlformats.org/officeDocument/2006/relationships/hyperlink" Target="https://talan.bank.gov.ua/get-user-certificate/sec1etxYHISUXZ0Bd6qE" TargetMode="External"/><Relationship Id="rId4357" Type="http://schemas.openxmlformats.org/officeDocument/2006/relationships/hyperlink" Target="https://talan.bank.gov.ua/get-user-certificate/sec1e5tX6ELFW3N16Uss" TargetMode="External"/><Relationship Id="rId4771" Type="http://schemas.openxmlformats.org/officeDocument/2006/relationships/hyperlink" Target="https://talan.bank.gov.ua/get-user-certificate/sec1ehXG6YNQH01QTPQO" TargetMode="External"/><Relationship Id="rId3373" Type="http://schemas.openxmlformats.org/officeDocument/2006/relationships/hyperlink" Target="https://talan.bank.gov.ua/get-user-certificate/sec1e1mhfXCLF1uROMrQ" TargetMode="External"/><Relationship Id="rId4424" Type="http://schemas.openxmlformats.org/officeDocument/2006/relationships/hyperlink" Target="https://talan.bank.gov.ua/get-user-certificate/sec1ed9m9RKIoyKGJ2dd" TargetMode="External"/><Relationship Id="rId294" Type="http://schemas.openxmlformats.org/officeDocument/2006/relationships/hyperlink" Target="https://talan.bank.gov.ua/get-user-certificate/sec1ekvB5hcdByNGKKqp" TargetMode="External"/><Relationship Id="rId3026" Type="http://schemas.openxmlformats.org/officeDocument/2006/relationships/hyperlink" Target="https://talan.bank.gov.ua/get-user-certificate/sec1ewfsXAITh2jJpLJy" TargetMode="External"/><Relationship Id="rId361" Type="http://schemas.openxmlformats.org/officeDocument/2006/relationships/hyperlink" Target="https://talan.bank.gov.ua/get-user-certificate/sec1erDiV-2dZ4Eby41l" TargetMode="External"/><Relationship Id="rId2042" Type="http://schemas.openxmlformats.org/officeDocument/2006/relationships/hyperlink" Target="https://talan.bank.gov.ua/get-user-certificate/sec1eaEwJc7IGhZCIGfA" TargetMode="External"/><Relationship Id="rId3440" Type="http://schemas.openxmlformats.org/officeDocument/2006/relationships/hyperlink" Target="https://talan.bank.gov.ua/get-user-certificate/sec1e9LbOd92q5VNBF-g" TargetMode="External"/><Relationship Id="rId2859" Type="http://schemas.openxmlformats.org/officeDocument/2006/relationships/hyperlink" Target="https://talan.bank.gov.ua/get-user-certificate/sec1ebftOk9yQoHd-ke4" TargetMode="External"/><Relationship Id="rId1875" Type="http://schemas.openxmlformats.org/officeDocument/2006/relationships/hyperlink" Target="https://talan.bank.gov.ua/get-user-certificate/sec1e-zBQ-oxnMhsz1V-" TargetMode="External"/><Relationship Id="rId4281" Type="http://schemas.openxmlformats.org/officeDocument/2006/relationships/hyperlink" Target="https://talan.bank.gov.ua/get-user-certificate/sec1epcbaWNxb33EUN5W" TargetMode="External"/><Relationship Id="rId1528" Type="http://schemas.openxmlformats.org/officeDocument/2006/relationships/hyperlink" Target="https://talan.bank.gov.ua/get-user-certificate/sec1eyiu5abOJUp98Acp" TargetMode="External"/><Relationship Id="rId2926" Type="http://schemas.openxmlformats.org/officeDocument/2006/relationships/hyperlink" Target="https://talan.bank.gov.ua/get-user-certificate/sec1esO34QeHE31PRGiL" TargetMode="External"/><Relationship Id="rId1942" Type="http://schemas.openxmlformats.org/officeDocument/2006/relationships/hyperlink" Target="https://talan.bank.gov.ua/get-user-certificate/sec1ezgIGqotWJQa5cNU" TargetMode="External"/><Relationship Id="rId4001" Type="http://schemas.openxmlformats.org/officeDocument/2006/relationships/hyperlink" Target="https://talan.bank.gov.ua/get-user-certificate/sec1eTzCpNAxzKt489TJ" TargetMode="External"/><Relationship Id="rId3767" Type="http://schemas.openxmlformats.org/officeDocument/2006/relationships/hyperlink" Target="https://talan.bank.gov.ua/get-user-certificate/sec1eMGvRVdtaU2eUwvG" TargetMode="External"/><Relationship Id="rId4818" Type="http://schemas.openxmlformats.org/officeDocument/2006/relationships/hyperlink" Target="https://talan.bank.gov.ua/get-user-certificate/sec1eEgixivy6arxgiuB" TargetMode="External"/><Relationship Id="rId688" Type="http://schemas.openxmlformats.org/officeDocument/2006/relationships/hyperlink" Target="https://talan.bank.gov.ua/get-user-certificate/sec1eqEV21gCTbSl5VUC" TargetMode="External"/><Relationship Id="rId2369" Type="http://schemas.openxmlformats.org/officeDocument/2006/relationships/hyperlink" Target="https://talan.bank.gov.ua/get-user-certificate/sec1ecXo6ru1bhO4Dfd5" TargetMode="External"/><Relationship Id="rId2783" Type="http://schemas.openxmlformats.org/officeDocument/2006/relationships/hyperlink" Target="https://talan.bank.gov.ua/get-user-certificate/sec1e1DfgM-C3BvPO8TA" TargetMode="External"/><Relationship Id="rId3834" Type="http://schemas.openxmlformats.org/officeDocument/2006/relationships/hyperlink" Target="https://talan.bank.gov.ua/get-user-certificate/sec1eMWGyCZhBQQhmUeg" TargetMode="External"/><Relationship Id="rId755" Type="http://schemas.openxmlformats.org/officeDocument/2006/relationships/hyperlink" Target="https://talan.bank.gov.ua/get-user-certificate/sec1eZMK_DZxs65OHmUK" TargetMode="External"/><Relationship Id="rId1385" Type="http://schemas.openxmlformats.org/officeDocument/2006/relationships/hyperlink" Target="https://talan.bank.gov.ua/get-user-certificate/sec1eVqvd6DMDyshOR6_" TargetMode="External"/><Relationship Id="rId2436" Type="http://schemas.openxmlformats.org/officeDocument/2006/relationships/hyperlink" Target="https://talan.bank.gov.ua/get-user-certificate/sec1e-p-FsXp45MWFJQD" TargetMode="External"/><Relationship Id="rId2850" Type="http://schemas.openxmlformats.org/officeDocument/2006/relationships/hyperlink" Target="https://talan.bank.gov.ua/get-user-certificate/sec1ebDzFeFfKAgn_NT7" TargetMode="External"/><Relationship Id="rId91" Type="http://schemas.openxmlformats.org/officeDocument/2006/relationships/hyperlink" Target="https://talan.bank.gov.ua/get-user-certificate/sec1epqTPY5PBQt3APJ0" TargetMode="External"/><Relationship Id="rId408" Type="http://schemas.openxmlformats.org/officeDocument/2006/relationships/hyperlink" Target="https://talan.bank.gov.ua/get-user-certificate/sec1eIvPtZguKQ5I7nct" TargetMode="External"/><Relationship Id="rId822" Type="http://schemas.openxmlformats.org/officeDocument/2006/relationships/hyperlink" Target="https://talan.bank.gov.ua/get-user-certificate/sec1euczxITH43gmDCQr" TargetMode="External"/><Relationship Id="rId1038" Type="http://schemas.openxmlformats.org/officeDocument/2006/relationships/hyperlink" Target="https://talan.bank.gov.ua/get-user-certificate/sec1eRXV7A_E-5P7l9CB" TargetMode="External"/><Relationship Id="rId1452" Type="http://schemas.openxmlformats.org/officeDocument/2006/relationships/hyperlink" Target="https://talan.bank.gov.ua/get-user-certificate/sec1eRof-9dgiNbf-Rpj" TargetMode="External"/><Relationship Id="rId2503" Type="http://schemas.openxmlformats.org/officeDocument/2006/relationships/hyperlink" Target="https://talan.bank.gov.ua/get-user-certificate/sec1evatPHJeDrbQeAXb" TargetMode="External"/><Relationship Id="rId3901" Type="http://schemas.openxmlformats.org/officeDocument/2006/relationships/hyperlink" Target="https://talan.bank.gov.ua/get-user-certificate/sec1eUIrRch_K47U16a1" TargetMode="External"/><Relationship Id="rId1105" Type="http://schemas.openxmlformats.org/officeDocument/2006/relationships/hyperlink" Target="https://talan.bank.gov.ua/get-user-certificate/sec1e5JOybCcH00rrKba" TargetMode="External"/><Relationship Id="rId3277" Type="http://schemas.openxmlformats.org/officeDocument/2006/relationships/hyperlink" Target="https://talan.bank.gov.ua/get-user-certificate/sec1eT0eIpiHb07mHnRZ" TargetMode="External"/><Relationship Id="rId4675" Type="http://schemas.openxmlformats.org/officeDocument/2006/relationships/hyperlink" Target="https://talan.bank.gov.ua/get-user-certificate/sec1eKpk4Yyy6nCKVpL1" TargetMode="External"/><Relationship Id="rId198" Type="http://schemas.openxmlformats.org/officeDocument/2006/relationships/hyperlink" Target="https://talan.bank.gov.ua/get-user-certificate/sec1eNrnfywQqgbIGPi7" TargetMode="External"/><Relationship Id="rId3691" Type="http://schemas.openxmlformats.org/officeDocument/2006/relationships/hyperlink" Target="https://talan.bank.gov.ua/get-user-certificate/sec1eN_HEHP34-cFKRAJ" TargetMode="External"/><Relationship Id="rId4328" Type="http://schemas.openxmlformats.org/officeDocument/2006/relationships/hyperlink" Target="https://talan.bank.gov.ua/get-user-certificate/sec1ec-VqWYoUEG8Cv5R" TargetMode="External"/><Relationship Id="rId4742" Type="http://schemas.openxmlformats.org/officeDocument/2006/relationships/hyperlink" Target="https://talan.bank.gov.ua/get-user-certificate/sec1eNrA3-twbv4_0txZ" TargetMode="External"/><Relationship Id="rId2293" Type="http://schemas.openxmlformats.org/officeDocument/2006/relationships/hyperlink" Target="https://talan.bank.gov.ua/get-user-certificate/sec1eIP5qGEdIQBE5QPE" TargetMode="External"/><Relationship Id="rId3344" Type="http://schemas.openxmlformats.org/officeDocument/2006/relationships/hyperlink" Target="https://talan.bank.gov.ua/get-user-certificate/sec1eJxyPT-8gxSYoO8a" TargetMode="External"/><Relationship Id="rId265" Type="http://schemas.openxmlformats.org/officeDocument/2006/relationships/hyperlink" Target="https://talan.bank.gov.ua/get-user-certificate/sec1efF3LLSeB14yKPxb" TargetMode="External"/><Relationship Id="rId2360" Type="http://schemas.openxmlformats.org/officeDocument/2006/relationships/hyperlink" Target="https://talan.bank.gov.ua/get-user-certificate/sec1eVITJhXCxY-8QrDO" TargetMode="External"/><Relationship Id="rId3411" Type="http://schemas.openxmlformats.org/officeDocument/2006/relationships/hyperlink" Target="https://talan.bank.gov.ua/get-user-certificate/sec1efymXCpW1DpjUyF7" TargetMode="External"/><Relationship Id="rId332" Type="http://schemas.openxmlformats.org/officeDocument/2006/relationships/hyperlink" Target="https://talan.bank.gov.ua/get-user-certificate/sec1eUSUod1OV8pZJVmG" TargetMode="External"/><Relationship Id="rId2013" Type="http://schemas.openxmlformats.org/officeDocument/2006/relationships/hyperlink" Target="https://talan.bank.gov.ua/get-user-certificate/sec1eWrIlXNkI1v3-QC0" TargetMode="External"/><Relationship Id="rId4185" Type="http://schemas.openxmlformats.org/officeDocument/2006/relationships/hyperlink" Target="https://talan.bank.gov.ua/get-user-certificate/sec1eE3IQZiFMxzsSvjE" TargetMode="External"/><Relationship Id="rId1779" Type="http://schemas.openxmlformats.org/officeDocument/2006/relationships/hyperlink" Target="https://talan.bank.gov.ua/get-user-certificate/sec1eDU5PCp9sSzh_2By" TargetMode="External"/><Relationship Id="rId4252" Type="http://schemas.openxmlformats.org/officeDocument/2006/relationships/hyperlink" Target="https://talan.bank.gov.ua/get-user-certificate/sec1eIx0SvYS9c064nsv" TargetMode="External"/><Relationship Id="rId1846" Type="http://schemas.openxmlformats.org/officeDocument/2006/relationships/hyperlink" Target="https://talan.bank.gov.ua/get-user-certificate/sec1eAN1vW4HNYL5PfVk" TargetMode="External"/><Relationship Id="rId1913" Type="http://schemas.openxmlformats.org/officeDocument/2006/relationships/hyperlink" Target="https://talan.bank.gov.ua/get-user-certificate/sec1eQyBCgEinQ7NPohF" TargetMode="External"/><Relationship Id="rId2687" Type="http://schemas.openxmlformats.org/officeDocument/2006/relationships/hyperlink" Target="https://talan.bank.gov.ua/get-user-certificate/sec1eE0kkfdvYVOcehnc" TargetMode="External"/><Relationship Id="rId3738" Type="http://schemas.openxmlformats.org/officeDocument/2006/relationships/hyperlink" Target="https://talan.bank.gov.ua/get-user-certificate/sec1eJLH08eYMHnp4zCP" TargetMode="External"/><Relationship Id="rId659" Type="http://schemas.openxmlformats.org/officeDocument/2006/relationships/hyperlink" Target="https://talan.bank.gov.ua/get-user-certificate/sec1emwzKEv0uNHnpT1N" TargetMode="External"/><Relationship Id="rId1289" Type="http://schemas.openxmlformats.org/officeDocument/2006/relationships/hyperlink" Target="https://talan.bank.gov.ua/get-user-certificate/sec1ezPFe9E_EOqG9uYE" TargetMode="External"/><Relationship Id="rId1356" Type="http://schemas.openxmlformats.org/officeDocument/2006/relationships/hyperlink" Target="https://talan.bank.gov.ua/get-user-certificate/sec1e916EA5A_UsdyyN0" TargetMode="External"/><Relationship Id="rId2754" Type="http://schemas.openxmlformats.org/officeDocument/2006/relationships/hyperlink" Target="https://talan.bank.gov.ua/get-user-certificate/sec1ex4whhepRldJGaMp" TargetMode="External"/><Relationship Id="rId3805" Type="http://schemas.openxmlformats.org/officeDocument/2006/relationships/hyperlink" Target="https://talan.bank.gov.ua/get-user-certificate/sec1ehzSo6an3_2GDCLJ" TargetMode="External"/><Relationship Id="rId726" Type="http://schemas.openxmlformats.org/officeDocument/2006/relationships/hyperlink" Target="https://talan.bank.gov.ua/get-user-certificate/sec1e1jYDFPAgd_KHa9M" TargetMode="External"/><Relationship Id="rId1009" Type="http://schemas.openxmlformats.org/officeDocument/2006/relationships/hyperlink" Target="https://talan.bank.gov.ua/get-user-certificate/sec1eJMagDbMZxQQQQ_N" TargetMode="External"/><Relationship Id="rId1770" Type="http://schemas.openxmlformats.org/officeDocument/2006/relationships/hyperlink" Target="https://talan.bank.gov.ua/get-user-certificate/sec1eSkoUXiMM5AMQzQh" TargetMode="External"/><Relationship Id="rId2407" Type="http://schemas.openxmlformats.org/officeDocument/2006/relationships/hyperlink" Target="https://talan.bank.gov.ua/get-user-certificate/sec1edj74pQGseyiKvd5" TargetMode="External"/><Relationship Id="rId2821" Type="http://schemas.openxmlformats.org/officeDocument/2006/relationships/hyperlink" Target="https://talan.bank.gov.ua/get-user-certificate/sec1eqTGPLqdA-4rj5vq" TargetMode="External"/><Relationship Id="rId62" Type="http://schemas.openxmlformats.org/officeDocument/2006/relationships/hyperlink" Target="https://talan.bank.gov.ua/get-user-certificate/sec1ePyXpm6CdDDyT61s" TargetMode="External"/><Relationship Id="rId1423" Type="http://schemas.openxmlformats.org/officeDocument/2006/relationships/hyperlink" Target="https://talan.bank.gov.ua/get-user-certificate/sec1eDQaW2dDcTmvfN_g" TargetMode="External"/><Relationship Id="rId4579" Type="http://schemas.openxmlformats.org/officeDocument/2006/relationships/hyperlink" Target="https://talan.bank.gov.ua/get-user-certificate/sec1ebGwW1LmI5pva-N-" TargetMode="External"/><Relationship Id="rId4993" Type="http://schemas.openxmlformats.org/officeDocument/2006/relationships/hyperlink" Target="https://talan.bank.gov.ua/get-user-certificate/sec1eFJQaPvw_SAmEEXn" TargetMode="External"/><Relationship Id="rId3595" Type="http://schemas.openxmlformats.org/officeDocument/2006/relationships/hyperlink" Target="https://talan.bank.gov.ua/get-user-certificate/sec1evHiKvVq2cwRt8Pb" TargetMode="External"/><Relationship Id="rId4646" Type="http://schemas.openxmlformats.org/officeDocument/2006/relationships/hyperlink" Target="https://talan.bank.gov.ua/get-user-certificate/sec1eDwj4IUOm-t1YZWn" TargetMode="External"/><Relationship Id="rId2197" Type="http://schemas.openxmlformats.org/officeDocument/2006/relationships/hyperlink" Target="https://talan.bank.gov.ua/get-user-certificate/sec1eiD5Ka4g-qmj9Up9" TargetMode="External"/><Relationship Id="rId3248" Type="http://schemas.openxmlformats.org/officeDocument/2006/relationships/hyperlink" Target="https://talan.bank.gov.ua/get-user-certificate/sec1e6ZSDvRsViDJqkxR" TargetMode="External"/><Relationship Id="rId3662" Type="http://schemas.openxmlformats.org/officeDocument/2006/relationships/hyperlink" Target="https://talan.bank.gov.ua/get-user-certificate/sec1eA7KuK0T0wJy9YuY" TargetMode="External"/><Relationship Id="rId4713" Type="http://schemas.openxmlformats.org/officeDocument/2006/relationships/hyperlink" Target="https://talan.bank.gov.ua/get-user-certificate/sec1e0A947cwBkt-3zjp" TargetMode="External"/><Relationship Id="rId169" Type="http://schemas.openxmlformats.org/officeDocument/2006/relationships/hyperlink" Target="https://talan.bank.gov.ua/get-user-certificate/sec1ezgcgQMBSj3sOPpF" TargetMode="External"/><Relationship Id="rId583" Type="http://schemas.openxmlformats.org/officeDocument/2006/relationships/hyperlink" Target="https://talan.bank.gov.ua/get-user-certificate/sec1eTZA_yvtxlNwpfRK" TargetMode="External"/><Relationship Id="rId2264" Type="http://schemas.openxmlformats.org/officeDocument/2006/relationships/hyperlink" Target="https://talan.bank.gov.ua/get-user-certificate/sec1eqj05AqPuqVwFC3S" TargetMode="External"/><Relationship Id="rId3315" Type="http://schemas.openxmlformats.org/officeDocument/2006/relationships/hyperlink" Target="https://talan.bank.gov.ua/get-user-certificate/sec1e-4YT4M4gkJtzZ7D" TargetMode="External"/><Relationship Id="rId236" Type="http://schemas.openxmlformats.org/officeDocument/2006/relationships/hyperlink" Target="https://talan.bank.gov.ua/get-user-certificate/sec1eb4GwiBvfmc9OJoU" TargetMode="External"/><Relationship Id="rId650" Type="http://schemas.openxmlformats.org/officeDocument/2006/relationships/hyperlink" Target="https://talan.bank.gov.ua/get-user-certificate/sec1eM1Nq_VgV-bW--gH" TargetMode="External"/><Relationship Id="rId1280" Type="http://schemas.openxmlformats.org/officeDocument/2006/relationships/hyperlink" Target="https://talan.bank.gov.ua/get-user-certificate/sec1e5MJSWhnJLJEeKCb" TargetMode="External"/><Relationship Id="rId2331" Type="http://schemas.openxmlformats.org/officeDocument/2006/relationships/hyperlink" Target="https://talan.bank.gov.ua/get-user-certificate/sec1e_1fVgr36YxztHLs" TargetMode="External"/><Relationship Id="rId303" Type="http://schemas.openxmlformats.org/officeDocument/2006/relationships/hyperlink" Target="https://talan.bank.gov.ua/get-user-certificate/sec1e52jlY4tr7ObVP2l" TargetMode="External"/><Relationship Id="rId4089" Type="http://schemas.openxmlformats.org/officeDocument/2006/relationships/hyperlink" Target="https://talan.bank.gov.ua/get-user-certificate/sec1eXHgN50jVrbYBuWs" TargetMode="External"/><Relationship Id="rId1000" Type="http://schemas.openxmlformats.org/officeDocument/2006/relationships/hyperlink" Target="https://talan.bank.gov.ua/get-user-certificate/sec1eoqYVP_DEM9PrQDm" TargetMode="External"/><Relationship Id="rId4156" Type="http://schemas.openxmlformats.org/officeDocument/2006/relationships/hyperlink" Target="https://talan.bank.gov.ua/get-user-certificate/sec1e7svnTrMwxGTSmGk" TargetMode="External"/><Relationship Id="rId4570" Type="http://schemas.openxmlformats.org/officeDocument/2006/relationships/hyperlink" Target="https://talan.bank.gov.ua/get-user-certificate/sec1eleCeIJ-AMgJtISz" TargetMode="External"/><Relationship Id="rId1817" Type="http://schemas.openxmlformats.org/officeDocument/2006/relationships/hyperlink" Target="https://talan.bank.gov.ua/get-user-certificate/sec1e4S7peXZ2SyxpOb1" TargetMode="External"/><Relationship Id="rId3172" Type="http://schemas.openxmlformats.org/officeDocument/2006/relationships/hyperlink" Target="https://talan.bank.gov.ua/get-user-certificate/sec1e2aZFkseAuM8dD2l" TargetMode="External"/><Relationship Id="rId4223" Type="http://schemas.openxmlformats.org/officeDocument/2006/relationships/hyperlink" Target="https://talan.bank.gov.ua/get-user-certificate/sec1eZQUrzZh77O-9SCT" TargetMode="External"/><Relationship Id="rId160" Type="http://schemas.openxmlformats.org/officeDocument/2006/relationships/hyperlink" Target="https://talan.bank.gov.ua/get-user-certificate/sec1eN3DuwucGpN1fyb3" TargetMode="External"/><Relationship Id="rId3989" Type="http://schemas.openxmlformats.org/officeDocument/2006/relationships/hyperlink" Target="https://talan.bank.gov.ua/get-user-certificate/sec1e7O_0IDiIm-N4VKA" TargetMode="External"/><Relationship Id="rId977" Type="http://schemas.openxmlformats.org/officeDocument/2006/relationships/hyperlink" Target="https://talan.bank.gov.ua/get-user-certificate/sec1erPrmV9YaDQMMtOZ" TargetMode="External"/><Relationship Id="rId2658" Type="http://schemas.openxmlformats.org/officeDocument/2006/relationships/hyperlink" Target="https://talan.bank.gov.ua/get-user-certificate/sec1eoXJKUNwX5MyvZhI" TargetMode="External"/><Relationship Id="rId3709" Type="http://schemas.openxmlformats.org/officeDocument/2006/relationships/hyperlink" Target="https://talan.bank.gov.ua/get-user-certificate/sec1eGrVApqZZHLS1O4g" TargetMode="External"/><Relationship Id="rId4080" Type="http://schemas.openxmlformats.org/officeDocument/2006/relationships/hyperlink" Target="https://talan.bank.gov.ua/get-user-certificate/sec1eqd2gpaM96J9S2oi" TargetMode="External"/><Relationship Id="rId1674" Type="http://schemas.openxmlformats.org/officeDocument/2006/relationships/hyperlink" Target="https://talan.bank.gov.ua/get-user-certificate/sec1ekfVtrzl8VA3DUJg" TargetMode="External"/><Relationship Id="rId2725" Type="http://schemas.openxmlformats.org/officeDocument/2006/relationships/hyperlink" Target="https://talan.bank.gov.ua/get-user-certificate/sec1eLauH-TeSjUu8r4h" TargetMode="External"/><Relationship Id="rId1327" Type="http://schemas.openxmlformats.org/officeDocument/2006/relationships/hyperlink" Target="https://talan.bank.gov.ua/get-user-certificate/sec1eTQF_LsXrkd4DcBl" TargetMode="External"/><Relationship Id="rId1741" Type="http://schemas.openxmlformats.org/officeDocument/2006/relationships/hyperlink" Target="https://talan.bank.gov.ua/get-user-certificate/sec1eKxEdDMxTXvF1Mkr" TargetMode="External"/><Relationship Id="rId4897" Type="http://schemas.openxmlformats.org/officeDocument/2006/relationships/hyperlink" Target="https://talan.bank.gov.ua/get-user-certificate/sec1eMfBKWeAhj5X30ke" TargetMode="External"/><Relationship Id="rId33" Type="http://schemas.openxmlformats.org/officeDocument/2006/relationships/hyperlink" Target="https://talan.bank.gov.ua/get-user-certificate/sec1eSnI9hGnJVjUdzrz" TargetMode="External"/><Relationship Id="rId3499" Type="http://schemas.openxmlformats.org/officeDocument/2006/relationships/hyperlink" Target="https://talan.bank.gov.ua/get-user-certificate/sec1eS3GqFpx70X5mftb" TargetMode="External"/><Relationship Id="rId3566" Type="http://schemas.openxmlformats.org/officeDocument/2006/relationships/hyperlink" Target="https://talan.bank.gov.ua/get-user-certificate/sec1et2ATHXwI3WEt-h3" TargetMode="External"/><Relationship Id="rId4964" Type="http://schemas.openxmlformats.org/officeDocument/2006/relationships/hyperlink" Target="https://talan.bank.gov.ua/get-user-certificate/sec1e7xFml_9u1fGjfPM" TargetMode="External"/><Relationship Id="rId487" Type="http://schemas.openxmlformats.org/officeDocument/2006/relationships/hyperlink" Target="https://talan.bank.gov.ua/get-user-certificate/sec1e9IoB5_3PcvvXAbs" TargetMode="External"/><Relationship Id="rId2168" Type="http://schemas.openxmlformats.org/officeDocument/2006/relationships/hyperlink" Target="https://talan.bank.gov.ua/get-user-certificate/sec1e75QuW7GJBD4c2D-" TargetMode="External"/><Relationship Id="rId3219" Type="http://schemas.openxmlformats.org/officeDocument/2006/relationships/hyperlink" Target="https://talan.bank.gov.ua/get-user-certificate/sec1ey2ogikJGgv5YkIW" TargetMode="External"/><Relationship Id="rId3980" Type="http://schemas.openxmlformats.org/officeDocument/2006/relationships/hyperlink" Target="https://talan.bank.gov.ua/get-user-certificate/sec1e9wOy0-R_oFbydvi" TargetMode="External"/><Relationship Id="rId4617" Type="http://schemas.openxmlformats.org/officeDocument/2006/relationships/hyperlink" Target="https://talan.bank.gov.ua/get-user-certificate/sec1eg1eLW98ls_ecuMr" TargetMode="External"/><Relationship Id="rId1184" Type="http://schemas.openxmlformats.org/officeDocument/2006/relationships/hyperlink" Target="https://talan.bank.gov.ua/get-user-certificate/sec1evxO7X3_jyKaP7yt" TargetMode="External"/><Relationship Id="rId2582" Type="http://schemas.openxmlformats.org/officeDocument/2006/relationships/hyperlink" Target="https://talan.bank.gov.ua/get-user-certificate/sec1esrQZzTF2fBgeWqB" TargetMode="External"/><Relationship Id="rId3633" Type="http://schemas.openxmlformats.org/officeDocument/2006/relationships/hyperlink" Target="https://talan.bank.gov.ua/get-user-certificate/sec1eTGfyjNucpboJToW" TargetMode="External"/><Relationship Id="rId554" Type="http://schemas.openxmlformats.org/officeDocument/2006/relationships/hyperlink" Target="https://talan.bank.gov.ua/get-user-certificate/sec1eSAdDy6xZQEM60pn" TargetMode="External"/><Relationship Id="rId2235" Type="http://schemas.openxmlformats.org/officeDocument/2006/relationships/hyperlink" Target="https://talan.bank.gov.ua/get-user-certificate/sec1etq-htXgqfNvExXT" TargetMode="External"/><Relationship Id="rId3700" Type="http://schemas.openxmlformats.org/officeDocument/2006/relationships/hyperlink" Target="https://talan.bank.gov.ua/get-user-certificate/sec1eUuQoU-AqyyZPDjw" TargetMode="External"/><Relationship Id="rId207" Type="http://schemas.openxmlformats.org/officeDocument/2006/relationships/hyperlink" Target="https://talan.bank.gov.ua/get-user-certificate/sec1e9zTCXAxvRiaTedt" TargetMode="External"/><Relationship Id="rId621" Type="http://schemas.openxmlformats.org/officeDocument/2006/relationships/hyperlink" Target="https://talan.bank.gov.ua/get-user-certificate/sec1ei_MSrZrAaA7IIy6" TargetMode="External"/><Relationship Id="rId1251" Type="http://schemas.openxmlformats.org/officeDocument/2006/relationships/hyperlink" Target="https://talan.bank.gov.ua/get-user-certificate/sec1etjQIIhs3Ni3JT1K" TargetMode="External"/><Relationship Id="rId2302" Type="http://schemas.openxmlformats.org/officeDocument/2006/relationships/hyperlink" Target="https://talan.bank.gov.ua/get-user-certificate/sec1em-emv6EdhjF1bcl" TargetMode="External"/><Relationship Id="rId4474" Type="http://schemas.openxmlformats.org/officeDocument/2006/relationships/hyperlink" Target="https://talan.bank.gov.ua/get-user-certificate/sec1ePBvdVeSEF5tkXCW" TargetMode="External"/><Relationship Id="rId3076" Type="http://schemas.openxmlformats.org/officeDocument/2006/relationships/hyperlink" Target="https://talan.bank.gov.ua/get-user-certificate/sec1erKhrbtYGYD2PXNu" TargetMode="External"/><Relationship Id="rId3490" Type="http://schemas.openxmlformats.org/officeDocument/2006/relationships/hyperlink" Target="https://talan.bank.gov.ua/get-user-certificate/sec1eHJtcQHhEai2QDsl" TargetMode="External"/><Relationship Id="rId4127" Type="http://schemas.openxmlformats.org/officeDocument/2006/relationships/hyperlink" Target="https://talan.bank.gov.ua/get-user-certificate/sec1eyDMcFg9ptp0kBul" TargetMode="External"/><Relationship Id="rId4541" Type="http://schemas.openxmlformats.org/officeDocument/2006/relationships/hyperlink" Target="https://talan.bank.gov.ua/get-user-certificate/sec1e4hc9AM23lXEJO6l" TargetMode="External"/><Relationship Id="rId2092" Type="http://schemas.openxmlformats.org/officeDocument/2006/relationships/hyperlink" Target="https://talan.bank.gov.ua/get-user-certificate/sec1eyu4KqJOCABk9eIk" TargetMode="External"/><Relationship Id="rId3143" Type="http://schemas.openxmlformats.org/officeDocument/2006/relationships/hyperlink" Target="https://talan.bank.gov.ua/get-user-certificate/sec1ekw_uUEKZljTGrQJ" TargetMode="External"/><Relationship Id="rId131" Type="http://schemas.openxmlformats.org/officeDocument/2006/relationships/hyperlink" Target="https://talan.bank.gov.ua/get-user-certificate/sec1egYivFJXyFp55n-B" TargetMode="External"/><Relationship Id="rId3210" Type="http://schemas.openxmlformats.org/officeDocument/2006/relationships/hyperlink" Target="https://talan.bank.gov.ua/get-user-certificate/sec1eSZ2FS9iLE8dnkLL" TargetMode="External"/><Relationship Id="rId2976" Type="http://schemas.openxmlformats.org/officeDocument/2006/relationships/hyperlink" Target="https://talan.bank.gov.ua/get-user-certificate/sec1eMtnNbPK25QIHgwP" TargetMode="External"/><Relationship Id="rId948" Type="http://schemas.openxmlformats.org/officeDocument/2006/relationships/hyperlink" Target="https://talan.bank.gov.ua/get-user-certificate/sec1e5tCBoSIFF4Kmbek" TargetMode="External"/><Relationship Id="rId1578" Type="http://schemas.openxmlformats.org/officeDocument/2006/relationships/hyperlink" Target="https://talan.bank.gov.ua/get-user-certificate/sec1ea8xF7hJfQMg0cFF" TargetMode="External"/><Relationship Id="rId1992" Type="http://schemas.openxmlformats.org/officeDocument/2006/relationships/hyperlink" Target="https://talan.bank.gov.ua/get-user-certificate/sec1eI8uC9DdBpLg1cq8" TargetMode="External"/><Relationship Id="rId2629" Type="http://schemas.openxmlformats.org/officeDocument/2006/relationships/hyperlink" Target="https://talan.bank.gov.ua/get-user-certificate/sec1eTddn9bU-Xa0mkC1" TargetMode="External"/><Relationship Id="rId1645" Type="http://schemas.openxmlformats.org/officeDocument/2006/relationships/hyperlink" Target="https://talan.bank.gov.ua/get-user-certificate/sec1ed8MOGqtZoRE5g5-" TargetMode="External"/><Relationship Id="rId4051" Type="http://schemas.openxmlformats.org/officeDocument/2006/relationships/hyperlink" Target="https://talan.bank.gov.ua/get-user-certificate/sec1eahsjc1fU3c1yBPO" TargetMode="External"/><Relationship Id="rId1712" Type="http://schemas.openxmlformats.org/officeDocument/2006/relationships/hyperlink" Target="https://talan.bank.gov.ua/get-user-certificate/sec1eyq-iyegdR9mbu0u" TargetMode="External"/><Relationship Id="rId4868" Type="http://schemas.openxmlformats.org/officeDocument/2006/relationships/hyperlink" Target="https://talan.bank.gov.ua/get-user-certificate/sec1ejUI4W9LUceNG86M" TargetMode="External"/><Relationship Id="rId3884" Type="http://schemas.openxmlformats.org/officeDocument/2006/relationships/hyperlink" Target="https://talan.bank.gov.ua/get-user-certificate/sec1ei4qj8HklQ5iZxC6" TargetMode="External"/><Relationship Id="rId4935" Type="http://schemas.openxmlformats.org/officeDocument/2006/relationships/hyperlink" Target="https://talan.bank.gov.ua/get-user-certificate/sec1evFrkhIbizQtgIr0" TargetMode="External"/><Relationship Id="rId2486" Type="http://schemas.openxmlformats.org/officeDocument/2006/relationships/hyperlink" Target="https://talan.bank.gov.ua/get-user-certificate/sec1ex2eGcMvGtrYb01O" TargetMode="External"/><Relationship Id="rId3537" Type="http://schemas.openxmlformats.org/officeDocument/2006/relationships/hyperlink" Target="https://talan.bank.gov.ua/get-user-certificate/sec1eoD7wc4J_ySJdu5T" TargetMode="External"/><Relationship Id="rId3951" Type="http://schemas.openxmlformats.org/officeDocument/2006/relationships/hyperlink" Target="https://talan.bank.gov.ua/get-user-certificate/sec1egRU7hg7mfiEW0gY" TargetMode="External"/><Relationship Id="rId458" Type="http://schemas.openxmlformats.org/officeDocument/2006/relationships/hyperlink" Target="https://talan.bank.gov.ua/get-user-certificate/sec1ezOt-NkHQdReviSd" TargetMode="External"/><Relationship Id="rId872" Type="http://schemas.openxmlformats.org/officeDocument/2006/relationships/hyperlink" Target="https://talan.bank.gov.ua/get-user-certificate/sec1eztIhjGS9iG1wlzD" TargetMode="External"/><Relationship Id="rId1088" Type="http://schemas.openxmlformats.org/officeDocument/2006/relationships/hyperlink" Target="https://talan.bank.gov.ua/get-user-certificate/sec1eeF0DHy1HBNjOqmL" TargetMode="External"/><Relationship Id="rId2139" Type="http://schemas.openxmlformats.org/officeDocument/2006/relationships/hyperlink" Target="https://talan.bank.gov.ua/get-user-certificate/sec1e6ySTNpW1tSgsZbQ" TargetMode="External"/><Relationship Id="rId2553" Type="http://schemas.openxmlformats.org/officeDocument/2006/relationships/hyperlink" Target="https://talan.bank.gov.ua/get-user-certificate/sec1e4uEgtSsB_yTdApm" TargetMode="External"/><Relationship Id="rId3604" Type="http://schemas.openxmlformats.org/officeDocument/2006/relationships/hyperlink" Target="https://talan.bank.gov.ua/get-user-certificate/sec1eenUBQPzLMHOMb3E" TargetMode="External"/><Relationship Id="rId525" Type="http://schemas.openxmlformats.org/officeDocument/2006/relationships/hyperlink" Target="https://talan.bank.gov.ua/get-user-certificate/sec1eb8ulwO5AW0hS9v4" TargetMode="External"/><Relationship Id="rId1155" Type="http://schemas.openxmlformats.org/officeDocument/2006/relationships/hyperlink" Target="https://talan.bank.gov.ua/get-user-certificate/sec1eQl78xa40ntlx1Ug" TargetMode="External"/><Relationship Id="rId2206" Type="http://schemas.openxmlformats.org/officeDocument/2006/relationships/hyperlink" Target="https://talan.bank.gov.ua/get-user-certificate/sec1eRbkZMq3ScR8aB82" TargetMode="External"/><Relationship Id="rId2620" Type="http://schemas.openxmlformats.org/officeDocument/2006/relationships/hyperlink" Target="https://talan.bank.gov.ua/get-user-certificate/sec1eZPqiDQPcuXGIdMt" TargetMode="External"/><Relationship Id="rId1222" Type="http://schemas.openxmlformats.org/officeDocument/2006/relationships/hyperlink" Target="https://talan.bank.gov.ua/get-user-certificate/sec1eVajp-bHeJptH8XG" TargetMode="External"/><Relationship Id="rId4378" Type="http://schemas.openxmlformats.org/officeDocument/2006/relationships/hyperlink" Target="https://talan.bank.gov.ua/get-user-certificate/sec1eV10nlmCO6iEnF63" TargetMode="External"/><Relationship Id="rId3394" Type="http://schemas.openxmlformats.org/officeDocument/2006/relationships/hyperlink" Target="https://talan.bank.gov.ua/get-user-certificate/sec1eUENFhAOaiI9D-jn" TargetMode="External"/><Relationship Id="rId4792" Type="http://schemas.openxmlformats.org/officeDocument/2006/relationships/hyperlink" Target="https://talan.bank.gov.ua/get-user-certificate/sec1eecZ7OXmcYThFJ9S" TargetMode="External"/><Relationship Id="rId3047" Type="http://schemas.openxmlformats.org/officeDocument/2006/relationships/hyperlink" Target="https://talan.bank.gov.ua/get-user-certificate/sec1ey5JABv4NV5cU6Mw" TargetMode="External"/><Relationship Id="rId4445" Type="http://schemas.openxmlformats.org/officeDocument/2006/relationships/hyperlink" Target="https://talan.bank.gov.ua/get-user-certificate/sec1eXuBvHltisrXb8rv" TargetMode="External"/><Relationship Id="rId3461" Type="http://schemas.openxmlformats.org/officeDocument/2006/relationships/hyperlink" Target="https://talan.bank.gov.ua/get-user-certificate/sec1e2h7WznEcmCI1bxh" TargetMode="External"/><Relationship Id="rId4512" Type="http://schemas.openxmlformats.org/officeDocument/2006/relationships/hyperlink" Target="https://talan.bank.gov.ua/get-user-certificate/sec1eFt5N7OOVU8gPlp0" TargetMode="External"/><Relationship Id="rId382" Type="http://schemas.openxmlformats.org/officeDocument/2006/relationships/hyperlink" Target="https://talan.bank.gov.ua/get-user-certificate/sec1eI8y1G-6n2ju37k_" TargetMode="External"/><Relationship Id="rId2063" Type="http://schemas.openxmlformats.org/officeDocument/2006/relationships/hyperlink" Target="https://talan.bank.gov.ua/get-user-certificate/sec1eg2zTu_glZgLg60_" TargetMode="External"/><Relationship Id="rId3114" Type="http://schemas.openxmlformats.org/officeDocument/2006/relationships/hyperlink" Target="https://talan.bank.gov.ua/get-user-certificate/sec1e09s-3yiMJsUiJ_C" TargetMode="External"/><Relationship Id="rId2130" Type="http://schemas.openxmlformats.org/officeDocument/2006/relationships/hyperlink" Target="https://talan.bank.gov.ua/get-user-certificate/sec1e1DlV3Bmcty_SJBo" TargetMode="External"/><Relationship Id="rId102" Type="http://schemas.openxmlformats.org/officeDocument/2006/relationships/hyperlink" Target="https://talan.bank.gov.ua/get-user-certificate/sec1ebK8kINetx3zBO8Z" TargetMode="External"/><Relationship Id="rId1896" Type="http://schemas.openxmlformats.org/officeDocument/2006/relationships/hyperlink" Target="https://talan.bank.gov.ua/get-user-certificate/sec1eV-cB-UP-AWiGdak" TargetMode="External"/><Relationship Id="rId2947" Type="http://schemas.openxmlformats.org/officeDocument/2006/relationships/hyperlink" Target="https://talan.bank.gov.ua/get-user-certificate/sec1eMvlrhnU5tW_1iCB" TargetMode="External"/><Relationship Id="rId5006" Type="http://schemas.openxmlformats.org/officeDocument/2006/relationships/hyperlink" Target="https://talan.bank.gov.ua/get-user-certificate/sec1eXJHrYf7thBDteQb" TargetMode="External"/><Relationship Id="rId919" Type="http://schemas.openxmlformats.org/officeDocument/2006/relationships/hyperlink" Target="https://talan.bank.gov.ua/get-user-certificate/sec1eLtF9D-4rPzanowR" TargetMode="External"/><Relationship Id="rId1549" Type="http://schemas.openxmlformats.org/officeDocument/2006/relationships/hyperlink" Target="https://talan.bank.gov.ua/get-user-certificate/sec1eEYGXHHGVRgPJagw" TargetMode="External"/><Relationship Id="rId1963" Type="http://schemas.openxmlformats.org/officeDocument/2006/relationships/hyperlink" Target="https://talan.bank.gov.ua/get-user-certificate/sec1eRQYaqbepU0rEKKY" TargetMode="External"/><Relationship Id="rId4022" Type="http://schemas.openxmlformats.org/officeDocument/2006/relationships/hyperlink" Target="https://talan.bank.gov.ua/get-user-certificate/sec1eKcLabllFh0i2fgI" TargetMode="External"/><Relationship Id="rId1616" Type="http://schemas.openxmlformats.org/officeDocument/2006/relationships/hyperlink" Target="https://talan.bank.gov.ua/get-user-certificate/sec1eCnOh8HiYCY0PVg0" TargetMode="External"/><Relationship Id="rId3788" Type="http://schemas.openxmlformats.org/officeDocument/2006/relationships/hyperlink" Target="https://talan.bank.gov.ua/get-user-certificate/sec1eScO25LaSlgds0Nu" TargetMode="External"/><Relationship Id="rId4839" Type="http://schemas.openxmlformats.org/officeDocument/2006/relationships/hyperlink" Target="https://talan.bank.gov.ua/get-user-certificate/sec1eYRNxoWjExM1Chj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26"/>
  <sheetViews>
    <sheetView tabSelected="1" topLeftCell="A746" workbookViewId="0">
      <selection activeCell="E748" sqref="E748"/>
    </sheetView>
  </sheetViews>
  <sheetFormatPr defaultRowHeight="14.4" x14ac:dyDescent="0.3"/>
  <cols>
    <col min="1" max="1" width="16.109375" style="2" customWidth="1"/>
    <col min="2" max="2" width="18.33203125" style="2" customWidth="1"/>
    <col min="3" max="3" width="35.6640625" style="2" customWidth="1"/>
    <col min="4" max="4" width="65.109375" style="2" customWidth="1"/>
    <col min="5" max="5" width="35.109375" style="2" customWidth="1"/>
    <col min="6" max="16384" width="8.88671875" style="2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10230</v>
      </c>
      <c r="E1" s="1" t="s">
        <v>3</v>
      </c>
    </row>
    <row r="2" spans="1:5" x14ac:dyDescent="0.3">
      <c r="A2" s="2" t="s">
        <v>4</v>
      </c>
      <c r="B2" s="2" t="s">
        <v>5</v>
      </c>
      <c r="C2" s="2" t="s">
        <v>6</v>
      </c>
      <c r="D2" s="2" t="s">
        <v>7</v>
      </c>
      <c r="E2" s="2" t="str">
        <f>HYPERLINK("https://talan.bank.gov.ua/get-user-certificate/sec1efZGTA1u2KgMukty","Завантажити сертифікат")</f>
        <v>Завантажити сертифікат</v>
      </c>
    </row>
    <row r="3" spans="1:5" x14ac:dyDescent="0.3">
      <c r="A3" s="2" t="s">
        <v>8</v>
      </c>
      <c r="B3" s="2" t="s">
        <v>5</v>
      </c>
      <c r="C3" s="2" t="s">
        <v>9</v>
      </c>
      <c r="D3" s="2" t="s">
        <v>7</v>
      </c>
      <c r="E3" s="2" t="str">
        <f>HYPERLINK("https://talan.bank.gov.ua/get-user-certificate/sec1e8y_9hL9E3P66OBs","Завантажити сертифікат")</f>
        <v>Завантажити сертифікат</v>
      </c>
    </row>
    <row r="4" spans="1:5" x14ac:dyDescent="0.3">
      <c r="A4" s="2" t="s">
        <v>10</v>
      </c>
      <c r="B4" s="2" t="s">
        <v>5</v>
      </c>
      <c r="C4" s="2" t="s">
        <v>11</v>
      </c>
      <c r="D4" s="2" t="s">
        <v>7</v>
      </c>
      <c r="E4" s="2" t="str">
        <f>HYPERLINK("https://talan.bank.gov.ua/get-user-certificate/sec1eI40Dz2zN4pORiFu","Завантажити сертифікат")</f>
        <v>Завантажити сертифікат</v>
      </c>
    </row>
    <row r="5" spans="1:5" x14ac:dyDescent="0.3">
      <c r="A5" s="2" t="s">
        <v>12</v>
      </c>
      <c r="B5" s="2" t="s">
        <v>5</v>
      </c>
      <c r="C5" s="2" t="s">
        <v>13</v>
      </c>
      <c r="D5" s="2" t="s">
        <v>7</v>
      </c>
      <c r="E5" s="2" t="str">
        <f>HYPERLINK("https://talan.bank.gov.ua/get-user-certificate/sec1epfDlJnGEUHPrbpO","Завантажити сертифікат")</f>
        <v>Завантажити сертифікат</v>
      </c>
    </row>
    <row r="6" spans="1:5" x14ac:dyDescent="0.3">
      <c r="A6" s="2" t="s">
        <v>14</v>
      </c>
      <c r="B6" s="2" t="s">
        <v>5</v>
      </c>
      <c r="C6" s="2" t="s">
        <v>15</v>
      </c>
      <c r="D6" s="2" t="s">
        <v>7</v>
      </c>
      <c r="E6" s="2" t="str">
        <f>HYPERLINK("https://talan.bank.gov.ua/get-user-certificate/sec1ePq4b2zkTvxJGpk3","Завантажити сертифікат")</f>
        <v>Завантажити сертифікат</v>
      </c>
    </row>
    <row r="7" spans="1:5" x14ac:dyDescent="0.3">
      <c r="A7" s="2" t="s">
        <v>16</v>
      </c>
      <c r="B7" s="2" t="s">
        <v>5</v>
      </c>
      <c r="C7" s="2" t="s">
        <v>17</v>
      </c>
      <c r="D7" s="2" t="s">
        <v>7</v>
      </c>
      <c r="E7" s="2" t="str">
        <f>HYPERLINK("https://talan.bank.gov.ua/get-user-certificate/sec1e0mxnp8nU-bJdcHe","Завантажити сертифікат")</f>
        <v>Завантажити сертифікат</v>
      </c>
    </row>
    <row r="8" spans="1:5" x14ac:dyDescent="0.3">
      <c r="A8" s="2" t="s">
        <v>18</v>
      </c>
      <c r="B8" s="2" t="s">
        <v>5</v>
      </c>
      <c r="C8" s="2" t="s">
        <v>19</v>
      </c>
      <c r="D8" s="2" t="s">
        <v>7</v>
      </c>
      <c r="E8" s="2" t="str">
        <f>HYPERLINK("https://talan.bank.gov.ua/get-user-certificate/sec1eBqMo02VAlU_zMiQ","Завантажити сертифікат")</f>
        <v>Завантажити сертифікат</v>
      </c>
    </row>
    <row r="9" spans="1:5" x14ac:dyDescent="0.3">
      <c r="A9" s="2" t="s">
        <v>20</v>
      </c>
      <c r="B9" s="2" t="s">
        <v>5</v>
      </c>
      <c r="C9" s="2" t="s">
        <v>21</v>
      </c>
      <c r="D9" s="2" t="s">
        <v>7</v>
      </c>
      <c r="E9" s="2" t="str">
        <f>HYPERLINK("https://talan.bank.gov.ua/get-user-certificate/sec1eBpM75L1F8MvAkgv","Завантажити сертифікат")</f>
        <v>Завантажити сертифікат</v>
      </c>
    </row>
    <row r="10" spans="1:5" x14ac:dyDescent="0.3">
      <c r="A10" s="2" t="s">
        <v>22</v>
      </c>
      <c r="B10" s="2" t="s">
        <v>5</v>
      </c>
      <c r="C10" s="2" t="s">
        <v>23</v>
      </c>
      <c r="D10" s="2" t="s">
        <v>7</v>
      </c>
      <c r="E10" s="2" t="str">
        <f>HYPERLINK("https://talan.bank.gov.ua/get-user-certificate/sec1e5n8MAffEJiPaL9w","Завантажити сертифікат")</f>
        <v>Завантажити сертифікат</v>
      </c>
    </row>
    <row r="11" spans="1:5" x14ac:dyDescent="0.3">
      <c r="A11" s="2" t="s">
        <v>24</v>
      </c>
      <c r="B11" s="2" t="s">
        <v>5</v>
      </c>
      <c r="C11" s="2" t="s">
        <v>25</v>
      </c>
      <c r="D11" s="2" t="s">
        <v>26</v>
      </c>
      <c r="E11" s="2" t="str">
        <f>HYPERLINK("https://talan.bank.gov.ua/get-user-certificate/sec1evRwqcnVTkbn53Yb","Завантажити сертифікат")</f>
        <v>Завантажити сертифікат</v>
      </c>
    </row>
    <row r="12" spans="1:5" x14ac:dyDescent="0.3">
      <c r="A12" s="2" t="s">
        <v>27</v>
      </c>
      <c r="B12" s="2" t="s">
        <v>5</v>
      </c>
      <c r="C12" s="2" t="s">
        <v>28</v>
      </c>
      <c r="D12" s="2" t="s">
        <v>26</v>
      </c>
      <c r="E12" s="2" t="str">
        <f>HYPERLINK("https://talan.bank.gov.ua/get-user-certificate/sec1eB6zFpcvqHriyfPK","Завантажити сертифікат")</f>
        <v>Завантажити сертифікат</v>
      </c>
    </row>
    <row r="13" spans="1:5" x14ac:dyDescent="0.3">
      <c r="A13" s="2" t="s">
        <v>29</v>
      </c>
      <c r="B13" s="2" t="s">
        <v>5</v>
      </c>
      <c r="C13" s="2" t="s">
        <v>30</v>
      </c>
      <c r="D13" s="2" t="s">
        <v>26</v>
      </c>
      <c r="E13" s="2" t="str">
        <f>HYPERLINK("https://talan.bank.gov.ua/get-user-certificate/sec1eR1wahnBnKimyHzw","Завантажити сертифікат")</f>
        <v>Завантажити сертифікат</v>
      </c>
    </row>
    <row r="14" spans="1:5" x14ac:dyDescent="0.3">
      <c r="A14" s="2" t="s">
        <v>31</v>
      </c>
      <c r="B14" s="2" t="s">
        <v>5</v>
      </c>
      <c r="C14" s="2" t="s">
        <v>32</v>
      </c>
      <c r="D14" s="2" t="s">
        <v>26</v>
      </c>
      <c r="E14" s="2" t="str">
        <f>HYPERLINK("https://talan.bank.gov.ua/get-user-certificate/sec1eWehtXQgjtWEZBo1","Завантажити сертифікат")</f>
        <v>Завантажити сертифікат</v>
      </c>
    </row>
    <row r="15" spans="1:5" x14ac:dyDescent="0.3">
      <c r="A15" s="2" t="s">
        <v>33</v>
      </c>
      <c r="B15" s="2" t="s">
        <v>5</v>
      </c>
      <c r="C15" s="2" t="s">
        <v>34</v>
      </c>
      <c r="D15" s="2" t="s">
        <v>26</v>
      </c>
      <c r="E15" s="2" t="str">
        <f>HYPERLINK("https://talan.bank.gov.ua/get-user-certificate/sec1eGncZzS2tPwprZKm","Завантажити сертифікат")</f>
        <v>Завантажити сертифікат</v>
      </c>
    </row>
    <row r="16" spans="1:5" x14ac:dyDescent="0.3">
      <c r="A16" s="2" t="s">
        <v>35</v>
      </c>
      <c r="B16" s="2" t="s">
        <v>5</v>
      </c>
      <c r="C16" s="2" t="s">
        <v>36</v>
      </c>
      <c r="D16" s="2" t="s">
        <v>26</v>
      </c>
      <c r="E16" s="2" t="str">
        <f>HYPERLINK("https://talan.bank.gov.ua/get-user-certificate/sec1eM616MiJZLXi7j3x","Завантажити сертифікат")</f>
        <v>Завантажити сертифікат</v>
      </c>
    </row>
    <row r="17" spans="1:5" x14ac:dyDescent="0.3">
      <c r="A17" s="2" t="s">
        <v>37</v>
      </c>
      <c r="B17" s="2" t="s">
        <v>5</v>
      </c>
      <c r="C17" s="2" t="s">
        <v>38</v>
      </c>
      <c r="D17" s="2" t="s">
        <v>26</v>
      </c>
      <c r="E17" s="2" t="str">
        <f>HYPERLINK("https://talan.bank.gov.ua/get-user-certificate/sec1elzMOa8Msl9oCGcf","Завантажити сертифікат")</f>
        <v>Завантажити сертифікат</v>
      </c>
    </row>
    <row r="18" spans="1:5" x14ac:dyDescent="0.3">
      <c r="A18" s="2" t="s">
        <v>39</v>
      </c>
      <c r="B18" s="2" t="s">
        <v>5</v>
      </c>
      <c r="C18" s="2" t="s">
        <v>40</v>
      </c>
      <c r="D18" s="2" t="s">
        <v>26</v>
      </c>
      <c r="E18" s="2" t="str">
        <f>HYPERLINK("https://talan.bank.gov.ua/get-user-certificate/sec1eJf2O44axm9CyUHX","Завантажити сертифікат")</f>
        <v>Завантажити сертифікат</v>
      </c>
    </row>
    <row r="19" spans="1:5" x14ac:dyDescent="0.3">
      <c r="A19" s="2" t="s">
        <v>41</v>
      </c>
      <c r="B19" s="2" t="s">
        <v>5</v>
      </c>
      <c r="C19" s="2" t="s">
        <v>42</v>
      </c>
      <c r="D19" s="2" t="s">
        <v>26</v>
      </c>
      <c r="E19" s="2" t="str">
        <f>HYPERLINK("https://talan.bank.gov.ua/get-user-certificate/sec1eSG8mDizvhjTkPZR","Завантажити сертифікат")</f>
        <v>Завантажити сертифікат</v>
      </c>
    </row>
    <row r="20" spans="1:5" x14ac:dyDescent="0.3">
      <c r="A20" s="2" t="s">
        <v>43</v>
      </c>
      <c r="B20" s="2" t="s">
        <v>5</v>
      </c>
      <c r="C20" s="2" t="s">
        <v>44</v>
      </c>
      <c r="D20" s="2" t="s">
        <v>26</v>
      </c>
      <c r="E20" s="2" t="str">
        <f>HYPERLINK("https://talan.bank.gov.ua/get-user-certificate/sec1eQbMQ7y8bG6Vj7ZF","Завантажити сертифікат")</f>
        <v>Завантажити сертифікат</v>
      </c>
    </row>
    <row r="21" spans="1:5" x14ac:dyDescent="0.3">
      <c r="A21" s="2" t="s">
        <v>45</v>
      </c>
      <c r="B21" s="2" t="s">
        <v>5</v>
      </c>
      <c r="C21" s="2" t="s">
        <v>46</v>
      </c>
      <c r="D21" s="2" t="s">
        <v>26</v>
      </c>
      <c r="E21" s="2" t="str">
        <f>HYPERLINK("https://talan.bank.gov.ua/get-user-certificate/sec1eDqNy8StbrFCPrCv","Завантажити сертифікат")</f>
        <v>Завантажити сертифікат</v>
      </c>
    </row>
    <row r="22" spans="1:5" x14ac:dyDescent="0.3">
      <c r="A22" s="2" t="s">
        <v>47</v>
      </c>
      <c r="B22" s="2" t="s">
        <v>5</v>
      </c>
      <c r="C22" s="2" t="s">
        <v>48</v>
      </c>
      <c r="D22" s="2" t="s">
        <v>26</v>
      </c>
      <c r="E22" s="2" t="str">
        <f>HYPERLINK("https://talan.bank.gov.ua/get-user-certificate/sec1e_DSDwiMBQA76Ixt","Завантажити сертифікат")</f>
        <v>Завантажити сертифікат</v>
      </c>
    </row>
    <row r="23" spans="1:5" x14ac:dyDescent="0.3">
      <c r="A23" s="2" t="s">
        <v>49</v>
      </c>
      <c r="B23" s="2" t="s">
        <v>5</v>
      </c>
      <c r="C23" s="2" t="s">
        <v>50</v>
      </c>
      <c r="D23" s="2" t="s">
        <v>26</v>
      </c>
      <c r="E23" s="2" t="str">
        <f>HYPERLINK("https://talan.bank.gov.ua/get-user-certificate/sec1ePNwi2-SJtqIOO3_","Завантажити сертифікат")</f>
        <v>Завантажити сертифікат</v>
      </c>
    </row>
    <row r="24" spans="1:5" x14ac:dyDescent="0.3">
      <c r="A24" s="2" t="s">
        <v>51</v>
      </c>
      <c r="B24" s="2" t="s">
        <v>5</v>
      </c>
      <c r="C24" s="2" t="s">
        <v>52</v>
      </c>
      <c r="D24" s="2" t="s">
        <v>26</v>
      </c>
      <c r="E24" s="2" t="str">
        <f>HYPERLINK("https://talan.bank.gov.ua/get-user-certificate/sec1ewE0xwDJVKoQdHiG","Завантажити сертифікат")</f>
        <v>Завантажити сертифікат</v>
      </c>
    </row>
    <row r="25" spans="1:5" x14ac:dyDescent="0.3">
      <c r="A25" s="2" t="s">
        <v>53</v>
      </c>
      <c r="B25" s="2" t="s">
        <v>5</v>
      </c>
      <c r="C25" s="2" t="s">
        <v>54</v>
      </c>
      <c r="D25" s="2" t="s">
        <v>26</v>
      </c>
      <c r="E25" s="2" t="str">
        <f>HYPERLINK("https://talan.bank.gov.ua/get-user-certificate/sec1eLtV9HTfVmJ8Q85m","Завантажити сертифікат")</f>
        <v>Завантажити сертифікат</v>
      </c>
    </row>
    <row r="26" spans="1:5" x14ac:dyDescent="0.3">
      <c r="A26" s="2" t="s">
        <v>55</v>
      </c>
      <c r="B26" s="2" t="s">
        <v>5</v>
      </c>
      <c r="C26" s="2" t="s">
        <v>56</v>
      </c>
      <c r="D26" s="2" t="s">
        <v>26</v>
      </c>
      <c r="E26" s="2" t="str">
        <f>HYPERLINK("https://talan.bank.gov.ua/get-user-certificate/sec1eL1pLxtm6x9VLnQ-","Завантажити сертифікат")</f>
        <v>Завантажити сертифікат</v>
      </c>
    </row>
    <row r="27" spans="1:5" x14ac:dyDescent="0.3">
      <c r="A27" s="2" t="s">
        <v>57</v>
      </c>
      <c r="B27" s="2" t="s">
        <v>5</v>
      </c>
      <c r="C27" s="2" t="s">
        <v>58</v>
      </c>
      <c r="D27" s="2" t="s">
        <v>26</v>
      </c>
      <c r="E27" s="2" t="str">
        <f>HYPERLINK("https://talan.bank.gov.ua/get-user-certificate/sec1e8qwL_8IN4_1HI1N","Завантажити сертифікат")</f>
        <v>Завантажити сертифікат</v>
      </c>
    </row>
    <row r="28" spans="1:5" x14ac:dyDescent="0.3">
      <c r="A28" s="2" t="s">
        <v>59</v>
      </c>
      <c r="B28" s="2" t="s">
        <v>5</v>
      </c>
      <c r="C28" s="2" t="s">
        <v>60</v>
      </c>
      <c r="D28" s="2" t="s">
        <v>26</v>
      </c>
      <c r="E28" s="2" t="str">
        <f>HYPERLINK("https://talan.bank.gov.ua/get-user-certificate/sec1eXheQG7MfR9FTZwf","Завантажити сертифікат")</f>
        <v>Завантажити сертифікат</v>
      </c>
    </row>
    <row r="29" spans="1:5" x14ac:dyDescent="0.3">
      <c r="A29" s="2" t="s">
        <v>61</v>
      </c>
      <c r="B29" s="2" t="s">
        <v>5</v>
      </c>
      <c r="C29" s="2" t="s">
        <v>62</v>
      </c>
      <c r="D29" s="2" t="s">
        <v>26</v>
      </c>
      <c r="E29" s="2" t="str">
        <f>HYPERLINK("https://talan.bank.gov.ua/get-user-certificate/sec1epQciuwKfXN3FiA8","Завантажити сертифікат")</f>
        <v>Завантажити сертифікат</v>
      </c>
    </row>
    <row r="30" spans="1:5" x14ac:dyDescent="0.3">
      <c r="A30" s="2" t="s">
        <v>63</v>
      </c>
      <c r="B30" s="2" t="s">
        <v>5</v>
      </c>
      <c r="C30" s="2" t="s">
        <v>64</v>
      </c>
      <c r="D30" s="2" t="s">
        <v>26</v>
      </c>
      <c r="E30" s="2" t="str">
        <f>HYPERLINK("https://talan.bank.gov.ua/get-user-certificate/sec1e3OXImnrGHHGU-CX","Завантажити сертифікат")</f>
        <v>Завантажити сертифікат</v>
      </c>
    </row>
    <row r="31" spans="1:5" x14ac:dyDescent="0.3">
      <c r="A31" s="2" t="s">
        <v>65</v>
      </c>
      <c r="B31" s="2" t="s">
        <v>5</v>
      </c>
      <c r="C31" s="2" t="s">
        <v>66</v>
      </c>
      <c r="D31" s="2" t="s">
        <v>26</v>
      </c>
      <c r="E31" s="2" t="str">
        <f>HYPERLINK("https://talan.bank.gov.ua/get-user-certificate/sec1eNRUlKqvuNIkeb4F","Завантажити сертифікат")</f>
        <v>Завантажити сертифікат</v>
      </c>
    </row>
    <row r="32" spans="1:5" x14ac:dyDescent="0.3">
      <c r="A32" s="2" t="s">
        <v>67</v>
      </c>
      <c r="B32" s="2" t="s">
        <v>5</v>
      </c>
      <c r="C32" s="2" t="s">
        <v>68</v>
      </c>
      <c r="D32" s="2" t="s">
        <v>26</v>
      </c>
      <c r="E32" s="2" t="str">
        <f>HYPERLINK("https://talan.bank.gov.ua/get-user-certificate/sec1e6tKJXt4LRgJQvBv","Завантажити сертифікат")</f>
        <v>Завантажити сертифікат</v>
      </c>
    </row>
    <row r="33" spans="1:5" x14ac:dyDescent="0.3">
      <c r="A33" s="2" t="s">
        <v>69</v>
      </c>
      <c r="B33" s="2" t="s">
        <v>5</v>
      </c>
      <c r="C33" s="2" t="s">
        <v>70</v>
      </c>
      <c r="D33" s="2" t="s">
        <v>26</v>
      </c>
      <c r="E33" s="2" t="str">
        <f>HYPERLINK("https://talan.bank.gov.ua/get-user-certificate/sec1efSA1FAqKYLVeYsE","Завантажити сертифікат")</f>
        <v>Завантажити сертифікат</v>
      </c>
    </row>
    <row r="34" spans="1:5" x14ac:dyDescent="0.3">
      <c r="A34" s="2" t="s">
        <v>71</v>
      </c>
      <c r="B34" s="2" t="s">
        <v>5</v>
      </c>
      <c r="C34" s="2" t="s">
        <v>72</v>
      </c>
      <c r="D34" s="2" t="s">
        <v>26</v>
      </c>
      <c r="E34" s="2" t="str">
        <f>HYPERLINK("https://talan.bank.gov.ua/get-user-certificate/sec1eSnI9hGnJVjUdzrz","Завантажити сертифікат")</f>
        <v>Завантажити сертифікат</v>
      </c>
    </row>
    <row r="35" spans="1:5" x14ac:dyDescent="0.3">
      <c r="A35" s="2" t="s">
        <v>73</v>
      </c>
      <c r="B35" s="2" t="s">
        <v>5</v>
      </c>
      <c r="C35" s="2" t="s">
        <v>74</v>
      </c>
      <c r="D35" s="2" t="s">
        <v>26</v>
      </c>
      <c r="E35" s="2" t="str">
        <f>HYPERLINK("https://talan.bank.gov.ua/get-user-certificate/sec1e5FcIOnN3IFPEAVE","Завантажити сертифікат")</f>
        <v>Завантажити сертифікат</v>
      </c>
    </row>
    <row r="36" spans="1:5" x14ac:dyDescent="0.3">
      <c r="A36" s="2" t="s">
        <v>75</v>
      </c>
      <c r="B36" s="2" t="s">
        <v>5</v>
      </c>
      <c r="C36" s="2" t="s">
        <v>76</v>
      </c>
      <c r="D36" s="2" t="s">
        <v>26</v>
      </c>
      <c r="E36" s="2" t="str">
        <f>HYPERLINK("https://talan.bank.gov.ua/get-user-certificate/sec1ey9N0IirMvgzxzd3","Завантажити сертифікат")</f>
        <v>Завантажити сертифікат</v>
      </c>
    </row>
    <row r="37" spans="1:5" x14ac:dyDescent="0.3">
      <c r="A37" s="2" t="s">
        <v>77</v>
      </c>
      <c r="B37" s="2" t="s">
        <v>5</v>
      </c>
      <c r="C37" s="2" t="s">
        <v>78</v>
      </c>
      <c r="D37" s="2" t="s">
        <v>26</v>
      </c>
      <c r="E37" s="2" t="str">
        <f>HYPERLINK("https://talan.bank.gov.ua/get-user-certificate/sec1exDlAraXNFgXOZrm","Завантажити сертифікат")</f>
        <v>Завантажити сертифікат</v>
      </c>
    </row>
    <row r="38" spans="1:5" x14ac:dyDescent="0.3">
      <c r="A38" s="2" t="s">
        <v>79</v>
      </c>
      <c r="B38" s="2" t="s">
        <v>5</v>
      </c>
      <c r="C38" s="2" t="s">
        <v>80</v>
      </c>
      <c r="D38" s="2" t="s">
        <v>26</v>
      </c>
      <c r="E38" s="2" t="str">
        <f>HYPERLINK("https://talan.bank.gov.ua/get-user-certificate/sec1euwjk6TtUdD5w8Ya","Завантажити сертифікат")</f>
        <v>Завантажити сертифікат</v>
      </c>
    </row>
    <row r="39" spans="1:5" x14ac:dyDescent="0.3">
      <c r="A39" s="2" t="s">
        <v>81</v>
      </c>
      <c r="B39" s="2" t="s">
        <v>5</v>
      </c>
      <c r="C39" s="2" t="s">
        <v>82</v>
      </c>
      <c r="D39" s="2" t="s">
        <v>26</v>
      </c>
      <c r="E39" s="2" t="str">
        <f>HYPERLINK("https://talan.bank.gov.ua/get-user-certificate/sec1eGJIhHqQ1kmcbWGh","Завантажити сертифікат")</f>
        <v>Завантажити сертифікат</v>
      </c>
    </row>
    <row r="40" spans="1:5" x14ac:dyDescent="0.3">
      <c r="A40" s="2" t="s">
        <v>83</v>
      </c>
      <c r="B40" s="2" t="s">
        <v>5</v>
      </c>
      <c r="C40" s="2" t="s">
        <v>84</v>
      </c>
      <c r="D40" s="2" t="s">
        <v>26</v>
      </c>
      <c r="E40" s="2" t="str">
        <f>HYPERLINK("https://talan.bank.gov.ua/get-user-certificate/sec1eCJeFzaXViB9tUBZ","Завантажити сертифікат")</f>
        <v>Завантажити сертифікат</v>
      </c>
    </row>
    <row r="41" spans="1:5" x14ac:dyDescent="0.3">
      <c r="A41" s="2" t="s">
        <v>85</v>
      </c>
      <c r="B41" s="2" t="s">
        <v>5</v>
      </c>
      <c r="C41" s="2" t="s">
        <v>86</v>
      </c>
      <c r="D41" s="2" t="s">
        <v>26</v>
      </c>
      <c r="E41" s="2" t="str">
        <f>HYPERLINK("https://talan.bank.gov.ua/get-user-certificate/sec1egTDm8QipWc-9Ume","Завантажити сертифікат")</f>
        <v>Завантажити сертифікат</v>
      </c>
    </row>
    <row r="42" spans="1:5" x14ac:dyDescent="0.3">
      <c r="A42" s="2" t="s">
        <v>87</v>
      </c>
      <c r="B42" s="2" t="s">
        <v>5</v>
      </c>
      <c r="C42" s="2" t="s">
        <v>88</v>
      </c>
      <c r="D42" s="2" t="s">
        <v>89</v>
      </c>
      <c r="E42" s="2" t="str">
        <f>HYPERLINK("https://talan.bank.gov.ua/get-user-certificate/sec1eRVQxiG3HQ4JjxtG","Завантажити сертифікат")</f>
        <v>Завантажити сертифікат</v>
      </c>
    </row>
    <row r="43" spans="1:5" x14ac:dyDescent="0.3">
      <c r="A43" s="2" t="s">
        <v>90</v>
      </c>
      <c r="B43" s="2" t="s">
        <v>5</v>
      </c>
      <c r="C43" s="2" t="s">
        <v>91</v>
      </c>
      <c r="D43" s="2" t="s">
        <v>89</v>
      </c>
      <c r="E43" s="2" t="str">
        <f>HYPERLINK("https://talan.bank.gov.ua/get-user-certificate/sec1e1Lfq7Xau0B91ln1","Завантажити сертифікат")</f>
        <v>Завантажити сертифікат</v>
      </c>
    </row>
    <row r="44" spans="1:5" x14ac:dyDescent="0.3">
      <c r="A44" s="2" t="s">
        <v>92</v>
      </c>
      <c r="B44" s="2" t="s">
        <v>5</v>
      </c>
      <c r="C44" s="2" t="s">
        <v>93</v>
      </c>
      <c r="D44" s="2" t="s">
        <v>89</v>
      </c>
      <c r="E44" s="2" t="str">
        <f>HYPERLINK("https://talan.bank.gov.ua/get-user-certificate/sec1eTKdgQA65ylesJAp","Завантажити сертифікат")</f>
        <v>Завантажити сертифікат</v>
      </c>
    </row>
    <row r="45" spans="1:5" x14ac:dyDescent="0.3">
      <c r="A45" s="2" t="s">
        <v>94</v>
      </c>
      <c r="B45" s="2" t="s">
        <v>5</v>
      </c>
      <c r="C45" s="2" t="s">
        <v>95</v>
      </c>
      <c r="D45" s="2" t="s">
        <v>89</v>
      </c>
      <c r="E45" s="2" t="str">
        <f>HYPERLINK("https://talan.bank.gov.ua/get-user-certificate/sec1eIzZPl5m1G-YMaJb","Завантажити сертифікат")</f>
        <v>Завантажити сертифікат</v>
      </c>
    </row>
    <row r="46" spans="1:5" x14ac:dyDescent="0.3">
      <c r="A46" s="2" t="s">
        <v>96</v>
      </c>
      <c r="B46" s="2" t="s">
        <v>5</v>
      </c>
      <c r="C46" s="2" t="s">
        <v>97</v>
      </c>
      <c r="D46" s="2" t="s">
        <v>89</v>
      </c>
      <c r="E46" s="2" t="str">
        <f>HYPERLINK("https://talan.bank.gov.ua/get-user-certificate/sec1eE3xfbmbys3queKk","Завантажити сертифікат")</f>
        <v>Завантажити сертифікат</v>
      </c>
    </row>
    <row r="47" spans="1:5" x14ac:dyDescent="0.3">
      <c r="A47" s="2" t="s">
        <v>98</v>
      </c>
      <c r="B47" s="2" t="s">
        <v>5</v>
      </c>
      <c r="C47" s="2" t="s">
        <v>99</v>
      </c>
      <c r="D47" s="2" t="s">
        <v>89</v>
      </c>
      <c r="E47" s="2" t="str">
        <f>HYPERLINK("https://talan.bank.gov.ua/get-user-certificate/sec1e_sKnFba--NdfS78","Завантажити сертифікат")</f>
        <v>Завантажити сертифікат</v>
      </c>
    </row>
    <row r="48" spans="1:5" x14ac:dyDescent="0.3">
      <c r="A48" s="2" t="s">
        <v>100</v>
      </c>
      <c r="B48" s="2" t="s">
        <v>5</v>
      </c>
      <c r="C48" s="2" t="s">
        <v>101</v>
      </c>
      <c r="D48" s="2" t="s">
        <v>89</v>
      </c>
      <c r="E48" s="2" t="str">
        <f>HYPERLINK("https://talan.bank.gov.ua/get-user-certificate/sec1ehV_uOTYoP9EXEbM","Завантажити сертифікат")</f>
        <v>Завантажити сертифікат</v>
      </c>
    </row>
    <row r="49" spans="1:5" x14ac:dyDescent="0.3">
      <c r="A49" s="2" t="s">
        <v>102</v>
      </c>
      <c r="B49" s="2" t="s">
        <v>5</v>
      </c>
      <c r="C49" s="2" t="s">
        <v>103</v>
      </c>
      <c r="D49" s="2" t="s">
        <v>89</v>
      </c>
      <c r="E49" s="2" t="str">
        <f>HYPERLINK("https://talan.bank.gov.ua/get-user-certificate/sec1epktbFIfItI0CUBf","Завантажити сертифікат")</f>
        <v>Завантажити сертифікат</v>
      </c>
    </row>
    <row r="50" spans="1:5" x14ac:dyDescent="0.3">
      <c r="A50" s="2" t="s">
        <v>104</v>
      </c>
      <c r="B50" s="2" t="s">
        <v>5</v>
      </c>
      <c r="C50" s="2" t="s">
        <v>105</v>
      </c>
      <c r="D50" s="2" t="s">
        <v>89</v>
      </c>
      <c r="E50" s="2" t="str">
        <f>HYPERLINK("https://talan.bank.gov.ua/get-user-certificate/sec1ei6L2V7gaNwND_Zl","Завантажити сертифікат")</f>
        <v>Завантажити сертифікат</v>
      </c>
    </row>
    <row r="51" spans="1:5" x14ac:dyDescent="0.3">
      <c r="A51" s="2" t="s">
        <v>106</v>
      </c>
      <c r="B51" s="2" t="s">
        <v>5</v>
      </c>
      <c r="C51" s="2" t="s">
        <v>107</v>
      </c>
      <c r="D51" s="2" t="s">
        <v>89</v>
      </c>
      <c r="E51" s="2" t="str">
        <f>HYPERLINK("https://talan.bank.gov.ua/get-user-certificate/sec1e7mIyBi3CbZDvF9l","Завантажити сертифікат")</f>
        <v>Завантажити сертифікат</v>
      </c>
    </row>
    <row r="52" spans="1:5" x14ac:dyDescent="0.3">
      <c r="A52" s="2" t="s">
        <v>108</v>
      </c>
      <c r="B52" s="2" t="s">
        <v>5</v>
      </c>
      <c r="C52" s="2" t="s">
        <v>109</v>
      </c>
      <c r="D52" s="2" t="s">
        <v>89</v>
      </c>
      <c r="E52" s="2" t="str">
        <f>HYPERLINK("https://talan.bank.gov.ua/get-user-certificate/sec1eQBkBaFXKyJrIK3A","Завантажити сертифікат")</f>
        <v>Завантажити сертифікат</v>
      </c>
    </row>
    <row r="53" spans="1:5" x14ac:dyDescent="0.3">
      <c r="A53" s="2" t="s">
        <v>110</v>
      </c>
      <c r="B53" s="2" t="s">
        <v>5</v>
      </c>
      <c r="C53" s="2" t="s">
        <v>111</v>
      </c>
      <c r="D53" s="2" t="s">
        <v>89</v>
      </c>
      <c r="E53" s="2" t="str">
        <f>HYPERLINK("https://talan.bank.gov.ua/get-user-certificate/sec1edR_X-YPdNMFlksL","Завантажити сертифікат")</f>
        <v>Завантажити сертифікат</v>
      </c>
    </row>
    <row r="54" spans="1:5" x14ac:dyDescent="0.3">
      <c r="A54" s="2" t="s">
        <v>112</v>
      </c>
      <c r="B54" s="2" t="s">
        <v>5</v>
      </c>
      <c r="C54" s="2" t="s">
        <v>113</v>
      </c>
      <c r="D54" s="2" t="s">
        <v>89</v>
      </c>
      <c r="E54" s="2" t="str">
        <f>HYPERLINK("https://talan.bank.gov.ua/get-user-certificate/sec1e2i0-Lj0BFWhcSIh","Завантажити сертифікат")</f>
        <v>Завантажити сертифікат</v>
      </c>
    </row>
    <row r="55" spans="1:5" x14ac:dyDescent="0.3">
      <c r="A55" s="2" t="s">
        <v>114</v>
      </c>
      <c r="B55" s="2" t="s">
        <v>5</v>
      </c>
      <c r="C55" s="2" t="s">
        <v>115</v>
      </c>
      <c r="D55" s="2" t="s">
        <v>89</v>
      </c>
      <c r="E55" s="2" t="str">
        <f>HYPERLINK("https://talan.bank.gov.ua/get-user-certificate/sec1e6r_Ki7wz2-AjATw","Завантажити сертифікат")</f>
        <v>Завантажити сертифікат</v>
      </c>
    </row>
    <row r="56" spans="1:5" x14ac:dyDescent="0.3">
      <c r="A56" s="2" t="s">
        <v>116</v>
      </c>
      <c r="B56" s="2" t="s">
        <v>5</v>
      </c>
      <c r="C56" s="2" t="s">
        <v>117</v>
      </c>
      <c r="D56" s="2" t="s">
        <v>89</v>
      </c>
      <c r="E56" s="2" t="str">
        <f>HYPERLINK("https://talan.bank.gov.ua/get-user-certificate/sec1e3p0CqO1YUV55X1a","Завантажити сертифікат")</f>
        <v>Завантажити сертифікат</v>
      </c>
    </row>
    <row r="57" spans="1:5" x14ac:dyDescent="0.3">
      <c r="A57" s="2" t="s">
        <v>118</v>
      </c>
      <c r="B57" s="2" t="s">
        <v>5</v>
      </c>
      <c r="C57" s="2" t="s">
        <v>119</v>
      </c>
      <c r="D57" s="2" t="s">
        <v>89</v>
      </c>
      <c r="E57" s="2" t="str">
        <f>HYPERLINK("https://talan.bank.gov.ua/get-user-certificate/sec1ePCjDQXmLIUgv25l","Завантажити сертифікат")</f>
        <v>Завантажити сертифікат</v>
      </c>
    </row>
    <row r="58" spans="1:5" x14ac:dyDescent="0.3">
      <c r="A58" s="2" t="s">
        <v>120</v>
      </c>
      <c r="B58" s="2" t="s">
        <v>5</v>
      </c>
      <c r="C58" s="2" t="s">
        <v>121</v>
      </c>
      <c r="D58" s="2" t="s">
        <v>89</v>
      </c>
      <c r="E58" s="2" t="str">
        <f>HYPERLINK("https://talan.bank.gov.ua/get-user-certificate/sec1eENP499wQ9ipR5zQ","Завантажити сертифікат")</f>
        <v>Завантажити сертифікат</v>
      </c>
    </row>
    <row r="59" spans="1:5" x14ac:dyDescent="0.3">
      <c r="A59" s="2" t="s">
        <v>122</v>
      </c>
      <c r="B59" s="2" t="s">
        <v>5</v>
      </c>
      <c r="C59" s="2" t="s">
        <v>123</v>
      </c>
      <c r="D59" s="2" t="s">
        <v>89</v>
      </c>
      <c r="E59" s="2" t="str">
        <f>HYPERLINK("https://talan.bank.gov.ua/get-user-certificate/sec1eBOCYxfYQq-ylfj6","Завантажити сертифікат")</f>
        <v>Завантажити сертифікат</v>
      </c>
    </row>
    <row r="60" spans="1:5" x14ac:dyDescent="0.3">
      <c r="A60" s="2" t="s">
        <v>124</v>
      </c>
      <c r="B60" s="2" t="s">
        <v>5</v>
      </c>
      <c r="C60" s="2" t="s">
        <v>125</v>
      </c>
      <c r="D60" s="2" t="s">
        <v>89</v>
      </c>
      <c r="E60" s="2" t="str">
        <f>HYPERLINK("https://talan.bank.gov.ua/get-user-certificate/sec1ehbtejVfwZbIDrrM","Завантажити сертифікат")</f>
        <v>Завантажити сертифікат</v>
      </c>
    </row>
    <row r="61" spans="1:5" x14ac:dyDescent="0.3">
      <c r="A61" s="2" t="s">
        <v>126</v>
      </c>
      <c r="B61" s="2" t="s">
        <v>5</v>
      </c>
      <c r="C61" s="2" t="s">
        <v>127</v>
      </c>
      <c r="D61" s="2" t="s">
        <v>89</v>
      </c>
      <c r="E61" s="2" t="str">
        <f>HYPERLINK("https://talan.bank.gov.ua/get-user-certificate/sec1e8ceTFJ734Mnz3q4","Завантажити сертифікат")</f>
        <v>Завантажити сертифікат</v>
      </c>
    </row>
    <row r="62" spans="1:5" x14ac:dyDescent="0.3">
      <c r="A62" s="2" t="s">
        <v>128</v>
      </c>
      <c r="B62" s="2" t="s">
        <v>5</v>
      </c>
      <c r="C62" s="2" t="s">
        <v>129</v>
      </c>
      <c r="D62" s="2" t="s">
        <v>89</v>
      </c>
      <c r="E62" s="2" t="str">
        <f>HYPERLINK("https://talan.bank.gov.ua/get-user-certificate/sec1eobrvgWYULIpLDze","Завантажити сертифікат")</f>
        <v>Завантажити сертифікат</v>
      </c>
    </row>
    <row r="63" spans="1:5" x14ac:dyDescent="0.3">
      <c r="A63" s="2" t="s">
        <v>130</v>
      </c>
      <c r="B63" s="2" t="s">
        <v>5</v>
      </c>
      <c r="C63" s="2" t="s">
        <v>131</v>
      </c>
      <c r="D63" s="2" t="s">
        <v>89</v>
      </c>
      <c r="E63" s="2" t="str">
        <f>HYPERLINK("https://talan.bank.gov.ua/get-user-certificate/sec1ePyXpm6CdDDyT61s","Завантажити сертифікат")</f>
        <v>Завантажити сертифікат</v>
      </c>
    </row>
    <row r="64" spans="1:5" x14ac:dyDescent="0.3">
      <c r="A64" s="2" t="s">
        <v>132</v>
      </c>
      <c r="B64" s="2" t="s">
        <v>5</v>
      </c>
      <c r="C64" s="2" t="s">
        <v>133</v>
      </c>
      <c r="D64" s="2" t="s">
        <v>134</v>
      </c>
      <c r="E64" s="2" t="str">
        <f>HYPERLINK("https://talan.bank.gov.ua/get-user-certificate/sec1eKtUTAOAs_QtYGqk","Завантажити сертифікат")</f>
        <v>Завантажити сертифікат</v>
      </c>
    </row>
    <row r="65" spans="1:5" x14ac:dyDescent="0.3">
      <c r="A65" s="2" t="s">
        <v>135</v>
      </c>
      <c r="B65" s="2" t="s">
        <v>5</v>
      </c>
      <c r="C65" s="2" t="s">
        <v>136</v>
      </c>
      <c r="D65" s="2" t="s">
        <v>134</v>
      </c>
      <c r="E65" s="2" t="str">
        <f>HYPERLINK("https://talan.bank.gov.ua/get-user-certificate/sec1ePArwvtlUPAWHevh","Завантажити сертифікат")</f>
        <v>Завантажити сертифікат</v>
      </c>
    </row>
    <row r="66" spans="1:5" x14ac:dyDescent="0.3">
      <c r="A66" s="2" t="s">
        <v>137</v>
      </c>
      <c r="B66" s="2" t="s">
        <v>5</v>
      </c>
      <c r="C66" s="2" t="s">
        <v>138</v>
      </c>
      <c r="D66" s="2" t="s">
        <v>134</v>
      </c>
      <c r="E66" s="2" t="str">
        <f>HYPERLINK("https://talan.bank.gov.ua/get-user-certificate/sec1eS3jtCeOwshiKor8","Завантажити сертифікат")</f>
        <v>Завантажити сертифікат</v>
      </c>
    </row>
    <row r="67" spans="1:5" x14ac:dyDescent="0.3">
      <c r="A67" s="2" t="s">
        <v>139</v>
      </c>
      <c r="B67" s="2" t="s">
        <v>5</v>
      </c>
      <c r="C67" s="2" t="s">
        <v>140</v>
      </c>
      <c r="D67" s="2" t="s">
        <v>134</v>
      </c>
      <c r="E67" s="2" t="str">
        <f>HYPERLINK("https://talan.bank.gov.ua/get-user-certificate/sec1eohwNT42SCjdhT2b","Завантажити сертифікат")</f>
        <v>Завантажити сертифікат</v>
      </c>
    </row>
    <row r="68" spans="1:5" x14ac:dyDescent="0.3">
      <c r="A68" s="2" t="s">
        <v>141</v>
      </c>
      <c r="B68" s="2" t="s">
        <v>5</v>
      </c>
      <c r="C68" s="2" t="s">
        <v>142</v>
      </c>
      <c r="D68" s="2" t="s">
        <v>134</v>
      </c>
      <c r="E68" s="2" t="str">
        <f>HYPERLINK("https://talan.bank.gov.ua/get-user-certificate/sec1ecy6b1J1uYWbuXeI","Завантажити сертифікат")</f>
        <v>Завантажити сертифікат</v>
      </c>
    </row>
    <row r="69" spans="1:5" x14ac:dyDescent="0.3">
      <c r="A69" s="2" t="s">
        <v>143</v>
      </c>
      <c r="B69" s="2" t="s">
        <v>5</v>
      </c>
      <c r="C69" s="2" t="s">
        <v>144</v>
      </c>
      <c r="D69" s="2" t="s">
        <v>134</v>
      </c>
      <c r="E69" s="2" t="str">
        <f>HYPERLINK("https://talan.bank.gov.ua/get-user-certificate/sec1eVqV3Ukwbh5Rm2xH","Завантажити сертифікат")</f>
        <v>Завантажити сертифікат</v>
      </c>
    </row>
    <row r="70" spans="1:5" x14ac:dyDescent="0.3">
      <c r="A70" s="2" t="s">
        <v>145</v>
      </c>
      <c r="B70" s="2" t="s">
        <v>5</v>
      </c>
      <c r="C70" s="2" t="s">
        <v>146</v>
      </c>
      <c r="D70" s="2" t="s">
        <v>134</v>
      </c>
      <c r="E70" s="2" t="str">
        <f>HYPERLINK("https://talan.bank.gov.ua/get-user-certificate/sec1eywRx_IXok_vE6QO","Завантажити сертифікат")</f>
        <v>Завантажити сертифікат</v>
      </c>
    </row>
    <row r="71" spans="1:5" x14ac:dyDescent="0.3">
      <c r="A71" s="2" t="s">
        <v>147</v>
      </c>
      <c r="B71" s="2" t="s">
        <v>5</v>
      </c>
      <c r="C71" s="2" t="s">
        <v>148</v>
      </c>
      <c r="D71" s="2" t="s">
        <v>134</v>
      </c>
      <c r="E71" s="2" t="str">
        <f>HYPERLINK("https://talan.bank.gov.ua/get-user-certificate/sec1eyizd309DMXKYTXQ","Завантажити сертифікат")</f>
        <v>Завантажити сертифікат</v>
      </c>
    </row>
    <row r="72" spans="1:5" x14ac:dyDescent="0.3">
      <c r="A72" s="2" t="s">
        <v>149</v>
      </c>
      <c r="B72" s="2" t="s">
        <v>5</v>
      </c>
      <c r="C72" s="2" t="s">
        <v>150</v>
      </c>
      <c r="D72" s="2" t="s">
        <v>134</v>
      </c>
      <c r="E72" s="2" t="str">
        <f>HYPERLINK("https://talan.bank.gov.ua/get-user-certificate/sec1epglVT7Axz46uSDj","Завантажити сертифікат")</f>
        <v>Завантажити сертифікат</v>
      </c>
    </row>
    <row r="73" spans="1:5" x14ac:dyDescent="0.3">
      <c r="A73" s="2" t="s">
        <v>151</v>
      </c>
      <c r="B73" s="2" t="s">
        <v>5</v>
      </c>
      <c r="C73" s="2" t="s">
        <v>152</v>
      </c>
      <c r="D73" s="2" t="s">
        <v>134</v>
      </c>
      <c r="E73" s="2" t="str">
        <f>HYPERLINK("https://talan.bank.gov.ua/get-user-certificate/sec1e5wzwaJHclEer3j9","Завантажити сертифікат")</f>
        <v>Завантажити сертифікат</v>
      </c>
    </row>
    <row r="74" spans="1:5" x14ac:dyDescent="0.3">
      <c r="A74" s="2" t="s">
        <v>153</v>
      </c>
      <c r="B74" s="2" t="s">
        <v>5</v>
      </c>
      <c r="C74" s="2" t="s">
        <v>154</v>
      </c>
      <c r="D74" s="2" t="s">
        <v>134</v>
      </c>
      <c r="E74" s="2" t="str">
        <f>HYPERLINK("https://talan.bank.gov.ua/get-user-certificate/sec1ejK0Ve1-_fRIAb_H","Завантажити сертифікат")</f>
        <v>Завантажити сертифікат</v>
      </c>
    </row>
    <row r="75" spans="1:5" x14ac:dyDescent="0.3">
      <c r="A75" s="2" t="s">
        <v>155</v>
      </c>
      <c r="B75" s="2" t="s">
        <v>5</v>
      </c>
      <c r="C75" s="2" t="s">
        <v>156</v>
      </c>
      <c r="D75" s="2" t="s">
        <v>134</v>
      </c>
      <c r="E75" s="2" t="str">
        <f>HYPERLINK("https://talan.bank.gov.ua/get-user-certificate/sec1eTEdexk7w2HoEwd4","Завантажити сертифікат")</f>
        <v>Завантажити сертифікат</v>
      </c>
    </row>
    <row r="76" spans="1:5" x14ac:dyDescent="0.3">
      <c r="A76" s="2" t="s">
        <v>157</v>
      </c>
      <c r="B76" s="2" t="s">
        <v>5</v>
      </c>
      <c r="C76" s="2" t="s">
        <v>158</v>
      </c>
      <c r="D76" s="2" t="s">
        <v>134</v>
      </c>
      <c r="E76" s="2" t="str">
        <f>HYPERLINK("https://talan.bank.gov.ua/get-user-certificate/sec1e_gbu946XuZkeCKE","Завантажити сертифікат")</f>
        <v>Завантажити сертифікат</v>
      </c>
    </row>
    <row r="77" spans="1:5" x14ac:dyDescent="0.3">
      <c r="A77" s="2" t="s">
        <v>159</v>
      </c>
      <c r="B77" s="2" t="s">
        <v>5</v>
      </c>
      <c r="C77" s="2" t="s">
        <v>160</v>
      </c>
      <c r="D77" s="2" t="s">
        <v>134</v>
      </c>
      <c r="E77" s="2" t="str">
        <f>HYPERLINK("https://talan.bank.gov.ua/get-user-certificate/sec1eUHAsfDL3mqrHHXd","Завантажити сертифікат")</f>
        <v>Завантажити сертифікат</v>
      </c>
    </row>
    <row r="78" spans="1:5" x14ac:dyDescent="0.3">
      <c r="A78" s="2" t="s">
        <v>161</v>
      </c>
      <c r="B78" s="2" t="s">
        <v>5</v>
      </c>
      <c r="C78" s="2" t="s">
        <v>162</v>
      </c>
      <c r="D78" s="2" t="s">
        <v>134</v>
      </c>
      <c r="E78" s="2" t="str">
        <f>HYPERLINK("https://talan.bank.gov.ua/get-user-certificate/sec1eOSrSRhgW2iPEC5k","Завантажити сертифікат")</f>
        <v>Завантажити сертифікат</v>
      </c>
    </row>
    <row r="79" spans="1:5" x14ac:dyDescent="0.3">
      <c r="A79" s="2" t="s">
        <v>163</v>
      </c>
      <c r="B79" s="2" t="s">
        <v>5</v>
      </c>
      <c r="C79" s="2" t="s">
        <v>164</v>
      </c>
      <c r="D79" s="2" t="s">
        <v>134</v>
      </c>
      <c r="E79" s="2" t="str">
        <f>HYPERLINK("https://talan.bank.gov.ua/get-user-certificate/sec1eiw3Q-YKtEqcc11G","Завантажити сертифікат")</f>
        <v>Завантажити сертифікат</v>
      </c>
    </row>
    <row r="80" spans="1:5" x14ac:dyDescent="0.3">
      <c r="A80" s="2" t="s">
        <v>165</v>
      </c>
      <c r="B80" s="2" t="s">
        <v>5</v>
      </c>
      <c r="C80" s="2" t="s">
        <v>166</v>
      </c>
      <c r="D80" s="2" t="s">
        <v>134</v>
      </c>
      <c r="E80" s="2" t="str">
        <f>HYPERLINK("https://talan.bank.gov.ua/get-user-certificate/sec1eA4i-9gWrrU7rgC4","Завантажити сертифікат")</f>
        <v>Завантажити сертифікат</v>
      </c>
    </row>
    <row r="81" spans="1:5" x14ac:dyDescent="0.3">
      <c r="A81" s="2" t="s">
        <v>167</v>
      </c>
      <c r="B81" s="2" t="s">
        <v>5</v>
      </c>
      <c r="C81" s="2" t="s">
        <v>168</v>
      </c>
      <c r="D81" s="2" t="s">
        <v>134</v>
      </c>
      <c r="E81" s="2" t="str">
        <f>HYPERLINK("https://talan.bank.gov.ua/get-user-certificate/sec1e4YoOTbMs4oiM6Wz","Завантажити сертифікат")</f>
        <v>Завантажити сертифікат</v>
      </c>
    </row>
    <row r="82" spans="1:5" x14ac:dyDescent="0.3">
      <c r="A82" s="2" t="s">
        <v>169</v>
      </c>
      <c r="B82" s="2" t="s">
        <v>5</v>
      </c>
      <c r="C82" s="2" t="s">
        <v>170</v>
      </c>
      <c r="D82" s="2" t="s">
        <v>134</v>
      </c>
      <c r="E82" s="2" t="str">
        <f>HYPERLINK("https://talan.bank.gov.ua/get-user-certificate/sec1ezFMmF7WPJGYj1Bt","Завантажити сертифікат")</f>
        <v>Завантажити сертифікат</v>
      </c>
    </row>
    <row r="83" spans="1:5" x14ac:dyDescent="0.3">
      <c r="A83" s="2" t="s">
        <v>171</v>
      </c>
      <c r="B83" s="2" t="s">
        <v>5</v>
      </c>
      <c r="C83" s="2" t="s">
        <v>172</v>
      </c>
      <c r="D83" s="2" t="s">
        <v>134</v>
      </c>
      <c r="E83" s="2" t="str">
        <f>HYPERLINK("https://talan.bank.gov.ua/get-user-certificate/sec1eJ0afsYR_sQ6d5l1","Завантажити сертифікат")</f>
        <v>Завантажити сертифікат</v>
      </c>
    </row>
    <row r="84" spans="1:5" x14ac:dyDescent="0.3">
      <c r="A84" s="2" t="s">
        <v>173</v>
      </c>
      <c r="B84" s="2" t="s">
        <v>5</v>
      </c>
      <c r="C84" s="2" t="s">
        <v>174</v>
      </c>
      <c r="D84" s="2" t="s">
        <v>134</v>
      </c>
      <c r="E84" s="2" t="str">
        <f>HYPERLINK("https://talan.bank.gov.ua/get-user-certificate/sec1el-9mlrptVQcuumt","Завантажити сертифікат")</f>
        <v>Завантажити сертифікат</v>
      </c>
    </row>
    <row r="85" spans="1:5" x14ac:dyDescent="0.3">
      <c r="A85" s="2" t="s">
        <v>175</v>
      </c>
      <c r="B85" s="2" t="s">
        <v>5</v>
      </c>
      <c r="C85" s="2" t="s">
        <v>176</v>
      </c>
      <c r="D85" s="2" t="s">
        <v>134</v>
      </c>
      <c r="E85" s="2" t="str">
        <f>HYPERLINK("https://talan.bank.gov.ua/get-user-certificate/sec1eCOXKdCH0-r4Ya4k","Завантажити сертифікат")</f>
        <v>Завантажити сертифікат</v>
      </c>
    </row>
    <row r="86" spans="1:5" x14ac:dyDescent="0.3">
      <c r="A86" s="2" t="s">
        <v>177</v>
      </c>
      <c r="B86" s="2" t="s">
        <v>5</v>
      </c>
      <c r="C86" s="2" t="s">
        <v>178</v>
      </c>
      <c r="D86" s="2" t="s">
        <v>134</v>
      </c>
      <c r="E86" s="2" t="str">
        <f>HYPERLINK("https://talan.bank.gov.ua/get-user-certificate/sec1eznww_8QccaUcUHH","Завантажити сертифікат")</f>
        <v>Завантажити сертифікат</v>
      </c>
    </row>
    <row r="87" spans="1:5" x14ac:dyDescent="0.3">
      <c r="A87" s="2" t="s">
        <v>179</v>
      </c>
      <c r="B87" s="2" t="s">
        <v>5</v>
      </c>
      <c r="C87" s="2" t="s">
        <v>180</v>
      </c>
      <c r="D87" s="2" t="s">
        <v>181</v>
      </c>
      <c r="E87" s="2" t="str">
        <f>HYPERLINK("https://talan.bank.gov.ua/get-user-certificate/sec1eJPgExYgINvy3uw9","Завантажити сертифікат")</f>
        <v>Завантажити сертифікат</v>
      </c>
    </row>
    <row r="88" spans="1:5" x14ac:dyDescent="0.3">
      <c r="A88" s="2" t="s">
        <v>182</v>
      </c>
      <c r="B88" s="2" t="s">
        <v>5</v>
      </c>
      <c r="C88" s="2" t="s">
        <v>183</v>
      </c>
      <c r="D88" s="2" t="s">
        <v>181</v>
      </c>
      <c r="E88" s="2" t="str">
        <f>HYPERLINK("https://talan.bank.gov.ua/get-user-certificate/sec1eGK5ITGaxj7-dGgj","Завантажити сертифікат")</f>
        <v>Завантажити сертифікат</v>
      </c>
    </row>
    <row r="89" spans="1:5" x14ac:dyDescent="0.3">
      <c r="A89" s="2" t="s">
        <v>184</v>
      </c>
      <c r="B89" s="2" t="s">
        <v>5</v>
      </c>
      <c r="C89" s="2" t="s">
        <v>185</v>
      </c>
      <c r="D89" s="2" t="s">
        <v>181</v>
      </c>
      <c r="E89" s="2" t="str">
        <f>HYPERLINK("https://talan.bank.gov.ua/get-user-certificate/sec1eDtnIpYKYB8dKKpU","Завантажити сертифікат")</f>
        <v>Завантажити сертифікат</v>
      </c>
    </row>
    <row r="90" spans="1:5" x14ac:dyDescent="0.3">
      <c r="A90" s="2" t="s">
        <v>186</v>
      </c>
      <c r="B90" s="2" t="s">
        <v>5</v>
      </c>
      <c r="C90" s="2" t="s">
        <v>187</v>
      </c>
      <c r="D90" s="2" t="s">
        <v>181</v>
      </c>
      <c r="E90" s="2" t="str">
        <f>HYPERLINK("https://talan.bank.gov.ua/get-user-certificate/sec1enn5OCeIe3QvXTcC","Завантажити сертифікат")</f>
        <v>Завантажити сертифікат</v>
      </c>
    </row>
    <row r="91" spans="1:5" x14ac:dyDescent="0.3">
      <c r="A91" s="2" t="s">
        <v>188</v>
      </c>
      <c r="B91" s="2" t="s">
        <v>5</v>
      </c>
      <c r="C91" s="2" t="s">
        <v>189</v>
      </c>
      <c r="D91" s="2" t="s">
        <v>190</v>
      </c>
      <c r="E91" s="2" t="str">
        <f>HYPERLINK("https://talan.bank.gov.ua/get-user-certificate/sec1e3IFYc3JNVaHCSzt","Завантажити сертифікат")</f>
        <v>Завантажити сертифікат</v>
      </c>
    </row>
    <row r="92" spans="1:5" x14ac:dyDescent="0.3">
      <c r="A92" s="2" t="s">
        <v>191</v>
      </c>
      <c r="B92" s="2" t="s">
        <v>5</v>
      </c>
      <c r="C92" s="2" t="s">
        <v>192</v>
      </c>
      <c r="D92" s="2" t="s">
        <v>190</v>
      </c>
      <c r="E92" s="2" t="str">
        <f>HYPERLINK("https://talan.bank.gov.ua/get-user-certificate/sec1epqTPY5PBQt3APJ0","Завантажити сертифікат")</f>
        <v>Завантажити сертифікат</v>
      </c>
    </row>
    <row r="93" spans="1:5" x14ac:dyDescent="0.3">
      <c r="A93" s="2" t="s">
        <v>193</v>
      </c>
      <c r="B93" s="2" t="s">
        <v>5</v>
      </c>
      <c r="C93" s="2" t="s">
        <v>194</v>
      </c>
      <c r="D93" s="2" t="s">
        <v>190</v>
      </c>
      <c r="E93" s="2" t="str">
        <f>HYPERLINK("https://talan.bank.gov.ua/get-user-certificate/sec1e98BS9k02i1hz1x-","Завантажити сертифікат")</f>
        <v>Завантажити сертифікат</v>
      </c>
    </row>
    <row r="94" spans="1:5" x14ac:dyDescent="0.3">
      <c r="A94" s="2" t="s">
        <v>195</v>
      </c>
      <c r="B94" s="2" t="s">
        <v>5</v>
      </c>
      <c r="C94" s="2" t="s">
        <v>196</v>
      </c>
      <c r="D94" s="2" t="s">
        <v>190</v>
      </c>
      <c r="E94" s="2" t="str">
        <f>HYPERLINK("https://talan.bank.gov.ua/get-user-certificate/sec1e8p_P2tBcJQ_Eq8h","Завантажити сертифікат")</f>
        <v>Завантажити сертифікат</v>
      </c>
    </row>
    <row r="95" spans="1:5" x14ac:dyDescent="0.3">
      <c r="A95" s="2" t="s">
        <v>197</v>
      </c>
      <c r="B95" s="2" t="s">
        <v>5</v>
      </c>
      <c r="C95" s="2" t="s">
        <v>198</v>
      </c>
      <c r="D95" s="2" t="s">
        <v>190</v>
      </c>
      <c r="E95" s="2" t="str">
        <f>HYPERLINK("https://talan.bank.gov.ua/get-user-certificate/sec1eFhdbGVaToYWb0et","Завантажити сертифікат")</f>
        <v>Завантажити сертифікат</v>
      </c>
    </row>
    <row r="96" spans="1:5" x14ac:dyDescent="0.3">
      <c r="A96" s="2" t="s">
        <v>199</v>
      </c>
      <c r="B96" s="2" t="s">
        <v>5</v>
      </c>
      <c r="C96" s="2" t="s">
        <v>200</v>
      </c>
      <c r="D96" s="2" t="s">
        <v>201</v>
      </c>
      <c r="E96" s="2" t="str">
        <f>HYPERLINK("https://talan.bank.gov.ua/get-user-certificate/sec1euFSbyZW3fKCcweY","Завантажити сертифікат")</f>
        <v>Завантажити сертифікат</v>
      </c>
    </row>
    <row r="97" spans="1:5" x14ac:dyDescent="0.3">
      <c r="A97" s="2" t="s">
        <v>202</v>
      </c>
      <c r="B97" s="2" t="s">
        <v>5</v>
      </c>
      <c r="C97" s="2" t="s">
        <v>203</v>
      </c>
      <c r="D97" s="2" t="s">
        <v>201</v>
      </c>
      <c r="E97" s="2" t="str">
        <f>HYPERLINK("https://talan.bank.gov.ua/get-user-certificate/sec1ewyhBiApgSJ4d5jj","Завантажити сертифікат")</f>
        <v>Завантажити сертифікат</v>
      </c>
    </row>
    <row r="98" spans="1:5" x14ac:dyDescent="0.3">
      <c r="A98" s="2" t="s">
        <v>204</v>
      </c>
      <c r="B98" s="2" t="s">
        <v>5</v>
      </c>
      <c r="C98" s="2" t="s">
        <v>205</v>
      </c>
      <c r="D98" s="2" t="s">
        <v>201</v>
      </c>
      <c r="E98" s="2" t="str">
        <f>HYPERLINK("https://talan.bank.gov.ua/get-user-certificate/sec1enqbQE73X8CZ1vPx","Завантажити сертифікат")</f>
        <v>Завантажити сертифікат</v>
      </c>
    </row>
    <row r="99" spans="1:5" x14ac:dyDescent="0.3">
      <c r="A99" s="2" t="s">
        <v>206</v>
      </c>
      <c r="B99" s="2" t="s">
        <v>5</v>
      </c>
      <c r="C99" s="2" t="s">
        <v>207</v>
      </c>
      <c r="D99" s="2" t="s">
        <v>201</v>
      </c>
      <c r="E99" s="2" t="str">
        <f>HYPERLINK("https://talan.bank.gov.ua/get-user-certificate/sec1ej5laonce-_wF02t","Завантажити сертифікат")</f>
        <v>Завантажити сертифікат</v>
      </c>
    </row>
    <row r="100" spans="1:5" x14ac:dyDescent="0.3">
      <c r="A100" s="2" t="s">
        <v>208</v>
      </c>
      <c r="B100" s="2" t="s">
        <v>5</v>
      </c>
      <c r="C100" s="2" t="s">
        <v>209</v>
      </c>
      <c r="D100" s="2" t="s">
        <v>201</v>
      </c>
      <c r="E100" s="2" t="str">
        <f>HYPERLINK("https://talan.bank.gov.ua/get-user-certificate/sec1en44t8Arh3i217YT","Завантажити сертифікат")</f>
        <v>Завантажити сертифікат</v>
      </c>
    </row>
    <row r="101" spans="1:5" x14ac:dyDescent="0.3">
      <c r="A101" s="2" t="s">
        <v>210</v>
      </c>
      <c r="B101" s="2" t="s">
        <v>5</v>
      </c>
      <c r="C101" s="2" t="s">
        <v>211</v>
      </c>
      <c r="D101" s="2" t="s">
        <v>201</v>
      </c>
      <c r="E101" s="2" t="str">
        <f>HYPERLINK("https://talan.bank.gov.ua/get-user-certificate/sec1eN07OyHjNR3OnlJR","Завантажити сертифікат")</f>
        <v>Завантажити сертифікат</v>
      </c>
    </row>
    <row r="102" spans="1:5" x14ac:dyDescent="0.3">
      <c r="A102" s="2" t="s">
        <v>212</v>
      </c>
      <c r="B102" s="2" t="s">
        <v>5</v>
      </c>
      <c r="C102" s="2" t="s">
        <v>213</v>
      </c>
      <c r="D102" s="2" t="s">
        <v>201</v>
      </c>
      <c r="E102" s="2" t="str">
        <f>HYPERLINK("https://talan.bank.gov.ua/get-user-certificate/sec1ekdSsf9u2WRgJ8hJ","Завантажити сертифікат")</f>
        <v>Завантажити сертифікат</v>
      </c>
    </row>
    <row r="103" spans="1:5" x14ac:dyDescent="0.3">
      <c r="A103" s="2" t="s">
        <v>214</v>
      </c>
      <c r="B103" s="2" t="s">
        <v>5</v>
      </c>
      <c r="C103" s="2" t="s">
        <v>215</v>
      </c>
      <c r="D103" s="2" t="s">
        <v>201</v>
      </c>
      <c r="E103" s="2" t="str">
        <f>HYPERLINK("https://talan.bank.gov.ua/get-user-certificate/sec1ebK8kINetx3zBO8Z","Завантажити сертифікат")</f>
        <v>Завантажити сертифікат</v>
      </c>
    </row>
    <row r="104" spans="1:5" x14ac:dyDescent="0.3">
      <c r="A104" s="2" t="s">
        <v>216</v>
      </c>
      <c r="B104" s="2" t="s">
        <v>5</v>
      </c>
      <c r="C104" s="2" t="s">
        <v>217</v>
      </c>
      <c r="D104" s="2" t="s">
        <v>201</v>
      </c>
      <c r="E104" s="2" t="str">
        <f>HYPERLINK("https://talan.bank.gov.ua/get-user-certificate/sec1e9gureZle8tJ77Kf","Завантажити сертифікат")</f>
        <v>Завантажити сертифікат</v>
      </c>
    </row>
    <row r="105" spans="1:5" x14ac:dyDescent="0.3">
      <c r="A105" s="2" t="s">
        <v>218</v>
      </c>
      <c r="B105" s="2" t="s">
        <v>5</v>
      </c>
      <c r="C105" s="2" t="s">
        <v>219</v>
      </c>
      <c r="D105" s="2" t="s">
        <v>201</v>
      </c>
      <c r="E105" s="2" t="str">
        <f>HYPERLINK("https://talan.bank.gov.ua/get-user-certificate/sec1em5-Brcj7nXqW7ND","Завантажити сертифікат")</f>
        <v>Завантажити сертифікат</v>
      </c>
    </row>
    <row r="106" spans="1:5" x14ac:dyDescent="0.3">
      <c r="A106" s="2" t="s">
        <v>220</v>
      </c>
      <c r="B106" s="2" t="s">
        <v>5</v>
      </c>
      <c r="C106" s="2" t="s">
        <v>221</v>
      </c>
      <c r="D106" s="2" t="s">
        <v>201</v>
      </c>
      <c r="E106" s="2" t="str">
        <f>HYPERLINK("https://talan.bank.gov.ua/get-user-certificate/sec1eCrilQJZy2ex2s94","Завантажити сертифікат")</f>
        <v>Завантажити сертифікат</v>
      </c>
    </row>
    <row r="107" spans="1:5" x14ac:dyDescent="0.3">
      <c r="A107" s="2" t="s">
        <v>222</v>
      </c>
      <c r="B107" s="2" t="s">
        <v>5</v>
      </c>
      <c r="C107" s="2" t="s">
        <v>223</v>
      </c>
      <c r="D107" s="2" t="s">
        <v>224</v>
      </c>
      <c r="E107" s="2" t="str">
        <f>HYPERLINK("https://talan.bank.gov.ua/get-user-certificate/sec1eC-chbRbxcF1_7ar","Завантажити сертифікат")</f>
        <v>Завантажити сертифікат</v>
      </c>
    </row>
    <row r="108" spans="1:5" x14ac:dyDescent="0.3">
      <c r="A108" s="2" t="s">
        <v>225</v>
      </c>
      <c r="B108" s="2" t="s">
        <v>5</v>
      </c>
      <c r="C108" s="2" t="s">
        <v>226</v>
      </c>
      <c r="D108" s="2" t="s">
        <v>224</v>
      </c>
      <c r="E108" s="2" t="str">
        <f>HYPERLINK("https://talan.bank.gov.ua/get-user-certificate/sec1eOtN9QzKYwbMzd5U","Завантажити сертифікат")</f>
        <v>Завантажити сертифікат</v>
      </c>
    </row>
    <row r="109" spans="1:5" x14ac:dyDescent="0.3">
      <c r="A109" s="2" t="s">
        <v>227</v>
      </c>
      <c r="B109" s="2" t="s">
        <v>5</v>
      </c>
      <c r="C109" s="2" t="s">
        <v>228</v>
      </c>
      <c r="D109" s="2" t="s">
        <v>224</v>
      </c>
      <c r="E109" s="2" t="str">
        <f>HYPERLINK("https://talan.bank.gov.ua/get-user-certificate/sec1ePBz_ZNLtHRLc1bq","Завантажити сертифікат")</f>
        <v>Завантажити сертифікат</v>
      </c>
    </row>
    <row r="110" spans="1:5" x14ac:dyDescent="0.3">
      <c r="A110" s="2" t="s">
        <v>229</v>
      </c>
      <c r="B110" s="2" t="s">
        <v>5</v>
      </c>
      <c r="C110" s="2" t="s">
        <v>230</v>
      </c>
      <c r="D110" s="2" t="s">
        <v>224</v>
      </c>
      <c r="E110" s="2" t="str">
        <f>HYPERLINK("https://talan.bank.gov.ua/get-user-certificate/sec1eynMinEyLJ9CHIsS","Завантажити сертифікат")</f>
        <v>Завантажити сертифікат</v>
      </c>
    </row>
    <row r="111" spans="1:5" x14ac:dyDescent="0.3">
      <c r="A111" s="2" t="s">
        <v>231</v>
      </c>
      <c r="B111" s="2" t="s">
        <v>5</v>
      </c>
      <c r="C111" s="2" t="s">
        <v>232</v>
      </c>
      <c r="D111" s="2" t="s">
        <v>224</v>
      </c>
      <c r="E111" s="2" t="str">
        <f>HYPERLINK("https://talan.bank.gov.ua/get-user-certificate/sec1e04kyydY7AtGisfQ","Завантажити сертифікат")</f>
        <v>Завантажити сертифікат</v>
      </c>
    </row>
    <row r="112" spans="1:5" x14ac:dyDescent="0.3">
      <c r="A112" s="2" t="s">
        <v>233</v>
      </c>
      <c r="B112" s="2" t="s">
        <v>5</v>
      </c>
      <c r="C112" s="2" t="s">
        <v>234</v>
      </c>
      <c r="D112" s="2" t="s">
        <v>235</v>
      </c>
      <c r="E112" s="2" t="str">
        <f>HYPERLINK("https://talan.bank.gov.ua/get-user-certificate/sec1eCp0LRbsECoM9i98","Завантажити сертифікат")</f>
        <v>Завантажити сертифікат</v>
      </c>
    </row>
    <row r="113" spans="1:5" x14ac:dyDescent="0.3">
      <c r="A113" s="2" t="s">
        <v>236</v>
      </c>
      <c r="B113" s="2" t="s">
        <v>5</v>
      </c>
      <c r="C113" s="2" t="s">
        <v>237</v>
      </c>
      <c r="D113" s="2" t="s">
        <v>235</v>
      </c>
      <c r="E113" s="2" t="str">
        <f>HYPERLINK("https://talan.bank.gov.ua/get-user-certificate/sec1eblaeYCH7gXqQacS","Завантажити сертифікат")</f>
        <v>Завантажити сертифікат</v>
      </c>
    </row>
    <row r="114" spans="1:5" x14ac:dyDescent="0.3">
      <c r="A114" s="2" t="s">
        <v>238</v>
      </c>
      <c r="B114" s="2" t="s">
        <v>5</v>
      </c>
      <c r="C114" s="2" t="s">
        <v>239</v>
      </c>
      <c r="D114" s="2" t="s">
        <v>235</v>
      </c>
      <c r="E114" s="2" t="str">
        <f>HYPERLINK("https://talan.bank.gov.ua/get-user-certificate/sec1eaShrfAY3QaXv0I3","Завантажити сертифікат")</f>
        <v>Завантажити сертифікат</v>
      </c>
    </row>
    <row r="115" spans="1:5" x14ac:dyDescent="0.3">
      <c r="A115" s="2" t="s">
        <v>240</v>
      </c>
      <c r="B115" s="2" t="s">
        <v>5</v>
      </c>
      <c r="C115" s="2" t="s">
        <v>241</v>
      </c>
      <c r="D115" s="2" t="s">
        <v>235</v>
      </c>
      <c r="E115" s="2" t="str">
        <f>HYPERLINK("https://talan.bank.gov.ua/get-user-certificate/sec1e8a0MaLFWLvxfPnA","Завантажити сертифікат")</f>
        <v>Завантажити сертифікат</v>
      </c>
    </row>
    <row r="116" spans="1:5" x14ac:dyDescent="0.3">
      <c r="A116" s="2" t="s">
        <v>242</v>
      </c>
      <c r="B116" s="2" t="s">
        <v>5</v>
      </c>
      <c r="C116" s="2" t="s">
        <v>243</v>
      </c>
      <c r="D116" s="2" t="s">
        <v>235</v>
      </c>
      <c r="E116" s="2" t="str">
        <f>HYPERLINK("https://talan.bank.gov.ua/get-user-certificate/sec1ewy8AUAbEjG-y5oF","Завантажити сертифікат")</f>
        <v>Завантажити сертифікат</v>
      </c>
    </row>
    <row r="117" spans="1:5" x14ac:dyDescent="0.3">
      <c r="A117" s="2" t="s">
        <v>244</v>
      </c>
      <c r="B117" s="2" t="s">
        <v>5</v>
      </c>
      <c r="C117" s="2" t="s">
        <v>245</v>
      </c>
      <c r="D117" s="2" t="s">
        <v>235</v>
      </c>
      <c r="E117" s="2" t="str">
        <f>HYPERLINK("https://talan.bank.gov.ua/get-user-certificate/sec1eEHxmNqEkX08zlur","Завантажити сертифікат")</f>
        <v>Завантажити сертифікат</v>
      </c>
    </row>
    <row r="118" spans="1:5" x14ac:dyDescent="0.3">
      <c r="A118" s="2" t="s">
        <v>246</v>
      </c>
      <c r="B118" s="2" t="s">
        <v>5</v>
      </c>
      <c r="C118" s="2" t="s">
        <v>247</v>
      </c>
      <c r="D118" s="2" t="s">
        <v>235</v>
      </c>
      <c r="E118" s="2" t="str">
        <f>HYPERLINK("https://talan.bank.gov.ua/get-user-certificate/sec1e5spDMRf2NCWAqgc","Завантажити сертифікат")</f>
        <v>Завантажити сертифікат</v>
      </c>
    </row>
    <row r="119" spans="1:5" x14ac:dyDescent="0.3">
      <c r="A119" s="2" t="s">
        <v>248</v>
      </c>
      <c r="B119" s="2" t="s">
        <v>5</v>
      </c>
      <c r="C119" s="2" t="s">
        <v>249</v>
      </c>
      <c r="D119" s="2" t="s">
        <v>250</v>
      </c>
      <c r="E119" s="2" t="str">
        <f>HYPERLINK("https://talan.bank.gov.ua/get-user-certificate/sec1eZ5ebBMEtzz6L1aL","Завантажити сертифікат")</f>
        <v>Завантажити сертифікат</v>
      </c>
    </row>
    <row r="120" spans="1:5" x14ac:dyDescent="0.3">
      <c r="A120" s="2" t="s">
        <v>251</v>
      </c>
      <c r="B120" s="2" t="s">
        <v>5</v>
      </c>
      <c r="C120" s="2" t="s">
        <v>252</v>
      </c>
      <c r="D120" s="2" t="s">
        <v>250</v>
      </c>
      <c r="E120" s="2" t="str">
        <f>HYPERLINK("https://talan.bank.gov.ua/get-user-certificate/sec1euuBRrB9Vo7VQz6R","Завантажити сертифікат")</f>
        <v>Завантажити сертифікат</v>
      </c>
    </row>
    <row r="121" spans="1:5" x14ac:dyDescent="0.3">
      <c r="A121" s="2" t="s">
        <v>253</v>
      </c>
      <c r="B121" s="2" t="s">
        <v>5</v>
      </c>
      <c r="C121" s="2" t="s">
        <v>254</v>
      </c>
      <c r="D121" s="2" t="s">
        <v>250</v>
      </c>
      <c r="E121" s="2" t="str">
        <f>HYPERLINK("https://talan.bank.gov.ua/get-user-certificate/sec1e0IfY70kYTYiTnTB","Завантажити сертифікат")</f>
        <v>Завантажити сертифікат</v>
      </c>
    </row>
    <row r="122" spans="1:5" x14ac:dyDescent="0.3">
      <c r="A122" s="2" t="s">
        <v>255</v>
      </c>
      <c r="B122" s="2" t="s">
        <v>5</v>
      </c>
      <c r="C122" s="2" t="s">
        <v>256</v>
      </c>
      <c r="D122" s="2" t="s">
        <v>250</v>
      </c>
      <c r="E122" s="2" t="str">
        <f>HYPERLINK("https://talan.bank.gov.ua/get-user-certificate/sec1e922ascVMXr6I467","Завантажити сертифікат")</f>
        <v>Завантажити сертифікат</v>
      </c>
    </row>
    <row r="123" spans="1:5" x14ac:dyDescent="0.3">
      <c r="A123" s="2" t="s">
        <v>257</v>
      </c>
      <c r="B123" s="2" t="s">
        <v>5</v>
      </c>
      <c r="C123" s="2" t="s">
        <v>258</v>
      </c>
      <c r="D123" s="2" t="s">
        <v>250</v>
      </c>
      <c r="E123" s="2" t="str">
        <f>HYPERLINK("https://talan.bank.gov.ua/get-user-certificate/sec1eIbjblhA1kDeRASb","Завантажити сертифікат")</f>
        <v>Завантажити сертифікат</v>
      </c>
    </row>
    <row r="124" spans="1:5" x14ac:dyDescent="0.3">
      <c r="A124" s="2" t="s">
        <v>259</v>
      </c>
      <c r="B124" s="2" t="s">
        <v>5</v>
      </c>
      <c r="C124" s="2" t="s">
        <v>260</v>
      </c>
      <c r="D124" s="2" t="s">
        <v>250</v>
      </c>
      <c r="E124" s="2" t="str">
        <f>HYPERLINK("https://talan.bank.gov.ua/get-user-certificate/sec1ezEUMB0ULTmLxkB2","Завантажити сертифікат")</f>
        <v>Завантажити сертифікат</v>
      </c>
    </row>
    <row r="125" spans="1:5" x14ac:dyDescent="0.3">
      <c r="A125" s="2" t="s">
        <v>261</v>
      </c>
      <c r="B125" s="2" t="s">
        <v>5</v>
      </c>
      <c r="C125" s="2" t="s">
        <v>262</v>
      </c>
      <c r="D125" s="2" t="s">
        <v>250</v>
      </c>
      <c r="E125" s="2" t="str">
        <f>HYPERLINK("https://talan.bank.gov.ua/get-user-certificate/sec1eF3jVRCVixVYXwOi","Завантажити сертифікат")</f>
        <v>Завантажити сертифікат</v>
      </c>
    </row>
    <row r="126" spans="1:5" x14ac:dyDescent="0.3">
      <c r="A126" s="2" t="s">
        <v>263</v>
      </c>
      <c r="B126" s="2" t="s">
        <v>5</v>
      </c>
      <c r="C126" s="2" t="s">
        <v>264</v>
      </c>
      <c r="D126" s="2" t="s">
        <v>250</v>
      </c>
      <c r="E126" s="2" t="str">
        <f>HYPERLINK("https://talan.bank.gov.ua/get-user-certificate/sec1eyZG6DT0n8iQ0z1k","Завантажити сертифікат")</f>
        <v>Завантажити сертифікат</v>
      </c>
    </row>
    <row r="127" spans="1:5" x14ac:dyDescent="0.3">
      <c r="A127" s="2" t="s">
        <v>265</v>
      </c>
      <c r="B127" s="2" t="s">
        <v>5</v>
      </c>
      <c r="C127" s="2" t="s">
        <v>266</v>
      </c>
      <c r="D127" s="2" t="s">
        <v>250</v>
      </c>
      <c r="E127" s="2" t="str">
        <f>HYPERLINK("https://talan.bank.gov.ua/get-user-certificate/sec1e4ILMjHei6lQLrzx","Завантажити сертифікат")</f>
        <v>Завантажити сертифікат</v>
      </c>
    </row>
    <row r="128" spans="1:5" x14ac:dyDescent="0.3">
      <c r="A128" s="2" t="s">
        <v>267</v>
      </c>
      <c r="B128" s="2" t="s">
        <v>5</v>
      </c>
      <c r="C128" s="2" t="s">
        <v>268</v>
      </c>
      <c r="D128" s="2" t="s">
        <v>250</v>
      </c>
      <c r="E128" s="2" t="str">
        <f>HYPERLINK("https://talan.bank.gov.ua/get-user-certificate/sec1epiYQ1Ds0esEWjWZ","Завантажити сертифікат")</f>
        <v>Завантажити сертифікат</v>
      </c>
    </row>
    <row r="129" spans="1:5" x14ac:dyDescent="0.3">
      <c r="A129" s="2" t="s">
        <v>269</v>
      </c>
      <c r="B129" s="2" t="s">
        <v>5</v>
      </c>
      <c r="C129" s="2" t="s">
        <v>270</v>
      </c>
      <c r="D129" s="2" t="s">
        <v>250</v>
      </c>
      <c r="E129" s="2" t="str">
        <f>HYPERLINK("https://talan.bank.gov.ua/get-user-certificate/sec1ePg_ZyYHR1XGGuIL","Завантажити сертифікат")</f>
        <v>Завантажити сертифікат</v>
      </c>
    </row>
    <row r="130" spans="1:5" x14ac:dyDescent="0.3">
      <c r="A130" s="2" t="s">
        <v>271</v>
      </c>
      <c r="B130" s="2" t="s">
        <v>5</v>
      </c>
      <c r="C130" s="2" t="s">
        <v>272</v>
      </c>
      <c r="D130" s="2" t="s">
        <v>250</v>
      </c>
      <c r="E130" s="2" t="str">
        <f>HYPERLINK("https://talan.bank.gov.ua/get-user-certificate/sec1eimJT7jsPPkemWPm","Завантажити сертифікат")</f>
        <v>Завантажити сертифікат</v>
      </c>
    </row>
    <row r="131" spans="1:5" x14ac:dyDescent="0.3">
      <c r="A131" s="2" t="s">
        <v>273</v>
      </c>
      <c r="B131" s="2" t="s">
        <v>5</v>
      </c>
      <c r="C131" s="2" t="s">
        <v>274</v>
      </c>
      <c r="D131" s="2" t="s">
        <v>250</v>
      </c>
      <c r="E131" s="2" t="str">
        <f>HYPERLINK("https://talan.bank.gov.ua/get-user-certificate/sec1eXkyuHRFajaknBCS","Завантажити сертифікат")</f>
        <v>Завантажити сертифікат</v>
      </c>
    </row>
    <row r="132" spans="1:5" x14ac:dyDescent="0.3">
      <c r="A132" s="2" t="s">
        <v>275</v>
      </c>
      <c r="B132" s="2" t="s">
        <v>5</v>
      </c>
      <c r="C132" s="2" t="s">
        <v>276</v>
      </c>
      <c r="D132" s="2" t="s">
        <v>250</v>
      </c>
      <c r="E132" s="2" t="str">
        <f>HYPERLINK("https://talan.bank.gov.ua/get-user-certificate/sec1egYivFJXyFp55n-B","Завантажити сертифікат")</f>
        <v>Завантажити сертифікат</v>
      </c>
    </row>
    <row r="133" spans="1:5" x14ac:dyDescent="0.3">
      <c r="A133" s="2" t="s">
        <v>277</v>
      </c>
      <c r="B133" s="2" t="s">
        <v>5</v>
      </c>
      <c r="C133" s="2" t="s">
        <v>278</v>
      </c>
      <c r="D133" s="2" t="s">
        <v>250</v>
      </c>
      <c r="E133" s="2" t="str">
        <f>HYPERLINK("https://talan.bank.gov.ua/get-user-certificate/sec1eVniD4YRJxP41lA9","Завантажити сертифікат")</f>
        <v>Завантажити сертифікат</v>
      </c>
    </row>
    <row r="134" spans="1:5" x14ac:dyDescent="0.3">
      <c r="A134" s="2" t="s">
        <v>279</v>
      </c>
      <c r="B134" s="2" t="s">
        <v>5</v>
      </c>
      <c r="C134" s="2" t="s">
        <v>280</v>
      </c>
      <c r="D134" s="2" t="s">
        <v>250</v>
      </c>
      <c r="E134" s="2" t="str">
        <f>HYPERLINK("https://talan.bank.gov.ua/get-user-certificate/sec1etpXr8A5qWJqtRJi","Завантажити сертифікат")</f>
        <v>Завантажити сертифікат</v>
      </c>
    </row>
    <row r="135" spans="1:5" x14ac:dyDescent="0.3">
      <c r="A135" s="2" t="s">
        <v>281</v>
      </c>
      <c r="B135" s="2" t="s">
        <v>5</v>
      </c>
      <c r="C135" s="2" t="s">
        <v>282</v>
      </c>
      <c r="D135" s="2" t="s">
        <v>250</v>
      </c>
      <c r="E135" s="2" t="str">
        <f>HYPERLINK("https://talan.bank.gov.ua/get-user-certificate/sec1ecC8o-mUNtpffKKX","Завантажити сертифікат")</f>
        <v>Завантажити сертифікат</v>
      </c>
    </row>
    <row r="136" spans="1:5" x14ac:dyDescent="0.3">
      <c r="A136" s="2" t="s">
        <v>283</v>
      </c>
      <c r="B136" s="2" t="s">
        <v>5</v>
      </c>
      <c r="C136" s="2" t="s">
        <v>284</v>
      </c>
      <c r="D136" s="2" t="s">
        <v>250</v>
      </c>
      <c r="E136" s="2" t="str">
        <f>HYPERLINK("https://talan.bank.gov.ua/get-user-certificate/sec1eZHFx11tk5DSQhAl","Завантажити сертифікат")</f>
        <v>Завантажити сертифікат</v>
      </c>
    </row>
    <row r="137" spans="1:5" x14ac:dyDescent="0.3">
      <c r="A137" s="2" t="s">
        <v>285</v>
      </c>
      <c r="B137" s="2" t="s">
        <v>5</v>
      </c>
      <c r="C137" s="2" t="s">
        <v>286</v>
      </c>
      <c r="D137" s="2" t="s">
        <v>250</v>
      </c>
      <c r="E137" s="2" t="str">
        <f>HYPERLINK("https://talan.bank.gov.ua/get-user-certificate/sec1eu94UL1Cmwvt9jep","Завантажити сертифікат")</f>
        <v>Завантажити сертифікат</v>
      </c>
    </row>
    <row r="138" spans="1:5" x14ac:dyDescent="0.3">
      <c r="A138" s="2" t="s">
        <v>287</v>
      </c>
      <c r="B138" s="2" t="s">
        <v>5</v>
      </c>
      <c r="C138" s="2" t="s">
        <v>288</v>
      </c>
      <c r="D138" s="2" t="s">
        <v>250</v>
      </c>
      <c r="E138" s="2" t="str">
        <f>HYPERLINK("https://talan.bank.gov.ua/get-user-certificate/sec1epvUTo_JgQbxdkcz","Завантажити сертифікат")</f>
        <v>Завантажити сертифікат</v>
      </c>
    </row>
    <row r="139" spans="1:5" x14ac:dyDescent="0.3">
      <c r="A139" s="2" t="s">
        <v>289</v>
      </c>
      <c r="B139" s="2" t="s">
        <v>5</v>
      </c>
      <c r="C139" s="2" t="s">
        <v>290</v>
      </c>
      <c r="D139" s="2" t="s">
        <v>250</v>
      </c>
      <c r="E139" s="2" t="str">
        <f>HYPERLINK("https://talan.bank.gov.ua/get-user-certificate/sec1eqcun9nGnyctNq-p","Завантажити сертифікат")</f>
        <v>Завантажити сертифікат</v>
      </c>
    </row>
    <row r="140" spans="1:5" x14ac:dyDescent="0.3">
      <c r="A140" s="2" t="s">
        <v>291</v>
      </c>
      <c r="B140" s="2" t="s">
        <v>5</v>
      </c>
      <c r="C140" s="2" t="s">
        <v>292</v>
      </c>
      <c r="D140" s="2" t="s">
        <v>250</v>
      </c>
      <c r="E140" s="2" t="str">
        <f>HYPERLINK("https://talan.bank.gov.ua/get-user-certificate/sec1e0o2tUUCT1F0MaqL","Завантажити сертифікат")</f>
        <v>Завантажити сертифікат</v>
      </c>
    </row>
    <row r="141" spans="1:5" x14ac:dyDescent="0.3">
      <c r="A141" s="2" t="s">
        <v>293</v>
      </c>
      <c r="B141" s="2" t="s">
        <v>5</v>
      </c>
      <c r="C141" s="2" t="s">
        <v>294</v>
      </c>
      <c r="D141" s="2" t="s">
        <v>295</v>
      </c>
      <c r="E141" s="2" t="str">
        <f>HYPERLINK("https://talan.bank.gov.ua/get-user-certificate/sec1e-Sk5Yqfzxi0zaW3","Завантажити сертифікат")</f>
        <v>Завантажити сертифікат</v>
      </c>
    </row>
    <row r="142" spans="1:5" x14ac:dyDescent="0.3">
      <c r="A142" s="2" t="s">
        <v>296</v>
      </c>
      <c r="B142" s="2" t="s">
        <v>5</v>
      </c>
      <c r="C142" s="2" t="s">
        <v>297</v>
      </c>
      <c r="D142" s="2" t="s">
        <v>295</v>
      </c>
      <c r="E142" s="2" t="str">
        <f>HYPERLINK("https://talan.bank.gov.ua/get-user-certificate/sec1eLpolFEV4EIYoPut","Завантажити сертифікат")</f>
        <v>Завантажити сертифікат</v>
      </c>
    </row>
    <row r="143" spans="1:5" x14ac:dyDescent="0.3">
      <c r="A143" s="2" t="s">
        <v>298</v>
      </c>
      <c r="B143" s="2" t="s">
        <v>5</v>
      </c>
      <c r="C143" s="2" t="s">
        <v>299</v>
      </c>
      <c r="D143" s="2" t="s">
        <v>295</v>
      </c>
      <c r="E143" s="2" t="str">
        <f>HYPERLINK("https://talan.bank.gov.ua/get-user-certificate/sec1eAM_E0iyzh0ITo-n","Завантажити сертифікат")</f>
        <v>Завантажити сертифікат</v>
      </c>
    </row>
    <row r="144" spans="1:5" x14ac:dyDescent="0.3">
      <c r="A144" s="2" t="s">
        <v>300</v>
      </c>
      <c r="B144" s="2" t="s">
        <v>5</v>
      </c>
      <c r="C144" s="2" t="s">
        <v>301</v>
      </c>
      <c r="D144" s="2" t="s">
        <v>295</v>
      </c>
      <c r="E144" s="2" t="str">
        <f>HYPERLINK("https://talan.bank.gov.ua/get-user-certificate/sec1eeGfJ4w4RTpmlk2W","Завантажити сертифікат")</f>
        <v>Завантажити сертифікат</v>
      </c>
    </row>
    <row r="145" spans="1:5" x14ac:dyDescent="0.3">
      <c r="A145" s="2" t="s">
        <v>302</v>
      </c>
      <c r="B145" s="2" t="s">
        <v>5</v>
      </c>
      <c r="C145" s="2" t="s">
        <v>303</v>
      </c>
      <c r="D145" s="2" t="s">
        <v>295</v>
      </c>
      <c r="E145" s="2" t="str">
        <f>HYPERLINK("https://talan.bank.gov.ua/get-user-certificate/sec1ePzljijkP3K6MT4I","Завантажити сертифікат")</f>
        <v>Завантажити сертифікат</v>
      </c>
    </row>
    <row r="146" spans="1:5" x14ac:dyDescent="0.3">
      <c r="A146" s="2" t="s">
        <v>304</v>
      </c>
      <c r="B146" s="2" t="s">
        <v>5</v>
      </c>
      <c r="C146" s="2" t="s">
        <v>305</v>
      </c>
      <c r="D146" s="2" t="s">
        <v>295</v>
      </c>
      <c r="E146" s="2" t="str">
        <f>HYPERLINK("https://talan.bank.gov.ua/get-user-certificate/sec1eBbOiibhGEwbXyTj","Завантажити сертифікат")</f>
        <v>Завантажити сертифікат</v>
      </c>
    </row>
    <row r="147" spans="1:5" x14ac:dyDescent="0.3">
      <c r="A147" s="2" t="s">
        <v>306</v>
      </c>
      <c r="B147" s="2" t="s">
        <v>5</v>
      </c>
      <c r="C147" s="2" t="s">
        <v>307</v>
      </c>
      <c r="D147" s="2" t="s">
        <v>295</v>
      </c>
      <c r="E147" s="2" t="str">
        <f>HYPERLINK("https://talan.bank.gov.ua/get-user-certificate/sec1ep141touBBCS7oYT","Завантажити сертифікат")</f>
        <v>Завантажити сертифікат</v>
      </c>
    </row>
    <row r="148" spans="1:5" x14ac:dyDescent="0.3">
      <c r="A148" s="2" t="s">
        <v>308</v>
      </c>
      <c r="B148" s="2" t="s">
        <v>5</v>
      </c>
      <c r="C148" s="2" t="s">
        <v>309</v>
      </c>
      <c r="D148" s="2" t="s">
        <v>295</v>
      </c>
      <c r="E148" s="2" t="str">
        <f>HYPERLINK("https://talan.bank.gov.ua/get-user-certificate/sec1eeNILfC8R10yaixm","Завантажити сертифікат")</f>
        <v>Завантажити сертифікат</v>
      </c>
    </row>
    <row r="149" spans="1:5" x14ac:dyDescent="0.3">
      <c r="A149" s="2" t="s">
        <v>310</v>
      </c>
      <c r="B149" s="2" t="s">
        <v>5</v>
      </c>
      <c r="C149" s="2" t="s">
        <v>311</v>
      </c>
      <c r="D149" s="2" t="s">
        <v>295</v>
      </c>
      <c r="E149" s="2" t="str">
        <f>HYPERLINK("https://talan.bank.gov.ua/get-user-certificate/sec1eLI2zy9zi-JKJmno","Завантажити сертифікат")</f>
        <v>Завантажити сертифікат</v>
      </c>
    </row>
    <row r="150" spans="1:5" x14ac:dyDescent="0.3">
      <c r="A150" s="2" t="s">
        <v>312</v>
      </c>
      <c r="B150" s="2" t="s">
        <v>5</v>
      </c>
      <c r="C150" s="2" t="s">
        <v>313</v>
      </c>
      <c r="D150" s="2" t="s">
        <v>295</v>
      </c>
      <c r="E150" s="2" t="str">
        <f>HYPERLINK("https://talan.bank.gov.ua/get-user-certificate/sec1eDDH-LLkLs2PVZAi","Завантажити сертифікат")</f>
        <v>Завантажити сертифікат</v>
      </c>
    </row>
    <row r="151" spans="1:5" x14ac:dyDescent="0.3">
      <c r="A151" s="2" t="s">
        <v>314</v>
      </c>
      <c r="B151" s="2" t="s">
        <v>5</v>
      </c>
      <c r="C151" s="2" t="s">
        <v>315</v>
      </c>
      <c r="D151" s="2" t="s">
        <v>295</v>
      </c>
      <c r="E151" s="2" t="str">
        <f>HYPERLINK("https://talan.bank.gov.ua/get-user-certificate/sec1eqf-m2glLjsUNwxt","Завантажити сертифікат")</f>
        <v>Завантажити сертифікат</v>
      </c>
    </row>
    <row r="152" spans="1:5" x14ac:dyDescent="0.3">
      <c r="A152" s="2" t="s">
        <v>316</v>
      </c>
      <c r="B152" s="2" t="s">
        <v>5</v>
      </c>
      <c r="C152" s="2" t="s">
        <v>317</v>
      </c>
      <c r="D152" s="2" t="s">
        <v>295</v>
      </c>
      <c r="E152" s="2" t="str">
        <f>HYPERLINK("https://talan.bank.gov.ua/get-user-certificate/sec1eL_rzSOmRj9bp_an","Завантажити сертифікат")</f>
        <v>Завантажити сертифікат</v>
      </c>
    </row>
    <row r="153" spans="1:5" x14ac:dyDescent="0.3">
      <c r="A153" s="2" t="s">
        <v>318</v>
      </c>
      <c r="B153" s="2" t="s">
        <v>5</v>
      </c>
      <c r="C153" s="2" t="s">
        <v>319</v>
      </c>
      <c r="D153" s="2" t="s">
        <v>295</v>
      </c>
      <c r="E153" s="2" t="str">
        <f>HYPERLINK("https://talan.bank.gov.ua/get-user-certificate/sec1e9O_yimUX74fTZHA","Завантажити сертифікат")</f>
        <v>Завантажити сертифікат</v>
      </c>
    </row>
    <row r="154" spans="1:5" x14ac:dyDescent="0.3">
      <c r="A154" s="2" t="s">
        <v>320</v>
      </c>
      <c r="B154" s="2" t="s">
        <v>5</v>
      </c>
      <c r="C154" s="2" t="s">
        <v>321</v>
      </c>
      <c r="D154" s="2" t="s">
        <v>295</v>
      </c>
      <c r="E154" s="2" t="str">
        <f>HYPERLINK("https://talan.bank.gov.ua/get-user-certificate/sec1enn-JDIjg3Xd7XbM","Завантажити сертифікат")</f>
        <v>Завантажити сертифікат</v>
      </c>
    </row>
    <row r="155" spans="1:5" x14ac:dyDescent="0.3">
      <c r="A155" s="2" t="s">
        <v>322</v>
      </c>
      <c r="B155" s="2" t="s">
        <v>5</v>
      </c>
      <c r="C155" s="2" t="s">
        <v>323</v>
      </c>
      <c r="D155" s="2" t="s">
        <v>295</v>
      </c>
      <c r="E155" s="2" t="str">
        <f>HYPERLINK("https://talan.bank.gov.ua/get-user-certificate/sec1e9GH_3fZnOM7gAIq","Завантажити сертифікат")</f>
        <v>Завантажити сертифікат</v>
      </c>
    </row>
    <row r="156" spans="1:5" x14ac:dyDescent="0.3">
      <c r="A156" s="2" t="s">
        <v>324</v>
      </c>
      <c r="B156" s="2" t="s">
        <v>5</v>
      </c>
      <c r="C156" s="2" t="s">
        <v>325</v>
      </c>
      <c r="D156" s="2" t="s">
        <v>295</v>
      </c>
      <c r="E156" s="2" t="str">
        <f>HYPERLINK("https://talan.bank.gov.ua/get-user-certificate/sec1edT9fY4ByPt7e9xG","Завантажити сертифікат")</f>
        <v>Завантажити сертифікат</v>
      </c>
    </row>
    <row r="157" spans="1:5" x14ac:dyDescent="0.3">
      <c r="A157" s="2" t="s">
        <v>326</v>
      </c>
      <c r="B157" s="2" t="s">
        <v>5</v>
      </c>
      <c r="C157" s="2" t="s">
        <v>327</v>
      </c>
      <c r="D157" s="2" t="s">
        <v>295</v>
      </c>
      <c r="E157" s="2" t="str">
        <f>HYPERLINK("https://talan.bank.gov.ua/get-user-certificate/sec1e1dmgS3uUNcVmYdE","Завантажити сертифікат")</f>
        <v>Завантажити сертифікат</v>
      </c>
    </row>
    <row r="158" spans="1:5" x14ac:dyDescent="0.3">
      <c r="A158" s="2" t="s">
        <v>328</v>
      </c>
      <c r="B158" s="2" t="s">
        <v>5</v>
      </c>
      <c r="C158" s="2" t="s">
        <v>329</v>
      </c>
      <c r="D158" s="2" t="s">
        <v>295</v>
      </c>
      <c r="E158" s="2" t="str">
        <f>HYPERLINK("https://talan.bank.gov.ua/get-user-certificate/sec1e44iYo4HeS8sZNdS","Завантажити сертифікат")</f>
        <v>Завантажити сертифікат</v>
      </c>
    </row>
    <row r="159" spans="1:5" x14ac:dyDescent="0.3">
      <c r="A159" s="2" t="s">
        <v>330</v>
      </c>
      <c r="B159" s="2" t="s">
        <v>5</v>
      </c>
      <c r="C159" s="2" t="s">
        <v>331</v>
      </c>
      <c r="D159" s="2" t="s">
        <v>295</v>
      </c>
      <c r="E159" s="2" t="str">
        <f>HYPERLINK("https://talan.bank.gov.ua/get-user-certificate/sec1e14gniwo5dCBulaT","Завантажити сертифікат")</f>
        <v>Завантажити сертифікат</v>
      </c>
    </row>
    <row r="160" spans="1:5" x14ac:dyDescent="0.3">
      <c r="A160" s="2" t="s">
        <v>332</v>
      </c>
      <c r="B160" s="2" t="s">
        <v>5</v>
      </c>
      <c r="C160" s="2" t="s">
        <v>333</v>
      </c>
      <c r="D160" s="2" t="s">
        <v>295</v>
      </c>
      <c r="E160" s="2" t="str">
        <f>HYPERLINK("https://talan.bank.gov.ua/get-user-certificate/sec1eeizu7N9v3pOJ6uY","Завантажити сертифікат")</f>
        <v>Завантажити сертифікат</v>
      </c>
    </row>
    <row r="161" spans="1:5" x14ac:dyDescent="0.3">
      <c r="A161" s="2" t="s">
        <v>334</v>
      </c>
      <c r="B161" s="2" t="s">
        <v>5</v>
      </c>
      <c r="C161" s="2" t="s">
        <v>335</v>
      </c>
      <c r="D161" s="2" t="s">
        <v>295</v>
      </c>
      <c r="E161" s="2" t="str">
        <f>HYPERLINK("https://talan.bank.gov.ua/get-user-certificate/sec1eN3DuwucGpN1fyb3","Завантажити сертифікат")</f>
        <v>Завантажити сертифікат</v>
      </c>
    </row>
    <row r="162" spans="1:5" x14ac:dyDescent="0.3">
      <c r="A162" s="2" t="s">
        <v>336</v>
      </c>
      <c r="B162" s="2" t="s">
        <v>5</v>
      </c>
      <c r="C162" s="2" t="s">
        <v>337</v>
      </c>
      <c r="D162" s="2" t="s">
        <v>295</v>
      </c>
      <c r="E162" s="2" t="str">
        <f>HYPERLINK("https://talan.bank.gov.ua/get-user-certificate/sec1epsFkh1FBq5Xk6S9","Завантажити сертифікат")</f>
        <v>Завантажити сертифікат</v>
      </c>
    </row>
    <row r="163" spans="1:5" x14ac:dyDescent="0.3">
      <c r="A163" s="2" t="s">
        <v>338</v>
      </c>
      <c r="B163" s="2" t="s">
        <v>5</v>
      </c>
      <c r="C163" s="2" t="s">
        <v>339</v>
      </c>
      <c r="D163" s="2" t="s">
        <v>295</v>
      </c>
      <c r="E163" s="2" t="str">
        <f>HYPERLINK("https://talan.bank.gov.ua/get-user-certificate/sec1eLwNNjq4WJpSpnjs","Завантажити сертифікат")</f>
        <v>Завантажити сертифікат</v>
      </c>
    </row>
    <row r="164" spans="1:5" x14ac:dyDescent="0.3">
      <c r="A164" s="2" t="s">
        <v>340</v>
      </c>
      <c r="B164" s="2" t="s">
        <v>5</v>
      </c>
      <c r="C164" s="2" t="s">
        <v>341</v>
      </c>
      <c r="D164" s="2" t="s">
        <v>295</v>
      </c>
      <c r="E164" s="2" t="str">
        <f>HYPERLINK("https://talan.bank.gov.ua/get-user-certificate/sec1eFlu39g0E1fFr2H2","Завантажити сертифікат")</f>
        <v>Завантажити сертифікат</v>
      </c>
    </row>
    <row r="165" spans="1:5" x14ac:dyDescent="0.3">
      <c r="A165" s="2" t="s">
        <v>342</v>
      </c>
      <c r="B165" s="2" t="s">
        <v>5</v>
      </c>
      <c r="C165" s="2" t="s">
        <v>343</v>
      </c>
      <c r="D165" s="2" t="s">
        <v>295</v>
      </c>
      <c r="E165" s="2" t="str">
        <f>HYPERLINK("https://talan.bank.gov.ua/get-user-certificate/sec1eASivvEiEqeyv1ym","Завантажити сертифікат")</f>
        <v>Завантажити сертифікат</v>
      </c>
    </row>
    <row r="166" spans="1:5" x14ac:dyDescent="0.3">
      <c r="A166" s="2" t="s">
        <v>344</v>
      </c>
      <c r="B166" s="2" t="s">
        <v>5</v>
      </c>
      <c r="C166" s="2" t="s">
        <v>345</v>
      </c>
      <c r="D166" s="2" t="s">
        <v>295</v>
      </c>
      <c r="E166" s="2" t="str">
        <f>HYPERLINK("https://talan.bank.gov.ua/get-user-certificate/sec1e4-pHc-y-mTEvuai","Завантажити сертифікат")</f>
        <v>Завантажити сертифікат</v>
      </c>
    </row>
    <row r="167" spans="1:5" x14ac:dyDescent="0.3">
      <c r="A167" s="2" t="s">
        <v>346</v>
      </c>
      <c r="B167" s="2" t="s">
        <v>5</v>
      </c>
      <c r="C167" s="2" t="s">
        <v>347</v>
      </c>
      <c r="D167" s="2" t="s">
        <v>295</v>
      </c>
      <c r="E167" s="2" t="str">
        <f>HYPERLINK("https://talan.bank.gov.ua/get-user-certificate/sec1ebSAAz5NxJY6C_aq","Завантажити сертифікат")</f>
        <v>Завантажити сертифікат</v>
      </c>
    </row>
    <row r="168" spans="1:5" x14ac:dyDescent="0.3">
      <c r="A168" s="2" t="s">
        <v>348</v>
      </c>
      <c r="B168" s="2" t="s">
        <v>5</v>
      </c>
      <c r="C168" s="2" t="s">
        <v>349</v>
      </c>
      <c r="D168" s="2" t="s">
        <v>295</v>
      </c>
      <c r="E168" s="2" t="str">
        <f>HYPERLINK("https://talan.bank.gov.ua/get-user-certificate/sec1eLeP1jnFeAOKQpj6","Завантажити сертифікат")</f>
        <v>Завантажити сертифікат</v>
      </c>
    </row>
    <row r="169" spans="1:5" x14ac:dyDescent="0.3">
      <c r="A169" s="2" t="s">
        <v>350</v>
      </c>
      <c r="B169" s="2" t="s">
        <v>5</v>
      </c>
      <c r="C169" s="2" t="s">
        <v>351</v>
      </c>
      <c r="D169" s="2" t="s">
        <v>295</v>
      </c>
      <c r="E169" s="2" t="str">
        <f>HYPERLINK("https://talan.bank.gov.ua/get-user-certificate/sec1e36JdmuxqfXGQu8t","Завантажити сертифікат")</f>
        <v>Завантажити сертифікат</v>
      </c>
    </row>
    <row r="170" spans="1:5" x14ac:dyDescent="0.3">
      <c r="A170" s="2" t="s">
        <v>352</v>
      </c>
      <c r="B170" s="2" t="s">
        <v>5</v>
      </c>
      <c r="C170" s="2" t="s">
        <v>353</v>
      </c>
      <c r="D170" s="2" t="s">
        <v>295</v>
      </c>
      <c r="E170" s="2" t="str">
        <f>HYPERLINK("https://talan.bank.gov.ua/get-user-certificate/sec1ezgcgQMBSj3sOPpF","Завантажити сертифікат")</f>
        <v>Завантажити сертифікат</v>
      </c>
    </row>
    <row r="171" spans="1:5" x14ac:dyDescent="0.3">
      <c r="A171" s="2" t="s">
        <v>354</v>
      </c>
      <c r="B171" s="2" t="s">
        <v>5</v>
      </c>
      <c r="C171" s="2" t="s">
        <v>355</v>
      </c>
      <c r="D171" s="2" t="s">
        <v>295</v>
      </c>
      <c r="E171" s="2" t="str">
        <f>HYPERLINK("https://talan.bank.gov.ua/get-user-certificate/sec1ecKMHHIw_nvGyg-K","Завантажити сертифікат")</f>
        <v>Завантажити сертифікат</v>
      </c>
    </row>
    <row r="172" spans="1:5" x14ac:dyDescent="0.3">
      <c r="A172" s="2" t="s">
        <v>356</v>
      </c>
      <c r="B172" s="2" t="s">
        <v>5</v>
      </c>
      <c r="C172" s="2" t="s">
        <v>357</v>
      </c>
      <c r="D172" s="2" t="s">
        <v>295</v>
      </c>
      <c r="E172" s="2" t="str">
        <f>HYPERLINK("https://talan.bank.gov.ua/get-user-certificate/sec1ehLQexaRgP8iDTxE","Завантажити сертифікат")</f>
        <v>Завантажити сертифікат</v>
      </c>
    </row>
    <row r="173" spans="1:5" x14ac:dyDescent="0.3">
      <c r="A173" s="2" t="s">
        <v>358</v>
      </c>
      <c r="B173" s="2" t="s">
        <v>5</v>
      </c>
      <c r="C173" s="2" t="s">
        <v>359</v>
      </c>
      <c r="D173" s="2" t="s">
        <v>295</v>
      </c>
      <c r="E173" s="2" t="str">
        <f>HYPERLINK("https://talan.bank.gov.ua/get-user-certificate/sec1exRC6nTvhzw_XiRC","Завантажити сертифікат")</f>
        <v>Завантажити сертифікат</v>
      </c>
    </row>
    <row r="174" spans="1:5" x14ac:dyDescent="0.3">
      <c r="A174" s="2" t="s">
        <v>360</v>
      </c>
      <c r="B174" s="2" t="s">
        <v>5</v>
      </c>
      <c r="C174" s="2" t="s">
        <v>361</v>
      </c>
      <c r="D174" s="2" t="s">
        <v>295</v>
      </c>
      <c r="E174" s="2" t="str">
        <f>HYPERLINK("https://talan.bank.gov.ua/get-user-certificate/sec1ebTPjkh9BABXhyJc","Завантажити сертифікат")</f>
        <v>Завантажити сертифікат</v>
      </c>
    </row>
    <row r="175" spans="1:5" x14ac:dyDescent="0.3">
      <c r="A175" s="2" t="s">
        <v>362</v>
      </c>
      <c r="B175" s="2" t="s">
        <v>5</v>
      </c>
      <c r="C175" s="2" t="s">
        <v>363</v>
      </c>
      <c r="D175" s="2" t="s">
        <v>295</v>
      </c>
      <c r="E175" s="2" t="str">
        <f>HYPERLINK("https://talan.bank.gov.ua/get-user-certificate/sec1e-PGxquxtnrEVPuL","Завантажити сертифікат")</f>
        <v>Завантажити сертифікат</v>
      </c>
    </row>
    <row r="176" spans="1:5" x14ac:dyDescent="0.3">
      <c r="A176" s="2" t="s">
        <v>364</v>
      </c>
      <c r="B176" s="2" t="s">
        <v>5</v>
      </c>
      <c r="C176" s="2" t="s">
        <v>365</v>
      </c>
      <c r="D176" s="2" t="s">
        <v>295</v>
      </c>
      <c r="E176" s="2" t="str">
        <f>HYPERLINK("https://talan.bank.gov.ua/get-user-certificate/sec1e-OrZUxvtgch21OK","Завантажити сертифікат")</f>
        <v>Завантажити сертифікат</v>
      </c>
    </row>
    <row r="177" spans="1:5" x14ac:dyDescent="0.3">
      <c r="A177" s="2" t="s">
        <v>366</v>
      </c>
      <c r="B177" s="2" t="s">
        <v>5</v>
      </c>
      <c r="C177" s="2" t="s">
        <v>367</v>
      </c>
      <c r="D177" s="2" t="s">
        <v>295</v>
      </c>
      <c r="E177" s="2" t="str">
        <f>HYPERLINK("https://talan.bank.gov.ua/get-user-certificate/sec1epiMyAx7K7v6092r","Завантажити сертифікат")</f>
        <v>Завантажити сертифікат</v>
      </c>
    </row>
    <row r="178" spans="1:5" x14ac:dyDescent="0.3">
      <c r="A178" s="2" t="s">
        <v>368</v>
      </c>
      <c r="B178" s="2" t="s">
        <v>5</v>
      </c>
      <c r="C178" s="2" t="s">
        <v>369</v>
      </c>
      <c r="D178" s="2" t="s">
        <v>295</v>
      </c>
      <c r="E178" s="2" t="str">
        <f>HYPERLINK("https://talan.bank.gov.ua/get-user-certificate/sec1e1l3hXN4lCxA1l9P","Завантажити сертифікат")</f>
        <v>Завантажити сертифікат</v>
      </c>
    </row>
    <row r="179" spans="1:5" x14ac:dyDescent="0.3">
      <c r="A179" s="2" t="s">
        <v>370</v>
      </c>
      <c r="B179" s="2" t="s">
        <v>5</v>
      </c>
      <c r="C179" s="2" t="s">
        <v>371</v>
      </c>
      <c r="D179" s="2" t="s">
        <v>295</v>
      </c>
      <c r="E179" s="2" t="str">
        <f>HYPERLINK("https://talan.bank.gov.ua/get-user-certificate/sec1eoHd_5pQqtjqjAoN","Завантажити сертифікат")</f>
        <v>Завантажити сертифікат</v>
      </c>
    </row>
    <row r="180" spans="1:5" x14ac:dyDescent="0.3">
      <c r="A180" s="2" t="s">
        <v>372</v>
      </c>
      <c r="B180" s="2" t="s">
        <v>5</v>
      </c>
      <c r="C180" s="2" t="s">
        <v>373</v>
      </c>
      <c r="D180" s="2" t="s">
        <v>295</v>
      </c>
      <c r="E180" s="2" t="str">
        <f>HYPERLINK("https://talan.bank.gov.ua/get-user-certificate/sec1eIfvWWD0R4YHlk_Q","Завантажити сертифікат")</f>
        <v>Завантажити сертифікат</v>
      </c>
    </row>
    <row r="181" spans="1:5" x14ac:dyDescent="0.3">
      <c r="A181" s="2" t="s">
        <v>374</v>
      </c>
      <c r="B181" s="2" t="s">
        <v>5</v>
      </c>
      <c r="C181" s="2" t="s">
        <v>375</v>
      </c>
      <c r="D181" s="2" t="s">
        <v>295</v>
      </c>
      <c r="E181" s="2" t="str">
        <f>HYPERLINK("https://talan.bank.gov.ua/get-user-certificate/sec1epvVbCfink_XwPr8","Завантажити сертифікат")</f>
        <v>Завантажити сертифікат</v>
      </c>
    </row>
    <row r="182" spans="1:5" x14ac:dyDescent="0.3">
      <c r="A182" s="2" t="s">
        <v>376</v>
      </c>
      <c r="B182" s="2" t="s">
        <v>5</v>
      </c>
      <c r="C182" s="2" t="s">
        <v>377</v>
      </c>
      <c r="D182" s="2" t="s">
        <v>295</v>
      </c>
      <c r="E182" s="2" t="str">
        <f>HYPERLINK("https://talan.bank.gov.ua/get-user-certificate/sec1e7xDWjtYitqt8krg","Завантажити сертифікат")</f>
        <v>Завантажити сертифікат</v>
      </c>
    </row>
    <row r="183" spans="1:5" x14ac:dyDescent="0.3">
      <c r="A183" s="2" t="s">
        <v>378</v>
      </c>
      <c r="B183" s="2" t="s">
        <v>5</v>
      </c>
      <c r="C183" s="2" t="s">
        <v>379</v>
      </c>
      <c r="D183" s="2" t="s">
        <v>295</v>
      </c>
      <c r="E183" s="2" t="str">
        <f>HYPERLINK("https://talan.bank.gov.ua/get-user-certificate/sec1eJYUfIMLRIENVJrC","Завантажити сертифікат")</f>
        <v>Завантажити сертифікат</v>
      </c>
    </row>
    <row r="184" spans="1:5" x14ac:dyDescent="0.3">
      <c r="A184" s="2" t="s">
        <v>380</v>
      </c>
      <c r="B184" s="2" t="s">
        <v>5</v>
      </c>
      <c r="C184" s="2" t="s">
        <v>381</v>
      </c>
      <c r="D184" s="2" t="s">
        <v>295</v>
      </c>
      <c r="E184" s="2" t="str">
        <f>HYPERLINK("https://talan.bank.gov.ua/get-user-certificate/sec1eV9TarvctebKS1MQ","Завантажити сертифікат")</f>
        <v>Завантажити сертифікат</v>
      </c>
    </row>
    <row r="185" spans="1:5" x14ac:dyDescent="0.3">
      <c r="A185" s="2" t="s">
        <v>382</v>
      </c>
      <c r="B185" s="2" t="s">
        <v>5</v>
      </c>
      <c r="C185" s="2" t="s">
        <v>383</v>
      </c>
      <c r="D185" s="2" t="s">
        <v>295</v>
      </c>
      <c r="E185" s="2" t="str">
        <f>HYPERLINK("https://talan.bank.gov.ua/get-user-certificate/sec1eSlxYNzJ4-Zk06Pr","Завантажити сертифікат")</f>
        <v>Завантажити сертифікат</v>
      </c>
    </row>
    <row r="186" spans="1:5" x14ac:dyDescent="0.3">
      <c r="A186" s="2" t="s">
        <v>384</v>
      </c>
      <c r="B186" s="2" t="s">
        <v>5</v>
      </c>
      <c r="C186" s="2" t="s">
        <v>385</v>
      </c>
      <c r="D186" s="2" t="s">
        <v>295</v>
      </c>
      <c r="E186" s="2" t="str">
        <f>HYPERLINK("https://talan.bank.gov.ua/get-user-certificate/sec1eS5gfldm3MGsI3uc","Завантажити сертифікат")</f>
        <v>Завантажити сертифікат</v>
      </c>
    </row>
    <row r="187" spans="1:5" x14ac:dyDescent="0.3">
      <c r="A187" s="2" t="s">
        <v>386</v>
      </c>
      <c r="B187" s="2" t="s">
        <v>5</v>
      </c>
      <c r="C187" s="2" t="s">
        <v>387</v>
      </c>
      <c r="D187" s="2" t="s">
        <v>295</v>
      </c>
      <c r="E187" s="2" t="str">
        <f>HYPERLINK("https://talan.bank.gov.ua/get-user-certificate/sec1e4WynxaPntFuk_TF","Завантажити сертифікат")</f>
        <v>Завантажити сертифікат</v>
      </c>
    </row>
    <row r="188" spans="1:5" x14ac:dyDescent="0.3">
      <c r="A188" s="2" t="s">
        <v>388</v>
      </c>
      <c r="B188" s="2" t="s">
        <v>5</v>
      </c>
      <c r="C188" s="2" t="s">
        <v>389</v>
      </c>
      <c r="D188" s="2" t="s">
        <v>295</v>
      </c>
      <c r="E188" s="2" t="str">
        <f>HYPERLINK("https://talan.bank.gov.ua/get-user-certificate/sec1e5Rb0uHMNcFEcdpB","Завантажити сертифікат")</f>
        <v>Завантажити сертифікат</v>
      </c>
    </row>
    <row r="189" spans="1:5" x14ac:dyDescent="0.3">
      <c r="A189" s="2" t="s">
        <v>390</v>
      </c>
      <c r="B189" s="2" t="s">
        <v>5</v>
      </c>
      <c r="C189" s="2" t="s">
        <v>391</v>
      </c>
      <c r="D189" s="2" t="s">
        <v>295</v>
      </c>
      <c r="E189" s="2" t="str">
        <f>HYPERLINK("https://talan.bank.gov.ua/get-user-certificate/sec1e6FSJoEEoHm8LJ_B","Завантажити сертифікат")</f>
        <v>Завантажити сертифікат</v>
      </c>
    </row>
    <row r="190" spans="1:5" x14ac:dyDescent="0.3">
      <c r="A190" s="2" t="s">
        <v>392</v>
      </c>
      <c r="B190" s="2" t="s">
        <v>5</v>
      </c>
      <c r="C190" s="2" t="s">
        <v>393</v>
      </c>
      <c r="D190" s="2" t="s">
        <v>295</v>
      </c>
      <c r="E190" s="2" t="str">
        <f>HYPERLINK("https://talan.bank.gov.ua/get-user-certificate/sec1eUrbc1xI_cGHLFBG","Завантажити сертифікат")</f>
        <v>Завантажити сертифікат</v>
      </c>
    </row>
    <row r="191" spans="1:5" x14ac:dyDescent="0.3">
      <c r="A191" s="2" t="s">
        <v>394</v>
      </c>
      <c r="B191" s="2" t="s">
        <v>5</v>
      </c>
      <c r="C191" s="2" t="s">
        <v>395</v>
      </c>
      <c r="D191" s="2" t="s">
        <v>295</v>
      </c>
      <c r="E191" s="2" t="str">
        <f>HYPERLINK("https://talan.bank.gov.ua/get-user-certificate/sec1eKDHDd8RsA1JHb8B","Завантажити сертифікат")</f>
        <v>Завантажити сертифікат</v>
      </c>
    </row>
    <row r="192" spans="1:5" x14ac:dyDescent="0.3">
      <c r="A192" s="2" t="s">
        <v>396</v>
      </c>
      <c r="B192" s="2" t="s">
        <v>5</v>
      </c>
      <c r="C192" s="2" t="s">
        <v>397</v>
      </c>
      <c r="D192" s="2" t="s">
        <v>295</v>
      </c>
      <c r="E192" s="2" t="str">
        <f>HYPERLINK("https://talan.bank.gov.ua/get-user-certificate/sec1eTDF2YkojO0gfLQO","Завантажити сертифікат")</f>
        <v>Завантажити сертифікат</v>
      </c>
    </row>
    <row r="193" spans="1:5" x14ac:dyDescent="0.3">
      <c r="A193" s="2" t="s">
        <v>398</v>
      </c>
      <c r="B193" s="2" t="s">
        <v>5</v>
      </c>
      <c r="C193" s="2" t="s">
        <v>399</v>
      </c>
      <c r="D193" s="2" t="s">
        <v>295</v>
      </c>
      <c r="E193" s="2" t="str">
        <f>HYPERLINK("https://talan.bank.gov.ua/get-user-certificate/sec1eWQL8dTQQpqck48N","Завантажити сертифікат")</f>
        <v>Завантажити сертифікат</v>
      </c>
    </row>
    <row r="194" spans="1:5" x14ac:dyDescent="0.3">
      <c r="A194" s="2" t="s">
        <v>400</v>
      </c>
      <c r="B194" s="2" t="s">
        <v>5</v>
      </c>
      <c r="C194" s="2" t="s">
        <v>401</v>
      </c>
      <c r="D194" s="2" t="s">
        <v>295</v>
      </c>
      <c r="E194" s="2" t="str">
        <f>HYPERLINK("https://talan.bank.gov.ua/get-user-certificate/sec1eeDyWJqSo5EmkkDX","Завантажити сертифікат")</f>
        <v>Завантажити сертифікат</v>
      </c>
    </row>
    <row r="195" spans="1:5" x14ac:dyDescent="0.3">
      <c r="A195" s="2" t="s">
        <v>402</v>
      </c>
      <c r="B195" s="2" t="s">
        <v>5</v>
      </c>
      <c r="C195" s="2" t="s">
        <v>403</v>
      </c>
      <c r="D195" s="2" t="s">
        <v>295</v>
      </c>
      <c r="E195" s="2" t="str">
        <f>HYPERLINK("https://talan.bank.gov.ua/get-user-certificate/sec1eubO1h6_l2o_PIHQ","Завантажити сертифікат")</f>
        <v>Завантажити сертифікат</v>
      </c>
    </row>
    <row r="196" spans="1:5" x14ac:dyDescent="0.3">
      <c r="A196" s="2" t="s">
        <v>404</v>
      </c>
      <c r="B196" s="2" t="s">
        <v>5</v>
      </c>
      <c r="C196" s="2" t="s">
        <v>405</v>
      </c>
      <c r="D196" s="2" t="s">
        <v>295</v>
      </c>
      <c r="E196" s="2" t="str">
        <f>HYPERLINK("https://talan.bank.gov.ua/get-user-certificate/sec1eQXKCwG7VyIu2_V_","Завантажити сертифікат")</f>
        <v>Завантажити сертифікат</v>
      </c>
    </row>
    <row r="197" spans="1:5" x14ac:dyDescent="0.3">
      <c r="A197" s="2" t="s">
        <v>406</v>
      </c>
      <c r="B197" s="2" t="s">
        <v>5</v>
      </c>
      <c r="C197" s="2" t="s">
        <v>407</v>
      </c>
      <c r="D197" s="2" t="s">
        <v>295</v>
      </c>
      <c r="E197" s="2" t="str">
        <f>HYPERLINK("https://talan.bank.gov.ua/get-user-certificate/sec1eAiOeeSWSwDNgf-A","Завантажити сертифікат")</f>
        <v>Завантажити сертифікат</v>
      </c>
    </row>
    <row r="198" spans="1:5" x14ac:dyDescent="0.3">
      <c r="A198" s="2" t="s">
        <v>408</v>
      </c>
      <c r="B198" s="2" t="s">
        <v>5</v>
      </c>
      <c r="C198" s="2" t="s">
        <v>409</v>
      </c>
      <c r="D198" s="2" t="s">
        <v>295</v>
      </c>
      <c r="E198" s="2" t="str">
        <f>HYPERLINK("https://talan.bank.gov.ua/get-user-certificate/sec1eicvwuN6x373aeGs","Завантажити сертифікат")</f>
        <v>Завантажити сертифікат</v>
      </c>
    </row>
    <row r="199" spans="1:5" x14ac:dyDescent="0.3">
      <c r="A199" s="2" t="s">
        <v>410</v>
      </c>
      <c r="B199" s="2" t="s">
        <v>5</v>
      </c>
      <c r="C199" s="2" t="s">
        <v>411</v>
      </c>
      <c r="D199" s="2" t="s">
        <v>295</v>
      </c>
      <c r="E199" s="2" t="str">
        <f>HYPERLINK("https://talan.bank.gov.ua/get-user-certificate/sec1eNrnfywQqgbIGPi7","Завантажити сертифікат")</f>
        <v>Завантажити сертифікат</v>
      </c>
    </row>
    <row r="200" spans="1:5" x14ac:dyDescent="0.3">
      <c r="A200" s="2" t="s">
        <v>412</v>
      </c>
      <c r="B200" s="2" t="s">
        <v>5</v>
      </c>
      <c r="C200" s="2" t="s">
        <v>413</v>
      </c>
      <c r="D200" s="2" t="s">
        <v>295</v>
      </c>
      <c r="E200" s="2" t="str">
        <f>HYPERLINK("https://talan.bank.gov.ua/get-user-certificate/sec1eeuV9ViQza4mAEkB","Завантажити сертифікат")</f>
        <v>Завантажити сертифікат</v>
      </c>
    </row>
    <row r="201" spans="1:5" x14ac:dyDescent="0.3">
      <c r="A201" s="2" t="s">
        <v>414</v>
      </c>
      <c r="B201" s="2" t="s">
        <v>5</v>
      </c>
      <c r="C201" s="2" t="s">
        <v>415</v>
      </c>
      <c r="D201" s="2" t="s">
        <v>295</v>
      </c>
      <c r="E201" s="2" t="str">
        <f>HYPERLINK("https://talan.bank.gov.ua/get-user-certificate/sec1eKv_1U6NfqdFEf2S","Завантажити сертифікат")</f>
        <v>Завантажити сертифікат</v>
      </c>
    </row>
    <row r="202" spans="1:5" x14ac:dyDescent="0.3">
      <c r="A202" s="2" t="s">
        <v>416</v>
      </c>
      <c r="B202" s="2" t="s">
        <v>5</v>
      </c>
      <c r="C202" s="2" t="s">
        <v>417</v>
      </c>
      <c r="D202" s="2" t="s">
        <v>295</v>
      </c>
      <c r="E202" s="2" t="str">
        <f>HYPERLINK("https://talan.bank.gov.ua/get-user-certificate/sec1e6ZV87IbZQ-KaKyR","Завантажити сертифікат")</f>
        <v>Завантажити сертифікат</v>
      </c>
    </row>
    <row r="203" spans="1:5" x14ac:dyDescent="0.3">
      <c r="A203" s="2" t="s">
        <v>418</v>
      </c>
      <c r="B203" s="2" t="s">
        <v>5</v>
      </c>
      <c r="C203" s="2" t="s">
        <v>419</v>
      </c>
      <c r="D203" s="2" t="s">
        <v>295</v>
      </c>
      <c r="E203" s="2" t="str">
        <f>HYPERLINK("https://talan.bank.gov.ua/get-user-certificate/sec1eyyLTz1Za_JeeneI","Завантажити сертифікат")</f>
        <v>Завантажити сертифікат</v>
      </c>
    </row>
    <row r="204" spans="1:5" x14ac:dyDescent="0.3">
      <c r="A204" s="2" t="s">
        <v>420</v>
      </c>
      <c r="B204" s="2" t="s">
        <v>5</v>
      </c>
      <c r="C204" s="2" t="s">
        <v>421</v>
      </c>
      <c r="D204" s="2" t="s">
        <v>422</v>
      </c>
      <c r="E204" s="2" t="str">
        <f>HYPERLINK("https://talan.bank.gov.ua/get-user-certificate/sec1eREqla1YldkHEH7o","Завантажити сертифікат")</f>
        <v>Завантажити сертифікат</v>
      </c>
    </row>
    <row r="205" spans="1:5" x14ac:dyDescent="0.3">
      <c r="A205" s="2" t="s">
        <v>423</v>
      </c>
      <c r="B205" s="2" t="s">
        <v>5</v>
      </c>
      <c r="C205" s="2" t="s">
        <v>424</v>
      </c>
      <c r="D205" s="2" t="s">
        <v>422</v>
      </c>
      <c r="E205" s="2" t="str">
        <f>HYPERLINK("https://talan.bank.gov.ua/get-user-certificate/sec1e18PaFE3OC1DRBWo","Завантажити сертифікат")</f>
        <v>Завантажити сертифікат</v>
      </c>
    </row>
    <row r="206" spans="1:5" x14ac:dyDescent="0.3">
      <c r="A206" s="2" t="s">
        <v>425</v>
      </c>
      <c r="B206" s="2" t="s">
        <v>5</v>
      </c>
      <c r="C206" s="2" t="s">
        <v>426</v>
      </c>
      <c r="D206" s="2" t="s">
        <v>422</v>
      </c>
      <c r="E206" s="2" t="str">
        <f>HYPERLINK("https://talan.bank.gov.ua/get-user-certificate/sec1e1kXubT6MySzWfJm","Завантажити сертифікат")</f>
        <v>Завантажити сертифікат</v>
      </c>
    </row>
    <row r="207" spans="1:5" x14ac:dyDescent="0.3">
      <c r="A207" s="2" t="s">
        <v>427</v>
      </c>
      <c r="B207" s="2" t="s">
        <v>5</v>
      </c>
      <c r="C207" s="2" t="s">
        <v>428</v>
      </c>
      <c r="D207" s="2" t="s">
        <v>422</v>
      </c>
      <c r="E207" s="2" t="str">
        <f>HYPERLINK("https://talan.bank.gov.ua/get-user-certificate/sec1eVwXFCrSzqsUBvPq","Завантажити сертифікат")</f>
        <v>Завантажити сертифікат</v>
      </c>
    </row>
    <row r="208" spans="1:5" x14ac:dyDescent="0.3">
      <c r="A208" s="2" t="s">
        <v>429</v>
      </c>
      <c r="B208" s="2" t="s">
        <v>5</v>
      </c>
      <c r="C208" s="2" t="s">
        <v>430</v>
      </c>
      <c r="D208" s="2" t="s">
        <v>422</v>
      </c>
      <c r="E208" s="2" t="str">
        <f>HYPERLINK("https://talan.bank.gov.ua/get-user-certificate/sec1e9zTCXAxvRiaTedt","Завантажити сертифікат")</f>
        <v>Завантажити сертифікат</v>
      </c>
    </row>
    <row r="209" spans="1:5" x14ac:dyDescent="0.3">
      <c r="A209" s="2" t="s">
        <v>431</v>
      </c>
      <c r="B209" s="2" t="s">
        <v>5</v>
      </c>
      <c r="C209" s="2" t="s">
        <v>432</v>
      </c>
      <c r="D209" s="2" t="s">
        <v>422</v>
      </c>
      <c r="E209" s="2" t="str">
        <f>HYPERLINK("https://talan.bank.gov.ua/get-user-certificate/sec1eWbYJJx-VqEFyXsr","Завантажити сертифікат")</f>
        <v>Завантажити сертифікат</v>
      </c>
    </row>
    <row r="210" spans="1:5" x14ac:dyDescent="0.3">
      <c r="A210" s="2" t="s">
        <v>433</v>
      </c>
      <c r="B210" s="2" t="s">
        <v>5</v>
      </c>
      <c r="C210" s="2" t="s">
        <v>434</v>
      </c>
      <c r="D210" s="2" t="s">
        <v>422</v>
      </c>
      <c r="E210" s="2" t="str">
        <f>HYPERLINK("https://talan.bank.gov.ua/get-user-certificate/sec1eIKLRH34ShhSCt01","Завантажити сертифікат")</f>
        <v>Завантажити сертифікат</v>
      </c>
    </row>
    <row r="211" spans="1:5" x14ac:dyDescent="0.3">
      <c r="A211" s="2" t="s">
        <v>435</v>
      </c>
      <c r="B211" s="2" t="s">
        <v>5</v>
      </c>
      <c r="C211" s="2" t="s">
        <v>436</v>
      </c>
      <c r="D211" s="2" t="s">
        <v>422</v>
      </c>
      <c r="E211" s="2" t="str">
        <f>HYPERLINK("https://talan.bank.gov.ua/get-user-certificate/sec1etKRG35yVDsO2ece","Завантажити сертифікат")</f>
        <v>Завантажити сертифікат</v>
      </c>
    </row>
    <row r="212" spans="1:5" x14ac:dyDescent="0.3">
      <c r="A212" s="2" t="s">
        <v>437</v>
      </c>
      <c r="B212" s="2" t="s">
        <v>5</v>
      </c>
      <c r="C212" s="2" t="s">
        <v>438</v>
      </c>
      <c r="D212" s="2" t="s">
        <v>422</v>
      </c>
      <c r="E212" s="2" t="str">
        <f>HYPERLINK("https://talan.bank.gov.ua/get-user-certificate/sec1eE9ct7iDc_YoV4Ha","Завантажити сертифікат")</f>
        <v>Завантажити сертифікат</v>
      </c>
    </row>
    <row r="213" spans="1:5" x14ac:dyDescent="0.3">
      <c r="A213" s="2" t="s">
        <v>439</v>
      </c>
      <c r="B213" s="2" t="s">
        <v>5</v>
      </c>
      <c r="C213" s="2" t="s">
        <v>440</v>
      </c>
      <c r="D213" s="2" t="s">
        <v>422</v>
      </c>
      <c r="E213" s="2" t="str">
        <f>HYPERLINK("https://talan.bank.gov.ua/get-user-certificate/sec1edKcRNXnSd0oOgyr","Завантажити сертифікат")</f>
        <v>Завантажити сертифікат</v>
      </c>
    </row>
    <row r="214" spans="1:5" x14ac:dyDescent="0.3">
      <c r="A214" s="2" t="s">
        <v>441</v>
      </c>
      <c r="B214" s="2" t="s">
        <v>5</v>
      </c>
      <c r="C214" s="2" t="s">
        <v>442</v>
      </c>
      <c r="D214" s="2" t="s">
        <v>422</v>
      </c>
      <c r="E214" s="2" t="str">
        <f>HYPERLINK("https://talan.bank.gov.ua/get-user-certificate/sec1exVXY3TZfSEHQH4E","Завантажити сертифікат")</f>
        <v>Завантажити сертифікат</v>
      </c>
    </row>
    <row r="215" spans="1:5" x14ac:dyDescent="0.3">
      <c r="A215" s="2" t="s">
        <v>443</v>
      </c>
      <c r="B215" s="2" t="s">
        <v>5</v>
      </c>
      <c r="C215" s="2" t="s">
        <v>444</v>
      </c>
      <c r="D215" s="2" t="s">
        <v>422</v>
      </c>
      <c r="E215" s="2" t="str">
        <f>HYPERLINK("https://talan.bank.gov.ua/get-user-certificate/sec1e1LaqPcGZ3JWpqwr","Завантажити сертифікат")</f>
        <v>Завантажити сертифікат</v>
      </c>
    </row>
    <row r="216" spans="1:5" x14ac:dyDescent="0.3">
      <c r="A216" s="2" t="s">
        <v>445</v>
      </c>
      <c r="B216" s="2" t="s">
        <v>5</v>
      </c>
      <c r="C216" s="2" t="s">
        <v>446</v>
      </c>
      <c r="D216" s="2" t="s">
        <v>447</v>
      </c>
      <c r="E216" s="2" t="str">
        <f>HYPERLINK("https://talan.bank.gov.ua/get-user-certificate/sec1e6RtKqN1zqE8YGN7","Завантажити сертифікат")</f>
        <v>Завантажити сертифікат</v>
      </c>
    </row>
    <row r="217" spans="1:5" x14ac:dyDescent="0.3">
      <c r="A217" s="2" t="s">
        <v>448</v>
      </c>
      <c r="B217" s="2" t="s">
        <v>5</v>
      </c>
      <c r="C217" s="2" t="s">
        <v>449</v>
      </c>
      <c r="D217" s="2" t="s">
        <v>447</v>
      </c>
      <c r="E217" s="2" t="str">
        <f>HYPERLINK("https://talan.bank.gov.ua/get-user-certificate/sec1eSE_Jfo1dihCnM2C","Завантажити сертифікат")</f>
        <v>Завантажити сертифікат</v>
      </c>
    </row>
    <row r="218" spans="1:5" x14ac:dyDescent="0.3">
      <c r="A218" s="2" t="s">
        <v>450</v>
      </c>
      <c r="B218" s="2" t="s">
        <v>5</v>
      </c>
      <c r="C218" s="2" t="s">
        <v>451</v>
      </c>
      <c r="D218" s="2" t="s">
        <v>447</v>
      </c>
      <c r="E218" s="2" t="str">
        <f>HYPERLINK("https://talan.bank.gov.ua/get-user-certificate/sec1e8jpY4VyErlbNnEg","Завантажити сертифікат")</f>
        <v>Завантажити сертифікат</v>
      </c>
    </row>
    <row r="219" spans="1:5" x14ac:dyDescent="0.3">
      <c r="A219" s="2" t="s">
        <v>452</v>
      </c>
      <c r="B219" s="2" t="s">
        <v>5</v>
      </c>
      <c r="C219" s="2" t="s">
        <v>453</v>
      </c>
      <c r="D219" s="2" t="s">
        <v>447</v>
      </c>
      <c r="E219" s="2" t="str">
        <f>HYPERLINK("https://talan.bank.gov.ua/get-user-certificate/sec1eyEQrYQpngjirV1d","Завантажити сертифікат")</f>
        <v>Завантажити сертифікат</v>
      </c>
    </row>
    <row r="220" spans="1:5" x14ac:dyDescent="0.3">
      <c r="A220" s="2" t="s">
        <v>454</v>
      </c>
      <c r="B220" s="2" t="s">
        <v>5</v>
      </c>
      <c r="C220" s="2" t="s">
        <v>455</v>
      </c>
      <c r="D220" s="2" t="s">
        <v>447</v>
      </c>
      <c r="E220" s="2" t="str">
        <f>HYPERLINK("https://talan.bank.gov.ua/get-user-certificate/sec1eUV1HLiH0HDZqGUD","Завантажити сертифікат")</f>
        <v>Завантажити сертифікат</v>
      </c>
    </row>
    <row r="221" spans="1:5" x14ac:dyDescent="0.3">
      <c r="A221" s="2" t="s">
        <v>456</v>
      </c>
      <c r="B221" s="2" t="s">
        <v>5</v>
      </c>
      <c r="C221" s="2" t="s">
        <v>457</v>
      </c>
      <c r="D221" s="2" t="s">
        <v>447</v>
      </c>
      <c r="E221" s="2" t="str">
        <f>HYPERLINK("https://talan.bank.gov.ua/get-user-certificate/sec1em2ielSgv4QeAetA","Завантажити сертифікат")</f>
        <v>Завантажити сертифікат</v>
      </c>
    </row>
    <row r="222" spans="1:5" x14ac:dyDescent="0.3">
      <c r="A222" s="2" t="s">
        <v>458</v>
      </c>
      <c r="B222" s="2" t="s">
        <v>5</v>
      </c>
      <c r="C222" s="2" t="s">
        <v>459</v>
      </c>
      <c r="D222" s="2" t="s">
        <v>447</v>
      </c>
      <c r="E222" s="2" t="str">
        <f>HYPERLINK("https://talan.bank.gov.ua/get-user-certificate/sec1e5xrtsvROyldjisk","Завантажити сертифікат")</f>
        <v>Завантажити сертифікат</v>
      </c>
    </row>
    <row r="223" spans="1:5" x14ac:dyDescent="0.3">
      <c r="A223" s="2" t="s">
        <v>460</v>
      </c>
      <c r="B223" s="2" t="s">
        <v>5</v>
      </c>
      <c r="C223" s="2" t="s">
        <v>461</v>
      </c>
      <c r="D223" s="2" t="s">
        <v>447</v>
      </c>
      <c r="E223" s="2" t="str">
        <f>HYPERLINK("https://talan.bank.gov.ua/get-user-certificate/sec1eDpUFssxQy3QVJGK","Завантажити сертифікат")</f>
        <v>Завантажити сертифікат</v>
      </c>
    </row>
    <row r="224" spans="1:5" x14ac:dyDescent="0.3">
      <c r="A224" s="2" t="s">
        <v>462</v>
      </c>
      <c r="B224" s="2" t="s">
        <v>5</v>
      </c>
      <c r="C224" s="2" t="s">
        <v>463</v>
      </c>
      <c r="D224" s="2" t="s">
        <v>447</v>
      </c>
      <c r="E224" s="2" t="str">
        <f>HYPERLINK("https://talan.bank.gov.ua/get-user-certificate/sec1euIAd8iNYWjj1lfy","Завантажити сертифікат")</f>
        <v>Завантажити сертифікат</v>
      </c>
    </row>
    <row r="225" spans="1:5" x14ac:dyDescent="0.3">
      <c r="A225" s="2" t="s">
        <v>464</v>
      </c>
      <c r="B225" s="2" t="s">
        <v>5</v>
      </c>
      <c r="C225" s="2" t="s">
        <v>465</v>
      </c>
      <c r="D225" s="2" t="s">
        <v>447</v>
      </c>
      <c r="E225" s="2" t="str">
        <f>HYPERLINK("https://talan.bank.gov.ua/get-user-certificate/sec1e8YQB99C3ScYB-yG","Завантажити сертифікат")</f>
        <v>Завантажити сертифікат</v>
      </c>
    </row>
    <row r="226" spans="1:5" x14ac:dyDescent="0.3">
      <c r="A226" s="2" t="s">
        <v>466</v>
      </c>
      <c r="B226" s="2" t="s">
        <v>5</v>
      </c>
      <c r="C226" s="2" t="s">
        <v>467</v>
      </c>
      <c r="D226" s="2" t="s">
        <v>447</v>
      </c>
      <c r="E226" s="2" t="str">
        <f>HYPERLINK("https://talan.bank.gov.ua/get-user-certificate/sec1ebViLg62L-5xq26M","Завантажити сертифікат")</f>
        <v>Завантажити сертифікат</v>
      </c>
    </row>
    <row r="227" spans="1:5" x14ac:dyDescent="0.3">
      <c r="A227" s="2" t="s">
        <v>468</v>
      </c>
      <c r="B227" s="2" t="s">
        <v>5</v>
      </c>
      <c r="C227" s="2" t="s">
        <v>469</v>
      </c>
      <c r="D227" s="2" t="s">
        <v>447</v>
      </c>
      <c r="E227" s="2" t="str">
        <f>HYPERLINK("https://talan.bank.gov.ua/get-user-certificate/sec1eH6zWkmxIkPq1Myw","Завантажити сертифікат")</f>
        <v>Завантажити сертифікат</v>
      </c>
    </row>
    <row r="228" spans="1:5" x14ac:dyDescent="0.3">
      <c r="A228" s="2" t="s">
        <v>470</v>
      </c>
      <c r="B228" s="2" t="s">
        <v>5</v>
      </c>
      <c r="C228" s="2" t="s">
        <v>471</v>
      </c>
      <c r="D228" s="2" t="s">
        <v>472</v>
      </c>
      <c r="E228" s="2" t="str">
        <f>HYPERLINK("https://talan.bank.gov.ua/get-user-certificate/sec1ehl6ES89fSzjrmFc","Завантажити сертифікат")</f>
        <v>Завантажити сертифікат</v>
      </c>
    </row>
    <row r="229" spans="1:5" x14ac:dyDescent="0.3">
      <c r="A229" s="2" t="s">
        <v>473</v>
      </c>
      <c r="B229" s="2" t="s">
        <v>5</v>
      </c>
      <c r="C229" s="2" t="s">
        <v>474</v>
      </c>
      <c r="D229" s="2" t="s">
        <v>472</v>
      </c>
      <c r="E229" s="2" t="str">
        <f>HYPERLINK("https://talan.bank.gov.ua/get-user-certificate/sec1eDvUMjxd8peCRzGs","Завантажити сертифікат")</f>
        <v>Завантажити сертифікат</v>
      </c>
    </row>
    <row r="230" spans="1:5" x14ac:dyDescent="0.3">
      <c r="A230" s="2" t="s">
        <v>475</v>
      </c>
      <c r="B230" s="2" t="s">
        <v>5</v>
      </c>
      <c r="C230" s="2" t="s">
        <v>476</v>
      </c>
      <c r="D230" s="2" t="s">
        <v>472</v>
      </c>
      <c r="E230" s="2" t="str">
        <f>HYPERLINK("https://talan.bank.gov.ua/get-user-certificate/sec1ezlSGSXZvJe_8Uy6","Завантажити сертифікат")</f>
        <v>Завантажити сертифікат</v>
      </c>
    </row>
    <row r="231" spans="1:5" x14ac:dyDescent="0.3">
      <c r="A231" s="2" t="s">
        <v>477</v>
      </c>
      <c r="B231" s="2" t="s">
        <v>5</v>
      </c>
      <c r="C231" s="2" t="s">
        <v>478</v>
      </c>
      <c r="D231" s="2" t="s">
        <v>472</v>
      </c>
      <c r="E231" s="2" t="str">
        <f>HYPERLINK("https://talan.bank.gov.ua/get-user-certificate/sec1eBisEZtJ8al6IKxm","Завантажити сертифікат")</f>
        <v>Завантажити сертифікат</v>
      </c>
    </row>
    <row r="232" spans="1:5" x14ac:dyDescent="0.3">
      <c r="A232" s="2" t="s">
        <v>479</v>
      </c>
      <c r="B232" s="2" t="s">
        <v>5</v>
      </c>
      <c r="C232" s="2" t="s">
        <v>480</v>
      </c>
      <c r="D232" s="2" t="s">
        <v>472</v>
      </c>
      <c r="E232" s="2" t="str">
        <f>HYPERLINK("https://talan.bank.gov.ua/get-user-certificate/sec1e6AFAiYiiIg__88y","Завантажити сертифікат")</f>
        <v>Завантажити сертифікат</v>
      </c>
    </row>
    <row r="233" spans="1:5" x14ac:dyDescent="0.3">
      <c r="A233" s="2" t="s">
        <v>481</v>
      </c>
      <c r="B233" s="2" t="s">
        <v>5</v>
      </c>
      <c r="C233" s="2" t="s">
        <v>482</v>
      </c>
      <c r="D233" s="2" t="s">
        <v>472</v>
      </c>
      <c r="E233" s="2" t="str">
        <f>HYPERLINK("https://talan.bank.gov.ua/get-user-certificate/sec1ey6tIJxu7wW1PBq8","Завантажити сертифікат")</f>
        <v>Завантажити сертифікат</v>
      </c>
    </row>
    <row r="234" spans="1:5" x14ac:dyDescent="0.3">
      <c r="A234" s="2" t="s">
        <v>483</v>
      </c>
      <c r="B234" s="2" t="s">
        <v>5</v>
      </c>
      <c r="C234" s="2" t="s">
        <v>484</v>
      </c>
      <c r="D234" s="2" t="s">
        <v>472</v>
      </c>
      <c r="E234" s="2" t="str">
        <f>HYPERLINK("https://talan.bank.gov.ua/get-user-certificate/sec1eY1MHD5WnIgJluDB","Завантажити сертифікат")</f>
        <v>Завантажити сертифікат</v>
      </c>
    </row>
    <row r="235" spans="1:5" x14ac:dyDescent="0.3">
      <c r="A235" s="2" t="s">
        <v>485</v>
      </c>
      <c r="B235" s="2" t="s">
        <v>5</v>
      </c>
      <c r="C235" s="2" t="s">
        <v>486</v>
      </c>
      <c r="D235" s="2" t="s">
        <v>472</v>
      </c>
      <c r="E235" s="2" t="str">
        <f>HYPERLINK("https://talan.bank.gov.ua/get-user-certificate/sec1eW7YE8qXnC-_292C","Завантажити сертифікат")</f>
        <v>Завантажити сертифікат</v>
      </c>
    </row>
    <row r="236" spans="1:5" x14ac:dyDescent="0.3">
      <c r="A236" s="2" t="s">
        <v>487</v>
      </c>
      <c r="B236" s="2" t="s">
        <v>5</v>
      </c>
      <c r="C236" s="2" t="s">
        <v>488</v>
      </c>
      <c r="D236" s="2" t="s">
        <v>472</v>
      </c>
      <c r="E236" s="2" t="str">
        <f>HYPERLINK("https://talan.bank.gov.ua/get-user-certificate/sec1evyQilaecX8n0WGm","Завантажити сертифікат")</f>
        <v>Завантажити сертифікат</v>
      </c>
    </row>
    <row r="237" spans="1:5" x14ac:dyDescent="0.3">
      <c r="A237" s="2" t="s">
        <v>489</v>
      </c>
      <c r="B237" s="2" t="s">
        <v>5</v>
      </c>
      <c r="C237" s="2" t="s">
        <v>490</v>
      </c>
      <c r="D237" s="2" t="s">
        <v>472</v>
      </c>
      <c r="E237" s="2" t="str">
        <f>HYPERLINK("https://talan.bank.gov.ua/get-user-certificate/sec1eb4GwiBvfmc9OJoU","Завантажити сертифікат")</f>
        <v>Завантажити сертифікат</v>
      </c>
    </row>
    <row r="238" spans="1:5" x14ac:dyDescent="0.3">
      <c r="A238" s="2" t="s">
        <v>491</v>
      </c>
      <c r="B238" s="2" t="s">
        <v>5</v>
      </c>
      <c r="C238" s="2" t="s">
        <v>492</v>
      </c>
      <c r="D238" s="2" t="s">
        <v>472</v>
      </c>
      <c r="E238" s="2" t="str">
        <f>HYPERLINK("https://talan.bank.gov.ua/get-user-certificate/sec1eP4rcnGj1EcvjF-U","Завантажити сертифікат")</f>
        <v>Завантажити сертифікат</v>
      </c>
    </row>
    <row r="239" spans="1:5" x14ac:dyDescent="0.3">
      <c r="A239" s="2" t="s">
        <v>493</v>
      </c>
      <c r="B239" s="2" t="s">
        <v>5</v>
      </c>
      <c r="C239" s="2" t="s">
        <v>494</v>
      </c>
      <c r="D239" s="2" t="s">
        <v>472</v>
      </c>
      <c r="E239" s="2" t="str">
        <f>HYPERLINK("https://talan.bank.gov.ua/get-user-certificate/sec1eqOrCHRG_0Z2Gd9G","Завантажити сертифікат")</f>
        <v>Завантажити сертифікат</v>
      </c>
    </row>
    <row r="240" spans="1:5" x14ac:dyDescent="0.3">
      <c r="A240" s="2" t="s">
        <v>495</v>
      </c>
      <c r="B240" s="2" t="s">
        <v>5</v>
      </c>
      <c r="C240" s="2" t="s">
        <v>496</v>
      </c>
      <c r="D240" s="2" t="s">
        <v>472</v>
      </c>
      <c r="E240" s="2" t="str">
        <f>HYPERLINK("https://talan.bank.gov.ua/get-user-certificate/sec1eKqgI9-PWED1CP7h","Завантажити сертифікат")</f>
        <v>Завантажити сертифікат</v>
      </c>
    </row>
    <row r="241" spans="1:5" x14ac:dyDescent="0.3">
      <c r="A241" s="2" t="s">
        <v>497</v>
      </c>
      <c r="B241" s="2" t="s">
        <v>5</v>
      </c>
      <c r="C241" s="2" t="s">
        <v>498</v>
      </c>
      <c r="D241" s="2" t="s">
        <v>472</v>
      </c>
      <c r="E241" s="2" t="str">
        <f>HYPERLINK("https://talan.bank.gov.ua/get-user-certificate/sec1eEb9H6VdjIYbvnIZ","Завантажити сертифікат")</f>
        <v>Завантажити сертифікат</v>
      </c>
    </row>
    <row r="242" spans="1:5" x14ac:dyDescent="0.3">
      <c r="A242" s="2" t="s">
        <v>499</v>
      </c>
      <c r="B242" s="2" t="s">
        <v>5</v>
      </c>
      <c r="C242" s="2" t="s">
        <v>500</v>
      </c>
      <c r="D242" s="2" t="s">
        <v>472</v>
      </c>
      <c r="E242" s="2" t="str">
        <f>HYPERLINK("https://talan.bank.gov.ua/get-user-certificate/sec1eW9vuH_O179vc95W","Завантажити сертифікат")</f>
        <v>Завантажити сертифікат</v>
      </c>
    </row>
    <row r="243" spans="1:5" x14ac:dyDescent="0.3">
      <c r="A243" s="2" t="s">
        <v>501</v>
      </c>
      <c r="B243" s="2" t="s">
        <v>5</v>
      </c>
      <c r="C243" s="2" t="s">
        <v>502</v>
      </c>
      <c r="D243" s="2" t="s">
        <v>472</v>
      </c>
      <c r="E243" s="2" t="str">
        <f>HYPERLINK("https://talan.bank.gov.ua/get-user-certificate/sec1ej4s8J2NaJyIp7JD","Завантажити сертифікат")</f>
        <v>Завантажити сертифікат</v>
      </c>
    </row>
    <row r="244" spans="1:5" x14ac:dyDescent="0.3">
      <c r="A244" s="2" t="s">
        <v>503</v>
      </c>
      <c r="B244" s="2" t="s">
        <v>5</v>
      </c>
      <c r="C244" s="2" t="s">
        <v>504</v>
      </c>
      <c r="D244" s="2" t="s">
        <v>472</v>
      </c>
      <c r="E244" s="2" t="str">
        <f>HYPERLINK("https://talan.bank.gov.ua/get-user-certificate/sec1e5BA9W7-oONkGAES","Завантажити сертифікат")</f>
        <v>Завантажити сертифікат</v>
      </c>
    </row>
    <row r="245" spans="1:5" x14ac:dyDescent="0.3">
      <c r="A245" s="2" t="s">
        <v>505</v>
      </c>
      <c r="B245" s="2" t="s">
        <v>5</v>
      </c>
      <c r="C245" s="2" t="s">
        <v>506</v>
      </c>
      <c r="D245" s="2" t="s">
        <v>472</v>
      </c>
      <c r="E245" s="2" t="str">
        <f>HYPERLINK("https://talan.bank.gov.ua/get-user-certificate/sec1eOIpHqvABszin9VO","Завантажити сертифікат")</f>
        <v>Завантажити сертифікат</v>
      </c>
    </row>
    <row r="246" spans="1:5" x14ac:dyDescent="0.3">
      <c r="A246" s="2" t="s">
        <v>507</v>
      </c>
      <c r="B246" s="2" t="s">
        <v>5</v>
      </c>
      <c r="C246" s="2" t="s">
        <v>508</v>
      </c>
      <c r="D246" s="2" t="s">
        <v>472</v>
      </c>
      <c r="E246" s="2" t="str">
        <f>HYPERLINK("https://talan.bank.gov.ua/get-user-certificate/sec1eqCnZKdk4NGGNzTS","Завантажити сертифікат")</f>
        <v>Завантажити сертифікат</v>
      </c>
    </row>
    <row r="247" spans="1:5" x14ac:dyDescent="0.3">
      <c r="A247" s="2" t="s">
        <v>509</v>
      </c>
      <c r="B247" s="2" t="s">
        <v>5</v>
      </c>
      <c r="C247" s="2" t="s">
        <v>510</v>
      </c>
      <c r="D247" s="2" t="s">
        <v>472</v>
      </c>
      <c r="E247" s="2" t="str">
        <f>HYPERLINK("https://talan.bank.gov.ua/get-user-certificate/sec1eSGVd8Kd1fJCFUV0","Завантажити сертифікат")</f>
        <v>Завантажити сертифікат</v>
      </c>
    </row>
    <row r="248" spans="1:5" x14ac:dyDescent="0.3">
      <c r="A248" s="2" t="s">
        <v>511</v>
      </c>
      <c r="B248" s="2" t="s">
        <v>5</v>
      </c>
      <c r="C248" s="2" t="s">
        <v>512</v>
      </c>
      <c r="D248" s="2" t="s">
        <v>472</v>
      </c>
      <c r="E248" s="2" t="str">
        <f>HYPERLINK("https://talan.bank.gov.ua/get-user-certificate/sec1eYGFANpRUU5Rp5i6","Завантажити сертифікат")</f>
        <v>Завантажити сертифікат</v>
      </c>
    </row>
    <row r="249" spans="1:5" x14ac:dyDescent="0.3">
      <c r="A249" s="2" t="s">
        <v>513</v>
      </c>
      <c r="B249" s="2" t="s">
        <v>5</v>
      </c>
      <c r="C249" s="2" t="s">
        <v>514</v>
      </c>
      <c r="D249" s="2" t="s">
        <v>472</v>
      </c>
      <c r="E249" s="2" t="str">
        <f>HYPERLINK("https://talan.bank.gov.ua/get-user-certificate/sec1efCb--zVfTJE2oF7","Завантажити сертифікат")</f>
        <v>Завантажити сертифікат</v>
      </c>
    </row>
    <row r="250" spans="1:5" x14ac:dyDescent="0.3">
      <c r="A250" s="2" t="s">
        <v>515</v>
      </c>
      <c r="B250" s="2" t="s">
        <v>5</v>
      </c>
      <c r="C250" s="2" t="s">
        <v>516</v>
      </c>
      <c r="D250" s="2" t="s">
        <v>517</v>
      </c>
      <c r="E250" s="2" t="str">
        <f>HYPERLINK("https://talan.bank.gov.ua/get-user-certificate/sec1eL3EQxmPxe5iPxEH","Завантажити сертифікат")</f>
        <v>Завантажити сертифікат</v>
      </c>
    </row>
    <row r="251" spans="1:5" x14ac:dyDescent="0.3">
      <c r="A251" s="2" t="s">
        <v>518</v>
      </c>
      <c r="B251" s="2" t="s">
        <v>5</v>
      </c>
      <c r="C251" s="2" t="s">
        <v>519</v>
      </c>
      <c r="D251" s="2" t="s">
        <v>517</v>
      </c>
      <c r="E251" s="2" t="str">
        <f>HYPERLINK("https://talan.bank.gov.ua/get-user-certificate/sec1eXEMm7Nmoq0qbdWY","Завантажити сертифікат")</f>
        <v>Завантажити сертифікат</v>
      </c>
    </row>
    <row r="252" spans="1:5" x14ac:dyDescent="0.3">
      <c r="A252" s="2" t="s">
        <v>520</v>
      </c>
      <c r="B252" s="2" t="s">
        <v>5</v>
      </c>
      <c r="C252" s="2" t="s">
        <v>521</v>
      </c>
      <c r="D252" s="2" t="s">
        <v>517</v>
      </c>
      <c r="E252" s="2" t="str">
        <f>HYPERLINK("https://talan.bank.gov.ua/get-user-certificate/sec1eSx8ticC3N2HFgy-","Завантажити сертифікат")</f>
        <v>Завантажити сертифікат</v>
      </c>
    </row>
    <row r="253" spans="1:5" x14ac:dyDescent="0.3">
      <c r="A253" s="2" t="s">
        <v>522</v>
      </c>
      <c r="B253" s="2" t="s">
        <v>5</v>
      </c>
      <c r="C253" s="2" t="s">
        <v>523</v>
      </c>
      <c r="D253" s="2" t="s">
        <v>517</v>
      </c>
      <c r="E253" s="2" t="str">
        <f>HYPERLINK("https://talan.bank.gov.ua/get-user-certificate/sec1eo9Pk1qFekItMShr","Завантажити сертифікат")</f>
        <v>Завантажити сертифікат</v>
      </c>
    </row>
    <row r="254" spans="1:5" x14ac:dyDescent="0.3">
      <c r="A254" s="2" t="s">
        <v>524</v>
      </c>
      <c r="B254" s="2" t="s">
        <v>5</v>
      </c>
      <c r="C254" s="2" t="s">
        <v>525</v>
      </c>
      <c r="D254" s="2" t="s">
        <v>517</v>
      </c>
      <c r="E254" s="2" t="str">
        <f>HYPERLINK("https://talan.bank.gov.ua/get-user-certificate/sec1eRD655IQ_yKIxTzo","Завантажити сертифікат")</f>
        <v>Завантажити сертифікат</v>
      </c>
    </row>
    <row r="255" spans="1:5" x14ac:dyDescent="0.3">
      <c r="A255" s="2" t="s">
        <v>526</v>
      </c>
      <c r="B255" s="2" t="s">
        <v>5</v>
      </c>
      <c r="C255" s="2" t="s">
        <v>527</v>
      </c>
      <c r="D255" s="2" t="s">
        <v>517</v>
      </c>
      <c r="E255" s="2" t="str">
        <f>HYPERLINK("https://talan.bank.gov.ua/get-user-certificate/sec1e36AKkGZDgVJLeKt","Завантажити сертифікат")</f>
        <v>Завантажити сертифікат</v>
      </c>
    </row>
    <row r="256" spans="1:5" x14ac:dyDescent="0.3">
      <c r="A256" s="2" t="s">
        <v>528</v>
      </c>
      <c r="B256" s="2" t="s">
        <v>5</v>
      </c>
      <c r="C256" s="2" t="s">
        <v>529</v>
      </c>
      <c r="D256" s="2" t="s">
        <v>517</v>
      </c>
      <c r="E256" s="2" t="str">
        <f>HYPERLINK("https://talan.bank.gov.ua/get-user-certificate/sec1eeYNKaKWtjPfoqmE","Завантажити сертифікат")</f>
        <v>Завантажити сертифікат</v>
      </c>
    </row>
    <row r="257" spans="1:5" x14ac:dyDescent="0.3">
      <c r="A257" s="2" t="s">
        <v>530</v>
      </c>
      <c r="B257" s="2" t="s">
        <v>5</v>
      </c>
      <c r="C257" s="2" t="s">
        <v>531</v>
      </c>
      <c r="D257" s="2" t="s">
        <v>517</v>
      </c>
      <c r="E257" s="2" t="str">
        <f>HYPERLINK("https://talan.bank.gov.ua/get-user-certificate/sec1e667KoGewG1OdjXx","Завантажити сертифікат")</f>
        <v>Завантажити сертифікат</v>
      </c>
    </row>
    <row r="258" spans="1:5" x14ac:dyDescent="0.3">
      <c r="A258" s="2" t="s">
        <v>532</v>
      </c>
      <c r="B258" s="2" t="s">
        <v>5</v>
      </c>
      <c r="C258" s="2" t="s">
        <v>533</v>
      </c>
      <c r="D258" s="2" t="s">
        <v>517</v>
      </c>
      <c r="E258" s="2" t="str">
        <f>HYPERLINK("https://talan.bank.gov.ua/get-user-certificate/sec1e1ybNCZCkwRl4Xqa","Завантажити сертифікат")</f>
        <v>Завантажити сертифікат</v>
      </c>
    </row>
    <row r="259" spans="1:5" x14ac:dyDescent="0.3">
      <c r="A259" s="2" t="s">
        <v>534</v>
      </c>
      <c r="B259" s="2" t="s">
        <v>5</v>
      </c>
      <c r="C259" s="2" t="s">
        <v>535</v>
      </c>
      <c r="D259" s="2" t="s">
        <v>517</v>
      </c>
      <c r="E259" s="2" t="str">
        <f>HYPERLINK("https://talan.bank.gov.ua/get-user-certificate/sec1ew9476RYnG_1U9eC","Завантажити сертифікат")</f>
        <v>Завантажити сертифікат</v>
      </c>
    </row>
    <row r="260" spans="1:5" x14ac:dyDescent="0.3">
      <c r="A260" s="2" t="s">
        <v>536</v>
      </c>
      <c r="B260" s="2" t="s">
        <v>5</v>
      </c>
      <c r="C260" s="2" t="s">
        <v>537</v>
      </c>
      <c r="D260" s="2" t="s">
        <v>517</v>
      </c>
      <c r="E260" s="2" t="str">
        <f>HYPERLINK("https://talan.bank.gov.ua/get-user-certificate/sec1eYXxjIuXolH9nJAq","Завантажити сертифікат")</f>
        <v>Завантажити сертифікат</v>
      </c>
    </row>
    <row r="261" spans="1:5" x14ac:dyDescent="0.3">
      <c r="A261" s="2" t="s">
        <v>538</v>
      </c>
      <c r="B261" s="2" t="s">
        <v>5</v>
      </c>
      <c r="C261" s="2" t="s">
        <v>539</v>
      </c>
      <c r="D261" s="2" t="s">
        <v>517</v>
      </c>
      <c r="E261" s="2" t="str">
        <f>HYPERLINK("https://talan.bank.gov.ua/get-user-certificate/sec1easry0DXJxM8icUf","Завантажити сертифікат")</f>
        <v>Завантажити сертифікат</v>
      </c>
    </row>
    <row r="262" spans="1:5" x14ac:dyDescent="0.3">
      <c r="A262" s="2" t="s">
        <v>540</v>
      </c>
      <c r="B262" s="2" t="s">
        <v>5</v>
      </c>
      <c r="C262" s="2" t="s">
        <v>541</v>
      </c>
      <c r="D262" s="2" t="s">
        <v>517</v>
      </c>
      <c r="E262" s="2" t="str">
        <f>HYPERLINK("https://talan.bank.gov.ua/get-user-certificate/sec1epeHMAyU8KYvxMf-","Завантажити сертифікат")</f>
        <v>Завантажити сертифікат</v>
      </c>
    </row>
    <row r="263" spans="1:5" x14ac:dyDescent="0.3">
      <c r="A263" s="2" t="s">
        <v>542</v>
      </c>
      <c r="B263" s="2" t="s">
        <v>5</v>
      </c>
      <c r="C263" s="2" t="s">
        <v>543</v>
      </c>
      <c r="D263" s="2" t="s">
        <v>517</v>
      </c>
      <c r="E263" s="2" t="str">
        <f>HYPERLINK("https://talan.bank.gov.ua/get-user-certificate/sec1e5ysYoH1cdxyvTwk","Завантажити сертифікат")</f>
        <v>Завантажити сертифікат</v>
      </c>
    </row>
    <row r="264" spans="1:5" x14ac:dyDescent="0.3">
      <c r="A264" s="2" t="s">
        <v>544</v>
      </c>
      <c r="B264" s="2" t="s">
        <v>5</v>
      </c>
      <c r="C264" s="2" t="s">
        <v>545</v>
      </c>
      <c r="D264" s="2" t="s">
        <v>517</v>
      </c>
      <c r="E264" s="2" t="str">
        <f>HYPERLINK("https://talan.bank.gov.ua/get-user-certificate/sec1e4My-Ml39s50LubZ","Завантажити сертифікат")</f>
        <v>Завантажити сертифікат</v>
      </c>
    </row>
    <row r="265" spans="1:5" x14ac:dyDescent="0.3">
      <c r="A265" s="2" t="s">
        <v>546</v>
      </c>
      <c r="B265" s="2" t="s">
        <v>5</v>
      </c>
      <c r="C265" s="2" t="s">
        <v>547</v>
      </c>
      <c r="D265" s="2" t="s">
        <v>517</v>
      </c>
      <c r="E265" s="2" t="str">
        <f>HYPERLINK("https://talan.bank.gov.ua/get-user-certificate/sec1ecnjM32KOoiUeUXq","Завантажити сертифікат")</f>
        <v>Завантажити сертифікат</v>
      </c>
    </row>
    <row r="266" spans="1:5" x14ac:dyDescent="0.3">
      <c r="A266" s="2" t="s">
        <v>548</v>
      </c>
      <c r="B266" s="2" t="s">
        <v>5</v>
      </c>
      <c r="C266" s="2" t="s">
        <v>549</v>
      </c>
      <c r="D266" s="2" t="s">
        <v>550</v>
      </c>
      <c r="E266" s="2" t="str">
        <f>HYPERLINK("https://talan.bank.gov.ua/get-user-certificate/sec1efF3LLSeB14yKPxb","Завантажити сертифікат")</f>
        <v>Завантажити сертифікат</v>
      </c>
    </row>
    <row r="267" spans="1:5" x14ac:dyDescent="0.3">
      <c r="A267" s="2" t="s">
        <v>551</v>
      </c>
      <c r="B267" s="2" t="s">
        <v>5</v>
      </c>
      <c r="C267" s="2" t="s">
        <v>552</v>
      </c>
      <c r="D267" s="2" t="s">
        <v>550</v>
      </c>
      <c r="E267" s="2" t="str">
        <f>HYPERLINK("https://talan.bank.gov.ua/get-user-certificate/sec1erqAQsE656Whwl2g","Завантажити сертифікат")</f>
        <v>Завантажити сертифікат</v>
      </c>
    </row>
    <row r="268" spans="1:5" x14ac:dyDescent="0.3">
      <c r="A268" s="2" t="s">
        <v>553</v>
      </c>
      <c r="B268" s="2" t="s">
        <v>5</v>
      </c>
      <c r="C268" s="2" t="s">
        <v>554</v>
      </c>
      <c r="D268" s="2" t="s">
        <v>550</v>
      </c>
      <c r="E268" s="2" t="str">
        <f>HYPERLINK("https://talan.bank.gov.ua/get-user-certificate/sec1eGG15A0Sds9TxKuE","Завантажити сертифікат")</f>
        <v>Завантажити сертифікат</v>
      </c>
    </row>
    <row r="269" spans="1:5" x14ac:dyDescent="0.3">
      <c r="A269" s="2" t="s">
        <v>555</v>
      </c>
      <c r="B269" s="2" t="s">
        <v>5</v>
      </c>
      <c r="C269" s="2" t="s">
        <v>556</v>
      </c>
      <c r="D269" s="2" t="s">
        <v>550</v>
      </c>
      <c r="E269" s="2" t="str">
        <f>HYPERLINK("https://talan.bank.gov.ua/get-user-certificate/sec1eyOVtRDvtSKSlZbj","Завантажити сертифікат")</f>
        <v>Завантажити сертифікат</v>
      </c>
    </row>
    <row r="270" spans="1:5" x14ac:dyDescent="0.3">
      <c r="A270" s="2" t="s">
        <v>557</v>
      </c>
      <c r="B270" s="2" t="s">
        <v>5</v>
      </c>
      <c r="C270" s="2" t="s">
        <v>558</v>
      </c>
      <c r="D270" s="2" t="s">
        <v>550</v>
      </c>
      <c r="E270" s="2" t="str">
        <f>HYPERLINK("https://talan.bank.gov.ua/get-user-certificate/sec1eOd7mNejZwDCHjAL","Завантажити сертифікат")</f>
        <v>Завантажити сертифікат</v>
      </c>
    </row>
    <row r="271" spans="1:5" x14ac:dyDescent="0.3">
      <c r="A271" s="2" t="s">
        <v>559</v>
      </c>
      <c r="B271" s="2" t="s">
        <v>5</v>
      </c>
      <c r="C271" s="2" t="s">
        <v>560</v>
      </c>
      <c r="D271" s="2" t="s">
        <v>550</v>
      </c>
      <c r="E271" s="2" t="str">
        <f>HYPERLINK("https://talan.bank.gov.ua/get-user-certificate/sec1eehSMk-PZ7vq_UQg","Завантажити сертифікат")</f>
        <v>Завантажити сертифікат</v>
      </c>
    </row>
    <row r="272" spans="1:5" x14ac:dyDescent="0.3">
      <c r="A272" s="2" t="s">
        <v>561</v>
      </c>
      <c r="B272" s="2" t="s">
        <v>5</v>
      </c>
      <c r="C272" s="2" t="s">
        <v>562</v>
      </c>
      <c r="D272" s="2" t="s">
        <v>550</v>
      </c>
      <c r="E272" s="2" t="str">
        <f>HYPERLINK("https://talan.bank.gov.ua/get-user-certificate/sec1esQOPYeQZkleCl8x","Завантажити сертифікат")</f>
        <v>Завантажити сертифікат</v>
      </c>
    </row>
    <row r="273" spans="1:5" x14ac:dyDescent="0.3">
      <c r="A273" s="2" t="s">
        <v>563</v>
      </c>
      <c r="B273" s="2" t="s">
        <v>5</v>
      </c>
      <c r="C273" s="2" t="s">
        <v>564</v>
      </c>
      <c r="D273" s="2" t="s">
        <v>550</v>
      </c>
      <c r="E273" s="2" t="str">
        <f>HYPERLINK("https://talan.bank.gov.ua/get-user-certificate/sec1ekfDSniMNh40vGr9","Завантажити сертифікат")</f>
        <v>Завантажити сертифікат</v>
      </c>
    </row>
    <row r="274" spans="1:5" x14ac:dyDescent="0.3">
      <c r="A274" s="2" t="s">
        <v>565</v>
      </c>
      <c r="B274" s="2" t="s">
        <v>5</v>
      </c>
      <c r="C274" s="2" t="s">
        <v>566</v>
      </c>
      <c r="D274" s="2" t="s">
        <v>550</v>
      </c>
      <c r="E274" s="2" t="str">
        <f>HYPERLINK("https://talan.bank.gov.ua/get-user-certificate/sec1e7KBbFdsTBnage8A","Завантажити сертифікат")</f>
        <v>Завантажити сертифікат</v>
      </c>
    </row>
    <row r="275" spans="1:5" x14ac:dyDescent="0.3">
      <c r="A275" s="2" t="s">
        <v>567</v>
      </c>
      <c r="B275" s="2" t="s">
        <v>5</v>
      </c>
      <c r="C275" s="2" t="s">
        <v>568</v>
      </c>
      <c r="D275" s="2" t="s">
        <v>550</v>
      </c>
      <c r="E275" s="2" t="str">
        <f>HYPERLINK("https://talan.bank.gov.ua/get-user-certificate/sec1eN1CsQV0QzKb4bVI","Завантажити сертифікат")</f>
        <v>Завантажити сертифікат</v>
      </c>
    </row>
    <row r="276" spans="1:5" x14ac:dyDescent="0.3">
      <c r="A276" s="2" t="s">
        <v>569</v>
      </c>
      <c r="B276" s="2" t="s">
        <v>5</v>
      </c>
      <c r="C276" s="2" t="s">
        <v>570</v>
      </c>
      <c r="D276" s="2" t="s">
        <v>550</v>
      </c>
      <c r="E276" s="2" t="str">
        <f>HYPERLINK("https://talan.bank.gov.ua/get-user-certificate/sec1eFWqc7cnHa1p_Dsn","Завантажити сертифікат")</f>
        <v>Завантажити сертифікат</v>
      </c>
    </row>
    <row r="277" spans="1:5" x14ac:dyDescent="0.3">
      <c r="A277" s="2" t="s">
        <v>571</v>
      </c>
      <c r="B277" s="2" t="s">
        <v>5</v>
      </c>
      <c r="C277" s="2" t="s">
        <v>572</v>
      </c>
      <c r="D277" s="2" t="s">
        <v>550</v>
      </c>
      <c r="E277" s="2" t="str">
        <f>HYPERLINK("https://talan.bank.gov.ua/get-user-certificate/sec1eXdhVX0CUJXIenLO","Завантажити сертифікат")</f>
        <v>Завантажити сертифікат</v>
      </c>
    </row>
    <row r="278" spans="1:5" x14ac:dyDescent="0.3">
      <c r="A278" s="2" t="s">
        <v>573</v>
      </c>
      <c r="B278" s="2" t="s">
        <v>5</v>
      </c>
      <c r="C278" s="2" t="s">
        <v>574</v>
      </c>
      <c r="D278" s="2" t="s">
        <v>550</v>
      </c>
      <c r="E278" s="2" t="str">
        <f>HYPERLINK("https://talan.bank.gov.ua/get-user-certificate/sec1eF5a7lmAiWLn_WKM","Завантажити сертифікат")</f>
        <v>Завантажити сертифікат</v>
      </c>
    </row>
    <row r="279" spans="1:5" x14ac:dyDescent="0.3">
      <c r="A279" s="2" t="s">
        <v>575</v>
      </c>
      <c r="B279" s="2" t="s">
        <v>5</v>
      </c>
      <c r="C279" s="2" t="s">
        <v>576</v>
      </c>
      <c r="D279" s="2" t="s">
        <v>577</v>
      </c>
      <c r="E279" s="2" t="str">
        <f>HYPERLINK("https://talan.bank.gov.ua/get-user-certificate/sec1edRUhMfoZ1FctmiT","Завантажити сертифікат")</f>
        <v>Завантажити сертифікат</v>
      </c>
    </row>
    <row r="280" spans="1:5" x14ac:dyDescent="0.3">
      <c r="A280" s="2" t="s">
        <v>578</v>
      </c>
      <c r="B280" s="2" t="s">
        <v>5</v>
      </c>
      <c r="C280" s="2" t="s">
        <v>579</v>
      </c>
      <c r="D280" s="2" t="s">
        <v>577</v>
      </c>
      <c r="E280" s="2" t="str">
        <f>HYPERLINK("https://talan.bank.gov.ua/get-user-certificate/sec1e7wvoHNQNduzBL-n","Завантажити сертифікат")</f>
        <v>Завантажити сертифікат</v>
      </c>
    </row>
    <row r="281" spans="1:5" x14ac:dyDescent="0.3">
      <c r="A281" s="2" t="s">
        <v>580</v>
      </c>
      <c r="B281" s="2" t="s">
        <v>5</v>
      </c>
      <c r="C281" s="2" t="s">
        <v>581</v>
      </c>
      <c r="D281" s="2" t="s">
        <v>577</v>
      </c>
      <c r="E281" s="2" t="str">
        <f>HYPERLINK("https://talan.bank.gov.ua/get-user-certificate/sec1eMPxMDt2e1YYv3eI","Завантажити сертифікат")</f>
        <v>Завантажити сертифікат</v>
      </c>
    </row>
    <row r="282" spans="1:5" x14ac:dyDescent="0.3">
      <c r="A282" s="2" t="s">
        <v>582</v>
      </c>
      <c r="B282" s="2" t="s">
        <v>5</v>
      </c>
      <c r="C282" s="2" t="s">
        <v>583</v>
      </c>
      <c r="D282" s="2" t="s">
        <v>577</v>
      </c>
      <c r="E282" s="2" t="str">
        <f>HYPERLINK("https://talan.bank.gov.ua/get-user-certificate/sec1eE--A1YpUdtCewqa","Завантажити сертифікат")</f>
        <v>Завантажити сертифікат</v>
      </c>
    </row>
    <row r="283" spans="1:5" x14ac:dyDescent="0.3">
      <c r="A283" s="2" t="s">
        <v>584</v>
      </c>
      <c r="B283" s="2" t="s">
        <v>5</v>
      </c>
      <c r="C283" s="2" t="s">
        <v>585</v>
      </c>
      <c r="D283" s="2" t="s">
        <v>577</v>
      </c>
      <c r="E283" s="2" t="str">
        <f>HYPERLINK("https://talan.bank.gov.ua/get-user-certificate/sec1eHwLuktUP74KsfvQ","Завантажити сертифікат")</f>
        <v>Завантажити сертифікат</v>
      </c>
    </row>
    <row r="284" spans="1:5" x14ac:dyDescent="0.3">
      <c r="A284" s="2" t="s">
        <v>586</v>
      </c>
      <c r="B284" s="2" t="s">
        <v>5</v>
      </c>
      <c r="C284" s="2" t="s">
        <v>587</v>
      </c>
      <c r="D284" s="2" t="s">
        <v>577</v>
      </c>
      <c r="E284" s="2" t="str">
        <f>HYPERLINK("https://talan.bank.gov.ua/get-user-certificate/sec1epMKzyHwDVdTIYFK","Завантажити сертифікат")</f>
        <v>Завантажити сертифікат</v>
      </c>
    </row>
    <row r="285" spans="1:5" x14ac:dyDescent="0.3">
      <c r="A285" s="2" t="s">
        <v>588</v>
      </c>
      <c r="B285" s="2" t="s">
        <v>5</v>
      </c>
      <c r="C285" s="2" t="s">
        <v>589</v>
      </c>
      <c r="D285" s="2" t="s">
        <v>577</v>
      </c>
      <c r="E285" s="2" t="str">
        <f>HYPERLINK("https://talan.bank.gov.ua/get-user-certificate/sec1emefIfOM1UzYeQMI","Завантажити сертифікат")</f>
        <v>Завантажити сертифікат</v>
      </c>
    </row>
    <row r="286" spans="1:5" x14ac:dyDescent="0.3">
      <c r="A286" s="2" t="s">
        <v>590</v>
      </c>
      <c r="B286" s="2" t="s">
        <v>5</v>
      </c>
      <c r="C286" s="2" t="s">
        <v>591</v>
      </c>
      <c r="D286" s="2" t="s">
        <v>577</v>
      </c>
      <c r="E286" s="2" t="str">
        <f>HYPERLINK("https://talan.bank.gov.ua/get-user-certificate/sec1e6wnwcFiOC6iQ13J","Завантажити сертифікат")</f>
        <v>Завантажити сертифікат</v>
      </c>
    </row>
    <row r="287" spans="1:5" x14ac:dyDescent="0.3">
      <c r="A287" s="2" t="s">
        <v>592</v>
      </c>
      <c r="B287" s="2" t="s">
        <v>5</v>
      </c>
      <c r="C287" s="2" t="s">
        <v>593</v>
      </c>
      <c r="D287" s="2" t="s">
        <v>577</v>
      </c>
      <c r="E287" s="2" t="str">
        <f>HYPERLINK("https://talan.bank.gov.ua/get-user-certificate/sec1ePZM60mKW4jCeYMY","Завантажити сертифікат")</f>
        <v>Завантажити сертифікат</v>
      </c>
    </row>
    <row r="288" spans="1:5" x14ac:dyDescent="0.3">
      <c r="A288" s="2" t="s">
        <v>594</v>
      </c>
      <c r="B288" s="2" t="s">
        <v>5</v>
      </c>
      <c r="C288" s="2" t="s">
        <v>595</v>
      </c>
      <c r="D288" s="2" t="s">
        <v>577</v>
      </c>
      <c r="E288" s="2" t="str">
        <f>HYPERLINK("https://talan.bank.gov.ua/get-user-certificate/sec1eGneKaMAM49HWqas","Завантажити сертифікат")</f>
        <v>Завантажити сертифікат</v>
      </c>
    </row>
    <row r="289" spans="1:5" x14ac:dyDescent="0.3">
      <c r="A289" s="2" t="s">
        <v>596</v>
      </c>
      <c r="B289" s="2" t="s">
        <v>5</v>
      </c>
      <c r="C289" s="2" t="s">
        <v>597</v>
      </c>
      <c r="D289" s="2" t="s">
        <v>577</v>
      </c>
      <c r="E289" s="2" t="str">
        <f>HYPERLINK("https://talan.bank.gov.ua/get-user-certificate/sec1eV_ah9VCNuhf9ffF","Завантажити сертифікат")</f>
        <v>Завантажити сертифікат</v>
      </c>
    </row>
    <row r="290" spans="1:5" x14ac:dyDescent="0.3">
      <c r="A290" s="2" t="s">
        <v>598</v>
      </c>
      <c r="B290" s="2" t="s">
        <v>5</v>
      </c>
      <c r="C290" s="2" t="s">
        <v>599</v>
      </c>
      <c r="D290" s="2" t="s">
        <v>577</v>
      </c>
      <c r="E290" s="2" t="str">
        <f>HYPERLINK("https://talan.bank.gov.ua/get-user-certificate/sec1eGyjLSzOaoiZ6d8J","Завантажити сертифікат")</f>
        <v>Завантажити сертифікат</v>
      </c>
    </row>
    <row r="291" spans="1:5" x14ac:dyDescent="0.3">
      <c r="A291" s="2" t="s">
        <v>600</v>
      </c>
      <c r="B291" s="2" t="s">
        <v>5</v>
      </c>
      <c r="C291" s="2" t="s">
        <v>601</v>
      </c>
      <c r="D291" s="2" t="s">
        <v>577</v>
      </c>
      <c r="E291" s="2" t="str">
        <f>HYPERLINK("https://talan.bank.gov.ua/get-user-certificate/sec1e59BYfV4xJndFZhY","Завантажити сертифікат")</f>
        <v>Завантажити сертифікат</v>
      </c>
    </row>
    <row r="292" spans="1:5" x14ac:dyDescent="0.3">
      <c r="A292" s="2" t="s">
        <v>602</v>
      </c>
      <c r="B292" s="2" t="s">
        <v>5</v>
      </c>
      <c r="C292" s="2" t="s">
        <v>603</v>
      </c>
      <c r="D292" s="2" t="s">
        <v>577</v>
      </c>
      <c r="E292" s="2" t="str">
        <f>HYPERLINK("https://talan.bank.gov.ua/get-user-certificate/sec1eMO8kLlMJBa4gw3X","Завантажити сертифікат")</f>
        <v>Завантажити сертифікат</v>
      </c>
    </row>
    <row r="293" spans="1:5" x14ac:dyDescent="0.3">
      <c r="A293" s="2" t="s">
        <v>604</v>
      </c>
      <c r="B293" s="2" t="s">
        <v>5</v>
      </c>
      <c r="C293" s="2" t="s">
        <v>605</v>
      </c>
      <c r="D293" s="2" t="s">
        <v>577</v>
      </c>
      <c r="E293" s="2" t="str">
        <f>HYPERLINK("https://talan.bank.gov.ua/get-user-certificate/sec1eJ4ajpSmhDUQ9gHl","Завантажити сертифікат")</f>
        <v>Завантажити сертифікат</v>
      </c>
    </row>
    <row r="294" spans="1:5" x14ac:dyDescent="0.3">
      <c r="A294" s="2" t="s">
        <v>606</v>
      </c>
      <c r="B294" s="2" t="s">
        <v>5</v>
      </c>
      <c r="C294" s="2" t="s">
        <v>607</v>
      </c>
      <c r="D294" s="2" t="s">
        <v>577</v>
      </c>
      <c r="E294" s="2" t="str">
        <f>HYPERLINK("https://talan.bank.gov.ua/get-user-certificate/sec1eovCv-39mPu6m5Ju","Завантажити сертифікат")</f>
        <v>Завантажити сертифікат</v>
      </c>
    </row>
    <row r="295" spans="1:5" x14ac:dyDescent="0.3">
      <c r="A295" s="2" t="s">
        <v>608</v>
      </c>
      <c r="B295" s="2" t="s">
        <v>5</v>
      </c>
      <c r="C295" s="2" t="s">
        <v>609</v>
      </c>
      <c r="D295" s="2" t="s">
        <v>577</v>
      </c>
      <c r="E295" s="2" t="str">
        <f>HYPERLINK("https://talan.bank.gov.ua/get-user-certificate/sec1ekvB5hcdByNGKKqp","Завантажити сертифікат")</f>
        <v>Завантажити сертифікат</v>
      </c>
    </row>
    <row r="296" spans="1:5" x14ac:dyDescent="0.3">
      <c r="A296" s="2" t="s">
        <v>610</v>
      </c>
      <c r="B296" s="2" t="s">
        <v>5</v>
      </c>
      <c r="C296" s="2" t="s">
        <v>611</v>
      </c>
      <c r="D296" s="2" t="s">
        <v>577</v>
      </c>
      <c r="E296" s="2" t="str">
        <f>HYPERLINK("https://talan.bank.gov.ua/get-user-certificate/sec1edA1jgmAljUp7E_x","Завантажити сертифікат")</f>
        <v>Завантажити сертифікат</v>
      </c>
    </row>
    <row r="297" spans="1:5" x14ac:dyDescent="0.3">
      <c r="A297" s="2" t="s">
        <v>612</v>
      </c>
      <c r="B297" s="2" t="s">
        <v>5</v>
      </c>
      <c r="C297" s="2" t="s">
        <v>613</v>
      </c>
      <c r="D297" s="2" t="s">
        <v>577</v>
      </c>
      <c r="E297" s="2" t="str">
        <f>HYPERLINK("https://talan.bank.gov.ua/get-user-certificate/sec1er1gl6yHNsVDCTjf","Завантажити сертифікат")</f>
        <v>Завантажити сертифікат</v>
      </c>
    </row>
    <row r="298" spans="1:5" x14ac:dyDescent="0.3">
      <c r="A298" s="2" t="s">
        <v>614</v>
      </c>
      <c r="B298" s="2" t="s">
        <v>5</v>
      </c>
      <c r="C298" s="2" t="s">
        <v>615</v>
      </c>
      <c r="D298" s="2" t="s">
        <v>577</v>
      </c>
      <c r="E298" s="2" t="str">
        <f>HYPERLINK("https://talan.bank.gov.ua/get-user-certificate/sec1eaj-42xCckP1cNQe","Завантажити сертифікат")</f>
        <v>Завантажити сертифікат</v>
      </c>
    </row>
    <row r="299" spans="1:5" x14ac:dyDescent="0.3">
      <c r="A299" s="2" t="s">
        <v>616</v>
      </c>
      <c r="B299" s="2" t="s">
        <v>5</v>
      </c>
      <c r="C299" s="2" t="s">
        <v>617</v>
      </c>
      <c r="D299" s="2" t="s">
        <v>618</v>
      </c>
      <c r="E299" s="2" t="str">
        <f>HYPERLINK("https://talan.bank.gov.ua/get-user-certificate/sec1eSu0f7hDqOM9UqHz","Завантажити сертифікат")</f>
        <v>Завантажити сертифікат</v>
      </c>
    </row>
    <row r="300" spans="1:5" x14ac:dyDescent="0.3">
      <c r="A300" s="2" t="s">
        <v>619</v>
      </c>
      <c r="B300" s="2" t="s">
        <v>5</v>
      </c>
      <c r="C300" s="2" t="s">
        <v>620</v>
      </c>
      <c r="D300" s="2" t="s">
        <v>618</v>
      </c>
      <c r="E300" s="2" t="str">
        <f>HYPERLINK("https://talan.bank.gov.ua/get-user-certificate/sec1ehUspDFMF2Bbc-Ot","Завантажити сертифікат")</f>
        <v>Завантажити сертифікат</v>
      </c>
    </row>
    <row r="301" spans="1:5" x14ac:dyDescent="0.3">
      <c r="A301" s="2" t="s">
        <v>621</v>
      </c>
      <c r="B301" s="2" t="s">
        <v>5</v>
      </c>
      <c r="C301" s="2" t="s">
        <v>622</v>
      </c>
      <c r="D301" s="2" t="s">
        <v>618</v>
      </c>
      <c r="E301" s="2" t="str">
        <f>HYPERLINK("https://talan.bank.gov.ua/get-user-certificate/sec1e8My740bIuoxj8_e","Завантажити сертифікат")</f>
        <v>Завантажити сертифікат</v>
      </c>
    </row>
    <row r="302" spans="1:5" x14ac:dyDescent="0.3">
      <c r="A302" s="2" t="s">
        <v>623</v>
      </c>
      <c r="B302" s="2" t="s">
        <v>5</v>
      </c>
      <c r="C302" s="2" t="s">
        <v>624</v>
      </c>
      <c r="D302" s="2" t="s">
        <v>618</v>
      </c>
      <c r="E302" s="2" t="str">
        <f>HYPERLINK("https://talan.bank.gov.ua/get-user-certificate/sec1eHfhT3cFRmBGQBe7","Завантажити сертифікат")</f>
        <v>Завантажити сертифікат</v>
      </c>
    </row>
    <row r="303" spans="1:5" x14ac:dyDescent="0.3">
      <c r="A303" s="2" t="s">
        <v>625</v>
      </c>
      <c r="B303" s="2" t="s">
        <v>5</v>
      </c>
      <c r="C303" s="2" t="s">
        <v>626</v>
      </c>
      <c r="D303" s="2" t="s">
        <v>618</v>
      </c>
      <c r="E303" s="2" t="str">
        <f>HYPERLINK("https://talan.bank.gov.ua/get-user-certificate/sec1e2jeucjroOhnUL4p","Завантажити сертифікат")</f>
        <v>Завантажити сертифікат</v>
      </c>
    </row>
    <row r="304" spans="1:5" x14ac:dyDescent="0.3">
      <c r="A304" s="2" t="s">
        <v>627</v>
      </c>
      <c r="B304" s="2" t="s">
        <v>5</v>
      </c>
      <c r="C304" s="2" t="s">
        <v>628</v>
      </c>
      <c r="D304" s="2" t="s">
        <v>618</v>
      </c>
      <c r="E304" s="2" t="str">
        <f>HYPERLINK("https://talan.bank.gov.ua/get-user-certificate/sec1e52jlY4tr7ObVP2l","Завантажити сертифікат")</f>
        <v>Завантажити сертифікат</v>
      </c>
    </row>
    <row r="305" spans="1:5" x14ac:dyDescent="0.3">
      <c r="A305" s="2" t="s">
        <v>629</v>
      </c>
      <c r="B305" s="2" t="s">
        <v>5</v>
      </c>
      <c r="C305" s="2" t="s">
        <v>630</v>
      </c>
      <c r="D305" s="2" t="s">
        <v>618</v>
      </c>
      <c r="E305" s="2" t="str">
        <f>HYPERLINK("https://talan.bank.gov.ua/get-user-certificate/sec1eXvG5cC5HW9ZhmKP","Завантажити сертифікат")</f>
        <v>Завантажити сертифікат</v>
      </c>
    </row>
    <row r="306" spans="1:5" x14ac:dyDescent="0.3">
      <c r="A306" s="2" t="s">
        <v>631</v>
      </c>
      <c r="B306" s="2" t="s">
        <v>5</v>
      </c>
      <c r="C306" s="2" t="s">
        <v>632</v>
      </c>
      <c r="D306" s="2" t="s">
        <v>618</v>
      </c>
      <c r="E306" s="2" t="str">
        <f>HYPERLINK("https://talan.bank.gov.ua/get-user-certificate/sec1eFat1qXRTt8XURxf","Завантажити сертифікат")</f>
        <v>Завантажити сертифікат</v>
      </c>
    </row>
    <row r="307" spans="1:5" x14ac:dyDescent="0.3">
      <c r="A307" s="2" t="s">
        <v>633</v>
      </c>
      <c r="B307" s="2" t="s">
        <v>5</v>
      </c>
      <c r="C307" s="2" t="s">
        <v>634</v>
      </c>
      <c r="D307" s="2" t="s">
        <v>618</v>
      </c>
      <c r="E307" s="2" t="str">
        <f>HYPERLINK("https://talan.bank.gov.ua/get-user-certificate/sec1ePgyC-GwONaaNcRU","Завантажити сертифікат")</f>
        <v>Завантажити сертифікат</v>
      </c>
    </row>
    <row r="308" spans="1:5" x14ac:dyDescent="0.3">
      <c r="A308" s="2" t="s">
        <v>635</v>
      </c>
      <c r="B308" s="2" t="s">
        <v>5</v>
      </c>
      <c r="C308" s="2" t="s">
        <v>636</v>
      </c>
      <c r="D308" s="2" t="s">
        <v>618</v>
      </c>
      <c r="E308" s="2" t="str">
        <f>HYPERLINK("https://talan.bank.gov.ua/get-user-certificate/sec1e_IqV5wElnYUPjPJ","Завантажити сертифікат")</f>
        <v>Завантажити сертифікат</v>
      </c>
    </row>
    <row r="309" spans="1:5" x14ac:dyDescent="0.3">
      <c r="A309" s="2" t="s">
        <v>637</v>
      </c>
      <c r="B309" s="2" t="s">
        <v>5</v>
      </c>
      <c r="C309" s="2" t="s">
        <v>638</v>
      </c>
      <c r="D309" s="2" t="s">
        <v>618</v>
      </c>
      <c r="E309" s="2" t="str">
        <f>HYPERLINK("https://talan.bank.gov.ua/get-user-certificate/sec1eUGpryQsxA43CXz5","Завантажити сертифікат")</f>
        <v>Завантажити сертифікат</v>
      </c>
    </row>
    <row r="310" spans="1:5" x14ac:dyDescent="0.3">
      <c r="A310" s="2" t="s">
        <v>639</v>
      </c>
      <c r="B310" s="2" t="s">
        <v>5</v>
      </c>
      <c r="C310" s="2" t="s">
        <v>640</v>
      </c>
      <c r="D310" s="2" t="s">
        <v>618</v>
      </c>
      <c r="E310" s="2" t="str">
        <f>HYPERLINK("https://talan.bank.gov.ua/get-user-certificate/sec1ej8QkPyAUrMrmJ7v","Завантажити сертифікат")</f>
        <v>Завантажити сертифікат</v>
      </c>
    </row>
    <row r="311" spans="1:5" x14ac:dyDescent="0.3">
      <c r="A311" s="2" t="s">
        <v>641</v>
      </c>
      <c r="B311" s="2" t="s">
        <v>5</v>
      </c>
      <c r="C311" s="2" t="s">
        <v>642</v>
      </c>
      <c r="D311" s="2" t="s">
        <v>618</v>
      </c>
      <c r="E311" s="2" t="str">
        <f>HYPERLINK("https://talan.bank.gov.ua/get-user-certificate/sec1epkqyo0DDVm26vu6","Завантажити сертифікат")</f>
        <v>Завантажити сертифікат</v>
      </c>
    </row>
    <row r="312" spans="1:5" x14ac:dyDescent="0.3">
      <c r="A312" s="2" t="s">
        <v>643</v>
      </c>
      <c r="B312" s="2" t="s">
        <v>5</v>
      </c>
      <c r="C312" s="2" t="s">
        <v>644</v>
      </c>
      <c r="D312" s="2" t="s">
        <v>618</v>
      </c>
      <c r="E312" s="2" t="str">
        <f>HYPERLINK("https://talan.bank.gov.ua/get-user-certificate/sec1efmDeGgFdiyUSSbI","Завантажити сертифікат")</f>
        <v>Завантажити сертифікат</v>
      </c>
    </row>
    <row r="313" spans="1:5" x14ac:dyDescent="0.3">
      <c r="A313" s="2" t="s">
        <v>645</v>
      </c>
      <c r="B313" s="2" t="s">
        <v>5</v>
      </c>
      <c r="C313" s="2" t="s">
        <v>646</v>
      </c>
      <c r="D313" s="2" t="s">
        <v>618</v>
      </c>
      <c r="E313" s="2" t="str">
        <f>HYPERLINK("https://talan.bank.gov.ua/get-user-certificate/sec1ey556mSmMQBepGsP","Завантажити сертифікат")</f>
        <v>Завантажити сертифікат</v>
      </c>
    </row>
    <row r="314" spans="1:5" x14ac:dyDescent="0.3">
      <c r="A314" s="2" t="s">
        <v>647</v>
      </c>
      <c r="B314" s="2" t="s">
        <v>5</v>
      </c>
      <c r="C314" s="2" t="s">
        <v>648</v>
      </c>
      <c r="D314" s="2" t="s">
        <v>618</v>
      </c>
      <c r="E314" s="2" t="str">
        <f>HYPERLINK("https://talan.bank.gov.ua/get-user-certificate/sec1eZUCmQzV5GeGFFK2","Завантажити сертифікат")</f>
        <v>Завантажити сертифікат</v>
      </c>
    </row>
    <row r="315" spans="1:5" x14ac:dyDescent="0.3">
      <c r="A315" s="2" t="s">
        <v>649</v>
      </c>
      <c r="B315" s="2" t="s">
        <v>5</v>
      </c>
      <c r="C315" s="2" t="s">
        <v>650</v>
      </c>
      <c r="D315" s="2" t="s">
        <v>618</v>
      </c>
      <c r="E315" s="2" t="str">
        <f>HYPERLINK("https://talan.bank.gov.ua/get-user-certificate/sec1eWWUpz892aJqkMSE","Завантажити сертифікат")</f>
        <v>Завантажити сертифікат</v>
      </c>
    </row>
    <row r="316" spans="1:5" x14ac:dyDescent="0.3">
      <c r="A316" s="2" t="s">
        <v>651</v>
      </c>
      <c r="B316" s="2" t="s">
        <v>5</v>
      </c>
      <c r="C316" s="2" t="s">
        <v>652</v>
      </c>
      <c r="D316" s="2" t="s">
        <v>618</v>
      </c>
      <c r="E316" s="2" t="str">
        <f>HYPERLINK("https://talan.bank.gov.ua/get-user-certificate/sec1eojVoJNcYtAOEPR7","Завантажити сертифікат")</f>
        <v>Завантажити сертифікат</v>
      </c>
    </row>
    <row r="317" spans="1:5" x14ac:dyDescent="0.3">
      <c r="A317" s="2" t="s">
        <v>653</v>
      </c>
      <c r="B317" s="2" t="s">
        <v>5</v>
      </c>
      <c r="C317" s="2" t="s">
        <v>654</v>
      </c>
      <c r="D317" s="2" t="s">
        <v>618</v>
      </c>
      <c r="E317" s="2" t="str">
        <f>HYPERLINK("https://talan.bank.gov.ua/get-user-certificate/sec1eq7kj1BVRs78Lxpn","Завантажити сертифікат")</f>
        <v>Завантажити сертифікат</v>
      </c>
    </row>
    <row r="318" spans="1:5" x14ac:dyDescent="0.3">
      <c r="A318" s="2" t="s">
        <v>655</v>
      </c>
      <c r="B318" s="2" t="s">
        <v>5</v>
      </c>
      <c r="C318" s="2" t="s">
        <v>656</v>
      </c>
      <c r="D318" s="2" t="s">
        <v>618</v>
      </c>
      <c r="E318" s="2" t="str">
        <f>HYPERLINK("https://talan.bank.gov.ua/get-user-certificate/sec1esiCmrHrlzvNpyBE","Завантажити сертифікат")</f>
        <v>Завантажити сертифікат</v>
      </c>
    </row>
    <row r="319" spans="1:5" x14ac:dyDescent="0.3">
      <c r="A319" s="2" t="s">
        <v>657</v>
      </c>
      <c r="B319" s="2" t="s">
        <v>5</v>
      </c>
      <c r="C319" s="2" t="s">
        <v>658</v>
      </c>
      <c r="D319" s="2" t="s">
        <v>618</v>
      </c>
      <c r="E319" s="2" t="str">
        <f>HYPERLINK("https://talan.bank.gov.ua/get-user-certificate/sec1egQT0oU1EhKKWWSw","Завантажити сертифікат")</f>
        <v>Завантажити сертифікат</v>
      </c>
    </row>
    <row r="320" spans="1:5" x14ac:dyDescent="0.3">
      <c r="A320" s="2" t="s">
        <v>659</v>
      </c>
      <c r="B320" s="2" t="s">
        <v>5</v>
      </c>
      <c r="C320" s="2" t="s">
        <v>660</v>
      </c>
      <c r="D320" s="2" t="s">
        <v>618</v>
      </c>
      <c r="E320" s="2" t="str">
        <f>HYPERLINK("https://talan.bank.gov.ua/get-user-certificate/sec1eP91M7LDmOckyVPD","Завантажити сертифікат")</f>
        <v>Завантажити сертифікат</v>
      </c>
    </row>
    <row r="321" spans="1:5" x14ac:dyDescent="0.3">
      <c r="A321" s="2" t="s">
        <v>661</v>
      </c>
      <c r="B321" s="2" t="s">
        <v>5</v>
      </c>
      <c r="C321" s="2" t="s">
        <v>662</v>
      </c>
      <c r="D321" s="2" t="s">
        <v>618</v>
      </c>
      <c r="E321" s="2" t="str">
        <f>HYPERLINK("https://talan.bank.gov.ua/get-user-certificate/sec1eBnB3_3IlGQcYqzF","Завантажити сертифікат")</f>
        <v>Завантажити сертифікат</v>
      </c>
    </row>
    <row r="322" spans="1:5" x14ac:dyDescent="0.3">
      <c r="A322" s="2" t="s">
        <v>663</v>
      </c>
      <c r="B322" s="2" t="s">
        <v>5</v>
      </c>
      <c r="C322" s="2" t="s">
        <v>664</v>
      </c>
      <c r="D322" s="2" t="s">
        <v>618</v>
      </c>
      <c r="E322" s="2" t="str">
        <f>HYPERLINK("https://talan.bank.gov.ua/get-user-certificate/sec1ehBWbHX_8HIZnUo3","Завантажити сертифікат")</f>
        <v>Завантажити сертифікат</v>
      </c>
    </row>
    <row r="323" spans="1:5" x14ac:dyDescent="0.3">
      <c r="A323" s="2" t="s">
        <v>665</v>
      </c>
      <c r="B323" s="2" t="s">
        <v>5</v>
      </c>
      <c r="C323" s="2" t="s">
        <v>666</v>
      </c>
      <c r="D323" s="2" t="s">
        <v>618</v>
      </c>
      <c r="E323" s="2" t="str">
        <f>HYPERLINK("https://talan.bank.gov.ua/get-user-certificate/sec1e7sxAtEeThGzGwMQ","Завантажити сертифікат")</f>
        <v>Завантажити сертифікат</v>
      </c>
    </row>
    <row r="324" spans="1:5" x14ac:dyDescent="0.3">
      <c r="A324" s="2" t="s">
        <v>667</v>
      </c>
      <c r="B324" s="2" t="s">
        <v>5</v>
      </c>
      <c r="C324" s="2" t="s">
        <v>668</v>
      </c>
      <c r="D324" s="2" t="s">
        <v>618</v>
      </c>
      <c r="E324" s="2" t="str">
        <f>HYPERLINK("https://talan.bank.gov.ua/get-user-certificate/sec1ep02gIPJofxJQ0pB","Завантажити сертифікат")</f>
        <v>Завантажити сертифікат</v>
      </c>
    </row>
    <row r="325" spans="1:5" x14ac:dyDescent="0.3">
      <c r="A325" s="2" t="s">
        <v>669</v>
      </c>
      <c r="B325" s="2" t="s">
        <v>5</v>
      </c>
      <c r="C325" s="2" t="s">
        <v>670</v>
      </c>
      <c r="D325" s="2" t="s">
        <v>618</v>
      </c>
      <c r="E325" s="2" t="str">
        <f>HYPERLINK("https://talan.bank.gov.ua/get-user-certificate/sec1eIK3m7Ai5qvOCW6G","Завантажити сертифікат")</f>
        <v>Завантажити сертифікат</v>
      </c>
    </row>
    <row r="326" spans="1:5" x14ac:dyDescent="0.3">
      <c r="A326" s="2" t="s">
        <v>671</v>
      </c>
      <c r="B326" s="2" t="s">
        <v>5</v>
      </c>
      <c r="C326" s="2" t="s">
        <v>672</v>
      </c>
      <c r="D326" s="2" t="s">
        <v>618</v>
      </c>
      <c r="E326" s="2" t="str">
        <f>HYPERLINK("https://talan.bank.gov.ua/get-user-certificate/sec1evG76U92tk1aDLvY","Завантажити сертифікат")</f>
        <v>Завантажити сертифікат</v>
      </c>
    </row>
    <row r="327" spans="1:5" x14ac:dyDescent="0.3">
      <c r="A327" s="2" t="s">
        <v>673</v>
      </c>
      <c r="B327" s="2" t="s">
        <v>5</v>
      </c>
      <c r="C327" s="2" t="s">
        <v>674</v>
      </c>
      <c r="D327" s="2" t="s">
        <v>618</v>
      </c>
      <c r="E327" s="2" t="str">
        <f>HYPERLINK("https://talan.bank.gov.ua/get-user-certificate/sec1esQc91gyepL-rWhW","Завантажити сертифікат")</f>
        <v>Завантажити сертифікат</v>
      </c>
    </row>
    <row r="328" spans="1:5" x14ac:dyDescent="0.3">
      <c r="A328" s="2" t="s">
        <v>675</v>
      </c>
      <c r="B328" s="2" t="s">
        <v>5</v>
      </c>
      <c r="C328" s="2" t="s">
        <v>676</v>
      </c>
      <c r="D328" s="2" t="s">
        <v>618</v>
      </c>
      <c r="E328" s="2" t="str">
        <f>HYPERLINK("https://talan.bank.gov.ua/get-user-certificate/sec1e4lwzjTISxHuvAYJ","Завантажити сертифікат")</f>
        <v>Завантажити сертифікат</v>
      </c>
    </row>
    <row r="329" spans="1:5" x14ac:dyDescent="0.3">
      <c r="A329" s="2" t="s">
        <v>677</v>
      </c>
      <c r="B329" s="2" t="s">
        <v>5</v>
      </c>
      <c r="C329" s="2" t="s">
        <v>678</v>
      </c>
      <c r="D329" s="2" t="s">
        <v>618</v>
      </c>
      <c r="E329" s="2" t="str">
        <f>HYPERLINK("https://talan.bank.gov.ua/get-user-certificate/sec1eJc8F19jPfSGKo0Q","Завантажити сертифікат")</f>
        <v>Завантажити сертифікат</v>
      </c>
    </row>
    <row r="330" spans="1:5" x14ac:dyDescent="0.3">
      <c r="A330" s="2" t="s">
        <v>679</v>
      </c>
      <c r="B330" s="2" t="s">
        <v>5</v>
      </c>
      <c r="C330" s="2" t="s">
        <v>680</v>
      </c>
      <c r="D330" s="2" t="s">
        <v>618</v>
      </c>
      <c r="E330" s="2" t="str">
        <f>HYPERLINK("https://talan.bank.gov.ua/get-user-certificate/sec1ejv72vtxEJXj7_gc","Завантажити сертифікат")</f>
        <v>Завантажити сертифікат</v>
      </c>
    </row>
    <row r="331" spans="1:5" x14ac:dyDescent="0.3">
      <c r="A331" s="2" t="s">
        <v>681</v>
      </c>
      <c r="B331" s="2" t="s">
        <v>5</v>
      </c>
      <c r="C331" s="2" t="s">
        <v>682</v>
      </c>
      <c r="D331" s="2" t="s">
        <v>618</v>
      </c>
      <c r="E331" s="2" t="str">
        <f>HYPERLINK("https://talan.bank.gov.ua/get-user-certificate/sec1enLrps-vAAdLXbyd","Завантажити сертифікат")</f>
        <v>Завантажити сертифікат</v>
      </c>
    </row>
    <row r="332" spans="1:5" x14ac:dyDescent="0.3">
      <c r="A332" s="2" t="s">
        <v>683</v>
      </c>
      <c r="B332" s="2" t="s">
        <v>5</v>
      </c>
      <c r="C332" s="2" t="s">
        <v>684</v>
      </c>
      <c r="D332" s="2" t="s">
        <v>618</v>
      </c>
      <c r="E332" s="2" t="str">
        <f>HYPERLINK("https://talan.bank.gov.ua/get-user-certificate/sec1eKTx0Pdvoup8tn8y","Завантажити сертифікат")</f>
        <v>Завантажити сертифікат</v>
      </c>
    </row>
    <row r="333" spans="1:5" x14ac:dyDescent="0.3">
      <c r="A333" s="2" t="s">
        <v>685</v>
      </c>
      <c r="B333" s="2" t="s">
        <v>5</v>
      </c>
      <c r="C333" s="2" t="s">
        <v>686</v>
      </c>
      <c r="D333" s="2" t="s">
        <v>618</v>
      </c>
      <c r="E333" s="2" t="str">
        <f>HYPERLINK("https://talan.bank.gov.ua/get-user-certificate/sec1eUSUod1OV8pZJVmG","Завантажити сертифікат")</f>
        <v>Завантажити сертифікат</v>
      </c>
    </row>
    <row r="334" spans="1:5" x14ac:dyDescent="0.3">
      <c r="A334" s="2" t="s">
        <v>687</v>
      </c>
      <c r="B334" s="2" t="s">
        <v>5</v>
      </c>
      <c r="C334" s="2" t="s">
        <v>688</v>
      </c>
      <c r="D334" s="2" t="s">
        <v>618</v>
      </c>
      <c r="E334" s="2" t="str">
        <f>HYPERLINK("https://talan.bank.gov.ua/get-user-certificate/sec1eUi3XoZrETAWbHyK","Завантажити сертифікат")</f>
        <v>Завантажити сертифікат</v>
      </c>
    </row>
    <row r="335" spans="1:5" x14ac:dyDescent="0.3">
      <c r="A335" s="2" t="s">
        <v>689</v>
      </c>
      <c r="B335" s="2" t="s">
        <v>5</v>
      </c>
      <c r="C335" s="2" t="s">
        <v>690</v>
      </c>
      <c r="D335" s="2" t="s">
        <v>618</v>
      </c>
      <c r="E335" s="2" t="str">
        <f>HYPERLINK("https://talan.bank.gov.ua/get-user-certificate/sec1eYIsz0EudA-84tIx","Завантажити сертифікат")</f>
        <v>Завантажити сертифікат</v>
      </c>
    </row>
    <row r="336" spans="1:5" x14ac:dyDescent="0.3">
      <c r="A336" s="2" t="s">
        <v>691</v>
      </c>
      <c r="B336" s="2" t="s">
        <v>5</v>
      </c>
      <c r="C336" s="2" t="s">
        <v>692</v>
      </c>
      <c r="D336" s="2" t="s">
        <v>618</v>
      </c>
      <c r="E336" s="2" t="str">
        <f>HYPERLINK("https://talan.bank.gov.ua/get-user-certificate/sec1eZV7zU2MGPbHgxBh","Завантажити сертифікат")</f>
        <v>Завантажити сертифікат</v>
      </c>
    </row>
    <row r="337" spans="1:5" x14ac:dyDescent="0.3">
      <c r="A337" s="2" t="s">
        <v>693</v>
      </c>
      <c r="B337" s="2" t="s">
        <v>5</v>
      </c>
      <c r="C337" s="2" t="s">
        <v>694</v>
      </c>
      <c r="D337" s="2" t="s">
        <v>618</v>
      </c>
      <c r="E337" s="2" t="str">
        <f>HYPERLINK("https://talan.bank.gov.ua/get-user-certificate/sec1epRS4S5ADbCcwkZQ","Завантажити сертифікат")</f>
        <v>Завантажити сертифікат</v>
      </c>
    </row>
    <row r="338" spans="1:5" x14ac:dyDescent="0.3">
      <c r="A338" s="2" t="s">
        <v>695</v>
      </c>
      <c r="B338" s="2" t="s">
        <v>5</v>
      </c>
      <c r="C338" s="2" t="s">
        <v>696</v>
      </c>
      <c r="D338" s="2" t="s">
        <v>618</v>
      </c>
      <c r="E338" s="2" t="str">
        <f>HYPERLINK("https://talan.bank.gov.ua/get-user-certificate/sec1eqcdxSLqjKqpT4Me","Завантажити сертифікат")</f>
        <v>Завантажити сертифікат</v>
      </c>
    </row>
    <row r="339" spans="1:5" x14ac:dyDescent="0.3">
      <c r="A339" s="2" t="s">
        <v>697</v>
      </c>
      <c r="B339" s="2" t="s">
        <v>5</v>
      </c>
      <c r="C339" s="2" t="s">
        <v>698</v>
      </c>
      <c r="D339" s="2" t="s">
        <v>618</v>
      </c>
      <c r="E339" s="2" t="str">
        <f>HYPERLINK("https://talan.bank.gov.ua/get-user-certificate/sec1eLwSO5-tKAIthPVw","Завантажити сертифікат")</f>
        <v>Завантажити сертифікат</v>
      </c>
    </row>
    <row r="340" spans="1:5" x14ac:dyDescent="0.3">
      <c r="A340" s="2" t="s">
        <v>699</v>
      </c>
      <c r="B340" s="2" t="s">
        <v>5</v>
      </c>
      <c r="C340" s="2" t="s">
        <v>700</v>
      </c>
      <c r="D340" s="2" t="s">
        <v>701</v>
      </c>
      <c r="E340" s="2" t="str">
        <f>HYPERLINK("https://talan.bank.gov.ua/get-user-certificate/sec1eOd4peToqA-jCzg-","Завантажити сертифікат")</f>
        <v>Завантажити сертифікат</v>
      </c>
    </row>
    <row r="341" spans="1:5" x14ac:dyDescent="0.3">
      <c r="A341" s="2" t="s">
        <v>702</v>
      </c>
      <c r="B341" s="2" t="s">
        <v>5</v>
      </c>
      <c r="C341" s="2" t="s">
        <v>703</v>
      </c>
      <c r="D341" s="2" t="s">
        <v>701</v>
      </c>
      <c r="E341" s="2" t="str">
        <f>HYPERLINK("https://talan.bank.gov.ua/get-user-certificate/sec1ei-f0S7d4syVKf4P","Завантажити сертифікат")</f>
        <v>Завантажити сертифікат</v>
      </c>
    </row>
    <row r="342" spans="1:5" x14ac:dyDescent="0.3">
      <c r="A342" s="2" t="s">
        <v>704</v>
      </c>
      <c r="B342" s="2" t="s">
        <v>5</v>
      </c>
      <c r="C342" s="2" t="s">
        <v>705</v>
      </c>
      <c r="D342" s="2" t="s">
        <v>701</v>
      </c>
      <c r="E342" s="2" t="str">
        <f>HYPERLINK("https://talan.bank.gov.ua/get-user-certificate/sec1eVAwlxyd4y97m09z","Завантажити сертифікат")</f>
        <v>Завантажити сертифікат</v>
      </c>
    </row>
    <row r="343" spans="1:5" x14ac:dyDescent="0.3">
      <c r="A343" s="2" t="s">
        <v>706</v>
      </c>
      <c r="B343" s="2" t="s">
        <v>5</v>
      </c>
      <c r="C343" s="2" t="s">
        <v>707</v>
      </c>
      <c r="D343" s="2" t="s">
        <v>701</v>
      </c>
      <c r="E343" s="2" t="str">
        <f>HYPERLINK("https://talan.bank.gov.ua/get-user-certificate/sec1eBekU2vZCj4P9MVU","Завантажити сертифікат")</f>
        <v>Завантажити сертифікат</v>
      </c>
    </row>
    <row r="344" spans="1:5" x14ac:dyDescent="0.3">
      <c r="A344" s="2" t="s">
        <v>708</v>
      </c>
      <c r="B344" s="2" t="s">
        <v>5</v>
      </c>
      <c r="C344" s="2" t="s">
        <v>709</v>
      </c>
      <c r="D344" s="2" t="s">
        <v>701</v>
      </c>
      <c r="E344" s="2" t="str">
        <f>HYPERLINK("https://talan.bank.gov.ua/get-user-certificate/sec1eLffLYfqctZw-kdM","Завантажити сертифікат")</f>
        <v>Завантажити сертифікат</v>
      </c>
    </row>
    <row r="345" spans="1:5" x14ac:dyDescent="0.3">
      <c r="A345" s="2" t="s">
        <v>710</v>
      </c>
      <c r="B345" s="2" t="s">
        <v>5</v>
      </c>
      <c r="C345" s="2" t="s">
        <v>711</v>
      </c>
      <c r="D345" s="2" t="s">
        <v>447</v>
      </c>
      <c r="E345" s="2" t="str">
        <f>HYPERLINK("https://talan.bank.gov.ua/get-user-certificate/sec1ehIpft9KE4c0Wrtt","Завантажити сертифікат")</f>
        <v>Завантажити сертифікат</v>
      </c>
    </row>
    <row r="346" spans="1:5" x14ac:dyDescent="0.3">
      <c r="A346" s="2" t="s">
        <v>712</v>
      </c>
      <c r="B346" s="2" t="s">
        <v>5</v>
      </c>
      <c r="C346" s="2" t="s">
        <v>713</v>
      </c>
      <c r="D346" s="2" t="s">
        <v>447</v>
      </c>
      <c r="E346" s="2" t="str">
        <f>HYPERLINK("https://talan.bank.gov.ua/get-user-certificate/sec1eQExUVr0tVzYbd41","Завантажити сертифікат")</f>
        <v>Завантажити сертифікат</v>
      </c>
    </row>
    <row r="347" spans="1:5" x14ac:dyDescent="0.3">
      <c r="A347" s="2" t="s">
        <v>714</v>
      </c>
      <c r="B347" s="2" t="s">
        <v>5</v>
      </c>
      <c r="C347" s="2" t="s">
        <v>715</v>
      </c>
      <c r="D347" s="2" t="s">
        <v>447</v>
      </c>
      <c r="E347" s="2" t="str">
        <f>HYPERLINK("https://talan.bank.gov.ua/get-user-certificate/sec1eMJinOeOmF9ew3a9","Завантажити сертифікат")</f>
        <v>Завантажити сертифікат</v>
      </c>
    </row>
    <row r="348" spans="1:5" x14ac:dyDescent="0.3">
      <c r="A348" s="2" t="s">
        <v>716</v>
      </c>
      <c r="B348" s="2" t="s">
        <v>5</v>
      </c>
      <c r="C348" s="2" t="s">
        <v>717</v>
      </c>
      <c r="D348" s="2" t="s">
        <v>447</v>
      </c>
      <c r="E348" s="2" t="str">
        <f>HYPERLINK("https://talan.bank.gov.ua/get-user-certificate/sec1eM4PbEC1WNcVDm2f","Завантажити сертифікат")</f>
        <v>Завантажити сертифікат</v>
      </c>
    </row>
    <row r="349" spans="1:5" x14ac:dyDescent="0.3">
      <c r="A349" s="2" t="s">
        <v>718</v>
      </c>
      <c r="B349" s="2" t="s">
        <v>5</v>
      </c>
      <c r="C349" s="2" t="s">
        <v>719</v>
      </c>
      <c r="D349" s="2" t="s">
        <v>447</v>
      </c>
      <c r="E349" s="2" t="str">
        <f>HYPERLINK("https://talan.bank.gov.ua/get-user-certificate/sec1es9aFyj1rtZWo-aE","Завантажити сертифікат")</f>
        <v>Завантажити сертифікат</v>
      </c>
    </row>
    <row r="350" spans="1:5" x14ac:dyDescent="0.3">
      <c r="A350" s="2" t="s">
        <v>720</v>
      </c>
      <c r="B350" s="2" t="s">
        <v>5</v>
      </c>
      <c r="C350" s="2" t="s">
        <v>721</v>
      </c>
      <c r="D350" s="2" t="s">
        <v>447</v>
      </c>
      <c r="E350" s="2" t="str">
        <f>HYPERLINK("https://talan.bank.gov.ua/get-user-certificate/sec1euYRD9wHlmVkk1Pv","Завантажити сертифікат")</f>
        <v>Завантажити сертифікат</v>
      </c>
    </row>
    <row r="351" spans="1:5" x14ac:dyDescent="0.3">
      <c r="A351" s="2" t="s">
        <v>722</v>
      </c>
      <c r="B351" s="2" t="s">
        <v>5</v>
      </c>
      <c r="C351" s="2" t="s">
        <v>723</v>
      </c>
      <c r="D351" s="2" t="s">
        <v>447</v>
      </c>
      <c r="E351" s="2" t="str">
        <f>HYPERLINK("https://talan.bank.gov.ua/get-user-certificate/sec1e2x56cky8oVgUiWJ","Завантажити сертифікат")</f>
        <v>Завантажити сертифікат</v>
      </c>
    </row>
    <row r="352" spans="1:5" x14ac:dyDescent="0.3">
      <c r="A352" s="2" t="s">
        <v>724</v>
      </c>
      <c r="B352" s="2" t="s">
        <v>5</v>
      </c>
      <c r="C352" s="2" t="s">
        <v>725</v>
      </c>
      <c r="D352" s="2" t="s">
        <v>447</v>
      </c>
      <c r="E352" s="2" t="str">
        <f>HYPERLINK("https://talan.bank.gov.ua/get-user-certificate/sec1eNx31n9vJV1x4lSV","Завантажити сертифікат")</f>
        <v>Завантажити сертифікат</v>
      </c>
    </row>
    <row r="353" spans="1:5" x14ac:dyDescent="0.3">
      <c r="A353" s="2" t="s">
        <v>726</v>
      </c>
      <c r="B353" s="2" t="s">
        <v>5</v>
      </c>
      <c r="C353" s="2" t="s">
        <v>727</v>
      </c>
      <c r="D353" s="2" t="s">
        <v>447</v>
      </c>
      <c r="E353" s="2" t="str">
        <f>HYPERLINK("https://talan.bank.gov.ua/get-user-certificate/sec1eA8Ad8B5P4KFUWLY","Завантажити сертифікат")</f>
        <v>Завантажити сертифікат</v>
      </c>
    </row>
    <row r="354" spans="1:5" x14ac:dyDescent="0.3">
      <c r="A354" s="2" t="s">
        <v>728</v>
      </c>
      <c r="B354" s="2" t="s">
        <v>5</v>
      </c>
      <c r="C354" s="2" t="s">
        <v>729</v>
      </c>
      <c r="D354" s="2" t="s">
        <v>447</v>
      </c>
      <c r="E354" s="2" t="str">
        <f>HYPERLINK("https://talan.bank.gov.ua/get-user-certificate/sec1eh2gKCn9qfQyqZD2","Завантажити сертифікат")</f>
        <v>Завантажити сертифікат</v>
      </c>
    </row>
    <row r="355" spans="1:5" x14ac:dyDescent="0.3">
      <c r="A355" s="2" t="s">
        <v>730</v>
      </c>
      <c r="B355" s="2" t="s">
        <v>5</v>
      </c>
      <c r="C355" s="2" t="s">
        <v>731</v>
      </c>
      <c r="D355" s="2" t="s">
        <v>732</v>
      </c>
      <c r="E355" s="2" t="str">
        <f>HYPERLINK("https://talan.bank.gov.ua/get-user-certificate/sec1etEZiSTzMfkwPbAH","Завантажити сертифікат")</f>
        <v>Завантажити сертифікат</v>
      </c>
    </row>
    <row r="356" spans="1:5" x14ac:dyDescent="0.3">
      <c r="A356" s="2" t="s">
        <v>733</v>
      </c>
      <c r="B356" s="2" t="s">
        <v>5</v>
      </c>
      <c r="C356" s="2" t="s">
        <v>734</v>
      </c>
      <c r="D356" s="2" t="s">
        <v>732</v>
      </c>
      <c r="E356" s="2" t="str">
        <f>HYPERLINK("https://talan.bank.gov.ua/get-user-certificate/sec1ervOmI4Liir2pLxq","Завантажити сертифікат")</f>
        <v>Завантажити сертифікат</v>
      </c>
    </row>
    <row r="357" spans="1:5" x14ac:dyDescent="0.3">
      <c r="A357" s="2" t="s">
        <v>735</v>
      </c>
      <c r="B357" s="2" t="s">
        <v>5</v>
      </c>
      <c r="C357" s="2" t="s">
        <v>736</v>
      </c>
      <c r="D357" s="2" t="s">
        <v>732</v>
      </c>
      <c r="E357" s="2" t="str">
        <f>HYPERLINK("https://talan.bank.gov.ua/get-user-certificate/sec1e2mZSBK9CUZPV6OV","Завантажити сертифікат")</f>
        <v>Завантажити сертифікат</v>
      </c>
    </row>
    <row r="358" spans="1:5" x14ac:dyDescent="0.3">
      <c r="A358" s="2" t="s">
        <v>737</v>
      </c>
      <c r="B358" s="2" t="s">
        <v>5</v>
      </c>
      <c r="C358" s="2" t="s">
        <v>738</v>
      </c>
      <c r="D358" s="2" t="s">
        <v>732</v>
      </c>
      <c r="E358" s="2" t="str">
        <f>HYPERLINK("https://talan.bank.gov.ua/get-user-certificate/sec1eOxmdMT2pDYzXuO0","Завантажити сертифікат")</f>
        <v>Завантажити сертифікат</v>
      </c>
    </row>
    <row r="359" spans="1:5" x14ac:dyDescent="0.3">
      <c r="A359" s="2" t="s">
        <v>739</v>
      </c>
      <c r="B359" s="2" t="s">
        <v>5</v>
      </c>
      <c r="C359" s="2" t="s">
        <v>740</v>
      </c>
      <c r="D359" s="2" t="s">
        <v>732</v>
      </c>
      <c r="E359" s="2" t="str">
        <f>HYPERLINK("https://talan.bank.gov.ua/get-user-certificate/sec1eH7tARwXCgs8Jr1Q","Завантажити сертифікат")</f>
        <v>Завантажити сертифікат</v>
      </c>
    </row>
    <row r="360" spans="1:5" x14ac:dyDescent="0.3">
      <c r="A360" s="2" t="s">
        <v>741</v>
      </c>
      <c r="B360" s="2" t="s">
        <v>5</v>
      </c>
      <c r="C360" s="2" t="s">
        <v>742</v>
      </c>
      <c r="D360" s="2" t="s">
        <v>732</v>
      </c>
      <c r="E360" s="2" t="str">
        <f>HYPERLINK("https://talan.bank.gov.ua/get-user-certificate/sec1eITwDPvTWYa3t9tT","Завантажити сертифікат")</f>
        <v>Завантажити сертифікат</v>
      </c>
    </row>
    <row r="361" spans="1:5" x14ac:dyDescent="0.3">
      <c r="A361" s="2" t="s">
        <v>743</v>
      </c>
      <c r="B361" s="2" t="s">
        <v>5</v>
      </c>
      <c r="C361" s="2" t="s">
        <v>744</v>
      </c>
      <c r="D361" s="2" t="s">
        <v>732</v>
      </c>
      <c r="E361" s="2" t="str">
        <f>HYPERLINK("https://talan.bank.gov.ua/get-user-certificate/sec1ez32r3oDRhjF5tOM","Завантажити сертифікат")</f>
        <v>Завантажити сертифікат</v>
      </c>
    </row>
    <row r="362" spans="1:5" x14ac:dyDescent="0.3">
      <c r="A362" s="2" t="s">
        <v>745</v>
      </c>
      <c r="B362" s="2" t="s">
        <v>5</v>
      </c>
      <c r="C362" s="2" t="s">
        <v>746</v>
      </c>
      <c r="D362" s="2" t="s">
        <v>732</v>
      </c>
      <c r="E362" s="2" t="str">
        <f>HYPERLINK("https://talan.bank.gov.ua/get-user-certificate/sec1erDiV-2dZ4Eby41l","Завантажити сертифікат")</f>
        <v>Завантажити сертифікат</v>
      </c>
    </row>
    <row r="363" spans="1:5" x14ac:dyDescent="0.3">
      <c r="A363" s="2" t="s">
        <v>747</v>
      </c>
      <c r="B363" s="2" t="s">
        <v>5</v>
      </c>
      <c r="C363" s="2" t="s">
        <v>748</v>
      </c>
      <c r="D363" s="2" t="s">
        <v>732</v>
      </c>
      <c r="E363" s="2" t="str">
        <f>HYPERLINK("https://talan.bank.gov.ua/get-user-certificate/sec1e7UMKmc8ZbGR3kOS","Завантажити сертифікат")</f>
        <v>Завантажити сертифікат</v>
      </c>
    </row>
    <row r="364" spans="1:5" x14ac:dyDescent="0.3">
      <c r="A364" s="2" t="s">
        <v>749</v>
      </c>
      <c r="B364" s="2" t="s">
        <v>5</v>
      </c>
      <c r="C364" s="2" t="s">
        <v>750</v>
      </c>
      <c r="D364" s="2" t="s">
        <v>732</v>
      </c>
      <c r="E364" s="2" t="str">
        <f>HYPERLINK("https://talan.bank.gov.ua/get-user-certificate/sec1evMwZQKvSrcftpBw","Завантажити сертифікат")</f>
        <v>Завантажити сертифікат</v>
      </c>
    </row>
    <row r="365" spans="1:5" x14ac:dyDescent="0.3">
      <c r="A365" s="2" t="s">
        <v>751</v>
      </c>
      <c r="B365" s="2" t="s">
        <v>5</v>
      </c>
      <c r="C365" s="2" t="s">
        <v>752</v>
      </c>
      <c r="D365" s="2" t="s">
        <v>732</v>
      </c>
      <c r="E365" s="2" t="str">
        <f>HYPERLINK("https://talan.bank.gov.ua/get-user-certificate/sec1e45NtZyqO45rpmaC","Завантажити сертифікат")</f>
        <v>Завантажити сертифікат</v>
      </c>
    </row>
    <row r="366" spans="1:5" x14ac:dyDescent="0.3">
      <c r="A366" s="2" t="s">
        <v>753</v>
      </c>
      <c r="B366" s="2" t="s">
        <v>5</v>
      </c>
      <c r="C366" s="2" t="s">
        <v>754</v>
      </c>
      <c r="D366" s="2" t="s">
        <v>732</v>
      </c>
      <c r="E366" s="2" t="str">
        <f>HYPERLINK("https://talan.bank.gov.ua/get-user-certificate/sec1e71aAM_hYQhxMPyd","Завантажити сертифікат")</f>
        <v>Завантажити сертифікат</v>
      </c>
    </row>
    <row r="367" spans="1:5" x14ac:dyDescent="0.3">
      <c r="A367" s="2" t="s">
        <v>755</v>
      </c>
      <c r="B367" s="2" t="s">
        <v>5</v>
      </c>
      <c r="C367" s="2" t="s">
        <v>756</v>
      </c>
      <c r="D367" s="2" t="s">
        <v>732</v>
      </c>
      <c r="E367" s="2" t="str">
        <f>HYPERLINK("https://talan.bank.gov.ua/get-user-certificate/sec1e1yT9rP8zpM73sHL","Завантажити сертифікат")</f>
        <v>Завантажити сертифікат</v>
      </c>
    </row>
    <row r="368" spans="1:5" x14ac:dyDescent="0.3">
      <c r="A368" s="2" t="s">
        <v>757</v>
      </c>
      <c r="B368" s="2" t="s">
        <v>5</v>
      </c>
      <c r="C368" s="2" t="s">
        <v>758</v>
      </c>
      <c r="D368" s="2" t="s">
        <v>732</v>
      </c>
      <c r="E368" s="2" t="str">
        <f>HYPERLINK("https://talan.bank.gov.ua/get-user-certificate/sec1ec6dW7Gu8flMAQzf","Завантажити сертифікат")</f>
        <v>Завантажити сертифікат</v>
      </c>
    </row>
    <row r="369" spans="1:5" x14ac:dyDescent="0.3">
      <c r="A369" s="2" t="s">
        <v>759</v>
      </c>
      <c r="B369" s="2" t="s">
        <v>5</v>
      </c>
      <c r="C369" s="2" t="s">
        <v>760</v>
      </c>
      <c r="D369" s="2" t="s">
        <v>732</v>
      </c>
      <c r="E369" s="2" t="str">
        <f>HYPERLINK("https://talan.bank.gov.ua/get-user-certificate/sec1evwqPTw1lNuZpjBw","Завантажити сертифікат")</f>
        <v>Завантажити сертифікат</v>
      </c>
    </row>
    <row r="370" spans="1:5" x14ac:dyDescent="0.3">
      <c r="A370" s="2" t="s">
        <v>761</v>
      </c>
      <c r="B370" s="2" t="s">
        <v>5</v>
      </c>
      <c r="C370" s="2" t="s">
        <v>762</v>
      </c>
      <c r="D370" s="2" t="s">
        <v>732</v>
      </c>
      <c r="E370" s="2" t="str">
        <f>HYPERLINK("https://talan.bank.gov.ua/get-user-certificate/sec1eWopnWnTLJN884u8","Завантажити сертифікат")</f>
        <v>Завантажити сертифікат</v>
      </c>
    </row>
    <row r="371" spans="1:5" x14ac:dyDescent="0.3">
      <c r="A371" s="2" t="s">
        <v>763</v>
      </c>
      <c r="B371" s="2" t="s">
        <v>5</v>
      </c>
      <c r="C371" s="2" t="s">
        <v>764</v>
      </c>
      <c r="D371" s="2" t="s">
        <v>732</v>
      </c>
      <c r="E371" s="2" t="str">
        <f>HYPERLINK("https://talan.bank.gov.ua/get-user-certificate/sec1ej-2GzIUjZRNxkVr","Завантажити сертифікат")</f>
        <v>Завантажити сертифікат</v>
      </c>
    </row>
    <row r="372" spans="1:5" x14ac:dyDescent="0.3">
      <c r="A372" s="2" t="s">
        <v>765</v>
      </c>
      <c r="B372" s="2" t="s">
        <v>5</v>
      </c>
      <c r="C372" s="2" t="s">
        <v>766</v>
      </c>
      <c r="D372" s="2" t="s">
        <v>732</v>
      </c>
      <c r="E372" s="2" t="str">
        <f>HYPERLINK("https://talan.bank.gov.ua/get-user-certificate/sec1eP3febIFYALVXJGn","Завантажити сертифікат")</f>
        <v>Завантажити сертифікат</v>
      </c>
    </row>
    <row r="373" spans="1:5" x14ac:dyDescent="0.3">
      <c r="A373" s="2" t="s">
        <v>767</v>
      </c>
      <c r="B373" s="2" t="s">
        <v>5</v>
      </c>
      <c r="C373" s="2" t="s">
        <v>768</v>
      </c>
      <c r="D373" s="2" t="s">
        <v>732</v>
      </c>
      <c r="E373" s="2" t="str">
        <f>HYPERLINK("https://talan.bank.gov.ua/get-user-certificate/sec1eoqUhtetYlT1MYkn","Завантажити сертифікат")</f>
        <v>Завантажити сертифікат</v>
      </c>
    </row>
    <row r="374" spans="1:5" x14ac:dyDescent="0.3">
      <c r="A374" s="2" t="s">
        <v>769</v>
      </c>
      <c r="B374" s="2" t="s">
        <v>5</v>
      </c>
      <c r="C374" s="2" t="s">
        <v>770</v>
      </c>
      <c r="D374" s="2" t="s">
        <v>732</v>
      </c>
      <c r="E374" s="2" t="str">
        <f>HYPERLINK("https://talan.bank.gov.ua/get-user-certificate/sec1ehbGqEVOv9x-BrcH","Завантажити сертифікат")</f>
        <v>Завантажити сертифікат</v>
      </c>
    </row>
    <row r="375" spans="1:5" x14ac:dyDescent="0.3">
      <c r="A375" s="2" t="s">
        <v>771</v>
      </c>
      <c r="B375" s="2" t="s">
        <v>5</v>
      </c>
      <c r="C375" s="2" t="s">
        <v>772</v>
      </c>
      <c r="D375" s="2" t="s">
        <v>732</v>
      </c>
      <c r="E375" s="2" t="str">
        <f>HYPERLINK("https://talan.bank.gov.ua/get-user-certificate/sec1e6jzgkd0892_62Py","Завантажити сертифікат")</f>
        <v>Завантажити сертифікат</v>
      </c>
    </row>
    <row r="376" spans="1:5" x14ac:dyDescent="0.3">
      <c r="A376" s="2" t="s">
        <v>773</v>
      </c>
      <c r="B376" s="2" t="s">
        <v>5</v>
      </c>
      <c r="C376" s="2" t="s">
        <v>774</v>
      </c>
      <c r="D376" s="2" t="s">
        <v>732</v>
      </c>
      <c r="E376" s="2" t="str">
        <f>HYPERLINK("https://talan.bank.gov.ua/get-user-certificate/sec1e2Z-Ae9bF9RlSe6E","Завантажити сертифікат")</f>
        <v>Завантажити сертифікат</v>
      </c>
    </row>
    <row r="377" spans="1:5" x14ac:dyDescent="0.3">
      <c r="A377" s="2" t="s">
        <v>775</v>
      </c>
      <c r="B377" s="2" t="s">
        <v>5</v>
      </c>
      <c r="C377" s="2" t="s">
        <v>776</v>
      </c>
      <c r="D377" s="2" t="s">
        <v>732</v>
      </c>
      <c r="E377" s="2" t="str">
        <f>HYPERLINK("https://talan.bank.gov.ua/get-user-certificate/sec1e3RUAKiIm5YQ0ZnT","Завантажити сертифікат")</f>
        <v>Завантажити сертифікат</v>
      </c>
    </row>
    <row r="378" spans="1:5" x14ac:dyDescent="0.3">
      <c r="A378" s="2" t="s">
        <v>777</v>
      </c>
      <c r="B378" s="2" t="s">
        <v>5</v>
      </c>
      <c r="C378" s="2" t="s">
        <v>778</v>
      </c>
      <c r="D378" s="2" t="s">
        <v>732</v>
      </c>
      <c r="E378" s="2" t="str">
        <f>HYPERLINK("https://talan.bank.gov.ua/get-user-certificate/sec1e-v0V0W1iNz6NS2j","Завантажити сертифікат")</f>
        <v>Завантажити сертифікат</v>
      </c>
    </row>
    <row r="379" spans="1:5" x14ac:dyDescent="0.3">
      <c r="A379" s="2" t="s">
        <v>779</v>
      </c>
      <c r="B379" s="2" t="s">
        <v>5</v>
      </c>
      <c r="C379" s="2" t="s">
        <v>780</v>
      </c>
      <c r="D379" s="2" t="s">
        <v>732</v>
      </c>
      <c r="E379" s="2" t="str">
        <f>HYPERLINK("https://talan.bank.gov.ua/get-user-certificate/sec1ej-bzqQ7R2VX3MQh","Завантажити сертифікат")</f>
        <v>Завантажити сертифікат</v>
      </c>
    </row>
    <row r="380" spans="1:5" x14ac:dyDescent="0.3">
      <c r="A380" s="2" t="s">
        <v>781</v>
      </c>
      <c r="B380" s="2" t="s">
        <v>5</v>
      </c>
      <c r="C380" s="2" t="s">
        <v>782</v>
      </c>
      <c r="D380" s="2" t="s">
        <v>732</v>
      </c>
      <c r="E380" s="2" t="str">
        <f>HYPERLINK("https://talan.bank.gov.ua/get-user-certificate/sec1ei00v-W0FRfU9zds","Завантажити сертифікат")</f>
        <v>Завантажити сертифікат</v>
      </c>
    </row>
    <row r="381" spans="1:5" x14ac:dyDescent="0.3">
      <c r="A381" s="2" t="s">
        <v>783</v>
      </c>
      <c r="B381" s="2" t="s">
        <v>5</v>
      </c>
      <c r="C381" s="2" t="s">
        <v>784</v>
      </c>
      <c r="D381" s="2" t="s">
        <v>732</v>
      </c>
      <c r="E381" s="2" t="str">
        <f>HYPERLINK("https://talan.bank.gov.ua/get-user-certificate/sec1edFgQdMX8dRvarWa","Завантажити сертифікат")</f>
        <v>Завантажити сертифікат</v>
      </c>
    </row>
    <row r="382" spans="1:5" x14ac:dyDescent="0.3">
      <c r="A382" s="2" t="s">
        <v>785</v>
      </c>
      <c r="B382" s="2" t="s">
        <v>5</v>
      </c>
      <c r="C382" s="2" t="s">
        <v>786</v>
      </c>
      <c r="D382" s="2" t="s">
        <v>732</v>
      </c>
      <c r="E382" s="2" t="str">
        <f>HYPERLINK("https://talan.bank.gov.ua/get-user-certificate/sec1eZZ12SgfdU_z1zyO","Завантажити сертифікат")</f>
        <v>Завантажити сертифікат</v>
      </c>
    </row>
    <row r="383" spans="1:5" x14ac:dyDescent="0.3">
      <c r="A383" s="2" t="s">
        <v>787</v>
      </c>
      <c r="B383" s="2" t="s">
        <v>5</v>
      </c>
      <c r="C383" s="2" t="s">
        <v>788</v>
      </c>
      <c r="D383" s="2" t="s">
        <v>732</v>
      </c>
      <c r="E383" s="2" t="str">
        <f>HYPERLINK("https://talan.bank.gov.ua/get-user-certificate/sec1eI8y1G-6n2ju37k_","Завантажити сертифікат")</f>
        <v>Завантажити сертифікат</v>
      </c>
    </row>
    <row r="384" spans="1:5" x14ac:dyDescent="0.3">
      <c r="A384" s="2" t="s">
        <v>789</v>
      </c>
      <c r="B384" s="2" t="s">
        <v>5</v>
      </c>
      <c r="C384" s="2" t="s">
        <v>790</v>
      </c>
      <c r="D384" s="2" t="s">
        <v>732</v>
      </c>
      <c r="E384" s="2" t="str">
        <f>HYPERLINK("https://talan.bank.gov.ua/get-user-certificate/sec1eNkFcxN20NUnSEzG","Завантажити сертифікат")</f>
        <v>Завантажити сертифікат</v>
      </c>
    </row>
    <row r="385" spans="1:5" x14ac:dyDescent="0.3">
      <c r="A385" s="2" t="s">
        <v>791</v>
      </c>
      <c r="B385" s="2" t="s">
        <v>5</v>
      </c>
      <c r="C385" s="2" t="s">
        <v>792</v>
      </c>
      <c r="D385" s="2" t="s">
        <v>793</v>
      </c>
      <c r="E385" s="2" t="str">
        <f>HYPERLINK("https://talan.bank.gov.ua/get-user-certificate/sec1epN6tEmaUCuqkK0B","Завантажити сертифікат")</f>
        <v>Завантажити сертифікат</v>
      </c>
    </row>
    <row r="386" spans="1:5" x14ac:dyDescent="0.3">
      <c r="A386" s="2" t="s">
        <v>794</v>
      </c>
      <c r="B386" s="2" t="s">
        <v>5</v>
      </c>
      <c r="C386" s="2" t="s">
        <v>795</v>
      </c>
      <c r="D386" s="2" t="s">
        <v>793</v>
      </c>
      <c r="E386" s="2" t="str">
        <f>HYPERLINK("https://talan.bank.gov.ua/get-user-certificate/sec1eADGgiQbBkutg3Yd","Завантажити сертифікат")</f>
        <v>Завантажити сертифікат</v>
      </c>
    </row>
    <row r="387" spans="1:5" x14ac:dyDescent="0.3">
      <c r="A387" s="2" t="s">
        <v>796</v>
      </c>
      <c r="B387" s="2" t="s">
        <v>5</v>
      </c>
      <c r="C387" s="2" t="s">
        <v>797</v>
      </c>
      <c r="D387" s="2" t="s">
        <v>793</v>
      </c>
      <c r="E387" s="2" t="str">
        <f>HYPERLINK("https://talan.bank.gov.ua/get-user-certificate/sec1ey7BOpRb47itD5R-","Завантажити сертифікат")</f>
        <v>Завантажити сертифікат</v>
      </c>
    </row>
    <row r="388" spans="1:5" x14ac:dyDescent="0.3">
      <c r="A388" s="2" t="s">
        <v>798</v>
      </c>
      <c r="B388" s="2" t="s">
        <v>5</v>
      </c>
      <c r="C388" s="2" t="s">
        <v>799</v>
      </c>
      <c r="D388" s="2" t="s">
        <v>793</v>
      </c>
      <c r="E388" s="2" t="str">
        <f>HYPERLINK("https://talan.bank.gov.ua/get-user-certificate/sec1e_ccsPG1r3gndcMv","Завантажити сертифікат")</f>
        <v>Завантажити сертифікат</v>
      </c>
    </row>
    <row r="389" spans="1:5" x14ac:dyDescent="0.3">
      <c r="A389" s="2" t="s">
        <v>800</v>
      </c>
      <c r="B389" s="2" t="s">
        <v>5</v>
      </c>
      <c r="C389" s="2" t="s">
        <v>801</v>
      </c>
      <c r="D389" s="2" t="s">
        <v>793</v>
      </c>
      <c r="E389" s="2" t="str">
        <f>HYPERLINK("https://talan.bank.gov.ua/get-user-certificate/sec1e3dph_tHQ-rHqDFI","Завантажити сертифікат")</f>
        <v>Завантажити сертифікат</v>
      </c>
    </row>
    <row r="390" spans="1:5" x14ac:dyDescent="0.3">
      <c r="A390" s="2" t="s">
        <v>802</v>
      </c>
      <c r="B390" s="2" t="s">
        <v>5</v>
      </c>
      <c r="C390" s="2" t="s">
        <v>803</v>
      </c>
      <c r="D390" s="2" t="s">
        <v>793</v>
      </c>
      <c r="E390" s="2" t="str">
        <f>HYPERLINK("https://talan.bank.gov.ua/get-user-certificate/sec1etg6NZ8i1UfAaoYL","Завантажити сертифікат")</f>
        <v>Завантажити сертифікат</v>
      </c>
    </row>
    <row r="391" spans="1:5" x14ac:dyDescent="0.3">
      <c r="A391" s="2" t="s">
        <v>804</v>
      </c>
      <c r="B391" s="2" t="s">
        <v>5</v>
      </c>
      <c r="C391" s="2" t="s">
        <v>805</v>
      </c>
      <c r="D391" s="2" t="s">
        <v>793</v>
      </c>
      <c r="E391" s="2" t="str">
        <f>HYPERLINK("https://talan.bank.gov.ua/get-user-certificate/sec1eEI-CzmTFPIYTMoo","Завантажити сертифікат")</f>
        <v>Завантажити сертифікат</v>
      </c>
    </row>
    <row r="392" spans="1:5" x14ac:dyDescent="0.3">
      <c r="A392" s="2" t="s">
        <v>806</v>
      </c>
      <c r="B392" s="2" t="s">
        <v>5</v>
      </c>
      <c r="C392" s="2" t="s">
        <v>807</v>
      </c>
      <c r="D392" s="2" t="s">
        <v>793</v>
      </c>
      <c r="E392" s="2" t="str">
        <f>HYPERLINK("https://talan.bank.gov.ua/get-user-certificate/sec1ePZKWKXvxTUwaoiG","Завантажити сертифікат")</f>
        <v>Завантажити сертифікат</v>
      </c>
    </row>
    <row r="393" spans="1:5" x14ac:dyDescent="0.3">
      <c r="A393" s="2" t="s">
        <v>808</v>
      </c>
      <c r="B393" s="2" t="s">
        <v>5</v>
      </c>
      <c r="C393" s="2" t="s">
        <v>809</v>
      </c>
      <c r="D393" s="2" t="s">
        <v>793</v>
      </c>
      <c r="E393" s="2" t="str">
        <f>HYPERLINK("https://talan.bank.gov.ua/get-user-certificate/sec1e8VsjOm0NbiItBUf","Завантажити сертифікат")</f>
        <v>Завантажити сертифікат</v>
      </c>
    </row>
    <row r="394" spans="1:5" x14ac:dyDescent="0.3">
      <c r="A394" s="2" t="s">
        <v>810</v>
      </c>
      <c r="B394" s="2" t="s">
        <v>5</v>
      </c>
      <c r="C394" s="2" t="s">
        <v>811</v>
      </c>
      <c r="D394" s="2" t="s">
        <v>793</v>
      </c>
      <c r="E394" s="2" t="str">
        <f>HYPERLINK("https://talan.bank.gov.ua/get-user-certificate/sec1esbbrPPmIrFMwSgn","Завантажити сертифікат")</f>
        <v>Завантажити сертифікат</v>
      </c>
    </row>
    <row r="395" spans="1:5" x14ac:dyDescent="0.3">
      <c r="A395" s="2" t="s">
        <v>812</v>
      </c>
      <c r="B395" s="2" t="s">
        <v>5</v>
      </c>
      <c r="C395" s="2" t="s">
        <v>813</v>
      </c>
      <c r="D395" s="2" t="s">
        <v>793</v>
      </c>
      <c r="E395" s="2" t="str">
        <f>HYPERLINK("https://talan.bank.gov.ua/get-user-certificate/sec1etVcI9oOxvNaT19S","Завантажити сертифікат")</f>
        <v>Завантажити сертифікат</v>
      </c>
    </row>
    <row r="396" spans="1:5" x14ac:dyDescent="0.3">
      <c r="A396" s="2" t="s">
        <v>814</v>
      </c>
      <c r="B396" s="2" t="s">
        <v>5</v>
      </c>
      <c r="C396" s="2" t="s">
        <v>815</v>
      </c>
      <c r="D396" s="2" t="s">
        <v>793</v>
      </c>
      <c r="E396" s="2" t="str">
        <f>HYPERLINK("https://talan.bank.gov.ua/get-user-certificate/sec1eg7afY1QTP-N5cYb","Завантажити сертифікат")</f>
        <v>Завантажити сертифікат</v>
      </c>
    </row>
    <row r="397" spans="1:5" x14ac:dyDescent="0.3">
      <c r="A397" s="2" t="s">
        <v>816</v>
      </c>
      <c r="B397" s="2" t="s">
        <v>5</v>
      </c>
      <c r="C397" s="2" t="s">
        <v>817</v>
      </c>
      <c r="D397" s="2" t="s">
        <v>793</v>
      </c>
      <c r="E397" s="2" t="str">
        <f>HYPERLINK("https://talan.bank.gov.ua/get-user-certificate/sec1er1BG3EMlpOrbh71","Завантажити сертифікат")</f>
        <v>Завантажити сертифікат</v>
      </c>
    </row>
    <row r="398" spans="1:5" x14ac:dyDescent="0.3">
      <c r="A398" s="2" t="s">
        <v>818</v>
      </c>
      <c r="B398" s="2" t="s">
        <v>5</v>
      </c>
      <c r="C398" s="2" t="s">
        <v>819</v>
      </c>
      <c r="D398" s="2" t="s">
        <v>793</v>
      </c>
      <c r="E398" s="2" t="str">
        <f>HYPERLINK("https://talan.bank.gov.ua/get-user-certificate/sec1eDgXjjCCPpaKhZbp","Завантажити сертифікат")</f>
        <v>Завантажити сертифікат</v>
      </c>
    </row>
    <row r="399" spans="1:5" x14ac:dyDescent="0.3">
      <c r="A399" s="2" t="s">
        <v>820</v>
      </c>
      <c r="B399" s="2" t="s">
        <v>5</v>
      </c>
      <c r="C399" s="2" t="s">
        <v>821</v>
      </c>
      <c r="D399" s="2" t="s">
        <v>793</v>
      </c>
      <c r="E399" s="2" t="str">
        <f>HYPERLINK("https://talan.bank.gov.ua/get-user-certificate/sec1eTuFQdhZvumX_l4w","Завантажити сертифікат")</f>
        <v>Завантажити сертифікат</v>
      </c>
    </row>
    <row r="400" spans="1:5" x14ac:dyDescent="0.3">
      <c r="A400" s="2" t="s">
        <v>822</v>
      </c>
      <c r="B400" s="2" t="s">
        <v>5</v>
      </c>
      <c r="C400" s="2" t="s">
        <v>823</v>
      </c>
      <c r="D400" s="2" t="s">
        <v>793</v>
      </c>
      <c r="E400" s="2" t="str">
        <f>HYPERLINK("https://talan.bank.gov.ua/get-user-certificate/sec1eRIbpeI9rtFjWiWD","Завантажити сертифікат")</f>
        <v>Завантажити сертифікат</v>
      </c>
    </row>
    <row r="401" spans="1:5" x14ac:dyDescent="0.3">
      <c r="A401" s="2" t="s">
        <v>824</v>
      </c>
      <c r="B401" s="2" t="s">
        <v>5</v>
      </c>
      <c r="C401" s="2" t="s">
        <v>825</v>
      </c>
      <c r="D401" s="2" t="s">
        <v>826</v>
      </c>
      <c r="E401" s="2" t="str">
        <f>HYPERLINK("https://talan.bank.gov.ua/get-user-certificate/sec1eDWYLbZEG32oTdaE","Завантажити сертифікат")</f>
        <v>Завантажити сертифікат</v>
      </c>
    </row>
    <row r="402" spans="1:5" x14ac:dyDescent="0.3">
      <c r="A402" s="2" t="s">
        <v>827</v>
      </c>
      <c r="B402" s="2" t="s">
        <v>5</v>
      </c>
      <c r="C402" s="2" t="s">
        <v>828</v>
      </c>
      <c r="D402" s="2" t="s">
        <v>826</v>
      </c>
      <c r="E402" s="2" t="str">
        <f>HYPERLINK("https://talan.bank.gov.ua/get-user-certificate/sec1eg_u8bvQmJoxZPx6","Завантажити сертифікат")</f>
        <v>Завантажити сертифікат</v>
      </c>
    </row>
    <row r="403" spans="1:5" x14ac:dyDescent="0.3">
      <c r="A403" s="2" t="s">
        <v>829</v>
      </c>
      <c r="B403" s="2" t="s">
        <v>5</v>
      </c>
      <c r="C403" s="2" t="s">
        <v>830</v>
      </c>
      <c r="D403" s="2" t="s">
        <v>826</v>
      </c>
      <c r="E403" s="2" t="str">
        <f>HYPERLINK("https://talan.bank.gov.ua/get-user-certificate/sec1eCmZApUAdZNI6CCr","Завантажити сертифікат")</f>
        <v>Завантажити сертифікат</v>
      </c>
    </row>
    <row r="404" spans="1:5" x14ac:dyDescent="0.3">
      <c r="A404" s="2" t="s">
        <v>831</v>
      </c>
      <c r="B404" s="2" t="s">
        <v>5</v>
      </c>
      <c r="C404" s="2" t="s">
        <v>832</v>
      </c>
      <c r="D404" s="2" t="s">
        <v>826</v>
      </c>
      <c r="E404" s="2" t="str">
        <f>HYPERLINK("https://talan.bank.gov.ua/get-user-certificate/sec1ev8Rd50EtmWgo8bf","Завантажити сертифікат")</f>
        <v>Завантажити сертифікат</v>
      </c>
    </row>
    <row r="405" spans="1:5" x14ac:dyDescent="0.3">
      <c r="A405" s="2" t="s">
        <v>833</v>
      </c>
      <c r="B405" s="2" t="s">
        <v>5</v>
      </c>
      <c r="C405" s="2" t="s">
        <v>834</v>
      </c>
      <c r="D405" s="2" t="s">
        <v>826</v>
      </c>
      <c r="E405" s="2" t="str">
        <f>HYPERLINK("https://talan.bank.gov.ua/get-user-certificate/sec1efcQAsLmqZaXB5Ad","Завантажити сертифікат")</f>
        <v>Завантажити сертифікат</v>
      </c>
    </row>
    <row r="406" spans="1:5" x14ac:dyDescent="0.3">
      <c r="A406" s="2" t="s">
        <v>835</v>
      </c>
      <c r="B406" s="2" t="s">
        <v>5</v>
      </c>
      <c r="C406" s="2" t="s">
        <v>836</v>
      </c>
      <c r="D406" s="2" t="s">
        <v>826</v>
      </c>
      <c r="E406" s="2" t="str">
        <f>HYPERLINK("https://talan.bank.gov.ua/get-user-certificate/sec1eNCVOjxlU2CqafLs","Завантажити сертифікат")</f>
        <v>Завантажити сертифікат</v>
      </c>
    </row>
    <row r="407" spans="1:5" x14ac:dyDescent="0.3">
      <c r="A407" s="2" t="s">
        <v>837</v>
      </c>
      <c r="B407" s="2" t="s">
        <v>5</v>
      </c>
      <c r="C407" s="2" t="s">
        <v>838</v>
      </c>
      <c r="D407" s="2" t="s">
        <v>826</v>
      </c>
      <c r="E407" s="2" t="str">
        <f>HYPERLINK("https://talan.bank.gov.ua/get-user-certificate/sec1emFXMXgz3cc8xMBy","Завантажити сертифікат")</f>
        <v>Завантажити сертифікат</v>
      </c>
    </row>
    <row r="408" spans="1:5" x14ac:dyDescent="0.3">
      <c r="A408" s="2" t="s">
        <v>839</v>
      </c>
      <c r="B408" s="2" t="s">
        <v>5</v>
      </c>
      <c r="C408" s="2" t="s">
        <v>840</v>
      </c>
      <c r="D408" s="2" t="s">
        <v>826</v>
      </c>
      <c r="E408" s="2" t="str">
        <f>HYPERLINK("https://talan.bank.gov.ua/get-user-certificate/sec1eQxSR6OdSgxyuPlG","Завантажити сертифікат")</f>
        <v>Завантажити сертифікат</v>
      </c>
    </row>
    <row r="409" spans="1:5" x14ac:dyDescent="0.3">
      <c r="A409" s="2" t="s">
        <v>841</v>
      </c>
      <c r="B409" s="2" t="s">
        <v>5</v>
      </c>
      <c r="C409" s="2" t="s">
        <v>842</v>
      </c>
      <c r="D409" s="2" t="s">
        <v>826</v>
      </c>
      <c r="E409" s="2" t="str">
        <f>HYPERLINK("https://talan.bank.gov.ua/get-user-certificate/sec1eIvPtZguKQ5I7nct","Завантажити сертифікат")</f>
        <v>Завантажити сертифікат</v>
      </c>
    </row>
    <row r="410" spans="1:5" x14ac:dyDescent="0.3">
      <c r="A410" s="2" t="s">
        <v>843</v>
      </c>
      <c r="B410" s="2" t="s">
        <v>5</v>
      </c>
      <c r="C410" s="2" t="s">
        <v>844</v>
      </c>
      <c r="D410" s="2" t="s">
        <v>826</v>
      </c>
      <c r="E410" s="2" t="str">
        <f>HYPERLINK("https://talan.bank.gov.ua/get-user-certificate/sec1eUdSjfe2nPcrfZgZ","Завантажити сертифікат")</f>
        <v>Завантажити сертифікат</v>
      </c>
    </row>
    <row r="411" spans="1:5" x14ac:dyDescent="0.3">
      <c r="A411" s="2" t="s">
        <v>845</v>
      </c>
      <c r="B411" s="2" t="s">
        <v>5</v>
      </c>
      <c r="C411" s="2" t="s">
        <v>846</v>
      </c>
      <c r="D411" s="2" t="s">
        <v>826</v>
      </c>
      <c r="E411" s="2" t="str">
        <f>HYPERLINK("https://talan.bank.gov.ua/get-user-certificate/sec1eVdbLb2AhyEVgMrf","Завантажити сертифікат")</f>
        <v>Завантажити сертифікат</v>
      </c>
    </row>
    <row r="412" spans="1:5" x14ac:dyDescent="0.3">
      <c r="A412" s="2" t="s">
        <v>847</v>
      </c>
      <c r="B412" s="2" t="s">
        <v>5</v>
      </c>
      <c r="C412" s="2" t="s">
        <v>848</v>
      </c>
      <c r="D412" s="2" t="s">
        <v>826</v>
      </c>
      <c r="E412" s="2" t="str">
        <f>HYPERLINK("https://talan.bank.gov.ua/get-user-certificate/sec1eQITUcGLNNPp-RWK","Завантажити сертифікат")</f>
        <v>Завантажити сертифікат</v>
      </c>
    </row>
    <row r="413" spans="1:5" x14ac:dyDescent="0.3">
      <c r="A413" s="2" t="s">
        <v>849</v>
      </c>
      <c r="B413" s="2" t="s">
        <v>5</v>
      </c>
      <c r="C413" s="2" t="s">
        <v>850</v>
      </c>
      <c r="D413" s="2" t="s">
        <v>826</v>
      </c>
      <c r="E413" s="2" t="str">
        <f>HYPERLINK("https://talan.bank.gov.ua/get-user-certificate/sec1eil7doXZsCePpYbc","Завантажити сертифікат")</f>
        <v>Завантажити сертифікат</v>
      </c>
    </row>
    <row r="414" spans="1:5" x14ac:dyDescent="0.3">
      <c r="A414" s="2" t="s">
        <v>851</v>
      </c>
      <c r="B414" s="2" t="s">
        <v>5</v>
      </c>
      <c r="C414" s="2" t="s">
        <v>852</v>
      </c>
      <c r="D414" s="2" t="s">
        <v>853</v>
      </c>
      <c r="E414" s="2" t="str">
        <f>HYPERLINK("https://talan.bank.gov.ua/get-user-certificate/sec1eiC7wzlYtWDn6R30","Завантажити сертифікат")</f>
        <v>Завантажити сертифікат</v>
      </c>
    </row>
    <row r="415" spans="1:5" x14ac:dyDescent="0.3">
      <c r="A415" s="2" t="s">
        <v>854</v>
      </c>
      <c r="B415" s="2" t="s">
        <v>5</v>
      </c>
      <c r="C415" s="2" t="s">
        <v>855</v>
      </c>
      <c r="D415" s="2" t="s">
        <v>853</v>
      </c>
      <c r="E415" s="2" t="str">
        <f>HYPERLINK("https://talan.bank.gov.ua/get-user-certificate/sec1eYhUuEAipkbDUvaS","Завантажити сертифікат")</f>
        <v>Завантажити сертифікат</v>
      </c>
    </row>
    <row r="416" spans="1:5" x14ac:dyDescent="0.3">
      <c r="A416" s="2" t="s">
        <v>856</v>
      </c>
      <c r="B416" s="2" t="s">
        <v>5</v>
      </c>
      <c r="C416" s="2" t="s">
        <v>857</v>
      </c>
      <c r="D416" s="2" t="s">
        <v>853</v>
      </c>
      <c r="E416" s="2" t="str">
        <f>HYPERLINK("https://talan.bank.gov.ua/get-user-certificate/sec1ed0VrhadVpG2x-_M","Завантажити сертифікат")</f>
        <v>Завантажити сертифікат</v>
      </c>
    </row>
    <row r="417" spans="1:5" x14ac:dyDescent="0.3">
      <c r="A417" s="2" t="s">
        <v>858</v>
      </c>
      <c r="B417" s="2" t="s">
        <v>5</v>
      </c>
      <c r="C417" s="2" t="s">
        <v>859</v>
      </c>
      <c r="D417" s="2" t="s">
        <v>853</v>
      </c>
      <c r="E417" s="2" t="str">
        <f>HYPERLINK("https://talan.bank.gov.ua/get-user-certificate/sec1e9bdzSEykyAhm2hS","Завантажити сертифікат")</f>
        <v>Завантажити сертифікат</v>
      </c>
    </row>
    <row r="418" spans="1:5" x14ac:dyDescent="0.3">
      <c r="A418" s="2" t="s">
        <v>860</v>
      </c>
      <c r="B418" s="2" t="s">
        <v>5</v>
      </c>
      <c r="C418" s="2" t="s">
        <v>861</v>
      </c>
      <c r="D418" s="2" t="s">
        <v>853</v>
      </c>
      <c r="E418" s="2" t="str">
        <f>HYPERLINK("https://talan.bank.gov.ua/get-user-certificate/sec1emt8AR0qYkPLGk9m","Завантажити сертифікат")</f>
        <v>Завантажити сертифікат</v>
      </c>
    </row>
    <row r="419" spans="1:5" x14ac:dyDescent="0.3">
      <c r="A419" s="2" t="s">
        <v>862</v>
      </c>
      <c r="B419" s="2" t="s">
        <v>5</v>
      </c>
      <c r="C419" s="2" t="s">
        <v>863</v>
      </c>
      <c r="D419" s="2" t="s">
        <v>853</v>
      </c>
      <c r="E419" s="2" t="str">
        <f>HYPERLINK("https://talan.bank.gov.ua/get-user-certificate/sec1em7fYghd1XHJhuR8","Завантажити сертифікат")</f>
        <v>Завантажити сертифікат</v>
      </c>
    </row>
    <row r="420" spans="1:5" x14ac:dyDescent="0.3">
      <c r="A420" s="2" t="s">
        <v>864</v>
      </c>
      <c r="B420" s="2" t="s">
        <v>5</v>
      </c>
      <c r="C420" s="2" t="s">
        <v>865</v>
      </c>
      <c r="D420" s="2" t="s">
        <v>853</v>
      </c>
      <c r="E420" s="2" t="str">
        <f>HYPERLINK("https://talan.bank.gov.ua/get-user-certificate/sec1e803rnJ6KYBq8mw8","Завантажити сертифікат")</f>
        <v>Завантажити сертифікат</v>
      </c>
    </row>
    <row r="421" spans="1:5" x14ac:dyDescent="0.3">
      <c r="A421" s="2" t="s">
        <v>866</v>
      </c>
      <c r="B421" s="2" t="s">
        <v>5</v>
      </c>
      <c r="C421" s="2" t="s">
        <v>867</v>
      </c>
      <c r="D421" s="2" t="s">
        <v>853</v>
      </c>
      <c r="E421" s="2" t="str">
        <f>HYPERLINK("https://talan.bank.gov.ua/get-user-certificate/sec1eHqVxddUM6RUd3fn","Завантажити сертифікат")</f>
        <v>Завантажити сертифікат</v>
      </c>
    </row>
    <row r="422" spans="1:5" x14ac:dyDescent="0.3">
      <c r="A422" s="2" t="s">
        <v>868</v>
      </c>
      <c r="B422" s="2" t="s">
        <v>5</v>
      </c>
      <c r="C422" s="2" t="s">
        <v>869</v>
      </c>
      <c r="D422" s="2" t="s">
        <v>853</v>
      </c>
      <c r="E422" s="2" t="str">
        <f>HYPERLINK("https://talan.bank.gov.ua/get-user-certificate/sec1eqkKq5UG0FOHfqK5","Завантажити сертифікат")</f>
        <v>Завантажити сертифікат</v>
      </c>
    </row>
    <row r="423" spans="1:5" x14ac:dyDescent="0.3">
      <c r="A423" s="2" t="s">
        <v>870</v>
      </c>
      <c r="B423" s="2" t="s">
        <v>5</v>
      </c>
      <c r="C423" s="2" t="s">
        <v>871</v>
      </c>
      <c r="D423" s="2" t="s">
        <v>853</v>
      </c>
      <c r="E423" s="2" t="str">
        <f>HYPERLINK("https://talan.bank.gov.ua/get-user-certificate/sec1eqnmkc7X3bu73Ctr","Завантажити сертифікат")</f>
        <v>Завантажити сертифікат</v>
      </c>
    </row>
    <row r="424" spans="1:5" x14ac:dyDescent="0.3">
      <c r="A424" s="2" t="s">
        <v>872</v>
      </c>
      <c r="B424" s="2" t="s">
        <v>5</v>
      </c>
      <c r="C424" s="2" t="s">
        <v>873</v>
      </c>
      <c r="D424" s="2" t="s">
        <v>853</v>
      </c>
      <c r="E424" s="2" t="str">
        <f>HYPERLINK("https://talan.bank.gov.ua/get-user-certificate/sec1eqcWXdY1Ds-6TkOk","Завантажити сертифікат")</f>
        <v>Завантажити сертифікат</v>
      </c>
    </row>
    <row r="425" spans="1:5" x14ac:dyDescent="0.3">
      <c r="A425" s="2" t="s">
        <v>874</v>
      </c>
      <c r="B425" s="2" t="s">
        <v>5</v>
      </c>
      <c r="C425" s="2" t="s">
        <v>875</v>
      </c>
      <c r="D425" s="2" t="s">
        <v>853</v>
      </c>
      <c r="E425" s="2" t="str">
        <f>HYPERLINK("https://talan.bank.gov.ua/get-user-certificate/sec1eKCYCtEy5Dg1II8n","Завантажити сертифікат")</f>
        <v>Завантажити сертифікат</v>
      </c>
    </row>
    <row r="426" spans="1:5" x14ac:dyDescent="0.3">
      <c r="A426" s="2" t="s">
        <v>876</v>
      </c>
      <c r="B426" s="2" t="s">
        <v>5</v>
      </c>
      <c r="C426" s="2" t="s">
        <v>877</v>
      </c>
      <c r="D426" s="2" t="s">
        <v>853</v>
      </c>
      <c r="E426" s="2" t="str">
        <f>HYPERLINK("https://talan.bank.gov.ua/get-user-certificate/sec1e5waYMYBZRpdEHKS","Завантажити сертифікат")</f>
        <v>Завантажити сертифікат</v>
      </c>
    </row>
    <row r="427" spans="1:5" x14ac:dyDescent="0.3">
      <c r="A427" s="2" t="s">
        <v>878</v>
      </c>
      <c r="B427" s="2" t="s">
        <v>5</v>
      </c>
      <c r="C427" s="2" t="s">
        <v>879</v>
      </c>
      <c r="D427" s="2" t="s">
        <v>853</v>
      </c>
      <c r="E427" s="2" t="str">
        <f>HYPERLINK("https://talan.bank.gov.ua/get-user-certificate/sec1eY0H0kSjnIFJqrR7","Завантажити сертифікат")</f>
        <v>Завантажити сертифікат</v>
      </c>
    </row>
    <row r="428" spans="1:5" x14ac:dyDescent="0.3">
      <c r="A428" s="2" t="s">
        <v>880</v>
      </c>
      <c r="B428" s="2" t="s">
        <v>5</v>
      </c>
      <c r="C428" s="2" t="s">
        <v>881</v>
      </c>
      <c r="D428" s="2" t="s">
        <v>853</v>
      </c>
      <c r="E428" s="2" t="str">
        <f>HYPERLINK("https://talan.bank.gov.ua/get-user-certificate/sec1eYM_rTLv5vgNJmvN","Завантажити сертифікат")</f>
        <v>Завантажити сертифікат</v>
      </c>
    </row>
    <row r="429" spans="1:5" x14ac:dyDescent="0.3">
      <c r="A429" s="2" t="s">
        <v>882</v>
      </c>
      <c r="B429" s="2" t="s">
        <v>5</v>
      </c>
      <c r="C429" s="2" t="s">
        <v>883</v>
      </c>
      <c r="D429" s="2" t="s">
        <v>853</v>
      </c>
      <c r="E429" s="2" t="str">
        <f>HYPERLINK("https://talan.bank.gov.ua/get-user-certificate/sec1e2MCDM9AkXWSwzMb","Завантажити сертифікат")</f>
        <v>Завантажити сертифікат</v>
      </c>
    </row>
    <row r="430" spans="1:5" x14ac:dyDescent="0.3">
      <c r="A430" s="2" t="s">
        <v>884</v>
      </c>
      <c r="B430" s="2" t="s">
        <v>5</v>
      </c>
      <c r="C430" s="2" t="s">
        <v>885</v>
      </c>
      <c r="D430" s="2" t="s">
        <v>853</v>
      </c>
      <c r="E430" s="2" t="str">
        <f>HYPERLINK("https://talan.bank.gov.ua/get-user-certificate/sec1eKGY7hDu5eD0GmhH","Завантажити сертифікат")</f>
        <v>Завантажити сертифікат</v>
      </c>
    </row>
    <row r="431" spans="1:5" x14ac:dyDescent="0.3">
      <c r="A431" s="2" t="s">
        <v>886</v>
      </c>
      <c r="B431" s="2" t="s">
        <v>5</v>
      </c>
      <c r="C431" s="2" t="s">
        <v>887</v>
      </c>
      <c r="D431" s="2" t="s">
        <v>853</v>
      </c>
      <c r="E431" s="2" t="str">
        <f>HYPERLINK("https://talan.bank.gov.ua/get-user-certificate/sec1eWWO7YbjqN-YECE0","Завантажити сертифікат")</f>
        <v>Завантажити сертифікат</v>
      </c>
    </row>
    <row r="432" spans="1:5" x14ac:dyDescent="0.3">
      <c r="A432" s="2" t="s">
        <v>888</v>
      </c>
      <c r="B432" s="2" t="s">
        <v>5</v>
      </c>
      <c r="C432" s="2" t="s">
        <v>889</v>
      </c>
      <c r="D432" s="2" t="s">
        <v>853</v>
      </c>
      <c r="E432" s="2" t="str">
        <f>HYPERLINK("https://talan.bank.gov.ua/get-user-certificate/sec1eKiGzlc2sCXJSplB","Завантажити сертифікат")</f>
        <v>Завантажити сертифікат</v>
      </c>
    </row>
    <row r="433" spans="1:5" x14ac:dyDescent="0.3">
      <c r="A433" s="2" t="s">
        <v>890</v>
      </c>
      <c r="B433" s="2" t="s">
        <v>5</v>
      </c>
      <c r="C433" s="2" t="s">
        <v>891</v>
      </c>
      <c r="D433" s="2" t="s">
        <v>853</v>
      </c>
      <c r="E433" s="2" t="str">
        <f>HYPERLINK("https://talan.bank.gov.ua/get-user-certificate/sec1e_JoW00JXUeF8bxK","Завантажити сертифікат")</f>
        <v>Завантажити сертифікат</v>
      </c>
    </row>
    <row r="434" spans="1:5" x14ac:dyDescent="0.3">
      <c r="A434" s="2" t="s">
        <v>892</v>
      </c>
      <c r="B434" s="2" t="s">
        <v>5</v>
      </c>
      <c r="C434" s="2" t="s">
        <v>893</v>
      </c>
      <c r="D434" s="2" t="s">
        <v>853</v>
      </c>
      <c r="E434" s="2" t="str">
        <f>HYPERLINK("https://talan.bank.gov.ua/get-user-certificate/sec1eSKg-Y_7bvoCwkYA","Завантажити сертифікат")</f>
        <v>Завантажити сертифікат</v>
      </c>
    </row>
    <row r="435" spans="1:5" x14ac:dyDescent="0.3">
      <c r="A435" s="2" t="s">
        <v>894</v>
      </c>
      <c r="B435" s="2" t="s">
        <v>5</v>
      </c>
      <c r="C435" s="2" t="s">
        <v>895</v>
      </c>
      <c r="D435" s="2" t="s">
        <v>853</v>
      </c>
      <c r="E435" s="2" t="str">
        <f>HYPERLINK("https://talan.bank.gov.ua/get-user-certificate/sec1emix2LGoEwZLZnic","Завантажити сертифікат")</f>
        <v>Завантажити сертифікат</v>
      </c>
    </row>
    <row r="436" spans="1:5" x14ac:dyDescent="0.3">
      <c r="A436" s="2" t="s">
        <v>896</v>
      </c>
      <c r="B436" s="2" t="s">
        <v>5</v>
      </c>
      <c r="C436" s="2" t="s">
        <v>897</v>
      </c>
      <c r="D436" s="2" t="s">
        <v>853</v>
      </c>
      <c r="E436" s="2" t="str">
        <f>HYPERLINK("https://talan.bank.gov.ua/get-user-certificate/sec1ecMUZNgb8ypgEniK","Завантажити сертифікат")</f>
        <v>Завантажити сертифікат</v>
      </c>
    </row>
    <row r="437" spans="1:5" x14ac:dyDescent="0.3">
      <c r="A437" s="2" t="s">
        <v>898</v>
      </c>
      <c r="B437" s="2" t="s">
        <v>5</v>
      </c>
      <c r="C437" s="2" t="s">
        <v>899</v>
      </c>
      <c r="D437" s="2" t="s">
        <v>853</v>
      </c>
      <c r="E437" s="2" t="str">
        <f>HYPERLINK("https://talan.bank.gov.ua/get-user-certificate/sec1eqggQE2ktveeuN8v","Завантажити сертифікат")</f>
        <v>Завантажити сертифікат</v>
      </c>
    </row>
    <row r="438" spans="1:5" x14ac:dyDescent="0.3">
      <c r="A438" s="2" t="s">
        <v>900</v>
      </c>
      <c r="B438" s="2" t="s">
        <v>5</v>
      </c>
      <c r="C438" s="2" t="s">
        <v>901</v>
      </c>
      <c r="D438" s="2" t="s">
        <v>853</v>
      </c>
      <c r="E438" s="2" t="str">
        <f>HYPERLINK("https://talan.bank.gov.ua/get-user-certificate/sec1e5W7XsdtN3aaMa7K","Завантажити сертифікат")</f>
        <v>Завантажити сертифікат</v>
      </c>
    </row>
    <row r="439" spans="1:5" x14ac:dyDescent="0.3">
      <c r="A439" s="2" t="s">
        <v>902</v>
      </c>
      <c r="B439" s="2" t="s">
        <v>5</v>
      </c>
      <c r="C439" s="2" t="s">
        <v>903</v>
      </c>
      <c r="D439" s="2" t="s">
        <v>853</v>
      </c>
      <c r="E439" s="2" t="str">
        <f>HYPERLINK("https://talan.bank.gov.ua/get-user-certificate/sec1e86rqIBHs-35SlAs","Завантажити сертифікат")</f>
        <v>Завантажити сертифікат</v>
      </c>
    </row>
    <row r="440" spans="1:5" x14ac:dyDescent="0.3">
      <c r="A440" s="2" t="s">
        <v>904</v>
      </c>
      <c r="B440" s="2" t="s">
        <v>5</v>
      </c>
      <c r="C440" s="2" t="s">
        <v>905</v>
      </c>
      <c r="D440" s="2" t="s">
        <v>853</v>
      </c>
      <c r="E440" s="2" t="str">
        <f>HYPERLINK("https://talan.bank.gov.ua/get-user-certificate/sec1eevnOa3bNrzsr4cu","Завантажити сертифікат")</f>
        <v>Завантажити сертифікат</v>
      </c>
    </row>
    <row r="441" spans="1:5" x14ac:dyDescent="0.3">
      <c r="A441" s="2" t="s">
        <v>906</v>
      </c>
      <c r="B441" s="2" t="s">
        <v>5</v>
      </c>
      <c r="C441" s="2" t="s">
        <v>907</v>
      </c>
      <c r="D441" s="2" t="s">
        <v>908</v>
      </c>
      <c r="E441" s="2" t="str">
        <f>HYPERLINK("https://talan.bank.gov.ua/get-user-certificate/sec1e1s5CVZv9vIafwGD","Завантажити сертифікат")</f>
        <v>Завантажити сертифікат</v>
      </c>
    </row>
    <row r="442" spans="1:5" x14ac:dyDescent="0.3">
      <c r="A442" s="2" t="s">
        <v>909</v>
      </c>
      <c r="B442" s="2" t="s">
        <v>5</v>
      </c>
      <c r="C442" s="2" t="s">
        <v>910</v>
      </c>
      <c r="D442" s="2" t="s">
        <v>908</v>
      </c>
      <c r="E442" s="2" t="str">
        <f>HYPERLINK("https://talan.bank.gov.ua/get-user-certificate/sec1e1Dfmrsh5xp-qHl2","Завантажити сертифікат")</f>
        <v>Завантажити сертифікат</v>
      </c>
    </row>
    <row r="443" spans="1:5" x14ac:dyDescent="0.3">
      <c r="A443" s="2" t="s">
        <v>911</v>
      </c>
      <c r="B443" s="2" t="s">
        <v>5</v>
      </c>
      <c r="C443" s="2" t="s">
        <v>912</v>
      </c>
      <c r="D443" s="2" t="s">
        <v>908</v>
      </c>
      <c r="E443" s="2" t="str">
        <f>HYPERLINK("https://talan.bank.gov.ua/get-user-certificate/sec1eM5kiADDqZb8p90o","Завантажити сертифікат")</f>
        <v>Завантажити сертифікат</v>
      </c>
    </row>
    <row r="444" spans="1:5" x14ac:dyDescent="0.3">
      <c r="A444" s="2" t="s">
        <v>913</v>
      </c>
      <c r="B444" s="2" t="s">
        <v>5</v>
      </c>
      <c r="C444" s="2" t="s">
        <v>914</v>
      </c>
      <c r="D444" s="2" t="s">
        <v>908</v>
      </c>
      <c r="E444" s="2" t="str">
        <f>HYPERLINK("https://talan.bank.gov.ua/get-user-certificate/sec1eiyEQjKw4q9GB1a2","Завантажити сертифікат")</f>
        <v>Завантажити сертифікат</v>
      </c>
    </row>
    <row r="445" spans="1:5" x14ac:dyDescent="0.3">
      <c r="A445" s="2" t="s">
        <v>915</v>
      </c>
      <c r="B445" s="2" t="s">
        <v>5</v>
      </c>
      <c r="C445" s="2" t="s">
        <v>916</v>
      </c>
      <c r="D445" s="2" t="s">
        <v>908</v>
      </c>
      <c r="E445" s="2" t="str">
        <f>HYPERLINK("https://talan.bank.gov.ua/get-user-certificate/sec1eeMSWqtsaQxc5Usc","Завантажити сертифікат")</f>
        <v>Завантажити сертифікат</v>
      </c>
    </row>
    <row r="446" spans="1:5" x14ac:dyDescent="0.3">
      <c r="A446" s="2" t="s">
        <v>917</v>
      </c>
      <c r="B446" s="2" t="s">
        <v>5</v>
      </c>
      <c r="C446" s="2" t="s">
        <v>918</v>
      </c>
      <c r="D446" s="2" t="s">
        <v>908</v>
      </c>
      <c r="E446" s="2" t="str">
        <f>HYPERLINK("https://talan.bank.gov.ua/get-user-certificate/sec1eCBi6Xp2ACm8SX1S","Завантажити сертифікат")</f>
        <v>Завантажити сертифікат</v>
      </c>
    </row>
    <row r="447" spans="1:5" x14ac:dyDescent="0.3">
      <c r="A447" s="2" t="s">
        <v>919</v>
      </c>
      <c r="B447" s="2" t="s">
        <v>5</v>
      </c>
      <c r="C447" s="2" t="s">
        <v>920</v>
      </c>
      <c r="D447" s="2" t="s">
        <v>908</v>
      </c>
      <c r="E447" s="2" t="str">
        <f>HYPERLINK("https://talan.bank.gov.ua/get-user-certificate/sec1eeCvYzccxwtWwBaE","Завантажити сертифікат")</f>
        <v>Завантажити сертифікат</v>
      </c>
    </row>
    <row r="448" spans="1:5" x14ac:dyDescent="0.3">
      <c r="A448" s="2" t="s">
        <v>921</v>
      </c>
      <c r="B448" s="2" t="s">
        <v>5</v>
      </c>
      <c r="C448" s="2" t="s">
        <v>922</v>
      </c>
      <c r="D448" s="2" t="s">
        <v>908</v>
      </c>
      <c r="E448" s="2" t="str">
        <f>HYPERLINK("https://talan.bank.gov.ua/get-user-certificate/sec1e5hGf9Rvvv6NN1k-","Завантажити сертифікат")</f>
        <v>Завантажити сертифікат</v>
      </c>
    </row>
    <row r="449" spans="1:5" x14ac:dyDescent="0.3">
      <c r="A449" s="2" t="s">
        <v>923</v>
      </c>
      <c r="B449" s="2" t="s">
        <v>5</v>
      </c>
      <c r="C449" s="2" t="s">
        <v>924</v>
      </c>
      <c r="D449" s="2" t="s">
        <v>908</v>
      </c>
      <c r="E449" s="2" t="str">
        <f>HYPERLINK("https://talan.bank.gov.ua/get-user-certificate/sec1eA428-4djZ_x7wAt","Завантажити сертифікат")</f>
        <v>Завантажити сертифікат</v>
      </c>
    </row>
    <row r="450" spans="1:5" x14ac:dyDescent="0.3">
      <c r="A450" s="2" t="s">
        <v>925</v>
      </c>
      <c r="B450" s="2" t="s">
        <v>5</v>
      </c>
      <c r="C450" s="2" t="s">
        <v>926</v>
      </c>
      <c r="D450" s="2" t="s">
        <v>908</v>
      </c>
      <c r="E450" s="2" t="str">
        <f>HYPERLINK("https://talan.bank.gov.ua/get-user-certificate/sec1e6vcTw6jMe_mH6h7","Завантажити сертифікат")</f>
        <v>Завантажити сертифікат</v>
      </c>
    </row>
    <row r="451" spans="1:5" x14ac:dyDescent="0.3">
      <c r="A451" s="2" t="s">
        <v>927</v>
      </c>
      <c r="B451" s="2" t="s">
        <v>5</v>
      </c>
      <c r="C451" s="2" t="s">
        <v>928</v>
      </c>
      <c r="D451" s="2" t="s">
        <v>908</v>
      </c>
      <c r="E451" s="2" t="str">
        <f>HYPERLINK("https://talan.bank.gov.ua/get-user-certificate/sec1eqyFs_J_9HM58nAk","Завантажити сертифікат")</f>
        <v>Завантажити сертифікат</v>
      </c>
    </row>
    <row r="452" spans="1:5" x14ac:dyDescent="0.3">
      <c r="A452" s="2" t="s">
        <v>929</v>
      </c>
      <c r="B452" s="2" t="s">
        <v>5</v>
      </c>
      <c r="C452" s="2" t="s">
        <v>930</v>
      </c>
      <c r="D452" s="2" t="s">
        <v>908</v>
      </c>
      <c r="E452" s="2" t="str">
        <f>HYPERLINK("https://talan.bank.gov.ua/get-user-certificate/sec1eIrLDJUwY2EmmQFm","Завантажити сертифікат")</f>
        <v>Завантажити сертифікат</v>
      </c>
    </row>
    <row r="453" spans="1:5" x14ac:dyDescent="0.3">
      <c r="A453" s="2" t="s">
        <v>931</v>
      </c>
      <c r="B453" s="2" t="s">
        <v>5</v>
      </c>
      <c r="C453" s="2" t="s">
        <v>932</v>
      </c>
      <c r="D453" s="2" t="s">
        <v>908</v>
      </c>
      <c r="E453" s="2" t="str">
        <f>HYPERLINK("https://talan.bank.gov.ua/get-user-certificate/sec1ePBrwO7VG79v06W5","Завантажити сертифікат")</f>
        <v>Завантажити сертифікат</v>
      </c>
    </row>
    <row r="454" spans="1:5" x14ac:dyDescent="0.3">
      <c r="A454" s="2" t="s">
        <v>933</v>
      </c>
      <c r="B454" s="2" t="s">
        <v>5</v>
      </c>
      <c r="C454" s="2" t="s">
        <v>934</v>
      </c>
      <c r="D454" s="2" t="s">
        <v>908</v>
      </c>
      <c r="E454" s="2" t="str">
        <f>HYPERLINK("https://talan.bank.gov.ua/get-user-certificate/sec1eEYEZdsbCgdmqF-y","Завантажити сертифікат")</f>
        <v>Завантажити сертифікат</v>
      </c>
    </row>
    <row r="455" spans="1:5" x14ac:dyDescent="0.3">
      <c r="A455" s="2" t="s">
        <v>935</v>
      </c>
      <c r="B455" s="2" t="s">
        <v>5</v>
      </c>
      <c r="C455" s="2" t="s">
        <v>936</v>
      </c>
      <c r="D455" s="2" t="s">
        <v>908</v>
      </c>
      <c r="E455" s="2" t="str">
        <f>HYPERLINK("https://talan.bank.gov.ua/get-user-certificate/sec1ejhiMCzB2Dw6nLwh","Завантажити сертифікат")</f>
        <v>Завантажити сертифікат</v>
      </c>
    </row>
    <row r="456" spans="1:5" x14ac:dyDescent="0.3">
      <c r="A456" s="2" t="s">
        <v>937</v>
      </c>
      <c r="B456" s="2" t="s">
        <v>5</v>
      </c>
      <c r="C456" s="2" t="s">
        <v>938</v>
      </c>
      <c r="D456" s="2" t="s">
        <v>908</v>
      </c>
      <c r="E456" s="2" t="str">
        <f>HYPERLINK("https://talan.bank.gov.ua/get-user-certificate/sec1e1LpkgSCM9wKQ3Yo","Завантажити сертифікат")</f>
        <v>Завантажити сертифікат</v>
      </c>
    </row>
    <row r="457" spans="1:5" x14ac:dyDescent="0.3">
      <c r="A457" s="2" t="s">
        <v>939</v>
      </c>
      <c r="B457" s="2" t="s">
        <v>5</v>
      </c>
      <c r="C457" s="2" t="s">
        <v>940</v>
      </c>
      <c r="D457" s="2" t="s">
        <v>908</v>
      </c>
      <c r="E457" s="2" t="str">
        <f>HYPERLINK("https://talan.bank.gov.ua/get-user-certificate/sec1emedE3Yuk8kOKVQ6","Завантажити сертифікат")</f>
        <v>Завантажити сертифікат</v>
      </c>
    </row>
    <row r="458" spans="1:5" x14ac:dyDescent="0.3">
      <c r="A458" s="2" t="s">
        <v>941</v>
      </c>
      <c r="B458" s="2" t="s">
        <v>5</v>
      </c>
      <c r="C458" s="2" t="s">
        <v>942</v>
      </c>
      <c r="D458" s="2" t="s">
        <v>908</v>
      </c>
      <c r="E458" s="2" t="str">
        <f>HYPERLINK("https://talan.bank.gov.ua/get-user-certificate/sec1eBkIn8eDXOolVlLJ","Завантажити сертифікат")</f>
        <v>Завантажити сертифікат</v>
      </c>
    </row>
    <row r="459" spans="1:5" x14ac:dyDescent="0.3">
      <c r="A459" s="2" t="s">
        <v>943</v>
      </c>
      <c r="B459" s="2" t="s">
        <v>5</v>
      </c>
      <c r="C459" s="2" t="s">
        <v>944</v>
      </c>
      <c r="D459" s="2" t="s">
        <v>908</v>
      </c>
      <c r="E459" s="2" t="str">
        <f>HYPERLINK("https://talan.bank.gov.ua/get-user-certificate/sec1ezOt-NkHQdReviSd","Завантажити сертифікат")</f>
        <v>Завантажити сертифікат</v>
      </c>
    </row>
    <row r="460" spans="1:5" x14ac:dyDescent="0.3">
      <c r="A460" s="2" t="s">
        <v>945</v>
      </c>
      <c r="B460" s="2" t="s">
        <v>5</v>
      </c>
      <c r="C460" s="2" t="s">
        <v>946</v>
      </c>
      <c r="D460" s="2" t="s">
        <v>908</v>
      </c>
      <c r="E460" s="2" t="str">
        <f>HYPERLINK("https://talan.bank.gov.ua/get-user-certificate/sec1eAUIfDvHTvsgkYDL","Завантажити сертифікат")</f>
        <v>Завантажити сертифікат</v>
      </c>
    </row>
    <row r="461" spans="1:5" x14ac:dyDescent="0.3">
      <c r="A461" s="2" t="s">
        <v>947</v>
      </c>
      <c r="B461" s="2" t="s">
        <v>5</v>
      </c>
      <c r="C461" s="2" t="s">
        <v>948</v>
      </c>
      <c r="D461" s="2" t="s">
        <v>908</v>
      </c>
      <c r="E461" s="2" t="str">
        <f>HYPERLINK("https://talan.bank.gov.ua/get-user-certificate/sec1ep1pOuKyvXcxYAac","Завантажити сертифікат")</f>
        <v>Завантажити сертифікат</v>
      </c>
    </row>
    <row r="462" spans="1:5" x14ac:dyDescent="0.3">
      <c r="A462" s="2" t="s">
        <v>949</v>
      </c>
      <c r="B462" s="2" t="s">
        <v>5</v>
      </c>
      <c r="C462" s="2" t="s">
        <v>950</v>
      </c>
      <c r="D462" s="2" t="s">
        <v>908</v>
      </c>
      <c r="E462" s="2" t="str">
        <f>HYPERLINK("https://talan.bank.gov.ua/get-user-certificate/sec1e03C5-81UU9zCiXK","Завантажити сертифікат")</f>
        <v>Завантажити сертифікат</v>
      </c>
    </row>
    <row r="463" spans="1:5" x14ac:dyDescent="0.3">
      <c r="A463" s="2" t="s">
        <v>951</v>
      </c>
      <c r="B463" s="2" t="s">
        <v>5</v>
      </c>
      <c r="C463" s="2" t="s">
        <v>952</v>
      </c>
      <c r="D463" s="2" t="s">
        <v>908</v>
      </c>
      <c r="E463" s="2" t="str">
        <f>HYPERLINK("https://talan.bank.gov.ua/get-user-certificate/sec1eBH1n8YFyFle10iK","Завантажити сертифікат")</f>
        <v>Завантажити сертифікат</v>
      </c>
    </row>
    <row r="464" spans="1:5" x14ac:dyDescent="0.3">
      <c r="A464" s="2" t="s">
        <v>953</v>
      </c>
      <c r="B464" s="2" t="s">
        <v>5</v>
      </c>
      <c r="C464" s="2" t="s">
        <v>954</v>
      </c>
      <c r="D464" s="2" t="s">
        <v>955</v>
      </c>
      <c r="E464" s="2" t="str">
        <f>HYPERLINK("https://talan.bank.gov.ua/get-user-certificate/sec1ef_EpIpiXcs45vnC","Завантажити сертифікат")</f>
        <v>Завантажити сертифікат</v>
      </c>
    </row>
    <row r="465" spans="1:5" x14ac:dyDescent="0.3">
      <c r="A465" s="2" t="s">
        <v>956</v>
      </c>
      <c r="B465" s="2" t="s">
        <v>5</v>
      </c>
      <c r="C465" s="2" t="s">
        <v>957</v>
      </c>
      <c r="D465" s="2" t="s">
        <v>955</v>
      </c>
      <c r="E465" s="2" t="str">
        <f>HYPERLINK("https://talan.bank.gov.ua/get-user-certificate/sec1eynmn3qBxZ4xEVlc","Завантажити сертифікат")</f>
        <v>Завантажити сертифікат</v>
      </c>
    </row>
    <row r="466" spans="1:5" x14ac:dyDescent="0.3">
      <c r="A466" s="2" t="s">
        <v>958</v>
      </c>
      <c r="B466" s="2" t="s">
        <v>5</v>
      </c>
      <c r="C466" s="2" t="s">
        <v>959</v>
      </c>
      <c r="D466" s="2" t="s">
        <v>955</v>
      </c>
      <c r="E466" s="2" t="str">
        <f>HYPERLINK("https://talan.bank.gov.ua/get-user-certificate/sec1eXKf5K31TgGI0_UK","Завантажити сертифікат")</f>
        <v>Завантажити сертифікат</v>
      </c>
    </row>
    <row r="467" spans="1:5" x14ac:dyDescent="0.3">
      <c r="A467" s="2" t="s">
        <v>960</v>
      </c>
      <c r="B467" s="2" t="s">
        <v>5</v>
      </c>
      <c r="C467" s="2" t="s">
        <v>961</v>
      </c>
      <c r="D467" s="2" t="s">
        <v>955</v>
      </c>
      <c r="E467" s="2" t="str">
        <f>HYPERLINK("https://talan.bank.gov.ua/get-user-certificate/sec1eQ8SKFWf2FZMMzcB","Завантажити сертифікат")</f>
        <v>Завантажити сертифікат</v>
      </c>
    </row>
    <row r="468" spans="1:5" x14ac:dyDescent="0.3">
      <c r="A468" s="2" t="s">
        <v>962</v>
      </c>
      <c r="B468" s="2" t="s">
        <v>5</v>
      </c>
      <c r="C468" s="2" t="s">
        <v>963</v>
      </c>
      <c r="D468" s="2" t="s">
        <v>955</v>
      </c>
      <c r="E468" s="2" t="str">
        <f>HYPERLINK("https://talan.bank.gov.ua/get-user-certificate/sec1eYEgJu7ZN9xWv_L8","Завантажити сертифікат")</f>
        <v>Завантажити сертифікат</v>
      </c>
    </row>
    <row r="469" spans="1:5" x14ac:dyDescent="0.3">
      <c r="A469" s="2" t="s">
        <v>964</v>
      </c>
      <c r="B469" s="2" t="s">
        <v>5</v>
      </c>
      <c r="C469" s="2" t="s">
        <v>965</v>
      </c>
      <c r="D469" s="2" t="s">
        <v>955</v>
      </c>
      <c r="E469" s="2" t="str">
        <f>HYPERLINK("https://talan.bank.gov.ua/get-user-certificate/sec1eihCVHsXZsw8RPOA","Завантажити сертифікат")</f>
        <v>Завантажити сертифікат</v>
      </c>
    </row>
    <row r="470" spans="1:5" x14ac:dyDescent="0.3">
      <c r="A470" s="2" t="s">
        <v>966</v>
      </c>
      <c r="B470" s="2" t="s">
        <v>5</v>
      </c>
      <c r="C470" s="2" t="s">
        <v>967</v>
      </c>
      <c r="D470" s="2" t="s">
        <v>955</v>
      </c>
      <c r="E470" s="2" t="str">
        <f>HYPERLINK("https://talan.bank.gov.ua/get-user-certificate/sec1eabCF7MisV8LJHt3","Завантажити сертифікат")</f>
        <v>Завантажити сертифікат</v>
      </c>
    </row>
    <row r="471" spans="1:5" x14ac:dyDescent="0.3">
      <c r="A471" s="2" t="s">
        <v>968</v>
      </c>
      <c r="B471" s="2" t="s">
        <v>5</v>
      </c>
      <c r="C471" s="2" t="s">
        <v>969</v>
      </c>
      <c r="D471" s="2" t="s">
        <v>955</v>
      </c>
      <c r="E471" s="2" t="str">
        <f>HYPERLINK("https://talan.bank.gov.ua/get-user-certificate/sec1e8i-Sf0np6opSi2v","Завантажити сертифікат")</f>
        <v>Завантажити сертифікат</v>
      </c>
    </row>
    <row r="472" spans="1:5" x14ac:dyDescent="0.3">
      <c r="A472" s="2" t="s">
        <v>970</v>
      </c>
      <c r="B472" s="2" t="s">
        <v>5</v>
      </c>
      <c r="C472" s="2" t="s">
        <v>971</v>
      </c>
      <c r="D472" s="2" t="s">
        <v>955</v>
      </c>
      <c r="E472" s="2" t="str">
        <f>HYPERLINK("https://talan.bank.gov.ua/get-user-certificate/sec1egby2AyvKvAaMAIP","Завантажити сертифікат")</f>
        <v>Завантажити сертифікат</v>
      </c>
    </row>
    <row r="473" spans="1:5" x14ac:dyDescent="0.3">
      <c r="A473" s="2" t="s">
        <v>972</v>
      </c>
      <c r="B473" s="2" t="s">
        <v>5</v>
      </c>
      <c r="C473" s="2" t="s">
        <v>973</v>
      </c>
      <c r="D473" s="2" t="s">
        <v>955</v>
      </c>
      <c r="E473" s="2" t="str">
        <f>HYPERLINK("https://talan.bank.gov.ua/get-user-certificate/sec1exlgm37CCoFxAdUT","Завантажити сертифікат")</f>
        <v>Завантажити сертифікат</v>
      </c>
    </row>
    <row r="474" spans="1:5" x14ac:dyDescent="0.3">
      <c r="A474" s="2" t="s">
        <v>974</v>
      </c>
      <c r="B474" s="2" t="s">
        <v>5</v>
      </c>
      <c r="C474" s="2" t="s">
        <v>975</v>
      </c>
      <c r="D474" s="2" t="s">
        <v>955</v>
      </c>
      <c r="E474" s="2" t="str">
        <f>HYPERLINK("https://talan.bank.gov.ua/get-user-certificate/sec1ejSGurCmfpGEKII_","Завантажити сертифікат")</f>
        <v>Завантажити сертифікат</v>
      </c>
    </row>
    <row r="475" spans="1:5" x14ac:dyDescent="0.3">
      <c r="A475" s="2" t="s">
        <v>976</v>
      </c>
      <c r="B475" s="2" t="s">
        <v>5</v>
      </c>
      <c r="C475" s="2" t="s">
        <v>977</v>
      </c>
      <c r="D475" s="2" t="s">
        <v>955</v>
      </c>
      <c r="E475" s="2" t="str">
        <f>HYPERLINK("https://talan.bank.gov.ua/get-user-certificate/sec1eexIgMlG-76xcAHY","Завантажити сертифікат")</f>
        <v>Завантажити сертифікат</v>
      </c>
    </row>
    <row r="476" spans="1:5" x14ac:dyDescent="0.3">
      <c r="A476" s="2" t="s">
        <v>978</v>
      </c>
      <c r="B476" s="2" t="s">
        <v>5</v>
      </c>
      <c r="C476" s="2" t="s">
        <v>979</v>
      </c>
      <c r="D476" s="2" t="s">
        <v>955</v>
      </c>
      <c r="E476" s="2" t="str">
        <f>HYPERLINK("https://talan.bank.gov.ua/get-user-certificate/sec1eE8R8g361WbD5hX3","Завантажити сертифікат")</f>
        <v>Завантажити сертифікат</v>
      </c>
    </row>
    <row r="477" spans="1:5" x14ac:dyDescent="0.3">
      <c r="A477" s="2" t="s">
        <v>980</v>
      </c>
      <c r="B477" s="2" t="s">
        <v>5</v>
      </c>
      <c r="C477" s="2" t="s">
        <v>981</v>
      </c>
      <c r="D477" s="2" t="s">
        <v>955</v>
      </c>
      <c r="E477" s="2" t="str">
        <f>HYPERLINK("https://talan.bank.gov.ua/get-user-certificate/sec1eJFwNRqnMIMDY6Fw","Завантажити сертифікат")</f>
        <v>Завантажити сертифікат</v>
      </c>
    </row>
    <row r="478" spans="1:5" x14ac:dyDescent="0.3">
      <c r="A478" s="2" t="s">
        <v>982</v>
      </c>
      <c r="B478" s="2" t="s">
        <v>5</v>
      </c>
      <c r="C478" s="2" t="s">
        <v>983</v>
      </c>
      <c r="D478" s="2" t="s">
        <v>955</v>
      </c>
      <c r="E478" s="2" t="str">
        <f>HYPERLINK("https://talan.bank.gov.ua/get-user-certificate/sec1eet1nlkb_IinFt5e","Завантажити сертифікат")</f>
        <v>Завантажити сертифікат</v>
      </c>
    </row>
    <row r="479" spans="1:5" x14ac:dyDescent="0.3">
      <c r="A479" s="2" t="s">
        <v>984</v>
      </c>
      <c r="B479" s="2" t="s">
        <v>5</v>
      </c>
      <c r="C479" s="2" t="s">
        <v>985</v>
      </c>
      <c r="D479" s="2" t="s">
        <v>955</v>
      </c>
      <c r="E479" s="2" t="str">
        <f>HYPERLINK("https://talan.bank.gov.ua/get-user-certificate/sec1eC0gFqtCl514re98","Завантажити сертифікат")</f>
        <v>Завантажити сертифікат</v>
      </c>
    </row>
    <row r="480" spans="1:5" x14ac:dyDescent="0.3">
      <c r="A480" s="2" t="s">
        <v>986</v>
      </c>
      <c r="B480" s="2" t="s">
        <v>5</v>
      </c>
      <c r="C480" s="2" t="s">
        <v>987</v>
      </c>
      <c r="D480" s="2" t="s">
        <v>955</v>
      </c>
      <c r="E480" s="2" t="str">
        <f>HYPERLINK("https://talan.bank.gov.ua/get-user-certificate/sec1eXEcdO4lhK-sC-Nb","Завантажити сертифікат")</f>
        <v>Завантажити сертифікат</v>
      </c>
    </row>
    <row r="481" spans="1:5" x14ac:dyDescent="0.3">
      <c r="A481" s="2" t="s">
        <v>988</v>
      </c>
      <c r="B481" s="2" t="s">
        <v>5</v>
      </c>
      <c r="C481" s="2" t="s">
        <v>989</v>
      </c>
      <c r="D481" s="2" t="s">
        <v>955</v>
      </c>
      <c r="E481" s="2" t="str">
        <f>HYPERLINK("https://talan.bank.gov.ua/get-user-certificate/sec1e_Lo8b12gXk_Odab","Завантажити сертифікат")</f>
        <v>Завантажити сертифікат</v>
      </c>
    </row>
    <row r="482" spans="1:5" x14ac:dyDescent="0.3">
      <c r="A482" s="2" t="s">
        <v>990</v>
      </c>
      <c r="B482" s="2" t="s">
        <v>5</v>
      </c>
      <c r="C482" s="2" t="s">
        <v>991</v>
      </c>
      <c r="D482" s="2" t="s">
        <v>992</v>
      </c>
      <c r="E482" s="2" t="str">
        <f>HYPERLINK("https://talan.bank.gov.ua/get-user-certificate/sec1eHa__PRQwzSkhA0w","Завантажити сертифікат")</f>
        <v>Завантажити сертифікат</v>
      </c>
    </row>
    <row r="483" spans="1:5" x14ac:dyDescent="0.3">
      <c r="A483" s="2" t="s">
        <v>993</v>
      </c>
      <c r="B483" s="2" t="s">
        <v>5</v>
      </c>
      <c r="C483" s="2" t="s">
        <v>994</v>
      </c>
      <c r="D483" s="2" t="s">
        <v>992</v>
      </c>
      <c r="E483" s="2" t="str">
        <f>HYPERLINK("https://talan.bank.gov.ua/get-user-certificate/sec1eTTKT4Lb9Ie8Tbuu","Завантажити сертифікат")</f>
        <v>Завантажити сертифікат</v>
      </c>
    </row>
    <row r="484" spans="1:5" x14ac:dyDescent="0.3">
      <c r="A484" s="2" t="s">
        <v>995</v>
      </c>
      <c r="B484" s="2" t="s">
        <v>5</v>
      </c>
      <c r="C484" s="2" t="s">
        <v>996</v>
      </c>
      <c r="D484" s="2" t="s">
        <v>992</v>
      </c>
      <c r="E484" s="2" t="str">
        <f>HYPERLINK("https://talan.bank.gov.ua/get-user-certificate/sec1eDGf61oWNXlL11yF","Завантажити сертифікат")</f>
        <v>Завантажити сертифікат</v>
      </c>
    </row>
    <row r="485" spans="1:5" x14ac:dyDescent="0.3">
      <c r="A485" s="2" t="s">
        <v>997</v>
      </c>
      <c r="B485" s="2" t="s">
        <v>5</v>
      </c>
      <c r="C485" s="2" t="s">
        <v>998</v>
      </c>
      <c r="D485" s="2" t="s">
        <v>992</v>
      </c>
      <c r="E485" s="2" t="str">
        <f>HYPERLINK("https://talan.bank.gov.ua/get-user-certificate/sec1eLyo84UyYS_S4erC","Завантажити сертифікат")</f>
        <v>Завантажити сертифікат</v>
      </c>
    </row>
    <row r="486" spans="1:5" x14ac:dyDescent="0.3">
      <c r="A486" s="2" t="s">
        <v>999</v>
      </c>
      <c r="B486" s="2" t="s">
        <v>5</v>
      </c>
      <c r="C486" s="2" t="s">
        <v>1000</v>
      </c>
      <c r="D486" s="2" t="s">
        <v>992</v>
      </c>
      <c r="E486" s="2" t="str">
        <f>HYPERLINK("https://talan.bank.gov.ua/get-user-certificate/sec1eKbfJhH2QoQ2nCa5","Завантажити сертифікат")</f>
        <v>Завантажити сертифікат</v>
      </c>
    </row>
    <row r="487" spans="1:5" x14ac:dyDescent="0.3">
      <c r="A487" s="2" t="s">
        <v>1001</v>
      </c>
      <c r="B487" s="2" t="s">
        <v>5</v>
      </c>
      <c r="C487" s="2" t="s">
        <v>1002</v>
      </c>
      <c r="D487" s="2" t="s">
        <v>992</v>
      </c>
      <c r="E487" s="2" t="str">
        <f>HYPERLINK("https://talan.bank.gov.ua/get-user-certificate/sec1ejpV2oI5RZm-JtX_","Завантажити сертифікат")</f>
        <v>Завантажити сертифікат</v>
      </c>
    </row>
    <row r="488" spans="1:5" x14ac:dyDescent="0.3">
      <c r="A488" s="2" t="s">
        <v>1003</v>
      </c>
      <c r="B488" s="2" t="s">
        <v>5</v>
      </c>
      <c r="C488" s="2" t="s">
        <v>1004</v>
      </c>
      <c r="D488" s="2" t="s">
        <v>992</v>
      </c>
      <c r="E488" s="2" t="str">
        <f>HYPERLINK("https://talan.bank.gov.ua/get-user-certificate/sec1e9IoB5_3PcvvXAbs","Завантажити сертифікат")</f>
        <v>Завантажити сертифікат</v>
      </c>
    </row>
    <row r="489" spans="1:5" x14ac:dyDescent="0.3">
      <c r="A489" s="2" t="s">
        <v>1005</v>
      </c>
      <c r="B489" s="2" t="s">
        <v>5</v>
      </c>
      <c r="C489" s="2" t="s">
        <v>1006</v>
      </c>
      <c r="D489" s="2" t="s">
        <v>992</v>
      </c>
      <c r="E489" s="2" t="str">
        <f>HYPERLINK("https://talan.bank.gov.ua/get-user-certificate/sec1exOpCE9TqKOXVLMm","Завантажити сертифікат")</f>
        <v>Завантажити сертифікат</v>
      </c>
    </row>
    <row r="490" spans="1:5" x14ac:dyDescent="0.3">
      <c r="A490" s="2" t="s">
        <v>1007</v>
      </c>
      <c r="B490" s="2" t="s">
        <v>5</v>
      </c>
      <c r="C490" s="2" t="s">
        <v>1008</v>
      </c>
      <c r="D490" s="2" t="s">
        <v>992</v>
      </c>
      <c r="E490" s="2" t="str">
        <f>HYPERLINK("https://talan.bank.gov.ua/get-user-certificate/sec1eA8slSPB_WGyFjQT","Завантажити сертифікат")</f>
        <v>Завантажити сертифікат</v>
      </c>
    </row>
    <row r="491" spans="1:5" x14ac:dyDescent="0.3">
      <c r="A491" s="2" t="s">
        <v>1009</v>
      </c>
      <c r="B491" s="2" t="s">
        <v>5</v>
      </c>
      <c r="C491" s="2" t="s">
        <v>1010</v>
      </c>
      <c r="D491" s="2" t="s">
        <v>992</v>
      </c>
      <c r="E491" s="2" t="str">
        <f>HYPERLINK("https://talan.bank.gov.ua/get-user-certificate/sec1ecVv3yR2woU-ukCZ","Завантажити сертифікат")</f>
        <v>Завантажити сертифікат</v>
      </c>
    </row>
    <row r="492" spans="1:5" x14ac:dyDescent="0.3">
      <c r="A492" s="2" t="s">
        <v>1011</v>
      </c>
      <c r="B492" s="2" t="s">
        <v>5</v>
      </c>
      <c r="C492" s="2" t="s">
        <v>1012</v>
      </c>
      <c r="D492" s="2" t="s">
        <v>992</v>
      </c>
      <c r="E492" s="2" t="str">
        <f>HYPERLINK("https://talan.bank.gov.ua/get-user-certificate/sec1ek4B0piaSqwVcro4","Завантажити сертифікат")</f>
        <v>Завантажити сертифікат</v>
      </c>
    </row>
    <row r="493" spans="1:5" x14ac:dyDescent="0.3">
      <c r="A493" s="2" t="s">
        <v>1013</v>
      </c>
      <c r="B493" s="2" t="s">
        <v>5</v>
      </c>
      <c r="C493" s="2" t="s">
        <v>1014</v>
      </c>
      <c r="D493" s="2" t="s">
        <v>992</v>
      </c>
      <c r="E493" s="2" t="str">
        <f>HYPERLINK("https://talan.bank.gov.ua/get-user-certificate/sec1e8AGGc4yKdy_FWn1","Завантажити сертифікат")</f>
        <v>Завантажити сертифікат</v>
      </c>
    </row>
    <row r="494" spans="1:5" x14ac:dyDescent="0.3">
      <c r="A494" s="2" t="s">
        <v>1015</v>
      </c>
      <c r="B494" s="2" t="s">
        <v>5</v>
      </c>
      <c r="C494" s="2" t="s">
        <v>1016</v>
      </c>
      <c r="D494" s="2" t="s">
        <v>992</v>
      </c>
      <c r="E494" s="2" t="str">
        <f>HYPERLINK("https://talan.bank.gov.ua/get-user-certificate/sec1eAlDACcqxCyzUF9p","Завантажити сертифікат")</f>
        <v>Завантажити сертифікат</v>
      </c>
    </row>
    <row r="495" spans="1:5" x14ac:dyDescent="0.3">
      <c r="A495" s="2" t="s">
        <v>1017</v>
      </c>
      <c r="B495" s="2" t="s">
        <v>5</v>
      </c>
      <c r="C495" s="2" t="s">
        <v>1018</v>
      </c>
      <c r="D495" s="2" t="s">
        <v>992</v>
      </c>
      <c r="E495" s="2" t="str">
        <f>HYPERLINK("https://talan.bank.gov.ua/get-user-certificate/sec1epAeVSlhhlLLnUsC","Завантажити сертифікат")</f>
        <v>Завантажити сертифікат</v>
      </c>
    </row>
    <row r="496" spans="1:5" x14ac:dyDescent="0.3">
      <c r="A496" s="2" t="s">
        <v>1019</v>
      </c>
      <c r="B496" s="2" t="s">
        <v>5</v>
      </c>
      <c r="C496" s="2" t="s">
        <v>1020</v>
      </c>
      <c r="D496" s="2" t="s">
        <v>992</v>
      </c>
      <c r="E496" s="2" t="str">
        <f>HYPERLINK("https://talan.bank.gov.ua/get-user-certificate/sec1ekpF20o9Gp6mNztN","Завантажити сертифікат")</f>
        <v>Завантажити сертифікат</v>
      </c>
    </row>
    <row r="497" spans="1:5" x14ac:dyDescent="0.3">
      <c r="A497" s="2" t="s">
        <v>1021</v>
      </c>
      <c r="B497" s="2" t="s">
        <v>5</v>
      </c>
      <c r="C497" s="2" t="s">
        <v>1022</v>
      </c>
      <c r="D497" s="2" t="s">
        <v>992</v>
      </c>
      <c r="E497" s="2" t="str">
        <f>HYPERLINK("https://talan.bank.gov.ua/get-user-certificate/sec1e8vKmxI90e6QqnEn","Завантажити сертифікат")</f>
        <v>Завантажити сертифікат</v>
      </c>
    </row>
    <row r="498" spans="1:5" x14ac:dyDescent="0.3">
      <c r="A498" s="2" t="s">
        <v>1023</v>
      </c>
      <c r="B498" s="2" t="s">
        <v>5</v>
      </c>
      <c r="C498" s="2" t="s">
        <v>1024</v>
      </c>
      <c r="D498" s="2" t="s">
        <v>992</v>
      </c>
      <c r="E498" s="2" t="str">
        <f>HYPERLINK("https://talan.bank.gov.ua/get-user-certificate/sec1eWw3isVNhJvVoTiQ","Завантажити сертифікат")</f>
        <v>Завантажити сертифікат</v>
      </c>
    </row>
    <row r="499" spans="1:5" x14ac:dyDescent="0.3">
      <c r="A499" s="2" t="s">
        <v>1025</v>
      </c>
      <c r="B499" s="2" t="s">
        <v>5</v>
      </c>
      <c r="C499" s="2" t="s">
        <v>1026</v>
      </c>
      <c r="D499" s="2" t="s">
        <v>992</v>
      </c>
      <c r="E499" s="2" t="str">
        <f>HYPERLINK("https://talan.bank.gov.ua/get-user-certificate/sec1egH24iJ-nJqn0e-9","Завантажити сертифікат")</f>
        <v>Завантажити сертифікат</v>
      </c>
    </row>
    <row r="500" spans="1:5" x14ac:dyDescent="0.3">
      <c r="A500" s="2" t="s">
        <v>1027</v>
      </c>
      <c r="B500" s="2" t="s">
        <v>5</v>
      </c>
      <c r="C500" s="2" t="s">
        <v>1028</v>
      </c>
      <c r="D500" s="2" t="s">
        <v>992</v>
      </c>
      <c r="E500" s="2" t="str">
        <f>HYPERLINK("https://talan.bank.gov.ua/get-user-certificate/sec1eOCUSc8ZXcjZcesS","Завантажити сертифікат")</f>
        <v>Завантажити сертифікат</v>
      </c>
    </row>
    <row r="501" spans="1:5" x14ac:dyDescent="0.3">
      <c r="A501" s="2" t="s">
        <v>1029</v>
      </c>
      <c r="B501" s="2" t="s">
        <v>5</v>
      </c>
      <c r="C501" s="2" t="s">
        <v>1030</v>
      </c>
      <c r="D501" s="2" t="s">
        <v>992</v>
      </c>
      <c r="E501" s="2" t="str">
        <f>HYPERLINK("https://talan.bank.gov.ua/get-user-certificate/sec1eSYO11CYNSGa4thw","Завантажити сертифікат")</f>
        <v>Завантажити сертифікат</v>
      </c>
    </row>
    <row r="502" spans="1:5" x14ac:dyDescent="0.3">
      <c r="A502" s="2" t="s">
        <v>1031</v>
      </c>
      <c r="B502" s="2" t="s">
        <v>5</v>
      </c>
      <c r="C502" s="2" t="s">
        <v>1032</v>
      </c>
      <c r="D502" s="2" t="s">
        <v>992</v>
      </c>
      <c r="E502" s="2" t="str">
        <f>HYPERLINK("https://talan.bank.gov.ua/get-user-certificate/sec1eVm2YBZ7F6QkZy_F","Завантажити сертифікат")</f>
        <v>Завантажити сертифікат</v>
      </c>
    </row>
    <row r="503" spans="1:5" x14ac:dyDescent="0.3">
      <c r="A503" s="2" t="s">
        <v>1033</v>
      </c>
      <c r="B503" s="2" t="s">
        <v>5</v>
      </c>
      <c r="C503" s="2" t="s">
        <v>1034</v>
      </c>
      <c r="D503" s="2" t="s">
        <v>1035</v>
      </c>
      <c r="E503" s="2" t="str">
        <f>HYPERLINK("https://talan.bank.gov.ua/get-user-certificate/sec1eRuoG2zXIzNHKu2I","Завантажити сертифікат")</f>
        <v>Завантажити сертифікат</v>
      </c>
    </row>
    <row r="504" spans="1:5" x14ac:dyDescent="0.3">
      <c r="A504" s="2" t="s">
        <v>1036</v>
      </c>
      <c r="B504" s="2" t="s">
        <v>5</v>
      </c>
      <c r="C504" s="2" t="s">
        <v>1037</v>
      </c>
      <c r="D504" s="2" t="s">
        <v>1035</v>
      </c>
      <c r="E504" s="2" t="str">
        <f>HYPERLINK("https://talan.bank.gov.ua/get-user-certificate/sec1eN7VBg6EkKe13kKU","Завантажити сертифікат")</f>
        <v>Завантажити сертифікат</v>
      </c>
    </row>
    <row r="505" spans="1:5" x14ac:dyDescent="0.3">
      <c r="A505" s="2" t="s">
        <v>1038</v>
      </c>
      <c r="B505" s="2" t="s">
        <v>5</v>
      </c>
      <c r="C505" s="2" t="s">
        <v>1039</v>
      </c>
      <c r="D505" s="2" t="s">
        <v>1035</v>
      </c>
      <c r="E505" s="2" t="str">
        <f>HYPERLINK("https://talan.bank.gov.ua/get-user-certificate/sec1eaVEr6G3UgxFGpLp","Завантажити сертифікат")</f>
        <v>Завантажити сертифікат</v>
      </c>
    </row>
    <row r="506" spans="1:5" x14ac:dyDescent="0.3">
      <c r="A506" s="2" t="s">
        <v>1040</v>
      </c>
      <c r="B506" s="2" t="s">
        <v>5</v>
      </c>
      <c r="C506" s="2" t="s">
        <v>1041</v>
      </c>
      <c r="D506" s="2" t="s">
        <v>1035</v>
      </c>
      <c r="E506" s="2" t="str">
        <f>HYPERLINK("https://talan.bank.gov.ua/get-user-certificate/sec1ewQIkZlnFjzMAKrs","Завантажити сертифікат")</f>
        <v>Завантажити сертифікат</v>
      </c>
    </row>
    <row r="507" spans="1:5" x14ac:dyDescent="0.3">
      <c r="A507" s="2" t="s">
        <v>1042</v>
      </c>
      <c r="B507" s="2" t="s">
        <v>5</v>
      </c>
      <c r="C507" s="2" t="s">
        <v>1043</v>
      </c>
      <c r="D507" s="2" t="s">
        <v>1044</v>
      </c>
      <c r="E507" s="2" t="str">
        <f>HYPERLINK("https://talan.bank.gov.ua/get-user-certificate/sec1eK-HW_lsCrdWns58","Завантажити сертифікат")</f>
        <v>Завантажити сертифікат</v>
      </c>
    </row>
    <row r="508" spans="1:5" x14ac:dyDescent="0.3">
      <c r="A508" s="2" t="s">
        <v>1045</v>
      </c>
      <c r="B508" s="2" t="s">
        <v>5</v>
      </c>
      <c r="C508" s="2" t="s">
        <v>1046</v>
      </c>
      <c r="D508" s="2" t="s">
        <v>1044</v>
      </c>
      <c r="E508" s="2" t="str">
        <f>HYPERLINK("https://talan.bank.gov.ua/get-user-certificate/sec1eoOlsFV7OS4XI-Bg","Завантажити сертифікат")</f>
        <v>Завантажити сертифікат</v>
      </c>
    </row>
    <row r="509" spans="1:5" x14ac:dyDescent="0.3">
      <c r="A509" s="2" t="s">
        <v>1047</v>
      </c>
      <c r="B509" s="2" t="s">
        <v>5</v>
      </c>
      <c r="C509" s="2" t="s">
        <v>1048</v>
      </c>
      <c r="D509" s="2" t="s">
        <v>1044</v>
      </c>
      <c r="E509" s="2" t="str">
        <f>HYPERLINK("https://talan.bank.gov.ua/get-user-certificate/sec1ea0w8mWykrTKJX-3","Завантажити сертифікат")</f>
        <v>Завантажити сертифікат</v>
      </c>
    </row>
    <row r="510" spans="1:5" x14ac:dyDescent="0.3">
      <c r="A510" s="2" t="s">
        <v>1049</v>
      </c>
      <c r="B510" s="2" t="s">
        <v>5</v>
      </c>
      <c r="C510" s="2" t="s">
        <v>1050</v>
      </c>
      <c r="D510" s="2" t="s">
        <v>1044</v>
      </c>
      <c r="E510" s="2" t="str">
        <f>HYPERLINK("https://talan.bank.gov.ua/get-user-certificate/sec1eST6YzR28y46BfIv","Завантажити сертифікат")</f>
        <v>Завантажити сертифікат</v>
      </c>
    </row>
    <row r="511" spans="1:5" x14ac:dyDescent="0.3">
      <c r="A511" s="2" t="s">
        <v>1051</v>
      </c>
      <c r="B511" s="2" t="s">
        <v>5</v>
      </c>
      <c r="C511" s="2" t="s">
        <v>1052</v>
      </c>
      <c r="D511" s="2" t="s">
        <v>1044</v>
      </c>
      <c r="E511" s="2" t="str">
        <f>HYPERLINK("https://talan.bank.gov.ua/get-user-certificate/sec1ecBhZHS18E7y41sy","Завантажити сертифікат")</f>
        <v>Завантажити сертифікат</v>
      </c>
    </row>
    <row r="512" spans="1:5" x14ac:dyDescent="0.3">
      <c r="A512" s="2" t="s">
        <v>1053</v>
      </c>
      <c r="B512" s="2" t="s">
        <v>5</v>
      </c>
      <c r="C512" s="2" t="s">
        <v>1054</v>
      </c>
      <c r="D512" s="2" t="s">
        <v>1055</v>
      </c>
      <c r="E512" s="2" t="str">
        <f>HYPERLINK("https://talan.bank.gov.ua/get-user-certificate/sec1e1kOhkeEjia55OPi","Завантажити сертифікат")</f>
        <v>Завантажити сертифікат</v>
      </c>
    </row>
    <row r="513" spans="1:5" x14ac:dyDescent="0.3">
      <c r="A513" s="2" t="s">
        <v>1056</v>
      </c>
      <c r="B513" s="2" t="s">
        <v>5</v>
      </c>
      <c r="C513" s="2" t="s">
        <v>1057</v>
      </c>
      <c r="D513" s="2" t="s">
        <v>1055</v>
      </c>
      <c r="E513" s="2" t="str">
        <f>HYPERLINK("https://talan.bank.gov.ua/get-user-certificate/sec1eyHPbJAEovP_qcx4","Завантажити сертифікат")</f>
        <v>Завантажити сертифікат</v>
      </c>
    </row>
    <row r="514" spans="1:5" x14ac:dyDescent="0.3">
      <c r="A514" s="2" t="s">
        <v>1058</v>
      </c>
      <c r="B514" s="2" t="s">
        <v>5</v>
      </c>
      <c r="C514" s="2" t="s">
        <v>1059</v>
      </c>
      <c r="D514" s="2" t="s">
        <v>1055</v>
      </c>
      <c r="E514" s="2" t="str">
        <f>HYPERLINK("https://talan.bank.gov.ua/get-user-certificate/sec1eXBP9ZiGsrhouOmP","Завантажити сертифікат")</f>
        <v>Завантажити сертифікат</v>
      </c>
    </row>
    <row r="515" spans="1:5" x14ac:dyDescent="0.3">
      <c r="A515" s="2" t="s">
        <v>1060</v>
      </c>
      <c r="B515" s="2" t="s">
        <v>5</v>
      </c>
      <c r="C515" s="2" t="s">
        <v>1061</v>
      </c>
      <c r="D515" s="2" t="s">
        <v>1055</v>
      </c>
      <c r="E515" s="2" t="str">
        <f>HYPERLINK("https://talan.bank.gov.ua/get-user-certificate/sec1eB-_Bd-ZFfvmOPGw","Завантажити сертифікат")</f>
        <v>Завантажити сертифікат</v>
      </c>
    </row>
    <row r="516" spans="1:5" x14ac:dyDescent="0.3">
      <c r="A516" s="2" t="s">
        <v>1062</v>
      </c>
      <c r="B516" s="2" t="s">
        <v>5</v>
      </c>
      <c r="C516" s="2" t="s">
        <v>1063</v>
      </c>
      <c r="D516" s="2" t="s">
        <v>1055</v>
      </c>
      <c r="E516" s="2" t="str">
        <f>HYPERLINK("https://talan.bank.gov.ua/get-user-certificate/sec1e-E2hLWIFPCMEHGx","Завантажити сертифікат")</f>
        <v>Завантажити сертифікат</v>
      </c>
    </row>
    <row r="517" spans="1:5" x14ac:dyDescent="0.3">
      <c r="A517" s="2" t="s">
        <v>1064</v>
      </c>
      <c r="B517" s="2" t="s">
        <v>5</v>
      </c>
      <c r="C517" s="2" t="s">
        <v>1065</v>
      </c>
      <c r="D517" s="2" t="s">
        <v>1055</v>
      </c>
      <c r="E517" s="2" t="str">
        <f>HYPERLINK("https://talan.bank.gov.ua/get-user-certificate/sec1enO-ZvI8Izp3FlsN","Завантажити сертифікат")</f>
        <v>Завантажити сертифікат</v>
      </c>
    </row>
    <row r="518" spans="1:5" x14ac:dyDescent="0.3">
      <c r="A518" s="2" t="s">
        <v>1066</v>
      </c>
      <c r="B518" s="2" t="s">
        <v>5</v>
      </c>
      <c r="C518" s="2" t="s">
        <v>1067</v>
      </c>
      <c r="D518" s="2" t="s">
        <v>1068</v>
      </c>
      <c r="E518" s="2" t="str">
        <f>HYPERLINK("https://talan.bank.gov.ua/get-user-certificate/sec1eYGARyBgYbfwvwYG","Завантажити сертифікат")</f>
        <v>Завантажити сертифікат</v>
      </c>
    </row>
    <row r="519" spans="1:5" x14ac:dyDescent="0.3">
      <c r="A519" s="2" t="s">
        <v>1069</v>
      </c>
      <c r="B519" s="2" t="s">
        <v>5</v>
      </c>
      <c r="C519" s="2" t="s">
        <v>1070</v>
      </c>
      <c r="D519" s="2" t="s">
        <v>1068</v>
      </c>
      <c r="E519" s="2" t="str">
        <f>HYPERLINK("https://talan.bank.gov.ua/get-user-certificate/sec1ejyUcb05-_FwSFdm","Завантажити сертифікат")</f>
        <v>Завантажити сертифікат</v>
      </c>
    </row>
    <row r="520" spans="1:5" x14ac:dyDescent="0.3">
      <c r="A520" s="2" t="s">
        <v>1071</v>
      </c>
      <c r="B520" s="2" t="s">
        <v>5</v>
      </c>
      <c r="C520" s="2" t="s">
        <v>1072</v>
      </c>
      <c r="D520" s="2" t="s">
        <v>1068</v>
      </c>
      <c r="E520" s="2" t="str">
        <f>HYPERLINK("https://talan.bank.gov.ua/get-user-certificate/sec1eMjar32Lio7zuMXG","Завантажити сертифікат")</f>
        <v>Завантажити сертифікат</v>
      </c>
    </row>
    <row r="521" spans="1:5" x14ac:dyDescent="0.3">
      <c r="A521" s="2" t="s">
        <v>1073</v>
      </c>
      <c r="B521" s="2" t="s">
        <v>5</v>
      </c>
      <c r="C521" s="2" t="s">
        <v>1074</v>
      </c>
      <c r="D521" s="2" t="s">
        <v>1068</v>
      </c>
      <c r="E521" s="2" t="str">
        <f>HYPERLINK("https://talan.bank.gov.ua/get-user-certificate/sec1eZcSh1hnrj7O1VyC","Завантажити сертифікат")</f>
        <v>Завантажити сертифікат</v>
      </c>
    </row>
    <row r="522" spans="1:5" x14ac:dyDescent="0.3">
      <c r="A522" s="2" t="s">
        <v>1075</v>
      </c>
      <c r="B522" s="2" t="s">
        <v>5</v>
      </c>
      <c r="C522" s="2" t="s">
        <v>1076</v>
      </c>
      <c r="D522" s="2" t="s">
        <v>1068</v>
      </c>
      <c r="E522" s="2" t="str">
        <f>HYPERLINK("https://talan.bank.gov.ua/get-user-certificate/sec1ejTZNwkDcsH4H5DV","Завантажити сертифікат")</f>
        <v>Завантажити сертифікат</v>
      </c>
    </row>
    <row r="523" spans="1:5" x14ac:dyDescent="0.3">
      <c r="A523" s="2" t="s">
        <v>1077</v>
      </c>
      <c r="B523" s="2" t="s">
        <v>5</v>
      </c>
      <c r="C523" s="2" t="s">
        <v>1078</v>
      </c>
      <c r="D523" s="2" t="s">
        <v>1079</v>
      </c>
      <c r="E523" s="2" t="str">
        <f>HYPERLINK("https://talan.bank.gov.ua/get-user-certificate/sec1eC8ypiog7Lu_4dei","Завантажити сертифікат")</f>
        <v>Завантажити сертифікат</v>
      </c>
    </row>
    <row r="524" spans="1:5" x14ac:dyDescent="0.3">
      <c r="A524" s="2" t="s">
        <v>1080</v>
      </c>
      <c r="B524" s="2" t="s">
        <v>5</v>
      </c>
      <c r="C524" s="2" t="s">
        <v>1081</v>
      </c>
      <c r="D524" s="2" t="s">
        <v>1079</v>
      </c>
      <c r="E524" s="2" t="str">
        <f>HYPERLINK("https://talan.bank.gov.ua/get-user-certificate/sec1eql7NEZZMytzC_QN","Завантажити сертифікат")</f>
        <v>Завантажити сертифікат</v>
      </c>
    </row>
    <row r="525" spans="1:5" x14ac:dyDescent="0.3">
      <c r="A525" s="2" t="s">
        <v>1082</v>
      </c>
      <c r="B525" s="2" t="s">
        <v>5</v>
      </c>
      <c r="C525" s="2" t="s">
        <v>1083</v>
      </c>
      <c r="D525" s="2" t="s">
        <v>1079</v>
      </c>
      <c r="E525" s="2" t="str">
        <f>HYPERLINK("https://talan.bank.gov.ua/get-user-certificate/sec1e-8wNOwgzZKmPqLv","Завантажити сертифікат")</f>
        <v>Завантажити сертифікат</v>
      </c>
    </row>
    <row r="526" spans="1:5" x14ac:dyDescent="0.3">
      <c r="A526" s="2" t="s">
        <v>1084</v>
      </c>
      <c r="B526" s="2" t="s">
        <v>5</v>
      </c>
      <c r="C526" s="2" t="s">
        <v>1085</v>
      </c>
      <c r="D526" s="2" t="s">
        <v>1079</v>
      </c>
      <c r="E526" s="2" t="str">
        <f>HYPERLINK("https://talan.bank.gov.ua/get-user-certificate/sec1eb8ulwO5AW0hS9v4","Завантажити сертифікат")</f>
        <v>Завантажити сертифікат</v>
      </c>
    </row>
    <row r="527" spans="1:5" x14ac:dyDescent="0.3">
      <c r="A527" s="2" t="s">
        <v>1086</v>
      </c>
      <c r="B527" s="2" t="s">
        <v>5</v>
      </c>
      <c r="C527" s="2" t="s">
        <v>1087</v>
      </c>
      <c r="D527" s="2" t="s">
        <v>1079</v>
      </c>
      <c r="E527" s="2" t="str">
        <f>HYPERLINK("https://talan.bank.gov.ua/get-user-certificate/sec1ejNat_AF-K7vxsfh","Завантажити сертифікат")</f>
        <v>Завантажити сертифікат</v>
      </c>
    </row>
    <row r="528" spans="1:5" x14ac:dyDescent="0.3">
      <c r="A528" s="2" t="s">
        <v>1088</v>
      </c>
      <c r="B528" s="2" t="s">
        <v>5</v>
      </c>
      <c r="C528" s="2" t="s">
        <v>1089</v>
      </c>
      <c r="D528" s="2" t="s">
        <v>1079</v>
      </c>
      <c r="E528" s="2" t="str">
        <f>HYPERLINK("https://talan.bank.gov.ua/get-user-certificate/sec1eYxO3ntOiHDQR8i7","Завантажити сертифікат")</f>
        <v>Завантажити сертифікат</v>
      </c>
    </row>
    <row r="529" spans="1:5" x14ac:dyDescent="0.3">
      <c r="A529" s="2" t="s">
        <v>1090</v>
      </c>
      <c r="B529" s="2" t="s">
        <v>5</v>
      </c>
      <c r="C529" s="2" t="s">
        <v>1091</v>
      </c>
      <c r="D529" s="2" t="s">
        <v>1079</v>
      </c>
      <c r="E529" s="2" t="str">
        <f>HYPERLINK("https://talan.bank.gov.ua/get-user-certificate/sec1e9H-DEd8gnw388co","Завантажити сертифікат")</f>
        <v>Завантажити сертифікат</v>
      </c>
    </row>
    <row r="530" spans="1:5" x14ac:dyDescent="0.3">
      <c r="A530" s="2" t="s">
        <v>1092</v>
      </c>
      <c r="B530" s="2" t="s">
        <v>5</v>
      </c>
      <c r="C530" s="2" t="s">
        <v>1093</v>
      </c>
      <c r="D530" s="2" t="s">
        <v>1079</v>
      </c>
      <c r="E530" s="2" t="str">
        <f>HYPERLINK("https://talan.bank.gov.ua/get-user-certificate/sec1eg6UnOP_fgwd2Gql","Завантажити сертифікат")</f>
        <v>Завантажити сертифікат</v>
      </c>
    </row>
    <row r="531" spans="1:5" x14ac:dyDescent="0.3">
      <c r="A531" s="2" t="s">
        <v>1094</v>
      </c>
      <c r="B531" s="2" t="s">
        <v>5</v>
      </c>
      <c r="C531" s="2" t="s">
        <v>1095</v>
      </c>
      <c r="D531" s="2" t="s">
        <v>1079</v>
      </c>
      <c r="E531" s="2" t="str">
        <f>HYPERLINK("https://talan.bank.gov.ua/get-user-certificate/sec1eevE4YbIv8zOuC9K","Завантажити сертифікат")</f>
        <v>Завантажити сертифікат</v>
      </c>
    </row>
    <row r="532" spans="1:5" x14ac:dyDescent="0.3">
      <c r="A532" s="2" t="s">
        <v>1096</v>
      </c>
      <c r="B532" s="2" t="s">
        <v>5</v>
      </c>
      <c r="C532" s="2" t="s">
        <v>1097</v>
      </c>
      <c r="D532" s="2" t="s">
        <v>1079</v>
      </c>
      <c r="E532" s="2" t="str">
        <f>HYPERLINK("https://talan.bank.gov.ua/get-user-certificate/sec1eKdZpmILjcmxTUjg","Завантажити сертифікат")</f>
        <v>Завантажити сертифікат</v>
      </c>
    </row>
    <row r="533" spans="1:5" x14ac:dyDescent="0.3">
      <c r="A533" s="2" t="s">
        <v>1098</v>
      </c>
      <c r="B533" s="2" t="s">
        <v>5</v>
      </c>
      <c r="C533" s="2" t="s">
        <v>1099</v>
      </c>
      <c r="D533" s="2" t="s">
        <v>1079</v>
      </c>
      <c r="E533" s="2" t="str">
        <f>HYPERLINK("https://talan.bank.gov.ua/get-user-certificate/sec1egLNIMiCWXS9cOPy","Завантажити сертифікат")</f>
        <v>Завантажити сертифікат</v>
      </c>
    </row>
    <row r="534" spans="1:5" x14ac:dyDescent="0.3">
      <c r="A534" s="2" t="s">
        <v>1100</v>
      </c>
      <c r="B534" s="2" t="s">
        <v>5</v>
      </c>
      <c r="C534" s="2" t="s">
        <v>1101</v>
      </c>
      <c r="D534" s="2" t="s">
        <v>1079</v>
      </c>
      <c r="E534" s="2" t="str">
        <f>HYPERLINK("https://talan.bank.gov.ua/get-user-certificate/sec1ezXhNhYPMjyxfxCP","Завантажити сертифікат")</f>
        <v>Завантажити сертифікат</v>
      </c>
    </row>
    <row r="535" spans="1:5" x14ac:dyDescent="0.3">
      <c r="A535" s="2" t="s">
        <v>1102</v>
      </c>
      <c r="B535" s="2" t="s">
        <v>5</v>
      </c>
      <c r="C535" s="2" t="s">
        <v>1103</v>
      </c>
      <c r="D535" s="2" t="s">
        <v>1079</v>
      </c>
      <c r="E535" s="2" t="str">
        <f>HYPERLINK("https://talan.bank.gov.ua/get-user-certificate/sec1eSIq7n2eOGO1Sq21","Завантажити сертифікат")</f>
        <v>Завантажити сертифікат</v>
      </c>
    </row>
    <row r="536" spans="1:5" x14ac:dyDescent="0.3">
      <c r="A536" s="2" t="s">
        <v>1104</v>
      </c>
      <c r="B536" s="2" t="s">
        <v>5</v>
      </c>
      <c r="C536" s="2" t="s">
        <v>1105</v>
      </c>
      <c r="D536" s="2" t="s">
        <v>1079</v>
      </c>
      <c r="E536" s="2" t="str">
        <f>HYPERLINK("https://talan.bank.gov.ua/get-user-certificate/sec1e59jHpKAOyYmtNGb","Завантажити сертифікат")</f>
        <v>Завантажити сертифікат</v>
      </c>
    </row>
    <row r="537" spans="1:5" x14ac:dyDescent="0.3">
      <c r="A537" s="2" t="s">
        <v>1106</v>
      </c>
      <c r="B537" s="2" t="s">
        <v>5</v>
      </c>
      <c r="C537" s="2" t="s">
        <v>1107</v>
      </c>
      <c r="D537" s="2" t="s">
        <v>1079</v>
      </c>
      <c r="E537" s="2" t="str">
        <f>HYPERLINK("https://talan.bank.gov.ua/get-user-certificate/sec1eM8lEXHYgbk6VMWe","Завантажити сертифікат")</f>
        <v>Завантажити сертифікат</v>
      </c>
    </row>
    <row r="538" spans="1:5" x14ac:dyDescent="0.3">
      <c r="A538" s="2" t="s">
        <v>1108</v>
      </c>
      <c r="B538" s="2" t="s">
        <v>5</v>
      </c>
      <c r="C538" s="2" t="s">
        <v>1109</v>
      </c>
      <c r="D538" s="2" t="s">
        <v>1110</v>
      </c>
      <c r="E538" s="2" t="str">
        <f>HYPERLINK("https://talan.bank.gov.ua/get-user-certificate/sec1eFv3LedqZzilF96H","Завантажити сертифікат")</f>
        <v>Завантажити сертифікат</v>
      </c>
    </row>
    <row r="539" spans="1:5" x14ac:dyDescent="0.3">
      <c r="A539" s="2" t="s">
        <v>1111</v>
      </c>
      <c r="B539" s="2" t="s">
        <v>5</v>
      </c>
      <c r="C539" s="2" t="s">
        <v>1112</v>
      </c>
      <c r="D539" s="2" t="s">
        <v>1110</v>
      </c>
      <c r="E539" s="2" t="str">
        <f>HYPERLINK("https://talan.bank.gov.ua/get-user-certificate/sec1e_rzlxn-Aq-Fvov6","Завантажити сертифікат")</f>
        <v>Завантажити сертифікат</v>
      </c>
    </row>
    <row r="540" spans="1:5" x14ac:dyDescent="0.3">
      <c r="A540" s="2" t="s">
        <v>1113</v>
      </c>
      <c r="B540" s="2" t="s">
        <v>5</v>
      </c>
      <c r="C540" s="2" t="s">
        <v>1114</v>
      </c>
      <c r="D540" s="2" t="s">
        <v>1110</v>
      </c>
      <c r="E540" s="2" t="str">
        <f>HYPERLINK("https://talan.bank.gov.ua/get-user-certificate/sec1eq64G_22z6k0ceiI","Завантажити сертифікат")</f>
        <v>Завантажити сертифікат</v>
      </c>
    </row>
    <row r="541" spans="1:5" x14ac:dyDescent="0.3">
      <c r="A541" s="2" t="s">
        <v>1115</v>
      </c>
      <c r="B541" s="2" t="s">
        <v>5</v>
      </c>
      <c r="C541" s="2" t="s">
        <v>1116</v>
      </c>
      <c r="D541" s="2" t="s">
        <v>1110</v>
      </c>
      <c r="E541" s="2" t="str">
        <f>HYPERLINK("https://talan.bank.gov.ua/get-user-certificate/sec1eJrF8ab_rNUMKp3s","Завантажити сертифікат")</f>
        <v>Завантажити сертифікат</v>
      </c>
    </row>
    <row r="542" spans="1:5" x14ac:dyDescent="0.3">
      <c r="A542" s="2" t="s">
        <v>1117</v>
      </c>
      <c r="B542" s="2" t="s">
        <v>5</v>
      </c>
      <c r="C542" s="2" t="s">
        <v>1118</v>
      </c>
      <c r="D542" s="2" t="s">
        <v>1110</v>
      </c>
      <c r="E542" s="2" t="str">
        <f>HYPERLINK("https://talan.bank.gov.ua/get-user-certificate/sec1e2lUJ8ePHQiNPy9d","Завантажити сертифікат")</f>
        <v>Завантажити сертифікат</v>
      </c>
    </row>
    <row r="543" spans="1:5" x14ac:dyDescent="0.3">
      <c r="A543" s="2" t="s">
        <v>1119</v>
      </c>
      <c r="B543" s="2" t="s">
        <v>5</v>
      </c>
      <c r="C543" s="2" t="s">
        <v>1120</v>
      </c>
      <c r="D543" s="2" t="s">
        <v>1110</v>
      </c>
      <c r="E543" s="2" t="str">
        <f>HYPERLINK("https://talan.bank.gov.ua/get-user-certificate/sec1efhp78PuGl3-7Igl","Завантажити сертифікат")</f>
        <v>Завантажити сертифікат</v>
      </c>
    </row>
    <row r="544" spans="1:5" x14ac:dyDescent="0.3">
      <c r="A544" s="2" t="s">
        <v>1121</v>
      </c>
      <c r="B544" s="2" t="s">
        <v>5</v>
      </c>
      <c r="C544" s="2" t="s">
        <v>1122</v>
      </c>
      <c r="D544" s="2" t="s">
        <v>1110</v>
      </c>
      <c r="E544" s="2" t="str">
        <f>HYPERLINK("https://talan.bank.gov.ua/get-user-certificate/sec1e5WVe0nMWBCJaTxn","Завантажити сертифікат")</f>
        <v>Завантажити сертифікат</v>
      </c>
    </row>
    <row r="545" spans="1:5" x14ac:dyDescent="0.3">
      <c r="A545" s="2" t="s">
        <v>1123</v>
      </c>
      <c r="B545" s="2" t="s">
        <v>5</v>
      </c>
      <c r="C545" s="2" t="s">
        <v>1124</v>
      </c>
      <c r="D545" s="2" t="s">
        <v>1110</v>
      </c>
      <c r="E545" s="2" t="str">
        <f>HYPERLINK("https://talan.bank.gov.ua/get-user-certificate/sec1eqnmwXibajvNp315","Завантажити сертифікат")</f>
        <v>Завантажити сертифікат</v>
      </c>
    </row>
    <row r="546" spans="1:5" x14ac:dyDescent="0.3">
      <c r="A546" s="2" t="s">
        <v>1125</v>
      </c>
      <c r="B546" s="2" t="s">
        <v>5</v>
      </c>
      <c r="C546" s="2" t="s">
        <v>1126</v>
      </c>
      <c r="D546" s="2" t="s">
        <v>1110</v>
      </c>
      <c r="E546" s="2" t="str">
        <f>HYPERLINK("https://talan.bank.gov.ua/get-user-certificate/sec1e7l13d0yxdH2aZNP","Завантажити сертифікат")</f>
        <v>Завантажити сертифікат</v>
      </c>
    </row>
    <row r="547" spans="1:5" x14ac:dyDescent="0.3">
      <c r="A547" s="2" t="s">
        <v>1127</v>
      </c>
      <c r="B547" s="2" t="s">
        <v>5</v>
      </c>
      <c r="C547" s="2" t="s">
        <v>1128</v>
      </c>
      <c r="D547" s="2" t="s">
        <v>1110</v>
      </c>
      <c r="E547" s="2" t="str">
        <f>HYPERLINK("https://talan.bank.gov.ua/get-user-certificate/sec1eCDmAxFO0BQQOUF8","Завантажити сертифікат")</f>
        <v>Завантажити сертифікат</v>
      </c>
    </row>
    <row r="548" spans="1:5" x14ac:dyDescent="0.3">
      <c r="A548" s="2" t="s">
        <v>1129</v>
      </c>
      <c r="B548" s="2" t="s">
        <v>5</v>
      </c>
      <c r="C548" s="2" t="s">
        <v>1130</v>
      </c>
      <c r="D548" s="2" t="s">
        <v>1110</v>
      </c>
      <c r="E548" s="2" t="str">
        <f>HYPERLINK("https://talan.bank.gov.ua/get-user-certificate/sec1eVTJJzAgdhVeSC8P","Завантажити сертифікат")</f>
        <v>Завантажити сертифікат</v>
      </c>
    </row>
    <row r="549" spans="1:5" x14ac:dyDescent="0.3">
      <c r="A549" s="2" t="s">
        <v>1131</v>
      </c>
      <c r="B549" s="2" t="s">
        <v>5</v>
      </c>
      <c r="C549" s="2" t="s">
        <v>1132</v>
      </c>
      <c r="D549" s="2" t="s">
        <v>1110</v>
      </c>
      <c r="E549" s="2" t="str">
        <f>HYPERLINK("https://talan.bank.gov.ua/get-user-certificate/sec1eDQR6u3CB969a3zt","Завантажити сертифікат")</f>
        <v>Завантажити сертифікат</v>
      </c>
    </row>
    <row r="550" spans="1:5" x14ac:dyDescent="0.3">
      <c r="A550" s="2" t="s">
        <v>1133</v>
      </c>
      <c r="B550" s="2" t="s">
        <v>5</v>
      </c>
      <c r="C550" s="2" t="s">
        <v>1134</v>
      </c>
      <c r="D550" s="2" t="s">
        <v>1110</v>
      </c>
      <c r="E550" s="2" t="str">
        <f>HYPERLINK("https://talan.bank.gov.ua/get-user-certificate/sec1eVcwvTmpGg9FX6d2","Завантажити сертифікат")</f>
        <v>Завантажити сертифікат</v>
      </c>
    </row>
    <row r="551" spans="1:5" x14ac:dyDescent="0.3">
      <c r="A551" s="2" t="s">
        <v>1135</v>
      </c>
      <c r="B551" s="2" t="s">
        <v>5</v>
      </c>
      <c r="C551" s="2" t="s">
        <v>1136</v>
      </c>
      <c r="D551" s="2" t="s">
        <v>1110</v>
      </c>
      <c r="E551" s="2" t="str">
        <f>HYPERLINK("https://talan.bank.gov.ua/get-user-certificate/sec1eZUkzLziGg7VK6IQ","Завантажити сертифікат")</f>
        <v>Завантажити сертифікат</v>
      </c>
    </row>
    <row r="552" spans="1:5" x14ac:dyDescent="0.3">
      <c r="A552" s="2" t="s">
        <v>1137</v>
      </c>
      <c r="B552" s="2" t="s">
        <v>5</v>
      </c>
      <c r="C552" s="2" t="s">
        <v>1138</v>
      </c>
      <c r="D552" s="2" t="s">
        <v>1110</v>
      </c>
      <c r="E552" s="2" t="str">
        <f>HYPERLINK("https://talan.bank.gov.ua/get-user-certificate/sec1eS3pIyvzD2e78Gtn","Завантажити сертифікат")</f>
        <v>Завантажити сертифікат</v>
      </c>
    </row>
    <row r="553" spans="1:5" x14ac:dyDescent="0.3">
      <c r="A553" s="2" t="s">
        <v>1139</v>
      </c>
      <c r="B553" s="2" t="s">
        <v>5</v>
      </c>
      <c r="C553" s="2" t="s">
        <v>1140</v>
      </c>
      <c r="D553" s="2" t="s">
        <v>1110</v>
      </c>
      <c r="E553" s="2" t="str">
        <f>HYPERLINK("https://talan.bank.gov.ua/get-user-certificate/sec1e3l4ob6MCSvMD1ag","Завантажити сертифікат")</f>
        <v>Завантажити сертифікат</v>
      </c>
    </row>
    <row r="554" spans="1:5" x14ac:dyDescent="0.3">
      <c r="A554" s="2" t="s">
        <v>1141</v>
      </c>
      <c r="B554" s="2" t="s">
        <v>5</v>
      </c>
      <c r="C554" s="2" t="s">
        <v>1142</v>
      </c>
      <c r="D554" s="2" t="s">
        <v>1110</v>
      </c>
      <c r="E554" s="2" t="str">
        <f>HYPERLINK("https://talan.bank.gov.ua/get-user-certificate/sec1e6ziHXc_g2g8y__h","Завантажити сертифікат")</f>
        <v>Завантажити сертифікат</v>
      </c>
    </row>
    <row r="555" spans="1:5" x14ac:dyDescent="0.3">
      <c r="A555" s="2" t="s">
        <v>1143</v>
      </c>
      <c r="B555" s="2" t="s">
        <v>5</v>
      </c>
      <c r="C555" s="2" t="s">
        <v>1144</v>
      </c>
      <c r="D555" s="2" t="s">
        <v>1110</v>
      </c>
      <c r="E555" s="2" t="str">
        <f>HYPERLINK("https://talan.bank.gov.ua/get-user-certificate/sec1eSAdDy6xZQEM60pn","Завантажити сертифікат")</f>
        <v>Завантажити сертифікат</v>
      </c>
    </row>
    <row r="556" spans="1:5" x14ac:dyDescent="0.3">
      <c r="A556" s="2" t="s">
        <v>1145</v>
      </c>
      <c r="B556" s="2" t="s">
        <v>5</v>
      </c>
      <c r="C556" s="2" t="s">
        <v>1146</v>
      </c>
      <c r="D556" s="2" t="s">
        <v>1110</v>
      </c>
      <c r="E556" s="2" t="str">
        <f>HYPERLINK("https://talan.bank.gov.ua/get-user-certificate/sec1eHynhGh6BBcvdUJ9","Завантажити сертифікат")</f>
        <v>Завантажити сертифікат</v>
      </c>
    </row>
    <row r="557" spans="1:5" x14ac:dyDescent="0.3">
      <c r="A557" s="2" t="s">
        <v>1147</v>
      </c>
      <c r="B557" s="2" t="s">
        <v>5</v>
      </c>
      <c r="C557" s="2" t="s">
        <v>1148</v>
      </c>
      <c r="D557" s="2" t="s">
        <v>1110</v>
      </c>
      <c r="E557" s="2" t="str">
        <f>HYPERLINK("https://talan.bank.gov.ua/get-user-certificate/sec1e1Vqx_y09Td0kn4g","Завантажити сертифікат")</f>
        <v>Завантажити сертифікат</v>
      </c>
    </row>
    <row r="558" spans="1:5" x14ac:dyDescent="0.3">
      <c r="A558" s="2" t="s">
        <v>1149</v>
      </c>
      <c r="B558" s="2" t="s">
        <v>5</v>
      </c>
      <c r="C558" s="2" t="s">
        <v>1150</v>
      </c>
      <c r="D558" s="2" t="s">
        <v>1110</v>
      </c>
      <c r="E558" s="2" t="str">
        <f>HYPERLINK("https://talan.bank.gov.ua/get-user-certificate/sec1e7JBLqv5AEcCF8qv","Завантажити сертифікат")</f>
        <v>Завантажити сертифікат</v>
      </c>
    </row>
    <row r="559" spans="1:5" x14ac:dyDescent="0.3">
      <c r="A559" s="2" t="s">
        <v>1151</v>
      </c>
      <c r="B559" s="2" t="s">
        <v>5</v>
      </c>
      <c r="C559" s="2" t="s">
        <v>1152</v>
      </c>
      <c r="D559" s="2" t="s">
        <v>1110</v>
      </c>
      <c r="E559" s="2" t="str">
        <f>HYPERLINK("https://talan.bank.gov.ua/get-user-certificate/sec1eLEK1yKwrjjG1yMp","Завантажити сертифікат")</f>
        <v>Завантажити сертифікат</v>
      </c>
    </row>
    <row r="560" spans="1:5" x14ac:dyDescent="0.3">
      <c r="A560" s="2" t="s">
        <v>1153</v>
      </c>
      <c r="B560" s="2" t="s">
        <v>5</v>
      </c>
      <c r="C560" s="2" t="s">
        <v>1154</v>
      </c>
      <c r="D560" s="2" t="s">
        <v>1110</v>
      </c>
      <c r="E560" s="2" t="str">
        <f>HYPERLINK("https://talan.bank.gov.ua/get-user-certificate/sec1ejDVGozWF9iFs0b5","Завантажити сертифікат")</f>
        <v>Завантажити сертифікат</v>
      </c>
    </row>
    <row r="561" spans="1:5" x14ac:dyDescent="0.3">
      <c r="A561" s="2" t="s">
        <v>1155</v>
      </c>
      <c r="B561" s="2" t="s">
        <v>5</v>
      </c>
      <c r="C561" s="2" t="s">
        <v>1156</v>
      </c>
      <c r="D561" s="2" t="s">
        <v>1110</v>
      </c>
      <c r="E561" s="2" t="str">
        <f>HYPERLINK("https://talan.bank.gov.ua/get-user-certificate/sec1e1Y0rA3twAD2iL7i","Завантажити сертифікат")</f>
        <v>Завантажити сертифікат</v>
      </c>
    </row>
    <row r="562" spans="1:5" x14ac:dyDescent="0.3">
      <c r="A562" s="2" t="s">
        <v>1157</v>
      </c>
      <c r="B562" s="2" t="s">
        <v>5</v>
      </c>
      <c r="C562" s="2" t="s">
        <v>1158</v>
      </c>
      <c r="D562" s="2" t="s">
        <v>1110</v>
      </c>
      <c r="E562" s="2" t="str">
        <f>HYPERLINK("https://talan.bank.gov.ua/get-user-certificate/sec1eyK4wdVGLsuUW3Xf","Завантажити сертифікат")</f>
        <v>Завантажити сертифікат</v>
      </c>
    </row>
    <row r="563" spans="1:5" x14ac:dyDescent="0.3">
      <c r="A563" s="2" t="s">
        <v>1159</v>
      </c>
      <c r="B563" s="2" t="s">
        <v>5</v>
      </c>
      <c r="C563" s="2" t="s">
        <v>1160</v>
      </c>
      <c r="D563" s="2" t="s">
        <v>1110</v>
      </c>
      <c r="E563" s="2" t="str">
        <f>HYPERLINK("https://talan.bank.gov.ua/get-user-certificate/sec1eBrZU30WbzHCammx","Завантажити сертифікат")</f>
        <v>Завантажити сертифікат</v>
      </c>
    </row>
    <row r="564" spans="1:5" x14ac:dyDescent="0.3">
      <c r="A564" s="2" t="s">
        <v>1161</v>
      </c>
      <c r="B564" s="2" t="s">
        <v>5</v>
      </c>
      <c r="C564" s="2" t="s">
        <v>1162</v>
      </c>
      <c r="D564" s="2" t="s">
        <v>1110</v>
      </c>
      <c r="E564" s="2" t="str">
        <f>HYPERLINK("https://talan.bank.gov.ua/get-user-certificate/sec1e7YzhYwEmb-b-sZw","Завантажити сертифікат")</f>
        <v>Завантажити сертифікат</v>
      </c>
    </row>
    <row r="565" spans="1:5" x14ac:dyDescent="0.3">
      <c r="A565" s="2" t="s">
        <v>1163</v>
      </c>
      <c r="B565" s="2" t="s">
        <v>5</v>
      </c>
      <c r="C565" s="2" t="s">
        <v>1164</v>
      </c>
      <c r="D565" s="2" t="s">
        <v>1110</v>
      </c>
      <c r="E565" s="2" t="str">
        <f>HYPERLINK("https://talan.bank.gov.ua/get-user-certificate/sec1epBRtqDFdtML2Ehv","Завантажити сертифікат")</f>
        <v>Завантажити сертифікат</v>
      </c>
    </row>
    <row r="566" spans="1:5" x14ac:dyDescent="0.3">
      <c r="A566" s="2" t="s">
        <v>1165</v>
      </c>
      <c r="B566" s="2" t="s">
        <v>5</v>
      </c>
      <c r="C566" s="2" t="s">
        <v>1166</v>
      </c>
      <c r="D566" s="2" t="s">
        <v>1110</v>
      </c>
      <c r="E566" s="2" t="str">
        <f>HYPERLINK("https://talan.bank.gov.ua/get-user-certificate/sec1ecZnKTlQHZRV_xzE","Завантажити сертифікат")</f>
        <v>Завантажити сертифікат</v>
      </c>
    </row>
    <row r="567" spans="1:5" x14ac:dyDescent="0.3">
      <c r="A567" s="2" t="s">
        <v>1167</v>
      </c>
      <c r="B567" s="2" t="s">
        <v>5</v>
      </c>
      <c r="C567" s="2" t="s">
        <v>1168</v>
      </c>
      <c r="D567" s="2" t="s">
        <v>1110</v>
      </c>
      <c r="E567" s="2" t="str">
        <f>HYPERLINK("https://talan.bank.gov.ua/get-user-certificate/sec1ew2Eywl3oZIBzC-D","Завантажити сертифікат")</f>
        <v>Завантажити сертифікат</v>
      </c>
    </row>
    <row r="568" spans="1:5" x14ac:dyDescent="0.3">
      <c r="A568" s="2" t="s">
        <v>1169</v>
      </c>
      <c r="B568" s="2" t="s">
        <v>5</v>
      </c>
      <c r="C568" s="2" t="s">
        <v>1170</v>
      </c>
      <c r="D568" s="2" t="s">
        <v>1110</v>
      </c>
      <c r="E568" s="2" t="str">
        <f>HYPERLINK("https://talan.bank.gov.ua/get-user-certificate/sec1eBq8G9XbXrHXeeB4","Завантажити сертифікат")</f>
        <v>Завантажити сертифікат</v>
      </c>
    </row>
    <row r="569" spans="1:5" x14ac:dyDescent="0.3">
      <c r="A569" s="2" t="s">
        <v>1171</v>
      </c>
      <c r="B569" s="2" t="s">
        <v>5</v>
      </c>
      <c r="C569" s="2" t="s">
        <v>1172</v>
      </c>
      <c r="D569" s="2" t="s">
        <v>1110</v>
      </c>
      <c r="E569" s="2" t="str">
        <f>HYPERLINK("https://talan.bank.gov.ua/get-user-certificate/sec1e7vDeoHC2zlcPavD","Завантажити сертифікат")</f>
        <v>Завантажити сертифікат</v>
      </c>
    </row>
    <row r="570" spans="1:5" x14ac:dyDescent="0.3">
      <c r="A570" s="2" t="s">
        <v>1173</v>
      </c>
      <c r="B570" s="2" t="s">
        <v>5</v>
      </c>
      <c r="C570" s="2" t="s">
        <v>1174</v>
      </c>
      <c r="D570" s="2" t="s">
        <v>1110</v>
      </c>
      <c r="E570" s="2" t="str">
        <f>HYPERLINK("https://talan.bank.gov.ua/get-user-certificate/sec1eyCrkczyd68-9dYU","Завантажити сертифікат")</f>
        <v>Завантажити сертифікат</v>
      </c>
    </row>
    <row r="571" spans="1:5" x14ac:dyDescent="0.3">
      <c r="A571" s="2" t="s">
        <v>1175</v>
      </c>
      <c r="B571" s="2" t="s">
        <v>5</v>
      </c>
      <c r="C571" s="2" t="s">
        <v>1176</v>
      </c>
      <c r="D571" s="2" t="s">
        <v>1110</v>
      </c>
      <c r="E571" s="2" t="str">
        <f>HYPERLINK("https://talan.bank.gov.ua/get-user-certificate/sec1e6sz3Js4Df9r0n8B","Завантажити сертифікат")</f>
        <v>Завантажити сертифікат</v>
      </c>
    </row>
    <row r="572" spans="1:5" x14ac:dyDescent="0.3">
      <c r="A572" s="2" t="s">
        <v>1177</v>
      </c>
      <c r="B572" s="2" t="s">
        <v>5</v>
      </c>
      <c r="C572" s="2" t="s">
        <v>1178</v>
      </c>
      <c r="D572" s="2" t="s">
        <v>1179</v>
      </c>
      <c r="E572" s="2" t="str">
        <f>HYPERLINK("https://talan.bank.gov.ua/get-user-certificate/sec1eD4j9h495Elf6OCt","Завантажити сертифікат")</f>
        <v>Завантажити сертифікат</v>
      </c>
    </row>
    <row r="573" spans="1:5" x14ac:dyDescent="0.3">
      <c r="A573" s="2" t="s">
        <v>1180</v>
      </c>
      <c r="B573" s="2" t="s">
        <v>5</v>
      </c>
      <c r="C573" s="2" t="s">
        <v>1181</v>
      </c>
      <c r="D573" s="2" t="s">
        <v>1179</v>
      </c>
      <c r="E573" s="2" t="str">
        <f>HYPERLINK("https://talan.bank.gov.ua/get-user-certificate/sec1eGOoNmpQ52stWDeT","Завантажити сертифікат")</f>
        <v>Завантажити сертифікат</v>
      </c>
    </row>
    <row r="574" spans="1:5" x14ac:dyDescent="0.3">
      <c r="A574" s="2" t="s">
        <v>1182</v>
      </c>
      <c r="B574" s="2" t="s">
        <v>5</v>
      </c>
      <c r="C574" s="2" t="s">
        <v>1183</v>
      </c>
      <c r="D574" s="2" t="s">
        <v>1179</v>
      </c>
      <c r="E574" s="2" t="str">
        <f>HYPERLINK("https://talan.bank.gov.ua/get-user-certificate/sec1e2jYj6esoGJihqD6","Завантажити сертифікат")</f>
        <v>Завантажити сертифікат</v>
      </c>
    </row>
    <row r="575" spans="1:5" x14ac:dyDescent="0.3">
      <c r="A575" s="2" t="s">
        <v>1184</v>
      </c>
      <c r="B575" s="2" t="s">
        <v>5</v>
      </c>
      <c r="C575" s="2" t="s">
        <v>1185</v>
      </c>
      <c r="D575" s="2" t="s">
        <v>1179</v>
      </c>
      <c r="E575" s="2" t="str">
        <f>HYPERLINK("https://talan.bank.gov.ua/get-user-certificate/sec1egrcye1jyy4tFkYH","Завантажити сертифікат")</f>
        <v>Завантажити сертифікат</v>
      </c>
    </row>
    <row r="576" spans="1:5" x14ac:dyDescent="0.3">
      <c r="A576" s="2" t="s">
        <v>1186</v>
      </c>
      <c r="B576" s="2" t="s">
        <v>5</v>
      </c>
      <c r="C576" s="2" t="s">
        <v>1187</v>
      </c>
      <c r="D576" s="2" t="s">
        <v>1179</v>
      </c>
      <c r="E576" s="2" t="str">
        <f>HYPERLINK("https://talan.bank.gov.ua/get-user-certificate/sec1ec0dXbkUE9Qz7QJx","Завантажити сертифікат")</f>
        <v>Завантажити сертифікат</v>
      </c>
    </row>
    <row r="577" spans="1:5" x14ac:dyDescent="0.3">
      <c r="A577" s="2" t="s">
        <v>1188</v>
      </c>
      <c r="B577" s="2" t="s">
        <v>5</v>
      </c>
      <c r="C577" s="2" t="s">
        <v>1189</v>
      </c>
      <c r="D577" s="2" t="s">
        <v>1179</v>
      </c>
      <c r="E577" s="2" t="str">
        <f>HYPERLINK("https://talan.bank.gov.ua/get-user-certificate/sec1e9RUTaGGK6HLmDTM","Завантажити сертифікат")</f>
        <v>Завантажити сертифікат</v>
      </c>
    </row>
    <row r="578" spans="1:5" x14ac:dyDescent="0.3">
      <c r="A578" s="2" t="s">
        <v>1190</v>
      </c>
      <c r="B578" s="2" t="s">
        <v>5</v>
      </c>
      <c r="C578" s="2" t="s">
        <v>1191</v>
      </c>
      <c r="D578" s="2" t="s">
        <v>1179</v>
      </c>
      <c r="E578" s="2" t="str">
        <f>HYPERLINK("https://talan.bank.gov.ua/get-user-certificate/sec1eg9WjCvP4Fi-clQr","Завантажити сертифікат")</f>
        <v>Завантажити сертифікат</v>
      </c>
    </row>
    <row r="579" spans="1:5" x14ac:dyDescent="0.3">
      <c r="A579" s="2" t="s">
        <v>1192</v>
      </c>
      <c r="B579" s="2" t="s">
        <v>5</v>
      </c>
      <c r="C579" s="2" t="s">
        <v>1193</v>
      </c>
      <c r="D579" s="2" t="s">
        <v>1179</v>
      </c>
      <c r="E579" s="2" t="str">
        <f>HYPERLINK("https://talan.bank.gov.ua/get-user-certificate/sec1esT_-TA6j0pRNEaC","Завантажити сертифікат")</f>
        <v>Завантажити сертифікат</v>
      </c>
    </row>
    <row r="580" spans="1:5" x14ac:dyDescent="0.3">
      <c r="A580" s="2" t="s">
        <v>1194</v>
      </c>
      <c r="B580" s="2" t="s">
        <v>5</v>
      </c>
      <c r="C580" s="2" t="s">
        <v>1195</v>
      </c>
      <c r="D580" s="2" t="s">
        <v>1179</v>
      </c>
      <c r="E580" s="2" t="str">
        <f>HYPERLINK("https://talan.bank.gov.ua/get-user-certificate/sec1ewYEAMaYxzLOJ6dK","Завантажити сертифікат")</f>
        <v>Завантажити сертифікат</v>
      </c>
    </row>
    <row r="581" spans="1:5" x14ac:dyDescent="0.3">
      <c r="A581" s="2" t="s">
        <v>1196</v>
      </c>
      <c r="B581" s="2" t="s">
        <v>5</v>
      </c>
      <c r="C581" s="2" t="s">
        <v>1197</v>
      </c>
      <c r="D581" s="2" t="s">
        <v>1179</v>
      </c>
      <c r="E581" s="2" t="str">
        <f>HYPERLINK("https://talan.bank.gov.ua/get-user-certificate/sec1emYwnTHzLE7KSAct","Завантажити сертифікат")</f>
        <v>Завантажити сертифікат</v>
      </c>
    </row>
    <row r="582" spans="1:5" x14ac:dyDescent="0.3">
      <c r="A582" s="2" t="s">
        <v>1198</v>
      </c>
      <c r="B582" s="2" t="s">
        <v>5</v>
      </c>
      <c r="C582" s="2" t="s">
        <v>1199</v>
      </c>
      <c r="D582" s="2" t="s">
        <v>1179</v>
      </c>
      <c r="E582" s="2" t="str">
        <f>HYPERLINK("https://talan.bank.gov.ua/get-user-certificate/sec1e2xxKoypSHqueq2l","Завантажити сертифікат")</f>
        <v>Завантажити сертифікат</v>
      </c>
    </row>
    <row r="583" spans="1:5" x14ac:dyDescent="0.3">
      <c r="A583" s="2" t="s">
        <v>1200</v>
      </c>
      <c r="B583" s="2" t="s">
        <v>5</v>
      </c>
      <c r="C583" s="2" t="s">
        <v>1201</v>
      </c>
      <c r="D583" s="2" t="s">
        <v>1179</v>
      </c>
      <c r="E583" s="2" t="str">
        <f>HYPERLINK("https://talan.bank.gov.ua/get-user-certificate/sec1enEI1AJmY40zizma","Завантажити сертифікат")</f>
        <v>Завантажити сертифікат</v>
      </c>
    </row>
    <row r="584" spans="1:5" x14ac:dyDescent="0.3">
      <c r="A584" s="2" t="s">
        <v>1202</v>
      </c>
      <c r="B584" s="2" t="s">
        <v>5</v>
      </c>
      <c r="C584" s="2" t="s">
        <v>1203</v>
      </c>
      <c r="D584" s="2" t="s">
        <v>1179</v>
      </c>
      <c r="E584" s="2" t="str">
        <f>HYPERLINK("https://talan.bank.gov.ua/get-user-certificate/sec1eTZA_yvtxlNwpfRK","Завантажити сертифікат")</f>
        <v>Завантажити сертифікат</v>
      </c>
    </row>
    <row r="585" spans="1:5" x14ac:dyDescent="0.3">
      <c r="A585" s="2" t="s">
        <v>1204</v>
      </c>
      <c r="B585" s="2" t="s">
        <v>5</v>
      </c>
      <c r="C585" s="2" t="s">
        <v>1205</v>
      </c>
      <c r="D585" s="2" t="s">
        <v>1179</v>
      </c>
      <c r="E585" s="2" t="str">
        <f>HYPERLINK("https://talan.bank.gov.ua/get-user-certificate/sec1ezB4rpibAzA5nyUy","Завантажити сертифікат")</f>
        <v>Завантажити сертифікат</v>
      </c>
    </row>
    <row r="586" spans="1:5" x14ac:dyDescent="0.3">
      <c r="A586" s="2" t="s">
        <v>1206</v>
      </c>
      <c r="B586" s="2" t="s">
        <v>5</v>
      </c>
      <c r="C586" s="2" t="s">
        <v>1207</v>
      </c>
      <c r="D586" s="2" t="s">
        <v>1179</v>
      </c>
      <c r="E586" s="2" t="str">
        <f>HYPERLINK("https://talan.bank.gov.ua/get-user-certificate/sec1eZwh1F3vMujeBFuH","Завантажити сертифікат")</f>
        <v>Завантажити сертифікат</v>
      </c>
    </row>
    <row r="587" spans="1:5" x14ac:dyDescent="0.3">
      <c r="A587" s="2" t="s">
        <v>1208</v>
      </c>
      <c r="B587" s="2" t="s">
        <v>5</v>
      </c>
      <c r="C587" s="2" t="s">
        <v>1209</v>
      </c>
      <c r="D587" s="2" t="s">
        <v>1179</v>
      </c>
      <c r="E587" s="2" t="str">
        <f>HYPERLINK("https://talan.bank.gov.ua/get-user-certificate/sec1euLnDgK-vvXLvj4c","Завантажити сертифікат")</f>
        <v>Завантажити сертифікат</v>
      </c>
    </row>
    <row r="588" spans="1:5" x14ac:dyDescent="0.3">
      <c r="A588" s="2" t="s">
        <v>1210</v>
      </c>
      <c r="B588" s="2" t="s">
        <v>5</v>
      </c>
      <c r="C588" s="2" t="s">
        <v>1211</v>
      </c>
      <c r="D588" s="2" t="s">
        <v>1179</v>
      </c>
      <c r="E588" s="2" t="str">
        <f>HYPERLINK("https://talan.bank.gov.ua/get-user-certificate/sec1egSt3_-Y2cTGTHG4","Завантажити сертифікат")</f>
        <v>Завантажити сертифікат</v>
      </c>
    </row>
    <row r="589" spans="1:5" x14ac:dyDescent="0.3">
      <c r="A589" s="2" t="s">
        <v>1212</v>
      </c>
      <c r="B589" s="2" t="s">
        <v>5</v>
      </c>
      <c r="C589" s="2" t="s">
        <v>1213</v>
      </c>
      <c r="D589" s="2" t="s">
        <v>1179</v>
      </c>
      <c r="E589" s="2" t="str">
        <f>HYPERLINK("https://talan.bank.gov.ua/get-user-certificate/sec1eR5iYSJXT2gC93Y2","Завантажити сертифікат")</f>
        <v>Завантажити сертифікат</v>
      </c>
    </row>
    <row r="590" spans="1:5" x14ac:dyDescent="0.3">
      <c r="A590" s="2" t="s">
        <v>1214</v>
      </c>
      <c r="B590" s="2" t="s">
        <v>5</v>
      </c>
      <c r="C590" s="2" t="s">
        <v>1215</v>
      </c>
      <c r="D590" s="2" t="s">
        <v>1179</v>
      </c>
      <c r="E590" s="2" t="str">
        <f>HYPERLINK("https://talan.bank.gov.ua/get-user-certificate/sec1e9JL5JtmHP_gW37T","Завантажити сертифікат")</f>
        <v>Завантажити сертифікат</v>
      </c>
    </row>
    <row r="591" spans="1:5" x14ac:dyDescent="0.3">
      <c r="A591" s="2" t="s">
        <v>1216</v>
      </c>
      <c r="B591" s="2" t="s">
        <v>5</v>
      </c>
      <c r="C591" s="2" t="s">
        <v>1217</v>
      </c>
      <c r="D591" s="2" t="s">
        <v>1179</v>
      </c>
      <c r="E591" s="2" t="str">
        <f>HYPERLINK("https://talan.bank.gov.ua/get-user-certificate/sec1e8q7Ko31zV7cH2td","Завантажити сертифікат")</f>
        <v>Завантажити сертифікат</v>
      </c>
    </row>
    <row r="592" spans="1:5" x14ac:dyDescent="0.3">
      <c r="A592" s="2" t="s">
        <v>1218</v>
      </c>
      <c r="B592" s="2" t="s">
        <v>5</v>
      </c>
      <c r="C592" s="2" t="s">
        <v>1219</v>
      </c>
      <c r="D592" s="2" t="s">
        <v>1179</v>
      </c>
      <c r="E592" s="2" t="str">
        <f>HYPERLINK("https://talan.bank.gov.ua/get-user-certificate/sec1eULT2EKC5s4Dmytd","Завантажити сертифікат")</f>
        <v>Завантажити сертифікат</v>
      </c>
    </row>
    <row r="593" spans="1:5" x14ac:dyDescent="0.3">
      <c r="A593" s="2" t="s">
        <v>1220</v>
      </c>
      <c r="B593" s="2" t="s">
        <v>5</v>
      </c>
      <c r="C593" s="2" t="s">
        <v>1221</v>
      </c>
      <c r="D593" s="2" t="s">
        <v>1222</v>
      </c>
      <c r="E593" s="2" t="str">
        <f>HYPERLINK("https://talan.bank.gov.ua/get-user-certificate/sec1eBZg03NBC4OZuLa7","Завантажити сертифікат")</f>
        <v>Завантажити сертифікат</v>
      </c>
    </row>
    <row r="594" spans="1:5" x14ac:dyDescent="0.3">
      <c r="A594" s="2" t="s">
        <v>1223</v>
      </c>
      <c r="B594" s="2" t="s">
        <v>5</v>
      </c>
      <c r="C594" s="2" t="s">
        <v>1224</v>
      </c>
      <c r="D594" s="2" t="s">
        <v>1222</v>
      </c>
      <c r="E594" s="2" t="str">
        <f>HYPERLINK("https://talan.bank.gov.ua/get-user-certificate/sec1eUXJUO-cwykiAK1w","Завантажити сертифікат")</f>
        <v>Завантажити сертифікат</v>
      </c>
    </row>
    <row r="595" spans="1:5" x14ac:dyDescent="0.3">
      <c r="A595" s="2" t="s">
        <v>1225</v>
      </c>
      <c r="B595" s="2" t="s">
        <v>5</v>
      </c>
      <c r="C595" s="2" t="s">
        <v>1226</v>
      </c>
      <c r="D595" s="2" t="s">
        <v>1222</v>
      </c>
      <c r="E595" s="2" t="str">
        <f>HYPERLINK("https://talan.bank.gov.ua/get-user-certificate/sec1e9gOIxr_s22k9W9H","Завантажити сертифікат")</f>
        <v>Завантажити сертифікат</v>
      </c>
    </row>
    <row r="596" spans="1:5" x14ac:dyDescent="0.3">
      <c r="A596" s="2" t="s">
        <v>1227</v>
      </c>
      <c r="B596" s="2" t="s">
        <v>5</v>
      </c>
      <c r="C596" s="2" t="s">
        <v>1228</v>
      </c>
      <c r="D596" s="2" t="s">
        <v>1222</v>
      </c>
      <c r="E596" s="2" t="str">
        <f>HYPERLINK("https://talan.bank.gov.ua/get-user-certificate/sec1eg2ZnmPmSv_Yo-xV","Завантажити сертифікат")</f>
        <v>Завантажити сертифікат</v>
      </c>
    </row>
    <row r="597" spans="1:5" x14ac:dyDescent="0.3">
      <c r="A597" s="2" t="s">
        <v>1229</v>
      </c>
      <c r="B597" s="2" t="s">
        <v>5</v>
      </c>
      <c r="C597" s="2" t="s">
        <v>1230</v>
      </c>
      <c r="D597" s="2" t="s">
        <v>1222</v>
      </c>
      <c r="E597" s="2" t="str">
        <f>HYPERLINK("https://talan.bank.gov.ua/get-user-certificate/sec1e1_dV6AssA-02-LC","Завантажити сертифікат")</f>
        <v>Завантажити сертифікат</v>
      </c>
    </row>
    <row r="598" spans="1:5" x14ac:dyDescent="0.3">
      <c r="A598" s="2" t="s">
        <v>1231</v>
      </c>
      <c r="B598" s="2" t="s">
        <v>5</v>
      </c>
      <c r="C598" s="2" t="s">
        <v>1232</v>
      </c>
      <c r="D598" s="2" t="s">
        <v>1222</v>
      </c>
      <c r="E598" s="2" t="str">
        <f>HYPERLINK("https://talan.bank.gov.ua/get-user-certificate/sec1efXKoNezcDTkAz5R","Завантажити сертифікат")</f>
        <v>Завантажити сертифікат</v>
      </c>
    </row>
    <row r="599" spans="1:5" x14ac:dyDescent="0.3">
      <c r="A599" s="2" t="s">
        <v>1233</v>
      </c>
      <c r="B599" s="2" t="s">
        <v>5</v>
      </c>
      <c r="C599" s="2" t="s">
        <v>1234</v>
      </c>
      <c r="D599" s="2" t="s">
        <v>1222</v>
      </c>
      <c r="E599" s="2" t="str">
        <f>HYPERLINK("https://talan.bank.gov.ua/get-user-certificate/sec1er65J4X8sizAkzxk","Завантажити сертифікат")</f>
        <v>Завантажити сертифікат</v>
      </c>
    </row>
    <row r="600" spans="1:5" x14ac:dyDescent="0.3">
      <c r="A600" s="2" t="s">
        <v>1235</v>
      </c>
      <c r="B600" s="2" t="s">
        <v>5</v>
      </c>
      <c r="C600" s="2" t="s">
        <v>1236</v>
      </c>
      <c r="D600" s="2" t="s">
        <v>1222</v>
      </c>
      <c r="E600" s="2" t="str">
        <f>HYPERLINK("https://talan.bank.gov.ua/get-user-certificate/sec1epTseBsx4_5gK6_R","Завантажити сертифікат")</f>
        <v>Завантажити сертифікат</v>
      </c>
    </row>
    <row r="601" spans="1:5" x14ac:dyDescent="0.3">
      <c r="A601" s="2" t="s">
        <v>1237</v>
      </c>
      <c r="B601" s="2" t="s">
        <v>5</v>
      </c>
      <c r="C601" s="2" t="s">
        <v>1238</v>
      </c>
      <c r="D601" s="2" t="s">
        <v>1222</v>
      </c>
      <c r="E601" s="2" t="str">
        <f>HYPERLINK("https://talan.bank.gov.ua/get-user-certificate/sec1efKoGkFvj63ofAZO","Завантажити сертифікат")</f>
        <v>Завантажити сертифікат</v>
      </c>
    </row>
    <row r="602" spans="1:5" x14ac:dyDescent="0.3">
      <c r="A602" s="2" t="s">
        <v>1239</v>
      </c>
      <c r="B602" s="2" t="s">
        <v>5</v>
      </c>
      <c r="C602" s="2" t="s">
        <v>1240</v>
      </c>
      <c r="D602" s="2" t="s">
        <v>1222</v>
      </c>
      <c r="E602" s="2" t="str">
        <f>HYPERLINK("https://talan.bank.gov.ua/get-user-certificate/sec1edx3Ig7opYLx0qSu","Завантажити сертифікат")</f>
        <v>Завантажити сертифікат</v>
      </c>
    </row>
    <row r="603" spans="1:5" x14ac:dyDescent="0.3">
      <c r="A603" s="2" t="s">
        <v>1241</v>
      </c>
      <c r="B603" s="2" t="s">
        <v>5</v>
      </c>
      <c r="C603" s="2" t="s">
        <v>1242</v>
      </c>
      <c r="D603" s="2" t="s">
        <v>1222</v>
      </c>
      <c r="E603" s="2" t="str">
        <f>HYPERLINK("https://talan.bank.gov.ua/get-user-certificate/sec1eAVWCm0vLV8aX50-","Завантажити сертифікат")</f>
        <v>Завантажити сертифікат</v>
      </c>
    </row>
    <row r="604" spans="1:5" x14ac:dyDescent="0.3">
      <c r="A604" s="2" t="s">
        <v>1243</v>
      </c>
      <c r="B604" s="2" t="s">
        <v>5</v>
      </c>
      <c r="C604" s="2" t="s">
        <v>1244</v>
      </c>
      <c r="D604" s="2" t="s">
        <v>1222</v>
      </c>
      <c r="E604" s="2" t="str">
        <f>HYPERLINK("https://talan.bank.gov.ua/get-user-certificate/sec1e4jV1kPpq2zd_OKO","Завантажити сертифікат")</f>
        <v>Завантажити сертифікат</v>
      </c>
    </row>
    <row r="605" spans="1:5" x14ac:dyDescent="0.3">
      <c r="A605" s="2" t="s">
        <v>1245</v>
      </c>
      <c r="B605" s="2" t="s">
        <v>5</v>
      </c>
      <c r="C605" s="2" t="s">
        <v>1246</v>
      </c>
      <c r="D605" s="2" t="s">
        <v>1222</v>
      </c>
      <c r="E605" s="2" t="str">
        <f>HYPERLINK("https://talan.bank.gov.ua/get-user-certificate/sec1e8dmtc84546LBId5","Завантажити сертифікат")</f>
        <v>Завантажити сертифікат</v>
      </c>
    </row>
    <row r="606" spans="1:5" x14ac:dyDescent="0.3">
      <c r="A606" s="2" t="s">
        <v>1247</v>
      </c>
      <c r="B606" s="2" t="s">
        <v>5</v>
      </c>
      <c r="C606" s="2" t="s">
        <v>1248</v>
      </c>
      <c r="D606" s="2" t="s">
        <v>1222</v>
      </c>
      <c r="E606" s="2" t="str">
        <f>HYPERLINK("https://talan.bank.gov.ua/get-user-certificate/sec1ej63o2ezRykfaD1G","Завантажити сертифікат")</f>
        <v>Завантажити сертифікат</v>
      </c>
    </row>
    <row r="607" spans="1:5" x14ac:dyDescent="0.3">
      <c r="A607" s="2" t="s">
        <v>1249</v>
      </c>
      <c r="B607" s="2" t="s">
        <v>5</v>
      </c>
      <c r="C607" s="2" t="s">
        <v>1250</v>
      </c>
      <c r="D607" s="2" t="s">
        <v>1222</v>
      </c>
      <c r="E607" s="2" t="str">
        <f>HYPERLINK("https://talan.bank.gov.ua/get-user-certificate/sec1eIj-Vvue1AS25Pe9","Завантажити сертифікат")</f>
        <v>Завантажити сертифікат</v>
      </c>
    </row>
    <row r="608" spans="1:5" x14ac:dyDescent="0.3">
      <c r="A608" s="2" t="s">
        <v>1251</v>
      </c>
      <c r="B608" s="2" t="s">
        <v>5</v>
      </c>
      <c r="C608" s="2" t="s">
        <v>1252</v>
      </c>
      <c r="D608" s="2" t="s">
        <v>1222</v>
      </c>
      <c r="E608" s="2" t="str">
        <f>HYPERLINK("https://talan.bank.gov.ua/get-user-certificate/sec1ew7_py2sY0SdsnFE","Завантажити сертифікат")</f>
        <v>Завантажити сертифікат</v>
      </c>
    </row>
    <row r="609" spans="1:5" x14ac:dyDescent="0.3">
      <c r="A609" s="2" t="s">
        <v>1253</v>
      </c>
      <c r="B609" s="2" t="s">
        <v>5</v>
      </c>
      <c r="C609" s="2" t="s">
        <v>1254</v>
      </c>
      <c r="D609" s="2" t="s">
        <v>1222</v>
      </c>
      <c r="E609" s="2" t="str">
        <f>HYPERLINK("https://talan.bank.gov.ua/get-user-certificate/sec1eUUnUensNanMPZ2h","Завантажити сертифікат")</f>
        <v>Завантажити сертифікат</v>
      </c>
    </row>
    <row r="610" spans="1:5" x14ac:dyDescent="0.3">
      <c r="A610" s="2" t="s">
        <v>1255</v>
      </c>
      <c r="B610" s="2" t="s">
        <v>5</v>
      </c>
      <c r="C610" s="2" t="s">
        <v>1256</v>
      </c>
      <c r="D610" s="2" t="s">
        <v>1222</v>
      </c>
      <c r="E610" s="2" t="str">
        <f>HYPERLINK("https://talan.bank.gov.ua/get-user-certificate/sec1etSbXa2t02KKpHP9","Завантажити сертифікат")</f>
        <v>Завантажити сертифікат</v>
      </c>
    </row>
    <row r="611" spans="1:5" x14ac:dyDescent="0.3">
      <c r="A611" s="2" t="s">
        <v>1257</v>
      </c>
      <c r="B611" s="2" t="s">
        <v>5</v>
      </c>
      <c r="C611" s="2" t="s">
        <v>1258</v>
      </c>
      <c r="D611" s="2" t="s">
        <v>1222</v>
      </c>
      <c r="E611" s="2" t="str">
        <f>HYPERLINK("https://talan.bank.gov.ua/get-user-certificate/sec1eF3GOZ5T6QeYTrUK","Завантажити сертифікат")</f>
        <v>Завантажити сертифікат</v>
      </c>
    </row>
    <row r="612" spans="1:5" x14ac:dyDescent="0.3">
      <c r="A612" s="2" t="s">
        <v>1259</v>
      </c>
      <c r="B612" s="2" t="s">
        <v>5</v>
      </c>
      <c r="C612" s="2" t="s">
        <v>1260</v>
      </c>
      <c r="D612" s="2" t="s">
        <v>1222</v>
      </c>
      <c r="E612" s="2" t="str">
        <f>HYPERLINK("https://talan.bank.gov.ua/get-user-certificate/sec1eJavUt3UCqKAtD9s","Завантажити сертифікат")</f>
        <v>Завантажити сертифікат</v>
      </c>
    </row>
    <row r="613" spans="1:5" x14ac:dyDescent="0.3">
      <c r="A613" s="2" t="s">
        <v>1261</v>
      </c>
      <c r="B613" s="2" t="s">
        <v>5</v>
      </c>
      <c r="C613" s="2" t="s">
        <v>1262</v>
      </c>
      <c r="D613" s="2" t="s">
        <v>1222</v>
      </c>
      <c r="E613" s="2" t="str">
        <f>HYPERLINK("https://talan.bank.gov.ua/get-user-certificate/sec1ewgMdNL2EepsvUdj","Завантажити сертифікат")</f>
        <v>Завантажити сертифікат</v>
      </c>
    </row>
    <row r="614" spans="1:5" x14ac:dyDescent="0.3">
      <c r="A614" s="2" t="s">
        <v>1263</v>
      </c>
      <c r="B614" s="2" t="s">
        <v>5</v>
      </c>
      <c r="C614" s="2" t="s">
        <v>1264</v>
      </c>
      <c r="D614" s="2" t="s">
        <v>1222</v>
      </c>
      <c r="E614" s="2" t="str">
        <f>HYPERLINK("https://talan.bank.gov.ua/get-user-certificate/sec1efoIH42GJFW2HW7t","Завантажити сертифікат")</f>
        <v>Завантажити сертифікат</v>
      </c>
    </row>
    <row r="615" spans="1:5" x14ac:dyDescent="0.3">
      <c r="A615" s="2" t="s">
        <v>1265</v>
      </c>
      <c r="B615" s="2" t="s">
        <v>5</v>
      </c>
      <c r="C615" s="2" t="s">
        <v>1266</v>
      </c>
      <c r="D615" s="2" t="s">
        <v>1222</v>
      </c>
      <c r="E615" s="2" t="str">
        <f>HYPERLINK("https://talan.bank.gov.ua/get-user-certificate/sec1elVxESJmbmFvRboA","Завантажити сертифікат")</f>
        <v>Завантажити сертифікат</v>
      </c>
    </row>
    <row r="616" spans="1:5" x14ac:dyDescent="0.3">
      <c r="A616" s="2" t="s">
        <v>1267</v>
      </c>
      <c r="B616" s="2" t="s">
        <v>5</v>
      </c>
      <c r="C616" s="2" t="s">
        <v>1268</v>
      </c>
      <c r="D616" s="2" t="s">
        <v>1222</v>
      </c>
      <c r="E616" s="2" t="str">
        <f>HYPERLINK("https://talan.bank.gov.ua/get-user-certificate/sec1e9V01MXgKmLPsgaK","Завантажити сертифікат")</f>
        <v>Завантажити сертифікат</v>
      </c>
    </row>
    <row r="617" spans="1:5" x14ac:dyDescent="0.3">
      <c r="A617" s="2" t="s">
        <v>1269</v>
      </c>
      <c r="B617" s="2" t="s">
        <v>5</v>
      </c>
      <c r="C617" s="2" t="s">
        <v>1270</v>
      </c>
      <c r="D617" s="2" t="s">
        <v>1222</v>
      </c>
      <c r="E617" s="2" t="str">
        <f>HYPERLINK("https://talan.bank.gov.ua/get-user-certificate/sec1ewb0GLF0pXQbrUdt","Завантажити сертифікат")</f>
        <v>Завантажити сертифікат</v>
      </c>
    </row>
    <row r="618" spans="1:5" x14ac:dyDescent="0.3">
      <c r="A618" s="2" t="s">
        <v>1271</v>
      </c>
      <c r="B618" s="2" t="s">
        <v>5</v>
      </c>
      <c r="C618" s="2" t="s">
        <v>1272</v>
      </c>
      <c r="D618" s="2" t="s">
        <v>1222</v>
      </c>
      <c r="E618" s="2" t="str">
        <f>HYPERLINK("https://talan.bank.gov.ua/get-user-certificate/sec1eUTWYufNVyD4-RSR","Завантажити сертифікат")</f>
        <v>Завантажити сертифікат</v>
      </c>
    </row>
    <row r="619" spans="1:5" x14ac:dyDescent="0.3">
      <c r="A619" s="2" t="s">
        <v>1273</v>
      </c>
      <c r="B619" s="2" t="s">
        <v>5</v>
      </c>
      <c r="C619" s="2" t="s">
        <v>1274</v>
      </c>
      <c r="D619" s="2" t="s">
        <v>1222</v>
      </c>
      <c r="E619" s="2" t="str">
        <f>HYPERLINK("https://talan.bank.gov.ua/get-user-certificate/sec1eyMfJzMEz8GuoFpc","Завантажити сертифікат")</f>
        <v>Завантажити сертифікат</v>
      </c>
    </row>
    <row r="620" spans="1:5" x14ac:dyDescent="0.3">
      <c r="A620" s="2" t="s">
        <v>1275</v>
      </c>
      <c r="B620" s="2" t="s">
        <v>5</v>
      </c>
      <c r="C620" s="2" t="s">
        <v>1276</v>
      </c>
      <c r="D620" s="2" t="s">
        <v>1222</v>
      </c>
      <c r="E620" s="2" t="str">
        <f>HYPERLINK("https://talan.bank.gov.ua/get-user-certificate/sec1el6CmGf_Ia25NAy-","Завантажити сертифікат")</f>
        <v>Завантажити сертифікат</v>
      </c>
    </row>
    <row r="621" spans="1:5" x14ac:dyDescent="0.3">
      <c r="A621" s="2" t="s">
        <v>1277</v>
      </c>
      <c r="B621" s="2" t="s">
        <v>5</v>
      </c>
      <c r="C621" s="2" t="s">
        <v>1278</v>
      </c>
      <c r="D621" s="2" t="s">
        <v>1222</v>
      </c>
      <c r="E621" s="2" t="str">
        <f>HYPERLINK("https://talan.bank.gov.ua/get-user-certificate/sec1ejABIttA9ITvzP82","Завантажити сертифікат")</f>
        <v>Завантажити сертифікат</v>
      </c>
    </row>
    <row r="622" spans="1:5" x14ac:dyDescent="0.3">
      <c r="A622" s="2" t="s">
        <v>1279</v>
      </c>
      <c r="B622" s="2" t="s">
        <v>5</v>
      </c>
      <c r="C622" s="2" t="s">
        <v>1280</v>
      </c>
      <c r="D622" s="2" t="s">
        <v>1222</v>
      </c>
      <c r="E622" s="2" t="str">
        <f>HYPERLINK("https://talan.bank.gov.ua/get-user-certificate/sec1ei_MSrZrAaA7IIy6","Завантажити сертифікат")</f>
        <v>Завантажити сертифікат</v>
      </c>
    </row>
    <row r="623" spans="1:5" x14ac:dyDescent="0.3">
      <c r="A623" s="2" t="s">
        <v>1281</v>
      </c>
      <c r="B623" s="2" t="s">
        <v>5</v>
      </c>
      <c r="C623" s="2" t="s">
        <v>1282</v>
      </c>
      <c r="D623" s="2" t="s">
        <v>1222</v>
      </c>
      <c r="E623" s="2" t="str">
        <f>HYPERLINK("https://talan.bank.gov.ua/get-user-certificate/sec1enN5BXI6n_IZo1bu","Завантажити сертифікат")</f>
        <v>Завантажити сертифікат</v>
      </c>
    </row>
    <row r="624" spans="1:5" x14ac:dyDescent="0.3">
      <c r="A624" s="2" t="s">
        <v>1283</v>
      </c>
      <c r="B624" s="2" t="s">
        <v>5</v>
      </c>
      <c r="C624" s="2" t="s">
        <v>1284</v>
      </c>
      <c r="D624" s="2" t="s">
        <v>1222</v>
      </c>
      <c r="E624" s="2" t="str">
        <f>HYPERLINK("https://talan.bank.gov.ua/get-user-certificate/sec1evnIkgZ4Ys-z9aih","Завантажити сертифікат")</f>
        <v>Завантажити сертифікат</v>
      </c>
    </row>
    <row r="625" spans="1:5" x14ac:dyDescent="0.3">
      <c r="A625" s="2" t="s">
        <v>1285</v>
      </c>
      <c r="B625" s="2" t="s">
        <v>5</v>
      </c>
      <c r="C625" s="2" t="s">
        <v>1286</v>
      </c>
      <c r="D625" s="2" t="s">
        <v>1222</v>
      </c>
      <c r="E625" s="2" t="str">
        <f>HYPERLINK("https://talan.bank.gov.ua/get-user-certificate/sec1eEpqZrvn7_Z0G10y","Завантажити сертифікат")</f>
        <v>Завантажити сертифікат</v>
      </c>
    </row>
    <row r="626" spans="1:5" x14ac:dyDescent="0.3">
      <c r="A626" s="2" t="s">
        <v>1287</v>
      </c>
      <c r="B626" s="2" t="s">
        <v>5</v>
      </c>
      <c r="C626" s="2" t="s">
        <v>1288</v>
      </c>
      <c r="D626" s="2" t="s">
        <v>1222</v>
      </c>
      <c r="E626" s="2" t="str">
        <f>HYPERLINK("https://talan.bank.gov.ua/get-user-certificate/sec1eDdezZYz845bwbhf","Завантажити сертифікат")</f>
        <v>Завантажити сертифікат</v>
      </c>
    </row>
    <row r="627" spans="1:5" x14ac:dyDescent="0.3">
      <c r="A627" s="2" t="s">
        <v>1289</v>
      </c>
      <c r="B627" s="2" t="s">
        <v>5</v>
      </c>
      <c r="C627" s="2" t="s">
        <v>1290</v>
      </c>
      <c r="D627" s="2" t="s">
        <v>1222</v>
      </c>
      <c r="E627" s="2" t="str">
        <f>HYPERLINK("https://talan.bank.gov.ua/get-user-certificate/sec1eNEj3bkOYcaXCMC9","Завантажити сертифікат")</f>
        <v>Завантажити сертифікат</v>
      </c>
    </row>
    <row r="628" spans="1:5" x14ac:dyDescent="0.3">
      <c r="A628" s="2" t="s">
        <v>1291</v>
      </c>
      <c r="B628" s="2" t="s">
        <v>5</v>
      </c>
      <c r="C628" s="2" t="s">
        <v>1292</v>
      </c>
      <c r="D628" s="2" t="s">
        <v>1222</v>
      </c>
      <c r="E628" s="2" t="str">
        <f>HYPERLINK("https://talan.bank.gov.ua/get-user-certificate/sec1eR4rCYQaxqwbIrFK","Завантажити сертифікат")</f>
        <v>Завантажити сертифікат</v>
      </c>
    </row>
    <row r="629" spans="1:5" x14ac:dyDescent="0.3">
      <c r="A629" s="2" t="s">
        <v>1293</v>
      </c>
      <c r="B629" s="2" t="s">
        <v>5</v>
      </c>
      <c r="C629" s="2" t="s">
        <v>1294</v>
      </c>
      <c r="D629" s="2" t="s">
        <v>1222</v>
      </c>
      <c r="E629" s="2" t="str">
        <f>HYPERLINK("https://talan.bank.gov.ua/get-user-certificate/sec1e1l8zZt6tvrGDvtS","Завантажити сертифікат")</f>
        <v>Завантажити сертифікат</v>
      </c>
    </row>
    <row r="630" spans="1:5" x14ac:dyDescent="0.3">
      <c r="A630" s="2" t="s">
        <v>1295</v>
      </c>
      <c r="B630" s="2" t="s">
        <v>5</v>
      </c>
      <c r="C630" s="2" t="s">
        <v>1296</v>
      </c>
      <c r="D630" s="2" t="s">
        <v>1222</v>
      </c>
      <c r="E630" s="2" t="str">
        <f>HYPERLINK("https://talan.bank.gov.ua/get-user-certificate/sec1eqAUQHQ68uwKFOQf","Завантажити сертифікат")</f>
        <v>Завантажити сертифікат</v>
      </c>
    </row>
    <row r="631" spans="1:5" x14ac:dyDescent="0.3">
      <c r="A631" s="2" t="s">
        <v>1297</v>
      </c>
      <c r="B631" s="2" t="s">
        <v>5</v>
      </c>
      <c r="C631" s="2" t="s">
        <v>1298</v>
      </c>
      <c r="D631" s="2" t="s">
        <v>1222</v>
      </c>
      <c r="E631" s="2" t="str">
        <f>HYPERLINK("https://talan.bank.gov.ua/get-user-certificate/sec1ecOn0XelRkIaWtlp","Завантажити сертифікат")</f>
        <v>Завантажити сертифікат</v>
      </c>
    </row>
    <row r="632" spans="1:5" x14ac:dyDescent="0.3">
      <c r="A632" s="2" t="s">
        <v>1299</v>
      </c>
      <c r="B632" s="2" t="s">
        <v>5</v>
      </c>
      <c r="C632" s="2" t="s">
        <v>1300</v>
      </c>
      <c r="D632" s="2" t="s">
        <v>1222</v>
      </c>
      <c r="E632" s="2" t="str">
        <f>HYPERLINK("https://talan.bank.gov.ua/get-user-certificate/sec1efhdeJvFn6HW-ITb","Завантажити сертифікат")</f>
        <v>Завантажити сертифікат</v>
      </c>
    </row>
    <row r="633" spans="1:5" x14ac:dyDescent="0.3">
      <c r="A633" s="2" t="s">
        <v>1301</v>
      </c>
      <c r="B633" s="2" t="s">
        <v>5</v>
      </c>
      <c r="C633" s="2" t="s">
        <v>1302</v>
      </c>
      <c r="D633" s="2" t="s">
        <v>1222</v>
      </c>
      <c r="E633" s="2" t="str">
        <f>HYPERLINK("https://talan.bank.gov.ua/get-user-certificate/sec1eDUnrOMUDRDEGNCB","Завантажити сертифікат")</f>
        <v>Завантажити сертифікат</v>
      </c>
    </row>
    <row r="634" spans="1:5" x14ac:dyDescent="0.3">
      <c r="A634" s="2" t="s">
        <v>1303</v>
      </c>
      <c r="B634" s="2" t="s">
        <v>5</v>
      </c>
      <c r="C634" s="2" t="s">
        <v>1304</v>
      </c>
      <c r="D634" s="2" t="s">
        <v>1222</v>
      </c>
      <c r="E634" s="2" t="str">
        <f>HYPERLINK("https://talan.bank.gov.ua/get-user-certificate/sec1eGug1eOS-7cKVigX","Завантажити сертифікат")</f>
        <v>Завантажити сертифікат</v>
      </c>
    </row>
    <row r="635" spans="1:5" x14ac:dyDescent="0.3">
      <c r="A635" s="2" t="s">
        <v>1305</v>
      </c>
      <c r="B635" s="2" t="s">
        <v>5</v>
      </c>
      <c r="C635" s="2" t="s">
        <v>1306</v>
      </c>
      <c r="D635" s="2" t="s">
        <v>1222</v>
      </c>
      <c r="E635" s="2" t="str">
        <f>HYPERLINK("https://talan.bank.gov.ua/get-user-certificate/sec1eJwBQubAlPgAaO6z","Завантажити сертифікат")</f>
        <v>Завантажити сертифікат</v>
      </c>
    </row>
    <row r="636" spans="1:5" x14ac:dyDescent="0.3">
      <c r="A636" s="2" t="s">
        <v>1307</v>
      </c>
      <c r="B636" s="2" t="s">
        <v>5</v>
      </c>
      <c r="C636" s="2" t="s">
        <v>1308</v>
      </c>
      <c r="D636" s="2" t="s">
        <v>1222</v>
      </c>
      <c r="E636" s="2" t="str">
        <f>HYPERLINK("https://talan.bank.gov.ua/get-user-certificate/sec1eYdeAp2FHqGZt6v9","Завантажити сертифікат")</f>
        <v>Завантажити сертифікат</v>
      </c>
    </row>
    <row r="637" spans="1:5" x14ac:dyDescent="0.3">
      <c r="A637" s="2" t="s">
        <v>1309</v>
      </c>
      <c r="B637" s="2" t="s">
        <v>5</v>
      </c>
      <c r="C637" s="2" t="s">
        <v>1310</v>
      </c>
      <c r="D637" s="2" t="s">
        <v>1222</v>
      </c>
      <c r="E637" s="2" t="str">
        <f>HYPERLINK("https://talan.bank.gov.ua/get-user-certificate/sec1eeCIP-LG3Yrsrxgr","Завантажити сертифікат")</f>
        <v>Завантажити сертифікат</v>
      </c>
    </row>
    <row r="638" spans="1:5" x14ac:dyDescent="0.3">
      <c r="A638" s="2" t="s">
        <v>1311</v>
      </c>
      <c r="B638" s="2" t="s">
        <v>5</v>
      </c>
      <c r="C638" s="2" t="s">
        <v>1312</v>
      </c>
      <c r="D638" s="2" t="s">
        <v>1222</v>
      </c>
      <c r="E638" s="2" t="str">
        <f>HYPERLINK("https://talan.bank.gov.ua/get-user-certificate/sec1e_UDoIUOb-iX88V9","Завантажити сертифікат")</f>
        <v>Завантажити сертифікат</v>
      </c>
    </row>
    <row r="639" spans="1:5" x14ac:dyDescent="0.3">
      <c r="A639" s="2" t="s">
        <v>1313</v>
      </c>
      <c r="B639" s="2" t="s">
        <v>5</v>
      </c>
      <c r="C639" s="2" t="s">
        <v>1314</v>
      </c>
      <c r="D639" s="2" t="s">
        <v>1222</v>
      </c>
      <c r="E639" s="2" t="str">
        <f>HYPERLINK("https://talan.bank.gov.ua/get-user-certificate/sec1ee4JCNsFYz5axSk4","Завантажити сертифікат")</f>
        <v>Завантажити сертифікат</v>
      </c>
    </row>
    <row r="640" spans="1:5" x14ac:dyDescent="0.3">
      <c r="A640" s="2" t="s">
        <v>1315</v>
      </c>
      <c r="B640" s="2" t="s">
        <v>5</v>
      </c>
      <c r="C640" s="2" t="s">
        <v>1316</v>
      </c>
      <c r="D640" s="2" t="s">
        <v>1222</v>
      </c>
      <c r="E640" s="2" t="str">
        <f>HYPERLINK("https://talan.bank.gov.ua/get-user-certificate/sec1eL6OmMl49LU1zhvt","Завантажити сертифікат")</f>
        <v>Завантажити сертифікат</v>
      </c>
    </row>
    <row r="641" spans="1:5" x14ac:dyDescent="0.3">
      <c r="A641" s="2" t="s">
        <v>1317</v>
      </c>
      <c r="B641" s="2" t="s">
        <v>5</v>
      </c>
      <c r="C641" s="2" t="s">
        <v>1318</v>
      </c>
      <c r="D641" s="2" t="s">
        <v>1222</v>
      </c>
      <c r="E641" s="2" t="str">
        <f>HYPERLINK("https://talan.bank.gov.ua/get-user-certificate/sec1e8dw60c4vI-YQJKT","Завантажити сертифікат")</f>
        <v>Завантажити сертифікат</v>
      </c>
    </row>
    <row r="642" spans="1:5" x14ac:dyDescent="0.3">
      <c r="A642" s="2" t="s">
        <v>1319</v>
      </c>
      <c r="B642" s="2" t="s">
        <v>5</v>
      </c>
      <c r="C642" s="2" t="s">
        <v>1320</v>
      </c>
      <c r="D642" s="2" t="s">
        <v>1222</v>
      </c>
      <c r="E642" s="2" t="str">
        <f>HYPERLINK("https://talan.bank.gov.ua/get-user-certificate/sec1eGOTnJV97fpqJDv2","Завантажити сертифікат")</f>
        <v>Завантажити сертифікат</v>
      </c>
    </row>
    <row r="643" spans="1:5" x14ac:dyDescent="0.3">
      <c r="A643" s="2" t="s">
        <v>1321</v>
      </c>
      <c r="B643" s="2" t="s">
        <v>5</v>
      </c>
      <c r="C643" s="2" t="s">
        <v>1322</v>
      </c>
      <c r="D643" s="2" t="s">
        <v>1222</v>
      </c>
      <c r="E643" s="2" t="str">
        <f>HYPERLINK("https://talan.bank.gov.ua/get-user-certificate/sec1eOiyO-E1tAteS4gq","Завантажити сертифікат")</f>
        <v>Завантажити сертифікат</v>
      </c>
    </row>
    <row r="644" spans="1:5" x14ac:dyDescent="0.3">
      <c r="A644" s="2" t="s">
        <v>1323</v>
      </c>
      <c r="B644" s="2" t="s">
        <v>5</v>
      </c>
      <c r="C644" s="2" t="s">
        <v>1324</v>
      </c>
      <c r="D644" s="2" t="s">
        <v>1222</v>
      </c>
      <c r="E644" s="2" t="str">
        <f>HYPERLINK("https://talan.bank.gov.ua/get-user-certificate/sec1er63vgdVgmTbl_AS","Завантажити сертифікат")</f>
        <v>Завантажити сертифікат</v>
      </c>
    </row>
    <row r="645" spans="1:5" x14ac:dyDescent="0.3">
      <c r="A645" s="2" t="s">
        <v>1325</v>
      </c>
      <c r="B645" s="2" t="s">
        <v>5</v>
      </c>
      <c r="C645" s="2" t="s">
        <v>1326</v>
      </c>
      <c r="D645" s="2" t="s">
        <v>1222</v>
      </c>
      <c r="E645" s="2" t="str">
        <f>HYPERLINK("https://talan.bank.gov.ua/get-user-certificate/sec1eYigmUjY5UKgr32t","Завантажити сертифікат")</f>
        <v>Завантажити сертифікат</v>
      </c>
    </row>
    <row r="646" spans="1:5" x14ac:dyDescent="0.3">
      <c r="A646" s="2" t="s">
        <v>1327</v>
      </c>
      <c r="B646" s="2" t="s">
        <v>5</v>
      </c>
      <c r="C646" s="2" t="s">
        <v>1328</v>
      </c>
      <c r="D646" s="2" t="s">
        <v>1222</v>
      </c>
      <c r="E646" s="2" t="str">
        <f>HYPERLINK("https://talan.bank.gov.ua/get-user-certificate/sec1eILztefU5IXBpHUr","Завантажити сертифікат")</f>
        <v>Завантажити сертифікат</v>
      </c>
    </row>
    <row r="647" spans="1:5" x14ac:dyDescent="0.3">
      <c r="A647" s="2" t="s">
        <v>1329</v>
      </c>
      <c r="B647" s="2" t="s">
        <v>5</v>
      </c>
      <c r="C647" s="2" t="s">
        <v>1330</v>
      </c>
      <c r="D647" s="2" t="s">
        <v>1222</v>
      </c>
      <c r="E647" s="2" t="str">
        <f>HYPERLINK("https://talan.bank.gov.ua/get-user-certificate/sec1eOOa-OCUMoVvVb7J","Завантажити сертифікат")</f>
        <v>Завантажити сертифікат</v>
      </c>
    </row>
    <row r="648" spans="1:5" x14ac:dyDescent="0.3">
      <c r="A648" s="2" t="s">
        <v>1331</v>
      </c>
      <c r="B648" s="2" t="s">
        <v>5</v>
      </c>
      <c r="C648" s="2" t="s">
        <v>1332</v>
      </c>
      <c r="D648" s="2" t="s">
        <v>1222</v>
      </c>
      <c r="E648" s="2" t="str">
        <f>HYPERLINK("https://talan.bank.gov.ua/get-user-certificate/sec1e1TWw6c7pgNRsoAJ","Завантажити сертифікат")</f>
        <v>Завантажити сертифікат</v>
      </c>
    </row>
    <row r="649" spans="1:5" x14ac:dyDescent="0.3">
      <c r="A649" s="2" t="s">
        <v>1333</v>
      </c>
      <c r="B649" s="2" t="s">
        <v>5</v>
      </c>
      <c r="C649" s="2" t="s">
        <v>1334</v>
      </c>
      <c r="D649" s="2" t="s">
        <v>1222</v>
      </c>
      <c r="E649" s="2" t="str">
        <f>HYPERLINK("https://talan.bank.gov.ua/get-user-certificate/sec1eWfN30SA1S8nHnlY","Завантажити сертифікат")</f>
        <v>Завантажити сертифікат</v>
      </c>
    </row>
    <row r="650" spans="1:5" x14ac:dyDescent="0.3">
      <c r="A650" s="2" t="s">
        <v>1335</v>
      </c>
      <c r="B650" s="2" t="s">
        <v>5</v>
      </c>
      <c r="C650" s="2" t="s">
        <v>1336</v>
      </c>
      <c r="D650" s="2" t="s">
        <v>1222</v>
      </c>
      <c r="E650" s="2" t="str">
        <f>HYPERLINK("https://talan.bank.gov.ua/get-user-certificate/sec1eujOPHMjxLfvf3TW","Завантажити сертифікат")</f>
        <v>Завантажити сертифікат</v>
      </c>
    </row>
    <row r="651" spans="1:5" x14ac:dyDescent="0.3">
      <c r="A651" s="2" t="s">
        <v>1337</v>
      </c>
      <c r="B651" s="2" t="s">
        <v>5</v>
      </c>
      <c r="C651" s="2" t="s">
        <v>1338</v>
      </c>
      <c r="D651" s="2" t="s">
        <v>1222</v>
      </c>
      <c r="E651" s="2" t="str">
        <f>HYPERLINK("https://talan.bank.gov.ua/get-user-certificate/sec1eM1Nq_VgV-bW--gH","Завантажити сертифікат")</f>
        <v>Завантажити сертифікат</v>
      </c>
    </row>
    <row r="652" spans="1:5" x14ac:dyDescent="0.3">
      <c r="A652" s="2" t="s">
        <v>1339</v>
      </c>
      <c r="B652" s="2" t="s">
        <v>5</v>
      </c>
      <c r="C652" s="2" t="s">
        <v>1340</v>
      </c>
      <c r="D652" s="2" t="s">
        <v>1222</v>
      </c>
      <c r="E652" s="2" t="str">
        <f>HYPERLINK("https://talan.bank.gov.ua/get-user-certificate/sec1epjcMmfwYSuZzJpa","Завантажити сертифікат")</f>
        <v>Завантажити сертифікат</v>
      </c>
    </row>
    <row r="653" spans="1:5" x14ac:dyDescent="0.3">
      <c r="A653" s="2" t="s">
        <v>1341</v>
      </c>
      <c r="B653" s="2" t="s">
        <v>5</v>
      </c>
      <c r="C653" s="2" t="s">
        <v>1342</v>
      </c>
      <c r="D653" s="2" t="s">
        <v>1222</v>
      </c>
      <c r="E653" s="2" t="str">
        <f>HYPERLINK("https://talan.bank.gov.ua/get-user-certificate/sec1eU6SFO9mHcLhXQH7","Завантажити сертифікат")</f>
        <v>Завантажити сертифікат</v>
      </c>
    </row>
    <row r="654" spans="1:5" x14ac:dyDescent="0.3">
      <c r="A654" s="2" t="s">
        <v>1343</v>
      </c>
      <c r="B654" s="2" t="s">
        <v>5</v>
      </c>
      <c r="C654" s="2" t="s">
        <v>1344</v>
      </c>
      <c r="D654" s="2" t="s">
        <v>1222</v>
      </c>
      <c r="E654" s="2" t="str">
        <f>HYPERLINK("https://talan.bank.gov.ua/get-user-certificate/sec1eJE11iXMEiypxQhu","Завантажити сертифікат")</f>
        <v>Завантажити сертифікат</v>
      </c>
    </row>
    <row r="655" spans="1:5" x14ac:dyDescent="0.3">
      <c r="A655" s="2" t="s">
        <v>1345</v>
      </c>
      <c r="B655" s="2" t="s">
        <v>5</v>
      </c>
      <c r="C655" s="2" t="s">
        <v>1346</v>
      </c>
      <c r="D655" s="2" t="s">
        <v>1222</v>
      </c>
      <c r="E655" s="2" t="str">
        <f>HYPERLINK("https://talan.bank.gov.ua/get-user-certificate/sec1eagLPr-8thzUpLwE","Завантажити сертифікат")</f>
        <v>Завантажити сертифікат</v>
      </c>
    </row>
    <row r="656" spans="1:5" x14ac:dyDescent="0.3">
      <c r="A656" s="2" t="s">
        <v>1347</v>
      </c>
      <c r="B656" s="2" t="s">
        <v>5</v>
      </c>
      <c r="C656" s="2" t="s">
        <v>1348</v>
      </c>
      <c r="D656" s="2" t="s">
        <v>1222</v>
      </c>
      <c r="E656" s="2" t="str">
        <f>HYPERLINK("https://talan.bank.gov.ua/get-user-certificate/sec1e7L17xVWx4VYprKd","Завантажити сертифікат")</f>
        <v>Завантажити сертифікат</v>
      </c>
    </row>
    <row r="657" spans="1:5" x14ac:dyDescent="0.3">
      <c r="A657" s="2" t="s">
        <v>1349</v>
      </c>
      <c r="B657" s="2" t="s">
        <v>5</v>
      </c>
      <c r="C657" s="2" t="s">
        <v>1350</v>
      </c>
      <c r="D657" s="2" t="s">
        <v>1222</v>
      </c>
      <c r="E657" s="2" t="str">
        <f>HYPERLINK("https://talan.bank.gov.ua/get-user-certificate/sec1eFsTp3gJqMv7G4gk","Завантажити сертифікат")</f>
        <v>Завантажити сертифікат</v>
      </c>
    </row>
    <row r="658" spans="1:5" x14ac:dyDescent="0.3">
      <c r="A658" s="2" t="s">
        <v>1351</v>
      </c>
      <c r="B658" s="2" t="s">
        <v>5</v>
      </c>
      <c r="C658" s="2" t="s">
        <v>1352</v>
      </c>
      <c r="D658" s="2" t="s">
        <v>1222</v>
      </c>
      <c r="E658" s="2" t="str">
        <f>HYPERLINK("https://talan.bank.gov.ua/get-user-certificate/sec1eDndnU2l9Pd4lIbd","Завантажити сертифікат")</f>
        <v>Завантажити сертифікат</v>
      </c>
    </row>
    <row r="659" spans="1:5" x14ac:dyDescent="0.3">
      <c r="A659" s="2" t="s">
        <v>1353</v>
      </c>
      <c r="B659" s="2" t="s">
        <v>5</v>
      </c>
      <c r="C659" s="2" t="s">
        <v>1354</v>
      </c>
      <c r="D659" s="2" t="s">
        <v>1222</v>
      </c>
      <c r="E659" s="2" t="str">
        <f>HYPERLINK("https://talan.bank.gov.ua/get-user-certificate/sec1eXvjhy8P-INP8aYq","Завантажити сертифікат")</f>
        <v>Завантажити сертифікат</v>
      </c>
    </row>
    <row r="660" spans="1:5" x14ac:dyDescent="0.3">
      <c r="A660" s="2" t="s">
        <v>1355</v>
      </c>
      <c r="B660" s="2" t="s">
        <v>5</v>
      </c>
      <c r="C660" s="2" t="s">
        <v>1356</v>
      </c>
      <c r="D660" s="2" t="s">
        <v>1222</v>
      </c>
      <c r="E660" s="2" t="str">
        <f>HYPERLINK("https://talan.bank.gov.ua/get-user-certificate/sec1emwzKEv0uNHnpT1N","Завантажити сертифікат")</f>
        <v>Завантажити сертифікат</v>
      </c>
    </row>
    <row r="661" spans="1:5" x14ac:dyDescent="0.3">
      <c r="A661" s="2" t="s">
        <v>1357</v>
      </c>
      <c r="B661" s="2" t="s">
        <v>5</v>
      </c>
      <c r="C661" s="2" t="s">
        <v>1358</v>
      </c>
      <c r="D661" s="2" t="s">
        <v>1222</v>
      </c>
      <c r="E661" s="2" t="str">
        <f>HYPERLINK("https://talan.bank.gov.ua/get-user-certificate/sec1eFtfUVVwnc6ltov5","Завантажити сертифікат")</f>
        <v>Завантажити сертифікат</v>
      </c>
    </row>
    <row r="662" spans="1:5" x14ac:dyDescent="0.3">
      <c r="A662" s="2" t="s">
        <v>1359</v>
      </c>
      <c r="B662" s="2" t="s">
        <v>5</v>
      </c>
      <c r="C662" s="2" t="s">
        <v>1360</v>
      </c>
      <c r="D662" s="2" t="s">
        <v>1222</v>
      </c>
      <c r="E662" s="2" t="str">
        <f>HYPERLINK("https://talan.bank.gov.ua/get-user-certificate/sec1e4SPTb8m7Ayf30tX","Завантажити сертифікат")</f>
        <v>Завантажити сертифікат</v>
      </c>
    </row>
    <row r="663" spans="1:5" x14ac:dyDescent="0.3">
      <c r="A663" s="2" t="s">
        <v>1361</v>
      </c>
      <c r="B663" s="2" t="s">
        <v>5</v>
      </c>
      <c r="C663" s="2" t="s">
        <v>1362</v>
      </c>
      <c r="D663" s="2" t="s">
        <v>1222</v>
      </c>
      <c r="E663" s="2" t="str">
        <f>HYPERLINK("https://talan.bank.gov.ua/get-user-certificate/sec1ee3LoqGnK_4a62rP","Завантажити сертифікат")</f>
        <v>Завантажити сертифікат</v>
      </c>
    </row>
    <row r="664" spans="1:5" x14ac:dyDescent="0.3">
      <c r="A664" s="2" t="s">
        <v>1363</v>
      </c>
      <c r="B664" s="2" t="s">
        <v>5</v>
      </c>
      <c r="C664" s="2" t="s">
        <v>1364</v>
      </c>
      <c r="D664" s="2" t="s">
        <v>1222</v>
      </c>
      <c r="E664" s="2" t="str">
        <f>HYPERLINK("https://talan.bank.gov.ua/get-user-certificate/sec1eR_bU3O1S_9BgbM3","Завантажити сертифікат")</f>
        <v>Завантажити сертифікат</v>
      </c>
    </row>
    <row r="665" spans="1:5" x14ac:dyDescent="0.3">
      <c r="A665" s="2" t="s">
        <v>1365</v>
      </c>
      <c r="B665" s="2" t="s">
        <v>5</v>
      </c>
      <c r="C665" s="2" t="s">
        <v>1366</v>
      </c>
      <c r="D665" s="2" t="s">
        <v>1222</v>
      </c>
      <c r="E665" s="2" t="str">
        <f>HYPERLINK("https://talan.bank.gov.ua/get-user-certificate/sec1eL41iSJHKMmdIcoC","Завантажити сертифікат")</f>
        <v>Завантажити сертифікат</v>
      </c>
    </row>
    <row r="666" spans="1:5" x14ac:dyDescent="0.3">
      <c r="A666" s="2" t="s">
        <v>1367</v>
      </c>
      <c r="B666" s="2" t="s">
        <v>5</v>
      </c>
      <c r="C666" s="2" t="s">
        <v>1368</v>
      </c>
      <c r="D666" s="2" t="s">
        <v>1222</v>
      </c>
      <c r="E666" s="2" t="str">
        <f>HYPERLINK("https://talan.bank.gov.ua/get-user-certificate/sec1ec84cI-f9Vypo9nf","Завантажити сертифікат")</f>
        <v>Завантажити сертифікат</v>
      </c>
    </row>
    <row r="667" spans="1:5" x14ac:dyDescent="0.3">
      <c r="A667" s="2" t="s">
        <v>1369</v>
      </c>
      <c r="B667" s="2" t="s">
        <v>5</v>
      </c>
      <c r="C667" s="2" t="s">
        <v>1370</v>
      </c>
      <c r="D667" s="2" t="s">
        <v>1222</v>
      </c>
      <c r="E667" s="2" t="str">
        <f>HYPERLINK("https://talan.bank.gov.ua/get-user-certificate/sec1eSsLI_kqK0x2mk-3","Завантажити сертифікат")</f>
        <v>Завантажити сертифікат</v>
      </c>
    </row>
    <row r="668" spans="1:5" x14ac:dyDescent="0.3">
      <c r="A668" s="2" t="s">
        <v>1371</v>
      </c>
      <c r="B668" s="2" t="s">
        <v>5</v>
      </c>
      <c r="C668" s="2" t="s">
        <v>1372</v>
      </c>
      <c r="D668" s="2" t="s">
        <v>1222</v>
      </c>
      <c r="E668" s="2" t="str">
        <f>HYPERLINK("https://talan.bank.gov.ua/get-user-certificate/sec1eaOmurCmH0ozaIGo","Завантажити сертифікат")</f>
        <v>Завантажити сертифікат</v>
      </c>
    </row>
    <row r="669" spans="1:5" x14ac:dyDescent="0.3">
      <c r="A669" s="2" t="s">
        <v>1373</v>
      </c>
      <c r="B669" s="2" t="s">
        <v>5</v>
      </c>
      <c r="C669" s="2" t="s">
        <v>1374</v>
      </c>
      <c r="D669" s="2" t="s">
        <v>1222</v>
      </c>
      <c r="E669" s="2" t="str">
        <f>HYPERLINK("https://talan.bank.gov.ua/get-user-certificate/sec1eLRwEhy-xi-kk10p","Завантажити сертифікат")</f>
        <v>Завантажити сертифікат</v>
      </c>
    </row>
    <row r="670" spans="1:5" x14ac:dyDescent="0.3">
      <c r="A670" s="2" t="s">
        <v>1375</v>
      </c>
      <c r="B670" s="2" t="s">
        <v>5</v>
      </c>
      <c r="C670" s="2" t="s">
        <v>1376</v>
      </c>
      <c r="D670" s="2" t="s">
        <v>1222</v>
      </c>
      <c r="E670" s="2" t="str">
        <f>HYPERLINK("https://talan.bank.gov.ua/get-user-certificate/sec1egIotGWSx8iuBEea","Завантажити сертифікат")</f>
        <v>Завантажити сертифікат</v>
      </c>
    </row>
    <row r="671" spans="1:5" x14ac:dyDescent="0.3">
      <c r="A671" s="2" t="s">
        <v>1377</v>
      </c>
      <c r="B671" s="2" t="s">
        <v>5</v>
      </c>
      <c r="C671" s="2" t="s">
        <v>1378</v>
      </c>
      <c r="D671" s="2" t="s">
        <v>1222</v>
      </c>
      <c r="E671" s="2" t="str">
        <f>HYPERLINK("https://talan.bank.gov.ua/get-user-certificate/sec1eEUS6GrASOJSiX1-","Завантажити сертифікат")</f>
        <v>Завантажити сертифікат</v>
      </c>
    </row>
    <row r="672" spans="1:5" x14ac:dyDescent="0.3">
      <c r="A672" s="2" t="s">
        <v>1379</v>
      </c>
      <c r="B672" s="2" t="s">
        <v>5</v>
      </c>
      <c r="C672" s="2" t="s">
        <v>1380</v>
      </c>
      <c r="D672" s="2" t="s">
        <v>1222</v>
      </c>
      <c r="E672" s="2" t="str">
        <f>HYPERLINK("https://talan.bank.gov.ua/get-user-certificate/sec1ewiS3nKQHh529mj6","Завантажити сертифікат")</f>
        <v>Завантажити сертифікат</v>
      </c>
    </row>
    <row r="673" spans="1:5" x14ac:dyDescent="0.3">
      <c r="A673" s="2" t="s">
        <v>1381</v>
      </c>
      <c r="B673" s="2" t="s">
        <v>5</v>
      </c>
      <c r="C673" s="2" t="s">
        <v>1382</v>
      </c>
      <c r="D673" s="2" t="s">
        <v>1222</v>
      </c>
      <c r="E673" s="2" t="str">
        <f>HYPERLINK("https://talan.bank.gov.ua/get-user-certificate/sec1e_cORqbzY8OI41lC","Завантажити сертифікат")</f>
        <v>Завантажити сертифікат</v>
      </c>
    </row>
    <row r="674" spans="1:5" x14ac:dyDescent="0.3">
      <c r="A674" s="2" t="s">
        <v>1383</v>
      </c>
      <c r="B674" s="2" t="s">
        <v>5</v>
      </c>
      <c r="C674" s="2" t="s">
        <v>1384</v>
      </c>
      <c r="D674" s="2" t="s">
        <v>1222</v>
      </c>
      <c r="E674" s="2" t="str">
        <f>HYPERLINK("https://talan.bank.gov.ua/get-user-certificate/sec1e7zn6lSSKeiFGfW5","Завантажити сертифікат")</f>
        <v>Завантажити сертифікат</v>
      </c>
    </row>
    <row r="675" spans="1:5" x14ac:dyDescent="0.3">
      <c r="A675" s="2" t="s">
        <v>1385</v>
      </c>
      <c r="B675" s="2" t="s">
        <v>5</v>
      </c>
      <c r="C675" s="2" t="s">
        <v>1386</v>
      </c>
      <c r="D675" s="2" t="s">
        <v>1222</v>
      </c>
      <c r="E675" s="2" t="str">
        <f>HYPERLINK("https://talan.bank.gov.ua/get-user-certificate/sec1eve43ZB0WjDUS2rc","Завантажити сертифікат")</f>
        <v>Завантажити сертифікат</v>
      </c>
    </row>
    <row r="676" spans="1:5" x14ac:dyDescent="0.3">
      <c r="A676" s="2" t="s">
        <v>1387</v>
      </c>
      <c r="B676" s="2" t="s">
        <v>5</v>
      </c>
      <c r="C676" s="2" t="s">
        <v>1388</v>
      </c>
      <c r="D676" s="2" t="s">
        <v>1222</v>
      </c>
      <c r="E676" s="2" t="str">
        <f>HYPERLINK("https://talan.bank.gov.ua/get-user-certificate/sec1e42YyjnRCdq4393h","Завантажити сертифікат")</f>
        <v>Завантажити сертифікат</v>
      </c>
    </row>
    <row r="677" spans="1:5" x14ac:dyDescent="0.3">
      <c r="A677" s="2" t="s">
        <v>1389</v>
      </c>
      <c r="B677" s="2" t="s">
        <v>5</v>
      </c>
      <c r="C677" s="2" t="s">
        <v>1390</v>
      </c>
      <c r="D677" s="2" t="s">
        <v>1222</v>
      </c>
      <c r="E677" s="2" t="str">
        <f>HYPERLINK("https://talan.bank.gov.ua/get-user-certificate/sec1eFOudbq2tfAup-P4","Завантажити сертифікат")</f>
        <v>Завантажити сертифікат</v>
      </c>
    </row>
    <row r="678" spans="1:5" x14ac:dyDescent="0.3">
      <c r="A678" s="2" t="s">
        <v>1391</v>
      </c>
      <c r="B678" s="2" t="s">
        <v>5</v>
      </c>
      <c r="C678" s="2" t="s">
        <v>1392</v>
      </c>
      <c r="D678" s="2" t="s">
        <v>1222</v>
      </c>
      <c r="E678" s="2" t="str">
        <f>HYPERLINK("https://talan.bank.gov.ua/get-user-certificate/sec1eUTjRXnD-7NXJ-Zr","Завантажити сертифікат")</f>
        <v>Завантажити сертифікат</v>
      </c>
    </row>
    <row r="679" spans="1:5" x14ac:dyDescent="0.3">
      <c r="A679" s="2" t="s">
        <v>1393</v>
      </c>
      <c r="B679" s="2" t="s">
        <v>5</v>
      </c>
      <c r="C679" s="2" t="s">
        <v>1394</v>
      </c>
      <c r="D679" s="2" t="s">
        <v>1222</v>
      </c>
      <c r="E679" s="2" t="str">
        <f>HYPERLINK("https://talan.bank.gov.ua/get-user-certificate/sec1e6EsC--7e-GVaQob","Завантажити сертифікат")</f>
        <v>Завантажити сертифікат</v>
      </c>
    </row>
    <row r="680" spans="1:5" x14ac:dyDescent="0.3">
      <c r="A680" s="2" t="s">
        <v>1395</v>
      </c>
      <c r="B680" s="2" t="s">
        <v>5</v>
      </c>
      <c r="C680" s="2" t="s">
        <v>1396</v>
      </c>
      <c r="D680" s="2" t="s">
        <v>1222</v>
      </c>
      <c r="E680" s="2" t="str">
        <f>HYPERLINK("https://talan.bank.gov.ua/get-user-certificate/sec1eF5wr7exapQjTXke","Завантажити сертифікат")</f>
        <v>Завантажити сертифікат</v>
      </c>
    </row>
    <row r="681" spans="1:5" x14ac:dyDescent="0.3">
      <c r="A681" s="2" t="s">
        <v>1397</v>
      </c>
      <c r="B681" s="2" t="s">
        <v>5</v>
      </c>
      <c r="C681" s="2" t="s">
        <v>1398</v>
      </c>
      <c r="D681" s="2" t="s">
        <v>1222</v>
      </c>
      <c r="E681" s="2" t="str">
        <f>HYPERLINK("https://talan.bank.gov.ua/get-user-certificate/sec1eZNCOR5r6Lzp8RCD","Завантажити сертифікат")</f>
        <v>Завантажити сертифікат</v>
      </c>
    </row>
    <row r="682" spans="1:5" x14ac:dyDescent="0.3">
      <c r="A682" s="2" t="s">
        <v>1399</v>
      </c>
      <c r="B682" s="2" t="s">
        <v>5</v>
      </c>
      <c r="C682" s="2" t="s">
        <v>1400</v>
      </c>
      <c r="D682" s="2" t="s">
        <v>1222</v>
      </c>
      <c r="E682" s="2" t="str">
        <f>HYPERLINK("https://talan.bank.gov.ua/get-user-certificate/sec1efEoOR_ImvtLVW5H","Завантажити сертифікат")</f>
        <v>Завантажити сертифікат</v>
      </c>
    </row>
    <row r="683" spans="1:5" x14ac:dyDescent="0.3">
      <c r="A683" s="2" t="s">
        <v>1401</v>
      </c>
      <c r="B683" s="2" t="s">
        <v>5</v>
      </c>
      <c r="C683" s="2" t="s">
        <v>1402</v>
      </c>
      <c r="D683" s="2" t="s">
        <v>1222</v>
      </c>
      <c r="E683" s="2" t="str">
        <f>HYPERLINK("https://talan.bank.gov.ua/get-user-certificate/sec1es8I6W7Yxz5QmCgY","Завантажити сертифікат")</f>
        <v>Завантажити сертифікат</v>
      </c>
    </row>
    <row r="684" spans="1:5" x14ac:dyDescent="0.3">
      <c r="A684" s="2" t="s">
        <v>1403</v>
      </c>
      <c r="B684" s="2" t="s">
        <v>5</v>
      </c>
      <c r="C684" s="2" t="s">
        <v>1404</v>
      </c>
      <c r="D684" s="2" t="s">
        <v>1222</v>
      </c>
      <c r="E684" s="2" t="str">
        <f>HYPERLINK("https://talan.bank.gov.ua/get-user-certificate/sec1ezzTTJzBodpCTSp3","Завантажити сертифікат")</f>
        <v>Завантажити сертифікат</v>
      </c>
    </row>
    <row r="685" spans="1:5" x14ac:dyDescent="0.3">
      <c r="A685" s="2" t="s">
        <v>1405</v>
      </c>
      <c r="B685" s="2" t="s">
        <v>5</v>
      </c>
      <c r="C685" s="2" t="s">
        <v>1406</v>
      </c>
      <c r="D685" s="2" t="s">
        <v>1407</v>
      </c>
      <c r="E685" s="2" t="str">
        <f>HYPERLINK("https://talan.bank.gov.ua/get-user-certificate/sec1ePPeP7SjfOTRoe9N","Завантажити сертифікат")</f>
        <v>Завантажити сертифікат</v>
      </c>
    </row>
    <row r="686" spans="1:5" x14ac:dyDescent="0.3">
      <c r="A686" s="2" t="s">
        <v>1408</v>
      </c>
      <c r="B686" s="2" t="s">
        <v>5</v>
      </c>
      <c r="C686" s="2" t="s">
        <v>1409</v>
      </c>
      <c r="D686" s="2" t="s">
        <v>1407</v>
      </c>
      <c r="E686" s="2" t="str">
        <f>HYPERLINK("https://talan.bank.gov.ua/get-user-certificate/sec1enCZM6F4FhlLCUKh","Завантажити сертифікат")</f>
        <v>Завантажити сертифікат</v>
      </c>
    </row>
    <row r="687" spans="1:5" x14ac:dyDescent="0.3">
      <c r="A687" s="2" t="s">
        <v>1410</v>
      </c>
      <c r="B687" s="2" t="s">
        <v>5</v>
      </c>
      <c r="C687" s="2" t="s">
        <v>1411</v>
      </c>
      <c r="D687" s="2" t="s">
        <v>1407</v>
      </c>
      <c r="E687" s="2" t="str">
        <f>HYPERLINK("https://talan.bank.gov.ua/get-user-certificate/sec1efVgGFNPrNdkJmFq","Завантажити сертифікат")</f>
        <v>Завантажити сертифікат</v>
      </c>
    </row>
    <row r="688" spans="1:5" x14ac:dyDescent="0.3">
      <c r="A688" s="2" t="s">
        <v>1412</v>
      </c>
      <c r="B688" s="2" t="s">
        <v>5</v>
      </c>
      <c r="C688" s="2" t="s">
        <v>1413</v>
      </c>
      <c r="D688" s="2" t="s">
        <v>1407</v>
      </c>
      <c r="E688" s="2" t="str">
        <f>HYPERLINK("https://talan.bank.gov.ua/get-user-certificate/sec1e9xgUGpyGmRZDdxI","Завантажити сертифікат")</f>
        <v>Завантажити сертифікат</v>
      </c>
    </row>
    <row r="689" spans="1:5" x14ac:dyDescent="0.3">
      <c r="A689" s="2" t="s">
        <v>1414</v>
      </c>
      <c r="B689" s="2" t="s">
        <v>5</v>
      </c>
      <c r="C689" s="2" t="s">
        <v>1415</v>
      </c>
      <c r="D689" s="2" t="s">
        <v>1407</v>
      </c>
      <c r="E689" s="2" t="str">
        <f>HYPERLINK("https://talan.bank.gov.ua/get-user-certificate/sec1eqEV21gCTbSl5VUC","Завантажити сертифікат")</f>
        <v>Завантажити сертифікат</v>
      </c>
    </row>
    <row r="690" spans="1:5" x14ac:dyDescent="0.3">
      <c r="A690" s="2" t="s">
        <v>1416</v>
      </c>
      <c r="B690" s="2" t="s">
        <v>5</v>
      </c>
      <c r="C690" s="2" t="s">
        <v>1417</v>
      </c>
      <c r="D690" s="2" t="s">
        <v>1407</v>
      </c>
      <c r="E690" s="2" t="str">
        <f>HYPERLINK("https://talan.bank.gov.ua/get-user-certificate/sec1egz8DLDzfI3kDecI","Завантажити сертифікат")</f>
        <v>Завантажити сертифікат</v>
      </c>
    </row>
    <row r="691" spans="1:5" x14ac:dyDescent="0.3">
      <c r="A691" s="2" t="s">
        <v>1418</v>
      </c>
      <c r="B691" s="2" t="s">
        <v>5</v>
      </c>
      <c r="C691" s="2" t="s">
        <v>1419</v>
      </c>
      <c r="D691" s="2" t="s">
        <v>1407</v>
      </c>
      <c r="E691" s="2" t="str">
        <f>HYPERLINK("https://talan.bank.gov.ua/get-user-certificate/sec1eganF1RCR9W85tnJ","Завантажити сертифікат")</f>
        <v>Завантажити сертифікат</v>
      </c>
    </row>
    <row r="692" spans="1:5" x14ac:dyDescent="0.3">
      <c r="A692" s="2" t="s">
        <v>1420</v>
      </c>
      <c r="B692" s="2" t="s">
        <v>5</v>
      </c>
      <c r="C692" s="2" t="s">
        <v>1421</v>
      </c>
      <c r="D692" s="2" t="s">
        <v>1407</v>
      </c>
      <c r="E692" s="2" t="str">
        <f>HYPERLINK("https://talan.bank.gov.ua/get-user-certificate/sec1eJewH8woEPbnQhal","Завантажити сертифікат")</f>
        <v>Завантажити сертифікат</v>
      </c>
    </row>
    <row r="693" spans="1:5" x14ac:dyDescent="0.3">
      <c r="A693" s="2" t="s">
        <v>1422</v>
      </c>
      <c r="B693" s="2" t="s">
        <v>5</v>
      </c>
      <c r="C693" s="2" t="s">
        <v>1423</v>
      </c>
      <c r="D693" s="2" t="s">
        <v>1407</v>
      </c>
      <c r="E693" s="2" t="str">
        <f>HYPERLINK("https://talan.bank.gov.ua/get-user-certificate/sec1eldJ9EJU0gbkWflR","Завантажити сертифікат")</f>
        <v>Завантажити сертифікат</v>
      </c>
    </row>
    <row r="694" spans="1:5" x14ac:dyDescent="0.3">
      <c r="A694" s="2" t="s">
        <v>1424</v>
      </c>
      <c r="B694" s="2" t="s">
        <v>5</v>
      </c>
      <c r="C694" s="2" t="s">
        <v>1425</v>
      </c>
      <c r="D694" s="2" t="s">
        <v>1426</v>
      </c>
      <c r="E694" s="2" t="str">
        <f>HYPERLINK("https://talan.bank.gov.ua/get-user-certificate/sec1eEU0RFm4APAiuVen","Завантажити сертифікат")</f>
        <v>Завантажити сертифікат</v>
      </c>
    </row>
    <row r="695" spans="1:5" x14ac:dyDescent="0.3">
      <c r="A695" s="2" t="s">
        <v>1427</v>
      </c>
      <c r="B695" s="2" t="s">
        <v>5</v>
      </c>
      <c r="C695" s="2" t="s">
        <v>1428</v>
      </c>
      <c r="D695" s="2" t="s">
        <v>1426</v>
      </c>
      <c r="E695" s="2" t="str">
        <f>HYPERLINK("https://talan.bank.gov.ua/get-user-certificate/sec1eKQGfKv4H5GoZC1B","Завантажити сертифікат")</f>
        <v>Завантажити сертифікат</v>
      </c>
    </row>
    <row r="696" spans="1:5" x14ac:dyDescent="0.3">
      <c r="A696" s="2" t="s">
        <v>1429</v>
      </c>
      <c r="B696" s="2" t="s">
        <v>5</v>
      </c>
      <c r="C696" s="2" t="s">
        <v>1430</v>
      </c>
      <c r="D696" s="2" t="s">
        <v>1426</v>
      </c>
      <c r="E696" s="2" t="str">
        <f>HYPERLINK("https://talan.bank.gov.ua/get-user-certificate/sec1ey6fnys2UrWf_Q0f","Завантажити сертифікат")</f>
        <v>Завантажити сертифікат</v>
      </c>
    </row>
    <row r="697" spans="1:5" x14ac:dyDescent="0.3">
      <c r="A697" s="2" t="s">
        <v>1431</v>
      </c>
      <c r="B697" s="2" t="s">
        <v>5</v>
      </c>
      <c r="C697" s="2" t="s">
        <v>1432</v>
      </c>
      <c r="D697" s="2" t="s">
        <v>1426</v>
      </c>
      <c r="E697" s="2" t="str">
        <f>HYPERLINK("https://talan.bank.gov.ua/get-user-certificate/sec1ez9iPLuSi8MfUzEk","Завантажити сертифікат")</f>
        <v>Завантажити сертифікат</v>
      </c>
    </row>
    <row r="698" spans="1:5" x14ac:dyDescent="0.3">
      <c r="A698" s="2" t="s">
        <v>1433</v>
      </c>
      <c r="B698" s="2" t="s">
        <v>5</v>
      </c>
      <c r="C698" s="2" t="s">
        <v>1434</v>
      </c>
      <c r="D698" s="2" t="s">
        <v>1426</v>
      </c>
      <c r="E698" s="2" t="str">
        <f>HYPERLINK("https://talan.bank.gov.ua/get-user-certificate/sec1eW7SU2IAIWAjaY0k","Завантажити сертифікат")</f>
        <v>Завантажити сертифікат</v>
      </c>
    </row>
    <row r="699" spans="1:5" x14ac:dyDescent="0.3">
      <c r="A699" s="2" t="s">
        <v>1435</v>
      </c>
      <c r="B699" s="2" t="s">
        <v>5</v>
      </c>
      <c r="C699" s="2" t="s">
        <v>1436</v>
      </c>
      <c r="D699" s="2" t="s">
        <v>1426</v>
      </c>
      <c r="E699" s="2" t="str">
        <f>HYPERLINK("https://talan.bank.gov.ua/get-user-certificate/sec1eKPs4tAAmMMi9dgP","Завантажити сертифікат")</f>
        <v>Завантажити сертифікат</v>
      </c>
    </row>
    <row r="700" spans="1:5" x14ac:dyDescent="0.3">
      <c r="A700" s="2" t="s">
        <v>1437</v>
      </c>
      <c r="B700" s="2" t="s">
        <v>5</v>
      </c>
      <c r="C700" s="2" t="s">
        <v>1438</v>
      </c>
      <c r="D700" s="2" t="s">
        <v>1426</v>
      </c>
      <c r="E700" s="2" t="str">
        <f>HYPERLINK("https://talan.bank.gov.ua/get-user-certificate/sec1eVcxx49Iph-EyK5h","Завантажити сертифікат")</f>
        <v>Завантажити сертифікат</v>
      </c>
    </row>
    <row r="701" spans="1:5" x14ac:dyDescent="0.3">
      <c r="A701" s="2" t="s">
        <v>1439</v>
      </c>
      <c r="B701" s="2" t="s">
        <v>5</v>
      </c>
      <c r="C701" s="2" t="s">
        <v>1440</v>
      </c>
      <c r="D701" s="2" t="s">
        <v>1426</v>
      </c>
      <c r="E701" s="2" t="str">
        <f>HYPERLINK("https://talan.bank.gov.ua/get-user-certificate/sec1ejJuYN7Q9TxMHCTK","Завантажити сертифікат")</f>
        <v>Завантажити сертифікат</v>
      </c>
    </row>
    <row r="702" spans="1:5" x14ac:dyDescent="0.3">
      <c r="A702" s="2" t="s">
        <v>1441</v>
      </c>
      <c r="B702" s="2" t="s">
        <v>5</v>
      </c>
      <c r="C702" s="2" t="s">
        <v>1442</v>
      </c>
      <c r="D702" s="2" t="s">
        <v>1426</v>
      </c>
      <c r="E702" s="2" t="str">
        <f>HYPERLINK("https://talan.bank.gov.ua/get-user-certificate/sec1ef5YLooBXfAWtKgn","Завантажити сертифікат")</f>
        <v>Завантажити сертифікат</v>
      </c>
    </row>
    <row r="703" spans="1:5" x14ac:dyDescent="0.3">
      <c r="A703" s="2" t="s">
        <v>1443</v>
      </c>
      <c r="B703" s="2" t="s">
        <v>5</v>
      </c>
      <c r="C703" s="2" t="s">
        <v>1444</v>
      </c>
      <c r="D703" s="2" t="s">
        <v>1426</v>
      </c>
      <c r="E703" s="2" t="str">
        <f>HYPERLINK("https://talan.bank.gov.ua/get-user-certificate/sec1e8cBI32UA-ZbxNcd","Завантажити сертифікат")</f>
        <v>Завантажити сертифікат</v>
      </c>
    </row>
    <row r="704" spans="1:5" x14ac:dyDescent="0.3">
      <c r="A704" s="2" t="s">
        <v>1445</v>
      </c>
      <c r="B704" s="2" t="s">
        <v>5</v>
      </c>
      <c r="C704" s="2" t="s">
        <v>1446</v>
      </c>
      <c r="D704" s="2" t="s">
        <v>1426</v>
      </c>
      <c r="E704" s="2" t="str">
        <f>HYPERLINK("https://talan.bank.gov.ua/get-user-certificate/sec1e9AQEPAhJS0kgpJK","Завантажити сертифікат")</f>
        <v>Завантажити сертифікат</v>
      </c>
    </row>
    <row r="705" spans="1:5" x14ac:dyDescent="0.3">
      <c r="A705" s="2" t="s">
        <v>1447</v>
      </c>
      <c r="B705" s="2" t="s">
        <v>5</v>
      </c>
      <c r="C705" s="2" t="s">
        <v>1448</v>
      </c>
      <c r="D705" s="2" t="s">
        <v>1426</v>
      </c>
      <c r="E705" s="2" t="str">
        <f>HYPERLINK("https://talan.bank.gov.ua/get-user-certificate/sec1eAvaj16-xnpJ_UKK","Завантажити сертифікат")</f>
        <v>Завантажити сертифікат</v>
      </c>
    </row>
    <row r="706" spans="1:5" x14ac:dyDescent="0.3">
      <c r="A706" s="2" t="s">
        <v>1449</v>
      </c>
      <c r="B706" s="2" t="s">
        <v>5</v>
      </c>
      <c r="C706" s="2" t="s">
        <v>1450</v>
      </c>
      <c r="D706" s="2" t="s">
        <v>1426</v>
      </c>
      <c r="E706" s="2" t="str">
        <f>HYPERLINK("https://talan.bank.gov.ua/get-user-certificate/sec1eiFrIlLOjnN_gvzm","Завантажити сертифікат")</f>
        <v>Завантажити сертифікат</v>
      </c>
    </row>
    <row r="707" spans="1:5" x14ac:dyDescent="0.3">
      <c r="A707" s="2" t="s">
        <v>1451</v>
      </c>
      <c r="B707" s="2" t="s">
        <v>5</v>
      </c>
      <c r="C707" s="2" t="s">
        <v>1452</v>
      </c>
      <c r="D707" s="2" t="s">
        <v>1426</v>
      </c>
      <c r="E707" s="2" t="str">
        <f>HYPERLINK("https://talan.bank.gov.ua/get-user-certificate/sec1esIokd5wXCyh5MZR","Завантажити сертифікат")</f>
        <v>Завантажити сертифікат</v>
      </c>
    </row>
    <row r="708" spans="1:5" x14ac:dyDescent="0.3">
      <c r="A708" s="2" t="s">
        <v>1453</v>
      </c>
      <c r="B708" s="2" t="s">
        <v>5</v>
      </c>
      <c r="C708" s="2" t="s">
        <v>1454</v>
      </c>
      <c r="D708" s="2" t="s">
        <v>1426</v>
      </c>
      <c r="E708" s="2" t="str">
        <f>HYPERLINK("https://talan.bank.gov.ua/get-user-certificate/sec1eRLCk8WuboI8ol4N","Завантажити сертифікат")</f>
        <v>Завантажити сертифікат</v>
      </c>
    </row>
    <row r="709" spans="1:5" x14ac:dyDescent="0.3">
      <c r="A709" s="2" t="s">
        <v>1455</v>
      </c>
      <c r="B709" s="2" t="s">
        <v>5</v>
      </c>
      <c r="C709" s="2" t="s">
        <v>1456</v>
      </c>
      <c r="D709" s="2" t="s">
        <v>1426</v>
      </c>
      <c r="E709" s="2" t="str">
        <f>HYPERLINK("https://talan.bank.gov.ua/get-user-certificate/sec1eOt1pWWGsTqowD86","Завантажити сертифікат")</f>
        <v>Завантажити сертифікат</v>
      </c>
    </row>
    <row r="710" spans="1:5" x14ac:dyDescent="0.3">
      <c r="A710" s="2" t="s">
        <v>1457</v>
      </c>
      <c r="B710" s="2" t="s">
        <v>5</v>
      </c>
      <c r="C710" s="2" t="s">
        <v>1458</v>
      </c>
      <c r="D710" s="2" t="s">
        <v>1426</v>
      </c>
      <c r="E710" s="2" t="str">
        <f>HYPERLINK("https://talan.bank.gov.ua/get-user-certificate/sec1ev56YmutPX6VgKp4","Завантажити сертифікат")</f>
        <v>Завантажити сертифікат</v>
      </c>
    </row>
    <row r="711" spans="1:5" x14ac:dyDescent="0.3">
      <c r="A711" s="2" t="s">
        <v>1459</v>
      </c>
      <c r="B711" s="2" t="s">
        <v>5</v>
      </c>
      <c r="C711" s="2" t="s">
        <v>1460</v>
      </c>
      <c r="D711" s="2" t="s">
        <v>1426</v>
      </c>
      <c r="E711" s="2" t="str">
        <f>HYPERLINK("https://talan.bank.gov.ua/get-user-certificate/sec1ePNP3TxgpKKpKY1f","Завантажити сертифікат")</f>
        <v>Завантажити сертифікат</v>
      </c>
    </row>
    <row r="712" spans="1:5" x14ac:dyDescent="0.3">
      <c r="A712" s="2" t="s">
        <v>1461</v>
      </c>
      <c r="B712" s="2" t="s">
        <v>5</v>
      </c>
      <c r="C712" s="2" t="s">
        <v>1462</v>
      </c>
      <c r="D712" s="2" t="s">
        <v>1426</v>
      </c>
      <c r="E712" s="2" t="str">
        <f>HYPERLINK("https://talan.bank.gov.ua/get-user-certificate/sec1eKMT3RB0QJz9xH-z","Завантажити сертифікат")</f>
        <v>Завантажити сертифікат</v>
      </c>
    </row>
    <row r="713" spans="1:5" x14ac:dyDescent="0.3">
      <c r="A713" s="2" t="s">
        <v>1463</v>
      </c>
      <c r="B713" s="2" t="s">
        <v>5</v>
      </c>
      <c r="C713" s="2" t="s">
        <v>1464</v>
      </c>
      <c r="D713" s="2" t="s">
        <v>1426</v>
      </c>
      <c r="E713" s="2" t="str">
        <f>HYPERLINK("https://talan.bank.gov.ua/get-user-certificate/sec1eG53S9_OUfh1AgDk","Завантажити сертифікат")</f>
        <v>Завантажити сертифікат</v>
      </c>
    </row>
    <row r="714" spans="1:5" x14ac:dyDescent="0.3">
      <c r="A714" s="2" t="s">
        <v>1465</v>
      </c>
      <c r="B714" s="2" t="s">
        <v>5</v>
      </c>
      <c r="C714" s="2" t="s">
        <v>1466</v>
      </c>
      <c r="D714" s="2" t="s">
        <v>1426</v>
      </c>
      <c r="E714" s="2" t="str">
        <f>HYPERLINK("https://talan.bank.gov.ua/get-user-certificate/sec1enysxvO9b0-fx20o","Завантажити сертифікат")</f>
        <v>Завантажити сертифікат</v>
      </c>
    </row>
    <row r="715" spans="1:5" x14ac:dyDescent="0.3">
      <c r="A715" s="2" t="s">
        <v>1467</v>
      </c>
      <c r="B715" s="2" t="s">
        <v>5</v>
      </c>
      <c r="C715" s="2" t="s">
        <v>1468</v>
      </c>
      <c r="D715" s="2" t="s">
        <v>1426</v>
      </c>
      <c r="E715" s="2" t="str">
        <f>HYPERLINK("https://talan.bank.gov.ua/get-user-certificate/sec1eO8dY3tZVIJZXEar","Завантажити сертифікат")</f>
        <v>Завантажити сертифікат</v>
      </c>
    </row>
    <row r="716" spans="1:5" x14ac:dyDescent="0.3">
      <c r="A716" s="2" t="s">
        <v>1469</v>
      </c>
      <c r="B716" s="2" t="s">
        <v>5</v>
      </c>
      <c r="C716" s="2" t="s">
        <v>1470</v>
      </c>
      <c r="D716" s="2" t="s">
        <v>1426</v>
      </c>
      <c r="E716" s="2" t="str">
        <f>HYPERLINK("https://talan.bank.gov.ua/get-user-certificate/sec1eGrn1V_dlyQooVrv","Завантажити сертифікат")</f>
        <v>Завантажити сертифікат</v>
      </c>
    </row>
    <row r="717" spans="1:5" x14ac:dyDescent="0.3">
      <c r="A717" s="2" t="s">
        <v>1471</v>
      </c>
      <c r="B717" s="2" t="s">
        <v>5</v>
      </c>
      <c r="C717" s="2" t="s">
        <v>1472</v>
      </c>
      <c r="D717" s="2" t="s">
        <v>1426</v>
      </c>
      <c r="E717" s="2" t="str">
        <f>HYPERLINK("https://talan.bank.gov.ua/get-user-certificate/sec1envIpI_S0NOyisL8","Завантажити сертифікат")</f>
        <v>Завантажити сертифікат</v>
      </c>
    </row>
    <row r="718" spans="1:5" x14ac:dyDescent="0.3">
      <c r="A718" s="2" t="s">
        <v>1473</v>
      </c>
      <c r="B718" s="2" t="s">
        <v>5</v>
      </c>
      <c r="C718" s="2" t="s">
        <v>1474</v>
      </c>
      <c r="D718" s="2" t="s">
        <v>1426</v>
      </c>
      <c r="E718" s="2" t="str">
        <f>HYPERLINK("https://talan.bank.gov.ua/get-user-certificate/sec1eyboeFZ6w6Hy07z_","Завантажити сертифікат")</f>
        <v>Завантажити сертифікат</v>
      </c>
    </row>
    <row r="719" spans="1:5" x14ac:dyDescent="0.3">
      <c r="A719" s="2" t="s">
        <v>1475</v>
      </c>
      <c r="B719" s="2" t="s">
        <v>5</v>
      </c>
      <c r="C719" s="2" t="s">
        <v>1476</v>
      </c>
      <c r="D719" s="2" t="s">
        <v>1477</v>
      </c>
      <c r="E719" s="2" t="str">
        <f>HYPERLINK("https://talan.bank.gov.ua/get-user-certificate/sec1eugKwUTVzcyzKBsk","Завантажити сертифікат")</f>
        <v>Завантажити сертифікат</v>
      </c>
    </row>
    <row r="720" spans="1:5" x14ac:dyDescent="0.3">
      <c r="A720" s="2" t="s">
        <v>1478</v>
      </c>
      <c r="B720" s="2" t="s">
        <v>5</v>
      </c>
      <c r="C720" s="2" t="s">
        <v>1479</v>
      </c>
      <c r="D720" s="2" t="s">
        <v>1477</v>
      </c>
      <c r="E720" s="2" t="str">
        <f>HYPERLINK("https://talan.bank.gov.ua/get-user-certificate/sec1ehbL68FKRciTz4hk","Завантажити сертифікат")</f>
        <v>Завантажити сертифікат</v>
      </c>
    </row>
    <row r="721" spans="1:5" x14ac:dyDescent="0.3">
      <c r="A721" s="2" t="s">
        <v>1480</v>
      </c>
      <c r="B721" s="2" t="s">
        <v>5</v>
      </c>
      <c r="C721" s="2" t="s">
        <v>1481</v>
      </c>
      <c r="D721" s="2" t="s">
        <v>1477</v>
      </c>
      <c r="E721" s="2" t="str">
        <f>HYPERLINK("https://talan.bank.gov.ua/get-user-certificate/sec1eCyDIu75wjs32Fqa","Завантажити сертифікат")</f>
        <v>Завантажити сертифікат</v>
      </c>
    </row>
    <row r="722" spans="1:5" x14ac:dyDescent="0.3">
      <c r="A722" s="2" t="s">
        <v>1482</v>
      </c>
      <c r="B722" s="2" t="s">
        <v>5</v>
      </c>
      <c r="C722" s="2" t="s">
        <v>1483</v>
      </c>
      <c r="D722" s="2" t="s">
        <v>1477</v>
      </c>
      <c r="E722" s="2" t="str">
        <f>HYPERLINK("https://talan.bank.gov.ua/get-user-certificate/sec1euj02qo0lX2l-K9n","Завантажити сертифікат")</f>
        <v>Завантажити сертифікат</v>
      </c>
    </row>
    <row r="723" spans="1:5" x14ac:dyDescent="0.3">
      <c r="A723" s="2" t="s">
        <v>1484</v>
      </c>
      <c r="B723" s="2" t="s">
        <v>5</v>
      </c>
      <c r="C723" s="2" t="s">
        <v>1485</v>
      </c>
      <c r="D723" s="2" t="s">
        <v>1477</v>
      </c>
      <c r="E723" s="2" t="str">
        <f>HYPERLINK("https://talan.bank.gov.ua/get-user-certificate/sec1emCITskr7NaaEPWI","Завантажити сертифікат")</f>
        <v>Завантажити сертифікат</v>
      </c>
    </row>
    <row r="724" spans="1:5" x14ac:dyDescent="0.3">
      <c r="A724" s="2" t="s">
        <v>1486</v>
      </c>
      <c r="B724" s="2" t="s">
        <v>5</v>
      </c>
      <c r="C724" s="2" t="s">
        <v>1487</v>
      </c>
      <c r="D724" s="2" t="s">
        <v>1477</v>
      </c>
      <c r="E724" s="2" t="str">
        <f>HYPERLINK("https://talan.bank.gov.ua/get-user-certificate/sec1ev0Rc4jw7D6MaPKv","Завантажити сертифікат")</f>
        <v>Завантажити сертифікат</v>
      </c>
    </row>
    <row r="725" spans="1:5" x14ac:dyDescent="0.3">
      <c r="A725" s="2" t="s">
        <v>1488</v>
      </c>
      <c r="B725" s="2" t="s">
        <v>5</v>
      </c>
      <c r="C725" s="2" t="s">
        <v>1489</v>
      </c>
      <c r="D725" s="2" t="s">
        <v>1477</v>
      </c>
      <c r="E725" s="2" t="str">
        <f>HYPERLINK("https://talan.bank.gov.ua/get-user-certificate/sec1e_klqGiIX6RESZAC","Завантажити сертифікат")</f>
        <v>Завантажити сертифікат</v>
      </c>
    </row>
    <row r="726" spans="1:5" x14ac:dyDescent="0.3">
      <c r="A726" s="2" t="s">
        <v>1490</v>
      </c>
      <c r="B726" s="2" t="s">
        <v>5</v>
      </c>
      <c r="C726" s="2" t="s">
        <v>1491</v>
      </c>
      <c r="D726" s="2" t="s">
        <v>1477</v>
      </c>
      <c r="E726" s="2" t="str">
        <f>HYPERLINK("https://talan.bank.gov.ua/get-user-certificate/sec1eAZhbZ8n42_RKRvt","Завантажити сертифікат")</f>
        <v>Завантажити сертифікат</v>
      </c>
    </row>
    <row r="727" spans="1:5" x14ac:dyDescent="0.3">
      <c r="A727" s="2" t="s">
        <v>1492</v>
      </c>
      <c r="B727" s="2" t="s">
        <v>5</v>
      </c>
      <c r="C727" s="2" t="s">
        <v>1493</v>
      </c>
      <c r="D727" s="2" t="s">
        <v>1477</v>
      </c>
      <c r="E727" s="2" t="str">
        <f>HYPERLINK("https://talan.bank.gov.ua/get-user-certificate/sec1e1jYDFPAgd_KHa9M","Завантажити сертифікат")</f>
        <v>Завантажити сертифікат</v>
      </c>
    </row>
    <row r="728" spans="1:5" x14ac:dyDescent="0.3">
      <c r="A728" s="2" t="s">
        <v>1494</v>
      </c>
      <c r="B728" s="2" t="s">
        <v>5</v>
      </c>
      <c r="C728" s="2" t="s">
        <v>1495</v>
      </c>
      <c r="D728" s="2" t="s">
        <v>1477</v>
      </c>
      <c r="E728" s="2" t="str">
        <f>HYPERLINK("https://talan.bank.gov.ua/get-user-certificate/sec1eysiRmQUB5OplKUD","Завантажити сертифікат")</f>
        <v>Завантажити сертифікат</v>
      </c>
    </row>
    <row r="729" spans="1:5" x14ac:dyDescent="0.3">
      <c r="A729" s="2" t="s">
        <v>1496</v>
      </c>
      <c r="B729" s="2" t="s">
        <v>5</v>
      </c>
      <c r="C729" s="2" t="s">
        <v>1497</v>
      </c>
      <c r="D729" s="2" t="s">
        <v>1477</v>
      </c>
      <c r="E729" s="2" t="str">
        <f>HYPERLINK("https://talan.bank.gov.ua/get-user-certificate/sec1ewhB6yDmArQIk2o-","Завантажити сертифікат")</f>
        <v>Завантажити сертифікат</v>
      </c>
    </row>
    <row r="730" spans="1:5" x14ac:dyDescent="0.3">
      <c r="A730" s="2" t="s">
        <v>1498</v>
      </c>
      <c r="B730" s="2" t="s">
        <v>5</v>
      </c>
      <c r="C730" s="2" t="s">
        <v>1499</v>
      </c>
      <c r="D730" s="2" t="s">
        <v>1477</v>
      </c>
      <c r="E730" s="2" t="str">
        <f>HYPERLINK("https://talan.bank.gov.ua/get-user-certificate/sec1exWM4BP5g0RKAWwu","Завантажити сертифікат")</f>
        <v>Завантажити сертифікат</v>
      </c>
    </row>
    <row r="731" spans="1:5" x14ac:dyDescent="0.3">
      <c r="A731" s="2" t="s">
        <v>1500</v>
      </c>
      <c r="B731" s="2" t="s">
        <v>5</v>
      </c>
      <c r="C731" s="2" t="s">
        <v>1501</v>
      </c>
      <c r="D731" s="2" t="s">
        <v>1477</v>
      </c>
      <c r="E731" s="2" t="str">
        <f>HYPERLINK("https://talan.bank.gov.ua/get-user-certificate/sec1e1jisuX6-9P7xVNf","Завантажити сертифікат")</f>
        <v>Завантажити сертифікат</v>
      </c>
    </row>
    <row r="732" spans="1:5" x14ac:dyDescent="0.3">
      <c r="A732" s="2" t="s">
        <v>1502</v>
      </c>
      <c r="B732" s="2" t="s">
        <v>5</v>
      </c>
      <c r="C732" s="2" t="s">
        <v>1503</v>
      </c>
      <c r="D732" s="2" t="s">
        <v>1477</v>
      </c>
      <c r="E732" s="2" t="str">
        <f>HYPERLINK("https://talan.bank.gov.ua/get-user-certificate/sec1eRP0A4LK9yIXpOt9","Завантажити сертифікат")</f>
        <v>Завантажити сертифікат</v>
      </c>
    </row>
    <row r="733" spans="1:5" x14ac:dyDescent="0.3">
      <c r="A733" s="2" t="s">
        <v>1504</v>
      </c>
      <c r="B733" s="2" t="s">
        <v>5</v>
      </c>
      <c r="C733" s="2" t="s">
        <v>1505</v>
      </c>
      <c r="D733" s="2" t="s">
        <v>1477</v>
      </c>
      <c r="E733" s="2" t="str">
        <f>HYPERLINK("https://talan.bank.gov.ua/get-user-certificate/sec1e2KFFhK7UfuhC0Qz","Завантажити сертифікат")</f>
        <v>Завантажити сертифікат</v>
      </c>
    </row>
    <row r="734" spans="1:5" x14ac:dyDescent="0.3">
      <c r="A734" s="2" t="s">
        <v>1506</v>
      </c>
      <c r="B734" s="2" t="s">
        <v>5</v>
      </c>
      <c r="C734" s="2" t="s">
        <v>1507</v>
      </c>
      <c r="D734" s="2" t="s">
        <v>1477</v>
      </c>
      <c r="E734" s="2" t="str">
        <f>HYPERLINK("https://talan.bank.gov.ua/get-user-certificate/sec1e32c9KYfMJoLZajF","Завантажити сертифікат")</f>
        <v>Завантажити сертифікат</v>
      </c>
    </row>
    <row r="735" spans="1:5" x14ac:dyDescent="0.3">
      <c r="A735" s="2" t="s">
        <v>1508</v>
      </c>
      <c r="B735" s="2" t="s">
        <v>5</v>
      </c>
      <c r="C735" s="2" t="s">
        <v>1509</v>
      </c>
      <c r="D735" s="2" t="s">
        <v>1477</v>
      </c>
      <c r="E735" s="2" t="str">
        <f>HYPERLINK("https://talan.bank.gov.ua/get-user-certificate/sec1eGEUVsv1pojcXshR","Завантажити сертифікат")</f>
        <v>Завантажити сертифікат</v>
      </c>
    </row>
    <row r="736" spans="1:5" x14ac:dyDescent="0.3">
      <c r="A736" s="2" t="s">
        <v>1510</v>
      </c>
      <c r="B736" s="2" t="s">
        <v>5</v>
      </c>
      <c r="C736" s="2" t="s">
        <v>1511</v>
      </c>
      <c r="D736" s="2" t="s">
        <v>1477</v>
      </c>
      <c r="E736" s="2" t="str">
        <f>HYPERLINK("https://talan.bank.gov.ua/get-user-certificate/sec1eXE9gwxdX0vejgYJ","Завантажити сертифікат")</f>
        <v>Завантажити сертифікат</v>
      </c>
    </row>
    <row r="737" spans="1:5" x14ac:dyDescent="0.3">
      <c r="A737" s="2" t="s">
        <v>1512</v>
      </c>
      <c r="B737" s="2" t="s">
        <v>5</v>
      </c>
      <c r="C737" s="2" t="s">
        <v>1513</v>
      </c>
      <c r="D737" s="2" t="s">
        <v>1477</v>
      </c>
      <c r="E737" s="2" t="str">
        <f>HYPERLINK("https://talan.bank.gov.ua/get-user-certificate/sec1eLZhHMoyBqI8rJvY","Завантажити сертифікат")</f>
        <v>Завантажити сертифікат</v>
      </c>
    </row>
    <row r="738" spans="1:5" x14ac:dyDescent="0.3">
      <c r="A738" s="2" t="s">
        <v>1514</v>
      </c>
      <c r="B738" s="2" t="s">
        <v>5</v>
      </c>
      <c r="C738" s="2" t="s">
        <v>1515</v>
      </c>
      <c r="D738" s="2" t="s">
        <v>1477</v>
      </c>
      <c r="E738" s="2" t="str">
        <f>HYPERLINK("https://talan.bank.gov.ua/get-user-certificate/sec1eFu8gU4m5exeTafl","Завантажити сертифікат")</f>
        <v>Завантажити сертифікат</v>
      </c>
    </row>
    <row r="739" spans="1:5" x14ac:dyDescent="0.3">
      <c r="A739" s="2" t="s">
        <v>1516</v>
      </c>
      <c r="B739" s="2" t="s">
        <v>5</v>
      </c>
      <c r="C739" s="2" t="s">
        <v>1517</v>
      </c>
      <c r="D739" s="2" t="s">
        <v>1477</v>
      </c>
      <c r="E739" s="2" t="str">
        <f>HYPERLINK("https://talan.bank.gov.ua/get-user-certificate/sec1eFLh2lm8E_3xoT3i","Завантажити сертифікат")</f>
        <v>Завантажити сертифікат</v>
      </c>
    </row>
    <row r="740" spans="1:5" x14ac:dyDescent="0.3">
      <c r="A740" s="2" t="s">
        <v>1518</v>
      </c>
      <c r="B740" s="2" t="s">
        <v>5</v>
      </c>
      <c r="C740" s="2" t="s">
        <v>1519</v>
      </c>
      <c r="D740" s="2" t="s">
        <v>1477</v>
      </c>
      <c r="E740" s="2" t="str">
        <f>HYPERLINK("https://talan.bank.gov.ua/get-user-certificate/sec1ed04PvjmoPGSvLmq","Завантажити сертифікат")</f>
        <v>Завантажити сертифікат</v>
      </c>
    </row>
    <row r="741" spans="1:5" x14ac:dyDescent="0.3">
      <c r="A741" s="2" t="s">
        <v>1520</v>
      </c>
      <c r="B741" s="2" t="s">
        <v>5</v>
      </c>
      <c r="C741" s="2" t="s">
        <v>1521</v>
      </c>
      <c r="D741" s="2" t="s">
        <v>1477</v>
      </c>
      <c r="E741" s="2" t="str">
        <f>HYPERLINK("https://talan.bank.gov.ua/get-user-certificate/sec1eKl3IhT2YE27iqeS","Завантажити сертифікат")</f>
        <v>Завантажити сертифікат</v>
      </c>
    </row>
    <row r="742" spans="1:5" x14ac:dyDescent="0.3">
      <c r="A742" s="2" t="s">
        <v>1522</v>
      </c>
      <c r="B742" s="2" t="s">
        <v>5</v>
      </c>
      <c r="C742" s="2" t="s">
        <v>1523</v>
      </c>
      <c r="D742" s="2" t="s">
        <v>1524</v>
      </c>
      <c r="E742" s="2" t="str">
        <f>HYPERLINK("https://talan.bank.gov.ua/get-user-certificate/sec1eIGXaUps1yAUuu1W","Завантажити сертифікат")</f>
        <v>Завантажити сертифікат</v>
      </c>
    </row>
    <row r="743" spans="1:5" x14ac:dyDescent="0.3">
      <c r="A743" s="2" t="s">
        <v>1525</v>
      </c>
      <c r="B743" s="2" t="s">
        <v>5</v>
      </c>
      <c r="C743" s="2" t="s">
        <v>1526</v>
      </c>
      <c r="D743" s="2" t="s">
        <v>1524</v>
      </c>
      <c r="E743" s="2" t="str">
        <f>HYPERLINK("https://talan.bank.gov.ua/get-user-certificate/sec1eTxN55lUWSMSBm3n","Завантажити сертифікат")</f>
        <v>Завантажити сертифікат</v>
      </c>
    </row>
    <row r="744" spans="1:5" x14ac:dyDescent="0.3">
      <c r="A744" s="2" t="s">
        <v>1527</v>
      </c>
      <c r="B744" s="2" t="s">
        <v>5</v>
      </c>
      <c r="C744" s="2" t="s">
        <v>1528</v>
      </c>
      <c r="D744" s="2" t="s">
        <v>1524</v>
      </c>
      <c r="E744" s="2" t="str">
        <f>HYPERLINK("https://talan.bank.gov.ua/get-user-certificate/sec1eftjMTfmvNUiOctJ","Завантажити сертифікат")</f>
        <v>Завантажити сертифікат</v>
      </c>
    </row>
    <row r="745" spans="1:5" x14ac:dyDescent="0.3">
      <c r="A745" s="2" t="s">
        <v>1529</v>
      </c>
      <c r="B745" s="2" t="s">
        <v>5</v>
      </c>
      <c r="C745" s="2" t="s">
        <v>1530</v>
      </c>
      <c r="D745" s="2" t="s">
        <v>1524</v>
      </c>
      <c r="E745" s="2" t="str">
        <f>HYPERLINK("https://talan.bank.gov.ua/get-user-certificate/sec1ePrglBJGWZsL7z5M","Завантажити сертифікат")</f>
        <v>Завантажити сертифікат</v>
      </c>
    </row>
    <row r="746" spans="1:5" x14ac:dyDescent="0.3">
      <c r="A746" s="2" t="s">
        <v>1531</v>
      </c>
      <c r="B746" s="2" t="s">
        <v>5</v>
      </c>
      <c r="C746" s="2" t="s">
        <v>1532</v>
      </c>
      <c r="D746" s="2" t="s">
        <v>1524</v>
      </c>
      <c r="E746" s="2" t="str">
        <f>HYPERLINK("https://talan.bank.gov.ua/get-user-certificate/sec1ePe9Va6gMkqBxAp_","Завантажити сертифікат")</f>
        <v>Завантажити сертифікат</v>
      </c>
    </row>
    <row r="747" spans="1:5" x14ac:dyDescent="0.3">
      <c r="A747" s="2" t="s">
        <v>1533</v>
      </c>
      <c r="B747" s="2" t="s">
        <v>5</v>
      </c>
      <c r="C747" s="2" t="s">
        <v>1534</v>
      </c>
      <c r="D747" s="2" t="s">
        <v>1524</v>
      </c>
      <c r="E747" s="2" t="str">
        <f>HYPERLINK("https://talan.bank.gov.ua/get-user-certificate/sec1eOZKKA47onu5_ovi","Завантажити сертифікат")</f>
        <v>Завантажити сертифікат</v>
      </c>
    </row>
    <row r="748" spans="1:5" x14ac:dyDescent="0.3">
      <c r="A748" t="s">
        <v>1535</v>
      </c>
      <c r="B748" t="s">
        <v>5</v>
      </c>
      <c r="C748" t="s">
        <v>10262</v>
      </c>
      <c r="D748" t="s">
        <v>1524</v>
      </c>
      <c r="E748" t="str">
        <f>HYPERLINK("https://talan.bank.gov.ua/get-user-certificate/5WlKZGAI5E4m8x5AZbdU","Завантажити сертифікат")</f>
        <v>Завантажити сертифікат</v>
      </c>
    </row>
    <row r="749" spans="1:5" x14ac:dyDescent="0.3">
      <c r="A749" s="2" t="s">
        <v>1536</v>
      </c>
      <c r="B749" s="2" t="s">
        <v>5</v>
      </c>
      <c r="C749" s="2" t="s">
        <v>1537</v>
      </c>
      <c r="D749" s="2" t="s">
        <v>1524</v>
      </c>
      <c r="E749" s="2" t="str">
        <f>HYPERLINK("https://talan.bank.gov.ua/get-user-certificate/sec1eI27Dx1OC4jfgIYQ","Завантажити сертифікат")</f>
        <v>Завантажити сертифікат</v>
      </c>
    </row>
    <row r="750" spans="1:5" x14ac:dyDescent="0.3">
      <c r="A750" s="2" t="s">
        <v>1538</v>
      </c>
      <c r="B750" s="2" t="s">
        <v>5</v>
      </c>
      <c r="C750" s="2" t="s">
        <v>1539</v>
      </c>
      <c r="D750" s="2" t="s">
        <v>1524</v>
      </c>
      <c r="E750" s="2" t="str">
        <f>HYPERLINK("https://talan.bank.gov.ua/get-user-certificate/sec1eK_N46HsdJAL5x0C","Завантажити сертифікат")</f>
        <v>Завантажити сертифікат</v>
      </c>
    </row>
    <row r="751" spans="1:5" x14ac:dyDescent="0.3">
      <c r="A751" s="2" t="s">
        <v>1540</v>
      </c>
      <c r="B751" s="2" t="s">
        <v>5</v>
      </c>
      <c r="C751" s="2" t="s">
        <v>1541</v>
      </c>
      <c r="D751" s="2" t="s">
        <v>1524</v>
      </c>
      <c r="E751" s="2" t="str">
        <f>HYPERLINK("https://talan.bank.gov.ua/get-user-certificate/sec1etx1o73akpo5uvB-","Завантажити сертифікат")</f>
        <v>Завантажити сертифікат</v>
      </c>
    </row>
    <row r="752" spans="1:5" x14ac:dyDescent="0.3">
      <c r="A752" s="2" t="s">
        <v>1542</v>
      </c>
      <c r="B752" s="2" t="s">
        <v>5</v>
      </c>
      <c r="C752" s="2" t="s">
        <v>1543</v>
      </c>
      <c r="D752" s="2" t="s">
        <v>1524</v>
      </c>
      <c r="E752" s="2" t="str">
        <f>HYPERLINK("https://talan.bank.gov.ua/get-user-certificate/sec1eqPlpV132hGoL_rK","Завантажити сертифікат")</f>
        <v>Завантажити сертифікат</v>
      </c>
    </row>
    <row r="753" spans="1:5" x14ac:dyDescent="0.3">
      <c r="A753" s="2" t="s">
        <v>1544</v>
      </c>
      <c r="B753" s="2" t="s">
        <v>5</v>
      </c>
      <c r="C753" s="2" t="s">
        <v>1545</v>
      </c>
      <c r="D753" s="2" t="s">
        <v>1524</v>
      </c>
      <c r="E753" s="2" t="str">
        <f>HYPERLINK("https://talan.bank.gov.ua/get-user-certificate/sec1eAAtxaf_JuaJMU2t","Завантажити сертифікат")</f>
        <v>Завантажити сертифікат</v>
      </c>
    </row>
    <row r="754" spans="1:5" x14ac:dyDescent="0.3">
      <c r="A754" s="2" t="s">
        <v>1546</v>
      </c>
      <c r="B754" s="2" t="s">
        <v>5</v>
      </c>
      <c r="C754" s="2" t="s">
        <v>1547</v>
      </c>
      <c r="D754" s="2" t="s">
        <v>1524</v>
      </c>
      <c r="E754" s="2" t="str">
        <f>HYPERLINK("https://talan.bank.gov.ua/get-user-certificate/sec1eK3WP8sN_nfuZK7a","Завантажити сертифікат")</f>
        <v>Завантажити сертифікат</v>
      </c>
    </row>
    <row r="755" spans="1:5" x14ac:dyDescent="0.3">
      <c r="A755" s="2" t="s">
        <v>1548</v>
      </c>
      <c r="B755" s="2" t="s">
        <v>5</v>
      </c>
      <c r="C755" s="2" t="s">
        <v>1549</v>
      </c>
      <c r="D755" s="2" t="s">
        <v>1550</v>
      </c>
      <c r="E755" s="2" t="str">
        <f>HYPERLINK("https://talan.bank.gov.ua/get-user-certificate/sec1eswdNv6cz5hWu8qJ","Завантажити сертифікат")</f>
        <v>Завантажити сертифікат</v>
      </c>
    </row>
    <row r="756" spans="1:5" x14ac:dyDescent="0.3">
      <c r="A756" s="2" t="s">
        <v>1551</v>
      </c>
      <c r="B756" s="2" t="s">
        <v>5</v>
      </c>
      <c r="C756" s="2" t="s">
        <v>1552</v>
      </c>
      <c r="D756" s="2" t="s">
        <v>1550</v>
      </c>
      <c r="E756" s="2" t="str">
        <f>HYPERLINK("https://talan.bank.gov.ua/get-user-certificate/sec1e9c0hk9Vel5F7LTk","Завантажити сертифікат")</f>
        <v>Завантажити сертифікат</v>
      </c>
    </row>
    <row r="757" spans="1:5" x14ac:dyDescent="0.3">
      <c r="A757" s="2" t="s">
        <v>1553</v>
      </c>
      <c r="B757" s="2" t="s">
        <v>5</v>
      </c>
      <c r="C757" s="2" t="s">
        <v>1554</v>
      </c>
      <c r="D757" s="2" t="s">
        <v>1550</v>
      </c>
      <c r="E757" s="2" t="str">
        <f>HYPERLINK("https://talan.bank.gov.ua/get-user-certificate/sec1eZMK_DZxs65OHmUK","Завантажити сертифікат")</f>
        <v>Завантажити сертифікат</v>
      </c>
    </row>
    <row r="758" spans="1:5" x14ac:dyDescent="0.3">
      <c r="A758" s="2" t="s">
        <v>1555</v>
      </c>
      <c r="B758" s="2" t="s">
        <v>5</v>
      </c>
      <c r="C758" s="2" t="s">
        <v>1556</v>
      </c>
      <c r="D758" s="2" t="s">
        <v>1550</v>
      </c>
      <c r="E758" s="2" t="str">
        <f>HYPERLINK("https://talan.bank.gov.ua/get-user-certificate/sec1elGbfAZQ7ufX1SXl","Завантажити сертифікат")</f>
        <v>Завантажити сертифікат</v>
      </c>
    </row>
    <row r="759" spans="1:5" x14ac:dyDescent="0.3">
      <c r="A759" s="2" t="s">
        <v>1557</v>
      </c>
      <c r="B759" s="2" t="s">
        <v>5</v>
      </c>
      <c r="C759" s="2" t="s">
        <v>1558</v>
      </c>
      <c r="D759" s="2" t="s">
        <v>1550</v>
      </c>
      <c r="E759" s="2" t="str">
        <f>HYPERLINK("https://talan.bank.gov.ua/get-user-certificate/sec1eCHwMfO_EWhKWtvE","Завантажити сертифікат")</f>
        <v>Завантажити сертифікат</v>
      </c>
    </row>
    <row r="760" spans="1:5" x14ac:dyDescent="0.3">
      <c r="A760" s="2" t="s">
        <v>1559</v>
      </c>
      <c r="B760" s="2" t="s">
        <v>5</v>
      </c>
      <c r="C760" s="2" t="s">
        <v>1560</v>
      </c>
      <c r="D760" s="2" t="s">
        <v>1550</v>
      </c>
      <c r="E760" s="2" t="str">
        <f>HYPERLINK("https://talan.bank.gov.ua/get-user-certificate/sec1e-_PtMo4fgo2yqmj","Завантажити сертифікат")</f>
        <v>Завантажити сертифікат</v>
      </c>
    </row>
    <row r="761" spans="1:5" x14ac:dyDescent="0.3">
      <c r="A761" s="2" t="s">
        <v>1561</v>
      </c>
      <c r="B761" s="2" t="s">
        <v>5</v>
      </c>
      <c r="C761" s="2" t="s">
        <v>1562</v>
      </c>
      <c r="D761" s="2" t="s">
        <v>1550</v>
      </c>
      <c r="E761" s="2" t="str">
        <f>HYPERLINK("https://talan.bank.gov.ua/get-user-certificate/sec1epoDsSVo78CuIaEH","Завантажити сертифікат")</f>
        <v>Завантажити сертифікат</v>
      </c>
    </row>
    <row r="762" spans="1:5" x14ac:dyDescent="0.3">
      <c r="A762" s="2" t="s">
        <v>1563</v>
      </c>
      <c r="B762" s="2" t="s">
        <v>5</v>
      </c>
      <c r="C762" s="2" t="s">
        <v>1564</v>
      </c>
      <c r="D762" s="2" t="s">
        <v>1550</v>
      </c>
      <c r="E762" s="2" t="str">
        <f>HYPERLINK("https://talan.bank.gov.ua/get-user-certificate/sec1euqMA2cLYSHjA-ng","Завантажити сертифікат")</f>
        <v>Завантажити сертифікат</v>
      </c>
    </row>
    <row r="763" spans="1:5" x14ac:dyDescent="0.3">
      <c r="A763" s="2" t="s">
        <v>1565</v>
      </c>
      <c r="B763" s="2" t="s">
        <v>5</v>
      </c>
      <c r="C763" s="2" t="s">
        <v>1566</v>
      </c>
      <c r="D763" s="2" t="s">
        <v>1567</v>
      </c>
      <c r="E763" s="2" t="str">
        <f>HYPERLINK("https://talan.bank.gov.ua/get-user-certificate/sec1e_4_AB2ckirfiVOw","Завантажити сертифікат")</f>
        <v>Завантажити сертифікат</v>
      </c>
    </row>
    <row r="764" spans="1:5" x14ac:dyDescent="0.3">
      <c r="A764" s="2" t="s">
        <v>1568</v>
      </c>
      <c r="B764" s="2" t="s">
        <v>5</v>
      </c>
      <c r="C764" s="2" t="s">
        <v>1569</v>
      </c>
      <c r="D764" s="2" t="s">
        <v>1567</v>
      </c>
      <c r="E764" s="2" t="str">
        <f>HYPERLINK("https://talan.bank.gov.ua/get-user-certificate/sec1eBgmk2ykCUb8iN0_","Завантажити сертифікат")</f>
        <v>Завантажити сертифікат</v>
      </c>
    </row>
    <row r="765" spans="1:5" x14ac:dyDescent="0.3">
      <c r="A765" s="2" t="s">
        <v>1570</v>
      </c>
      <c r="B765" s="2" t="s">
        <v>5</v>
      </c>
      <c r="C765" s="2" t="s">
        <v>1571</v>
      </c>
      <c r="D765" s="2" t="s">
        <v>1567</v>
      </c>
      <c r="E765" s="2" t="str">
        <f>HYPERLINK("https://talan.bank.gov.ua/get-user-certificate/sec1eK-pjG1z9Hnmox_3","Завантажити сертифікат")</f>
        <v>Завантажити сертифікат</v>
      </c>
    </row>
    <row r="766" spans="1:5" x14ac:dyDescent="0.3">
      <c r="A766" s="2" t="s">
        <v>1572</v>
      </c>
      <c r="B766" s="2" t="s">
        <v>5</v>
      </c>
      <c r="C766" s="2" t="s">
        <v>1573</v>
      </c>
      <c r="D766" s="2" t="s">
        <v>1567</v>
      </c>
      <c r="E766" s="2" t="str">
        <f>HYPERLINK("https://talan.bank.gov.ua/get-user-certificate/sec1e8hFRuOzjDJi8UaA","Завантажити сертифікат")</f>
        <v>Завантажити сертифікат</v>
      </c>
    </row>
    <row r="767" spans="1:5" x14ac:dyDescent="0.3">
      <c r="A767" s="2" t="s">
        <v>1574</v>
      </c>
      <c r="B767" s="2" t="s">
        <v>5</v>
      </c>
      <c r="C767" s="2" t="s">
        <v>1575</v>
      </c>
      <c r="D767" s="2" t="s">
        <v>1567</v>
      </c>
      <c r="E767" s="2" t="str">
        <f>HYPERLINK("https://talan.bank.gov.ua/get-user-certificate/sec1ej352dG_7KgXpmUb","Завантажити сертифікат")</f>
        <v>Завантажити сертифікат</v>
      </c>
    </row>
    <row r="768" spans="1:5" x14ac:dyDescent="0.3">
      <c r="A768" s="2" t="s">
        <v>1576</v>
      </c>
      <c r="B768" s="2" t="s">
        <v>5</v>
      </c>
      <c r="C768" s="2" t="s">
        <v>1577</v>
      </c>
      <c r="D768" s="2" t="s">
        <v>1567</v>
      </c>
      <c r="E768" s="2" t="str">
        <f>HYPERLINK("https://talan.bank.gov.ua/get-user-certificate/sec1epHqvowTzBUxNF1L","Завантажити сертифікат")</f>
        <v>Завантажити сертифікат</v>
      </c>
    </row>
    <row r="769" spans="1:5" x14ac:dyDescent="0.3">
      <c r="A769" s="2" t="s">
        <v>1578</v>
      </c>
      <c r="B769" s="2" t="s">
        <v>5</v>
      </c>
      <c r="C769" s="2" t="s">
        <v>1579</v>
      </c>
      <c r="D769" s="2" t="s">
        <v>1567</v>
      </c>
      <c r="E769" s="2" t="str">
        <f>HYPERLINK("https://talan.bank.gov.ua/get-user-certificate/sec1eibUZQrrqzjowrMQ","Завантажити сертифікат")</f>
        <v>Завантажити сертифікат</v>
      </c>
    </row>
    <row r="770" spans="1:5" x14ac:dyDescent="0.3">
      <c r="A770" s="2" t="s">
        <v>1580</v>
      </c>
      <c r="B770" s="2" t="s">
        <v>5</v>
      </c>
      <c r="C770" s="2" t="s">
        <v>1581</v>
      </c>
      <c r="D770" s="2" t="s">
        <v>1567</v>
      </c>
      <c r="E770" s="2" t="str">
        <f>HYPERLINK("https://talan.bank.gov.ua/get-user-certificate/sec1eSB-G2tvwa5umREb","Завантажити сертифікат")</f>
        <v>Завантажити сертифікат</v>
      </c>
    </row>
    <row r="771" spans="1:5" x14ac:dyDescent="0.3">
      <c r="A771" s="2" t="s">
        <v>1582</v>
      </c>
      <c r="B771" s="2" t="s">
        <v>5</v>
      </c>
      <c r="C771" s="2" t="s">
        <v>1583</v>
      </c>
      <c r="D771" s="2" t="s">
        <v>1567</v>
      </c>
      <c r="E771" s="2" t="str">
        <f>HYPERLINK("https://talan.bank.gov.ua/get-user-certificate/sec1eMhWzUch_U9Yfs71","Завантажити сертифікат")</f>
        <v>Завантажити сертифікат</v>
      </c>
    </row>
    <row r="772" spans="1:5" x14ac:dyDescent="0.3">
      <c r="A772" s="2" t="s">
        <v>1584</v>
      </c>
      <c r="B772" s="2" t="s">
        <v>5</v>
      </c>
      <c r="C772" s="2" t="s">
        <v>1585</v>
      </c>
      <c r="D772" s="2" t="s">
        <v>1567</v>
      </c>
      <c r="E772" s="2" t="str">
        <f>HYPERLINK("https://talan.bank.gov.ua/get-user-certificate/sec1ekchDpkeQS7oRh4w","Завантажити сертифікат")</f>
        <v>Завантажити сертифікат</v>
      </c>
    </row>
    <row r="773" spans="1:5" x14ac:dyDescent="0.3">
      <c r="A773" s="2" t="s">
        <v>1586</v>
      </c>
      <c r="B773" s="2" t="s">
        <v>5</v>
      </c>
      <c r="C773" s="2" t="s">
        <v>1587</v>
      </c>
      <c r="D773" s="2" t="s">
        <v>1567</v>
      </c>
      <c r="E773" s="2" t="str">
        <f>HYPERLINK("https://talan.bank.gov.ua/get-user-certificate/sec1eByGtTKt-mhlVXSA","Завантажити сертифікат")</f>
        <v>Завантажити сертифікат</v>
      </c>
    </row>
    <row r="774" spans="1:5" x14ac:dyDescent="0.3">
      <c r="A774" s="2" t="s">
        <v>1588</v>
      </c>
      <c r="B774" s="2" t="s">
        <v>5</v>
      </c>
      <c r="C774" s="2" t="s">
        <v>1589</v>
      </c>
      <c r="D774" s="2" t="s">
        <v>1567</v>
      </c>
      <c r="E774" s="2" t="str">
        <f>HYPERLINK("https://talan.bank.gov.ua/get-user-certificate/sec1emFmC7uyolNfjJgO","Завантажити сертифікат")</f>
        <v>Завантажити сертифікат</v>
      </c>
    </row>
    <row r="775" spans="1:5" x14ac:dyDescent="0.3">
      <c r="A775" s="2" t="s">
        <v>1590</v>
      </c>
      <c r="B775" s="2" t="s">
        <v>5</v>
      </c>
      <c r="C775" s="2" t="s">
        <v>1591</v>
      </c>
      <c r="D775" s="2" t="s">
        <v>1567</v>
      </c>
      <c r="E775" s="2" t="str">
        <f>HYPERLINK("https://talan.bank.gov.ua/get-user-certificate/sec1ekOjtSEXc764vkMe","Завантажити сертифікат")</f>
        <v>Завантажити сертифікат</v>
      </c>
    </row>
    <row r="776" spans="1:5" x14ac:dyDescent="0.3">
      <c r="A776" s="2" t="s">
        <v>1592</v>
      </c>
      <c r="B776" s="2" t="s">
        <v>5</v>
      </c>
      <c r="C776" s="2" t="s">
        <v>1593</v>
      </c>
      <c r="D776" s="2" t="s">
        <v>1567</v>
      </c>
      <c r="E776" s="2" t="str">
        <f>HYPERLINK("https://talan.bank.gov.ua/get-user-certificate/sec1eFVF78tGUWeQTHcT","Завантажити сертифікат")</f>
        <v>Завантажити сертифікат</v>
      </c>
    </row>
    <row r="777" spans="1:5" x14ac:dyDescent="0.3">
      <c r="A777" s="2" t="s">
        <v>1594</v>
      </c>
      <c r="B777" s="2" t="s">
        <v>5</v>
      </c>
      <c r="C777" s="2" t="s">
        <v>1595</v>
      </c>
      <c r="D777" s="2" t="s">
        <v>1567</v>
      </c>
      <c r="E777" s="2" t="str">
        <f>HYPERLINK("https://talan.bank.gov.ua/get-user-certificate/sec1etdcOR2C5-1t-tmD","Завантажити сертифікат")</f>
        <v>Завантажити сертифікат</v>
      </c>
    </row>
    <row r="778" spans="1:5" x14ac:dyDescent="0.3">
      <c r="A778" s="2" t="s">
        <v>1596</v>
      </c>
      <c r="B778" s="2" t="s">
        <v>5</v>
      </c>
      <c r="C778" s="2" t="s">
        <v>1597</v>
      </c>
      <c r="D778" s="2" t="s">
        <v>1567</v>
      </c>
      <c r="E778" s="2" t="str">
        <f>HYPERLINK("https://talan.bank.gov.ua/get-user-certificate/sec1e3eW_FORjmIqoScb","Завантажити сертифікат")</f>
        <v>Завантажити сертифікат</v>
      </c>
    </row>
    <row r="779" spans="1:5" x14ac:dyDescent="0.3">
      <c r="A779" s="2" t="s">
        <v>1598</v>
      </c>
      <c r="B779" s="2" t="s">
        <v>5</v>
      </c>
      <c r="C779" s="2" t="s">
        <v>1599</v>
      </c>
      <c r="D779" s="2" t="s">
        <v>1567</v>
      </c>
      <c r="E779" s="2" t="str">
        <f>HYPERLINK("https://talan.bank.gov.ua/get-user-certificate/sec1ek8xPo6Z9X0WgemN","Завантажити сертифікат")</f>
        <v>Завантажити сертифікат</v>
      </c>
    </row>
    <row r="780" spans="1:5" x14ac:dyDescent="0.3">
      <c r="A780" s="2" t="s">
        <v>1600</v>
      </c>
      <c r="B780" s="2" t="s">
        <v>5</v>
      </c>
      <c r="C780" s="2" t="s">
        <v>1601</v>
      </c>
      <c r="D780" s="2" t="s">
        <v>1567</v>
      </c>
      <c r="E780" s="2" t="str">
        <f>HYPERLINK("https://talan.bank.gov.ua/get-user-certificate/sec1ewMUMEciFwmlYVg3","Завантажити сертифікат")</f>
        <v>Завантажити сертифікат</v>
      </c>
    </row>
    <row r="781" spans="1:5" x14ac:dyDescent="0.3">
      <c r="A781" s="2" t="s">
        <v>1602</v>
      </c>
      <c r="B781" s="2" t="s">
        <v>5</v>
      </c>
      <c r="C781" s="2" t="s">
        <v>1603</v>
      </c>
      <c r="D781" s="2" t="s">
        <v>1567</v>
      </c>
      <c r="E781" s="2" t="str">
        <f>HYPERLINK("https://talan.bank.gov.ua/get-user-certificate/sec1euqVQPpqcHzru0W1","Завантажити сертифікат")</f>
        <v>Завантажити сертифікат</v>
      </c>
    </row>
    <row r="782" spans="1:5" x14ac:dyDescent="0.3">
      <c r="A782" s="2" t="s">
        <v>1604</v>
      </c>
      <c r="B782" s="2" t="s">
        <v>5</v>
      </c>
      <c r="C782" s="2" t="s">
        <v>1605</v>
      </c>
      <c r="D782" s="2" t="s">
        <v>1567</v>
      </c>
      <c r="E782" s="2" t="str">
        <f>HYPERLINK("https://talan.bank.gov.ua/get-user-certificate/sec1eZU2Tms1yFbPy9fk","Завантажити сертифікат")</f>
        <v>Завантажити сертифікат</v>
      </c>
    </row>
    <row r="783" spans="1:5" x14ac:dyDescent="0.3">
      <c r="A783" s="2" t="s">
        <v>1606</v>
      </c>
      <c r="B783" s="2" t="s">
        <v>5</v>
      </c>
      <c r="C783" s="2" t="s">
        <v>1607</v>
      </c>
      <c r="D783" s="2" t="s">
        <v>1567</v>
      </c>
      <c r="E783" s="2" t="str">
        <f>HYPERLINK("https://talan.bank.gov.ua/get-user-certificate/sec1eQj-lLyJhAdh9p9T","Завантажити сертифікат")</f>
        <v>Завантажити сертифікат</v>
      </c>
    </row>
    <row r="784" spans="1:5" x14ac:dyDescent="0.3">
      <c r="A784" s="2" t="s">
        <v>1608</v>
      </c>
      <c r="B784" s="2" t="s">
        <v>5</v>
      </c>
      <c r="C784" s="2" t="s">
        <v>1609</v>
      </c>
      <c r="D784" s="2" t="s">
        <v>1567</v>
      </c>
      <c r="E784" s="2" t="str">
        <f>HYPERLINK("https://talan.bank.gov.ua/get-user-certificate/sec1e3o4KzbyQH-wIx5k","Завантажити сертифікат")</f>
        <v>Завантажити сертифікат</v>
      </c>
    </row>
    <row r="785" spans="1:5" x14ac:dyDescent="0.3">
      <c r="A785" s="2" t="s">
        <v>1610</v>
      </c>
      <c r="B785" s="2" t="s">
        <v>5</v>
      </c>
      <c r="C785" s="2" t="s">
        <v>1611</v>
      </c>
      <c r="D785" s="2" t="s">
        <v>1567</v>
      </c>
      <c r="E785" s="2" t="str">
        <f>HYPERLINK("https://talan.bank.gov.ua/get-user-certificate/sec1eVtFVTapVfU0PAAS","Завантажити сертифікат")</f>
        <v>Завантажити сертифікат</v>
      </c>
    </row>
    <row r="786" spans="1:5" x14ac:dyDescent="0.3">
      <c r="A786" s="2" t="s">
        <v>1612</v>
      </c>
      <c r="B786" s="2" t="s">
        <v>5</v>
      </c>
      <c r="C786" s="2" t="s">
        <v>1613</v>
      </c>
      <c r="D786" s="2" t="s">
        <v>1567</v>
      </c>
      <c r="E786" s="2" t="str">
        <f>HYPERLINK("https://talan.bank.gov.ua/get-user-certificate/sec1eINpMHFzPgxYas3f","Завантажити сертифікат")</f>
        <v>Завантажити сертифікат</v>
      </c>
    </row>
    <row r="787" spans="1:5" x14ac:dyDescent="0.3">
      <c r="A787" s="2" t="s">
        <v>1614</v>
      </c>
      <c r="B787" s="2" t="s">
        <v>5</v>
      </c>
      <c r="C787" s="2" t="s">
        <v>1615</v>
      </c>
      <c r="D787" s="2" t="s">
        <v>1567</v>
      </c>
      <c r="E787" s="2" t="str">
        <f>HYPERLINK("https://talan.bank.gov.ua/get-user-certificate/sec1e4kYCLhyT4qZnUC5","Завантажити сертифікат")</f>
        <v>Завантажити сертифікат</v>
      </c>
    </row>
    <row r="788" spans="1:5" x14ac:dyDescent="0.3">
      <c r="A788" s="2" t="s">
        <v>1616</v>
      </c>
      <c r="B788" s="2" t="s">
        <v>5</v>
      </c>
      <c r="C788" s="2" t="s">
        <v>1617</v>
      </c>
      <c r="D788" s="2" t="s">
        <v>1567</v>
      </c>
      <c r="E788" s="2" t="str">
        <f>HYPERLINK("https://talan.bank.gov.ua/get-user-certificate/sec1el1SN0PAectXUDPd","Завантажити сертифікат")</f>
        <v>Завантажити сертифікат</v>
      </c>
    </row>
    <row r="789" spans="1:5" x14ac:dyDescent="0.3">
      <c r="A789" s="2" t="s">
        <v>1618</v>
      </c>
      <c r="B789" s="2" t="s">
        <v>5</v>
      </c>
      <c r="C789" s="2" t="s">
        <v>1619</v>
      </c>
      <c r="D789" s="2" t="s">
        <v>1567</v>
      </c>
      <c r="E789" s="2" t="str">
        <f>HYPERLINK("https://talan.bank.gov.ua/get-user-certificate/sec1eBseiV6co5tTDcre","Завантажити сертифікат")</f>
        <v>Завантажити сертифікат</v>
      </c>
    </row>
    <row r="790" spans="1:5" x14ac:dyDescent="0.3">
      <c r="A790" s="2" t="s">
        <v>1620</v>
      </c>
      <c r="B790" s="2" t="s">
        <v>5</v>
      </c>
      <c r="C790" s="2" t="s">
        <v>1621</v>
      </c>
      <c r="D790" s="2" t="s">
        <v>1567</v>
      </c>
      <c r="E790" s="2" t="str">
        <f>HYPERLINK("https://talan.bank.gov.ua/get-user-certificate/sec1eNOW5VsSqZDoA6lw","Завантажити сертифікат")</f>
        <v>Завантажити сертифікат</v>
      </c>
    </row>
    <row r="791" spans="1:5" x14ac:dyDescent="0.3">
      <c r="A791" s="2" t="s">
        <v>1622</v>
      </c>
      <c r="B791" s="2" t="s">
        <v>5</v>
      </c>
      <c r="C791" s="2" t="s">
        <v>1623</v>
      </c>
      <c r="D791" s="2" t="s">
        <v>1567</v>
      </c>
      <c r="E791" s="2" t="str">
        <f>HYPERLINK("https://talan.bank.gov.ua/get-user-certificate/sec1e3r8giIiQgL-qBYX","Завантажити сертифікат")</f>
        <v>Завантажити сертифікат</v>
      </c>
    </row>
    <row r="792" spans="1:5" x14ac:dyDescent="0.3">
      <c r="A792" s="2" t="s">
        <v>1624</v>
      </c>
      <c r="B792" s="2" t="s">
        <v>5</v>
      </c>
      <c r="C792" s="2" t="s">
        <v>1625</v>
      </c>
      <c r="D792" s="2" t="s">
        <v>1567</v>
      </c>
      <c r="E792" s="2" t="str">
        <f>HYPERLINK("https://talan.bank.gov.ua/get-user-certificate/sec1ePJWsMjinWMeRHQP","Завантажити сертифікат")</f>
        <v>Завантажити сертифікат</v>
      </c>
    </row>
    <row r="793" spans="1:5" x14ac:dyDescent="0.3">
      <c r="A793" s="2" t="s">
        <v>1626</v>
      </c>
      <c r="B793" s="2" t="s">
        <v>5</v>
      </c>
      <c r="C793" s="2" t="s">
        <v>1627</v>
      </c>
      <c r="D793" s="2" t="s">
        <v>1567</v>
      </c>
      <c r="E793" s="2" t="str">
        <f>HYPERLINK("https://talan.bank.gov.ua/get-user-certificate/sec1eDI2Lr9S_VjrVu7M","Завантажити сертифікат")</f>
        <v>Завантажити сертифікат</v>
      </c>
    </row>
    <row r="794" spans="1:5" x14ac:dyDescent="0.3">
      <c r="A794" s="2" t="s">
        <v>1628</v>
      </c>
      <c r="B794" s="2" t="s">
        <v>5</v>
      </c>
      <c r="C794" s="2" t="s">
        <v>1629</v>
      </c>
      <c r="D794" s="2" t="s">
        <v>1567</v>
      </c>
      <c r="E794" s="2" t="str">
        <f>HYPERLINK("https://talan.bank.gov.ua/get-user-certificate/sec1eWahaeORWFy7Pf3P","Завантажити сертифікат")</f>
        <v>Завантажити сертифікат</v>
      </c>
    </row>
    <row r="795" spans="1:5" x14ac:dyDescent="0.3">
      <c r="A795" s="2" t="s">
        <v>1630</v>
      </c>
      <c r="B795" s="2" t="s">
        <v>5</v>
      </c>
      <c r="C795" s="2" t="s">
        <v>1631</v>
      </c>
      <c r="D795" s="2" t="s">
        <v>1567</v>
      </c>
      <c r="E795" s="2" t="str">
        <f>HYPERLINK("https://talan.bank.gov.ua/get-user-certificate/sec1e5elLn_1X37eXTGD","Завантажити сертифікат")</f>
        <v>Завантажити сертифікат</v>
      </c>
    </row>
    <row r="796" spans="1:5" x14ac:dyDescent="0.3">
      <c r="A796" s="2" t="s">
        <v>1632</v>
      </c>
      <c r="B796" s="2" t="s">
        <v>5</v>
      </c>
      <c r="C796" s="2" t="s">
        <v>1633</v>
      </c>
      <c r="D796" s="2" t="s">
        <v>1567</v>
      </c>
      <c r="E796" s="2" t="str">
        <f>HYPERLINK("https://talan.bank.gov.ua/get-user-certificate/sec1ezODMtQM09njYgrZ","Завантажити сертифікат")</f>
        <v>Завантажити сертифікат</v>
      </c>
    </row>
    <row r="797" spans="1:5" x14ac:dyDescent="0.3">
      <c r="A797" s="2" t="s">
        <v>1634</v>
      </c>
      <c r="B797" s="2" t="s">
        <v>5</v>
      </c>
      <c r="C797" s="2" t="s">
        <v>1635</v>
      </c>
      <c r="D797" s="2" t="s">
        <v>1567</v>
      </c>
      <c r="E797" s="2" t="str">
        <f>HYPERLINK("https://talan.bank.gov.ua/get-user-certificate/sec1e_PHUQO2ZItmC_al","Завантажити сертифікат")</f>
        <v>Завантажити сертифікат</v>
      </c>
    </row>
    <row r="798" spans="1:5" x14ac:dyDescent="0.3">
      <c r="A798" s="2" t="s">
        <v>1636</v>
      </c>
      <c r="B798" s="2" t="s">
        <v>5</v>
      </c>
      <c r="C798" s="2" t="s">
        <v>1637</v>
      </c>
      <c r="D798" s="2" t="s">
        <v>1567</v>
      </c>
      <c r="E798" s="2" t="str">
        <f>HYPERLINK("https://talan.bank.gov.ua/get-user-certificate/sec1eF08M0qYpWuyfrR4","Завантажити сертифікат")</f>
        <v>Завантажити сертифікат</v>
      </c>
    </row>
    <row r="799" spans="1:5" x14ac:dyDescent="0.3">
      <c r="A799" s="2" t="s">
        <v>1638</v>
      </c>
      <c r="B799" s="2" t="s">
        <v>5</v>
      </c>
      <c r="C799" s="2" t="s">
        <v>1639</v>
      </c>
      <c r="D799" s="2" t="s">
        <v>1567</v>
      </c>
      <c r="E799" s="2" t="str">
        <f>HYPERLINK("https://talan.bank.gov.ua/get-user-certificate/sec1ezSaVioEuHtwnJTf","Завантажити сертифікат")</f>
        <v>Завантажити сертифікат</v>
      </c>
    </row>
    <row r="800" spans="1:5" x14ac:dyDescent="0.3">
      <c r="A800" s="2" t="s">
        <v>1640</v>
      </c>
      <c r="B800" s="2" t="s">
        <v>5</v>
      </c>
      <c r="C800" s="2" t="s">
        <v>1641</v>
      </c>
      <c r="D800" s="2" t="s">
        <v>1567</v>
      </c>
      <c r="E800" s="2" t="str">
        <f>HYPERLINK("https://talan.bank.gov.ua/get-user-certificate/sec1eyzIcnA6eRcyinUL","Завантажити сертифікат")</f>
        <v>Завантажити сертифікат</v>
      </c>
    </row>
    <row r="801" spans="1:5" x14ac:dyDescent="0.3">
      <c r="A801" s="2" t="s">
        <v>1642</v>
      </c>
      <c r="B801" s="2" t="s">
        <v>5</v>
      </c>
      <c r="C801" s="2" t="s">
        <v>1643</v>
      </c>
      <c r="D801" s="2" t="s">
        <v>1567</v>
      </c>
      <c r="E801" s="2" t="str">
        <f>HYPERLINK("https://talan.bank.gov.ua/get-user-certificate/sec1e03JX5HxBMNmfYVM","Завантажити сертифікат")</f>
        <v>Завантажити сертифікат</v>
      </c>
    </row>
    <row r="802" spans="1:5" x14ac:dyDescent="0.3">
      <c r="A802" s="2" t="s">
        <v>1644</v>
      </c>
      <c r="B802" s="2" t="s">
        <v>5</v>
      </c>
      <c r="C802" s="2" t="s">
        <v>1645</v>
      </c>
      <c r="D802" s="2" t="s">
        <v>1567</v>
      </c>
      <c r="E802" s="2" t="str">
        <f>HYPERLINK("https://talan.bank.gov.ua/get-user-certificate/sec1eIQU_GlyG0Lhgv1D","Завантажити сертифікат")</f>
        <v>Завантажити сертифікат</v>
      </c>
    </row>
    <row r="803" spans="1:5" x14ac:dyDescent="0.3">
      <c r="A803" s="2" t="s">
        <v>1646</v>
      </c>
      <c r="B803" s="2" t="s">
        <v>5</v>
      </c>
      <c r="C803" s="2" t="s">
        <v>1647</v>
      </c>
      <c r="D803" s="2" t="s">
        <v>1567</v>
      </c>
      <c r="E803" s="2" t="str">
        <f>HYPERLINK("https://talan.bank.gov.ua/get-user-certificate/sec1evZe77Z1y1SkDiPO","Завантажити сертифікат")</f>
        <v>Завантажити сертифікат</v>
      </c>
    </row>
    <row r="804" spans="1:5" x14ac:dyDescent="0.3">
      <c r="A804" s="2" t="s">
        <v>1648</v>
      </c>
      <c r="B804" s="2" t="s">
        <v>5</v>
      </c>
      <c r="C804" s="2" t="s">
        <v>1649</v>
      </c>
      <c r="D804" s="2" t="s">
        <v>1567</v>
      </c>
      <c r="E804" s="2" t="str">
        <f>HYPERLINK("https://talan.bank.gov.ua/get-user-certificate/sec1estBkv00U3fcMdlP","Завантажити сертифікат")</f>
        <v>Завантажити сертифікат</v>
      </c>
    </row>
    <row r="805" spans="1:5" x14ac:dyDescent="0.3">
      <c r="A805" s="2" t="s">
        <v>1650</v>
      </c>
      <c r="B805" s="2" t="s">
        <v>5</v>
      </c>
      <c r="C805" s="2" t="s">
        <v>1651</v>
      </c>
      <c r="D805" s="2" t="s">
        <v>1567</v>
      </c>
      <c r="E805" s="2" t="str">
        <f>HYPERLINK("https://talan.bank.gov.ua/get-user-certificate/sec1eqUJfdqobYKuMhJ3","Завантажити сертифікат")</f>
        <v>Завантажити сертифікат</v>
      </c>
    </row>
    <row r="806" spans="1:5" x14ac:dyDescent="0.3">
      <c r="A806" s="2" t="s">
        <v>1652</v>
      </c>
      <c r="B806" s="2" t="s">
        <v>5</v>
      </c>
      <c r="C806" s="2" t="s">
        <v>1653</v>
      </c>
      <c r="D806" s="2" t="s">
        <v>1567</v>
      </c>
      <c r="E806" s="2" t="str">
        <f>HYPERLINK("https://talan.bank.gov.ua/get-user-certificate/sec1e4KrWwLGBGLrvFtT","Завантажити сертифікат")</f>
        <v>Завантажити сертифікат</v>
      </c>
    </row>
    <row r="807" spans="1:5" x14ac:dyDescent="0.3">
      <c r="A807" s="2" t="s">
        <v>1654</v>
      </c>
      <c r="B807" s="2" t="s">
        <v>5</v>
      </c>
      <c r="C807" s="2" t="s">
        <v>1655</v>
      </c>
      <c r="D807" s="2" t="s">
        <v>1567</v>
      </c>
      <c r="E807" s="2" t="str">
        <f>HYPERLINK("https://talan.bank.gov.ua/get-user-certificate/sec1eHajYD01dzOkCXaT","Завантажити сертифікат")</f>
        <v>Завантажити сертифікат</v>
      </c>
    </row>
    <row r="808" spans="1:5" x14ac:dyDescent="0.3">
      <c r="A808" s="2" t="s">
        <v>1656</v>
      </c>
      <c r="B808" s="2" t="s">
        <v>5</v>
      </c>
      <c r="C808" s="2" t="s">
        <v>1657</v>
      </c>
      <c r="D808" s="2" t="s">
        <v>1567</v>
      </c>
      <c r="E808" s="2" t="str">
        <f>HYPERLINK("https://talan.bank.gov.ua/get-user-certificate/sec1eZ7PjgnjizhuFVYh","Завантажити сертифікат")</f>
        <v>Завантажити сертифікат</v>
      </c>
    </row>
    <row r="809" spans="1:5" x14ac:dyDescent="0.3">
      <c r="A809" s="2" t="s">
        <v>1658</v>
      </c>
      <c r="B809" s="2" t="s">
        <v>5</v>
      </c>
      <c r="C809" s="2" t="s">
        <v>1659</v>
      </c>
      <c r="D809" s="2" t="s">
        <v>1567</v>
      </c>
      <c r="E809" s="2" t="str">
        <f>HYPERLINK("https://talan.bank.gov.ua/get-user-certificate/sec1en4UhXtYD9WgNkf5","Завантажити сертифікат")</f>
        <v>Завантажити сертифікат</v>
      </c>
    </row>
    <row r="810" spans="1:5" x14ac:dyDescent="0.3">
      <c r="A810" s="2" t="s">
        <v>1660</v>
      </c>
      <c r="B810" s="2" t="s">
        <v>5</v>
      </c>
      <c r="C810" s="2" t="s">
        <v>1661</v>
      </c>
      <c r="D810" s="2" t="s">
        <v>1567</v>
      </c>
      <c r="E810" s="2" t="str">
        <f>HYPERLINK("https://talan.bank.gov.ua/get-user-certificate/sec1exCpoAxailOOg6Q4","Завантажити сертифікат")</f>
        <v>Завантажити сертифікат</v>
      </c>
    </row>
    <row r="811" spans="1:5" x14ac:dyDescent="0.3">
      <c r="A811" s="2" t="s">
        <v>1662</v>
      </c>
      <c r="B811" s="2" t="s">
        <v>5</v>
      </c>
      <c r="C811" s="2" t="s">
        <v>1663</v>
      </c>
      <c r="D811" s="2" t="s">
        <v>1567</v>
      </c>
      <c r="E811" s="2" t="str">
        <f>HYPERLINK("https://talan.bank.gov.ua/get-user-certificate/sec1eQhqUHex00ia-mi0","Завантажити сертифікат")</f>
        <v>Завантажити сертифікат</v>
      </c>
    </row>
    <row r="812" spans="1:5" x14ac:dyDescent="0.3">
      <c r="A812" s="2" t="s">
        <v>1664</v>
      </c>
      <c r="B812" s="2" t="s">
        <v>5</v>
      </c>
      <c r="C812" s="2" t="s">
        <v>1665</v>
      </c>
      <c r="D812" s="2" t="s">
        <v>1567</v>
      </c>
      <c r="E812" s="2" t="str">
        <f>HYPERLINK("https://talan.bank.gov.ua/get-user-certificate/sec1e0EOH1Ptg9o1hb5-","Завантажити сертифікат")</f>
        <v>Завантажити сертифікат</v>
      </c>
    </row>
    <row r="813" spans="1:5" x14ac:dyDescent="0.3">
      <c r="A813" s="2" t="s">
        <v>1666</v>
      </c>
      <c r="B813" s="2" t="s">
        <v>5</v>
      </c>
      <c r="C813" s="2" t="s">
        <v>1667</v>
      </c>
      <c r="D813" s="2" t="s">
        <v>1567</v>
      </c>
      <c r="E813" s="2" t="str">
        <f>HYPERLINK("https://talan.bank.gov.ua/get-user-certificate/sec1eWvR2ZQRrfqlJadC","Завантажити сертифікат")</f>
        <v>Завантажити сертифікат</v>
      </c>
    </row>
    <row r="814" spans="1:5" x14ac:dyDescent="0.3">
      <c r="A814" s="2" t="s">
        <v>1668</v>
      </c>
      <c r="B814" s="2" t="s">
        <v>5</v>
      </c>
      <c r="C814" s="2" t="s">
        <v>1669</v>
      </c>
      <c r="D814" s="2" t="s">
        <v>1567</v>
      </c>
      <c r="E814" s="2" t="str">
        <f>HYPERLINK("https://talan.bank.gov.ua/get-user-certificate/sec1ennolY281x4p9oR0","Завантажити сертифікат")</f>
        <v>Завантажити сертифікат</v>
      </c>
    </row>
    <row r="815" spans="1:5" x14ac:dyDescent="0.3">
      <c r="A815" s="2" t="s">
        <v>1670</v>
      </c>
      <c r="B815" s="2" t="s">
        <v>5</v>
      </c>
      <c r="C815" s="2" t="s">
        <v>1671</v>
      </c>
      <c r="D815" s="2" t="s">
        <v>1567</v>
      </c>
      <c r="E815" s="2" t="str">
        <f>HYPERLINK("https://talan.bank.gov.ua/get-user-certificate/sec1ebmSgPQ71leaBhpa","Завантажити сертифікат")</f>
        <v>Завантажити сертифікат</v>
      </c>
    </row>
    <row r="816" spans="1:5" x14ac:dyDescent="0.3">
      <c r="A816" s="2" t="s">
        <v>1672</v>
      </c>
      <c r="B816" s="2" t="s">
        <v>5</v>
      </c>
      <c r="C816" s="2" t="s">
        <v>1673</v>
      </c>
      <c r="D816" s="2" t="s">
        <v>1567</v>
      </c>
      <c r="E816" s="2" t="str">
        <f>HYPERLINK("https://talan.bank.gov.ua/get-user-certificate/sec1eNP6FFSVJqw4jswO","Завантажити сертифікат")</f>
        <v>Завантажити сертифікат</v>
      </c>
    </row>
    <row r="817" spans="1:5" x14ac:dyDescent="0.3">
      <c r="A817" s="2" t="s">
        <v>1674</v>
      </c>
      <c r="B817" s="2" t="s">
        <v>5</v>
      </c>
      <c r="C817" s="2" t="s">
        <v>1675</v>
      </c>
      <c r="D817" s="2" t="s">
        <v>1567</v>
      </c>
      <c r="E817" s="2" t="str">
        <f>HYPERLINK("https://talan.bank.gov.ua/get-user-certificate/sec1eWj7rocjD2nI4pjP","Завантажити сертифікат")</f>
        <v>Завантажити сертифікат</v>
      </c>
    </row>
    <row r="818" spans="1:5" x14ac:dyDescent="0.3">
      <c r="A818" s="2" t="s">
        <v>1676</v>
      </c>
      <c r="B818" s="2" t="s">
        <v>5</v>
      </c>
      <c r="C818" s="2" t="s">
        <v>1677</v>
      </c>
      <c r="D818" s="2" t="s">
        <v>1567</v>
      </c>
      <c r="E818" s="2" t="str">
        <f>HYPERLINK("https://talan.bank.gov.ua/get-user-certificate/sec1eITfM10cOfnvE8xu","Завантажити сертифікат")</f>
        <v>Завантажити сертифікат</v>
      </c>
    </row>
    <row r="819" spans="1:5" x14ac:dyDescent="0.3">
      <c r="A819" s="2" t="s">
        <v>1678</v>
      </c>
      <c r="B819" s="2" t="s">
        <v>5</v>
      </c>
      <c r="C819" s="2" t="s">
        <v>1679</v>
      </c>
      <c r="D819" s="2" t="s">
        <v>1567</v>
      </c>
      <c r="E819" s="2" t="str">
        <f>HYPERLINK("https://talan.bank.gov.ua/get-user-certificate/sec1eMpOwk9ambTupFzQ","Завантажити сертифікат")</f>
        <v>Завантажити сертифікат</v>
      </c>
    </row>
    <row r="820" spans="1:5" x14ac:dyDescent="0.3">
      <c r="A820" s="2" t="s">
        <v>1680</v>
      </c>
      <c r="B820" s="2" t="s">
        <v>5</v>
      </c>
      <c r="C820" s="2" t="s">
        <v>1681</v>
      </c>
      <c r="D820" s="2" t="s">
        <v>1567</v>
      </c>
      <c r="E820" s="2" t="str">
        <f>HYPERLINK("https://talan.bank.gov.ua/get-user-certificate/sec1eNXpIE1LzEoGp4NP","Завантажити сертифікат")</f>
        <v>Завантажити сертифікат</v>
      </c>
    </row>
    <row r="821" spans="1:5" x14ac:dyDescent="0.3">
      <c r="A821" s="2" t="s">
        <v>1682</v>
      </c>
      <c r="B821" s="2" t="s">
        <v>5</v>
      </c>
      <c r="C821" s="2" t="s">
        <v>1683</v>
      </c>
      <c r="D821" s="2" t="s">
        <v>1567</v>
      </c>
      <c r="E821" s="2" t="str">
        <f>HYPERLINK("https://talan.bank.gov.ua/get-user-certificate/sec1exWf4LOKxt-GEN9m","Завантажити сертифікат")</f>
        <v>Завантажити сертифікат</v>
      </c>
    </row>
    <row r="822" spans="1:5" x14ac:dyDescent="0.3">
      <c r="A822" s="2" t="s">
        <v>1684</v>
      </c>
      <c r="B822" s="2" t="s">
        <v>5</v>
      </c>
      <c r="C822" s="2" t="s">
        <v>1685</v>
      </c>
      <c r="D822" s="2" t="s">
        <v>1567</v>
      </c>
      <c r="E822" s="2" t="str">
        <f>HYPERLINK("https://talan.bank.gov.ua/get-user-certificate/sec1eQ52zqifuQvQusw-","Завантажити сертифікат")</f>
        <v>Завантажити сертифікат</v>
      </c>
    </row>
    <row r="823" spans="1:5" x14ac:dyDescent="0.3">
      <c r="A823" s="2" t="s">
        <v>1686</v>
      </c>
      <c r="B823" s="2" t="s">
        <v>5</v>
      </c>
      <c r="C823" s="2" t="s">
        <v>1687</v>
      </c>
      <c r="D823" s="2" t="s">
        <v>1567</v>
      </c>
      <c r="E823" s="2" t="str">
        <f>HYPERLINK("https://talan.bank.gov.ua/get-user-certificate/sec1eXsrxtJWaI33jCIf","Завантажити сертифікат")</f>
        <v>Завантажити сертифікат</v>
      </c>
    </row>
    <row r="824" spans="1:5" x14ac:dyDescent="0.3">
      <c r="A824" s="2" t="s">
        <v>1688</v>
      </c>
      <c r="B824" s="2" t="s">
        <v>5</v>
      </c>
      <c r="C824" s="2" t="s">
        <v>1689</v>
      </c>
      <c r="D824" s="2" t="s">
        <v>1690</v>
      </c>
      <c r="E824" s="2" t="str">
        <f>HYPERLINK("https://talan.bank.gov.ua/get-user-certificate/sec1euczxITH43gmDCQr","Завантажити сертифікат")</f>
        <v>Завантажити сертифікат</v>
      </c>
    </row>
    <row r="825" spans="1:5" x14ac:dyDescent="0.3">
      <c r="A825" s="2" t="s">
        <v>1691</v>
      </c>
      <c r="B825" s="2" t="s">
        <v>5</v>
      </c>
      <c r="C825" s="2" t="s">
        <v>1692</v>
      </c>
      <c r="D825" s="2" t="s">
        <v>1690</v>
      </c>
      <c r="E825" s="2" t="str">
        <f>HYPERLINK("https://talan.bank.gov.ua/get-user-certificate/sec1ee1ncAjM62Y3yMt6","Завантажити сертифікат")</f>
        <v>Завантажити сертифікат</v>
      </c>
    </row>
    <row r="826" spans="1:5" x14ac:dyDescent="0.3">
      <c r="A826" s="2" t="s">
        <v>1693</v>
      </c>
      <c r="B826" s="2" t="s">
        <v>5</v>
      </c>
      <c r="C826" s="2" t="s">
        <v>1694</v>
      </c>
      <c r="D826" s="2" t="s">
        <v>1690</v>
      </c>
      <c r="E826" s="2" t="str">
        <f>HYPERLINK("https://talan.bank.gov.ua/get-user-certificate/sec1ehceL39859u6MsVW","Завантажити сертифікат")</f>
        <v>Завантажити сертифікат</v>
      </c>
    </row>
    <row r="827" spans="1:5" x14ac:dyDescent="0.3">
      <c r="A827" s="2" t="s">
        <v>1695</v>
      </c>
      <c r="B827" s="2" t="s">
        <v>5</v>
      </c>
      <c r="C827" s="2" t="s">
        <v>1696</v>
      </c>
      <c r="D827" s="2" t="s">
        <v>1690</v>
      </c>
      <c r="E827" s="2" t="str">
        <f>HYPERLINK("https://talan.bank.gov.ua/get-user-certificate/sec1ezV20BiQ_mwWIAIP","Завантажити сертифікат")</f>
        <v>Завантажити сертифікат</v>
      </c>
    </row>
    <row r="828" spans="1:5" x14ac:dyDescent="0.3">
      <c r="A828" s="2" t="s">
        <v>1697</v>
      </c>
      <c r="B828" s="2" t="s">
        <v>5</v>
      </c>
      <c r="C828" s="2" t="s">
        <v>1698</v>
      </c>
      <c r="D828" s="2" t="s">
        <v>1690</v>
      </c>
      <c r="E828" s="2" t="str">
        <f>HYPERLINK("https://talan.bank.gov.ua/get-user-certificate/sec1e-nZyVxRbAuWNEcc","Завантажити сертифікат")</f>
        <v>Завантажити сертифікат</v>
      </c>
    </row>
    <row r="829" spans="1:5" x14ac:dyDescent="0.3">
      <c r="A829" s="2" t="s">
        <v>1699</v>
      </c>
      <c r="B829" s="2" t="s">
        <v>5</v>
      </c>
      <c r="C829" s="2" t="s">
        <v>1700</v>
      </c>
      <c r="D829" s="2" t="s">
        <v>1690</v>
      </c>
      <c r="E829" s="2" t="str">
        <f>HYPERLINK("https://talan.bank.gov.ua/get-user-certificate/sec1e_ju95mxyigOHhlb","Завантажити сертифікат")</f>
        <v>Завантажити сертифікат</v>
      </c>
    </row>
    <row r="830" spans="1:5" x14ac:dyDescent="0.3">
      <c r="A830" s="2" t="s">
        <v>1701</v>
      </c>
      <c r="B830" s="2" t="s">
        <v>5</v>
      </c>
      <c r="C830" s="2" t="s">
        <v>1702</v>
      </c>
      <c r="D830" s="2" t="s">
        <v>1690</v>
      </c>
      <c r="E830" s="2" t="str">
        <f>HYPERLINK("https://talan.bank.gov.ua/get-user-certificate/sec1eMYni2Ye2rzMqN6T","Завантажити сертифікат")</f>
        <v>Завантажити сертифікат</v>
      </c>
    </row>
    <row r="831" spans="1:5" x14ac:dyDescent="0.3">
      <c r="A831" s="2" t="s">
        <v>1703</v>
      </c>
      <c r="B831" s="2" t="s">
        <v>5</v>
      </c>
      <c r="C831" s="2" t="s">
        <v>1704</v>
      </c>
      <c r="D831" s="2" t="s">
        <v>1690</v>
      </c>
      <c r="E831" s="2" t="str">
        <f>HYPERLINK("https://talan.bank.gov.ua/get-user-certificate/sec1ekNWEWk8_ngmchJW","Завантажити сертифікат")</f>
        <v>Завантажити сертифікат</v>
      </c>
    </row>
    <row r="832" spans="1:5" x14ac:dyDescent="0.3">
      <c r="A832" s="2" t="s">
        <v>1705</v>
      </c>
      <c r="B832" s="2" t="s">
        <v>5</v>
      </c>
      <c r="C832" s="2" t="s">
        <v>1706</v>
      </c>
      <c r="D832" s="2" t="s">
        <v>1707</v>
      </c>
      <c r="E832" s="2" t="str">
        <f>HYPERLINK("https://talan.bank.gov.ua/get-user-certificate/sec1erBQrvhPmrHMHHvA","Завантажити сертифікат")</f>
        <v>Завантажити сертифікат</v>
      </c>
    </row>
    <row r="833" spans="1:5" x14ac:dyDescent="0.3">
      <c r="A833" s="2" t="s">
        <v>1708</v>
      </c>
      <c r="B833" s="2" t="s">
        <v>5</v>
      </c>
      <c r="C833" s="2" t="s">
        <v>1709</v>
      </c>
      <c r="D833" s="2" t="s">
        <v>1707</v>
      </c>
      <c r="E833" s="2" t="str">
        <f>HYPERLINK("https://talan.bank.gov.ua/get-user-certificate/sec1eTpptM35qH7BRqgl","Завантажити сертифікат")</f>
        <v>Завантажити сертифікат</v>
      </c>
    </row>
    <row r="834" spans="1:5" x14ac:dyDescent="0.3">
      <c r="A834" s="2" t="s">
        <v>1710</v>
      </c>
      <c r="B834" s="2" t="s">
        <v>5</v>
      </c>
      <c r="C834" s="2" t="s">
        <v>1711</v>
      </c>
      <c r="D834" s="2" t="s">
        <v>1707</v>
      </c>
      <c r="E834" s="2" t="str">
        <f>HYPERLINK("https://talan.bank.gov.ua/get-user-certificate/sec1e81SsGa97PwvKZrA","Завантажити сертифікат")</f>
        <v>Завантажити сертифікат</v>
      </c>
    </row>
    <row r="835" spans="1:5" x14ac:dyDescent="0.3">
      <c r="A835" s="2" t="s">
        <v>1712</v>
      </c>
      <c r="B835" s="2" t="s">
        <v>5</v>
      </c>
      <c r="C835" s="2" t="s">
        <v>1713</v>
      </c>
      <c r="D835" s="2" t="s">
        <v>1707</v>
      </c>
      <c r="E835" s="2" t="str">
        <f>HYPERLINK("https://talan.bank.gov.ua/get-user-certificate/sec1ePMyB1_wVGR4XXYu","Завантажити сертифікат")</f>
        <v>Завантажити сертифікат</v>
      </c>
    </row>
    <row r="836" spans="1:5" x14ac:dyDescent="0.3">
      <c r="A836" s="2" t="s">
        <v>1714</v>
      </c>
      <c r="B836" s="2" t="s">
        <v>5</v>
      </c>
      <c r="C836" s="2" t="s">
        <v>1715</v>
      </c>
      <c r="D836" s="2" t="s">
        <v>1707</v>
      </c>
      <c r="E836" s="2" t="str">
        <f>HYPERLINK("https://talan.bank.gov.ua/get-user-certificate/sec1eoWyOpcLYtATJAUy","Завантажити сертифікат")</f>
        <v>Завантажити сертифікат</v>
      </c>
    </row>
    <row r="837" spans="1:5" x14ac:dyDescent="0.3">
      <c r="A837" s="2" t="s">
        <v>1716</v>
      </c>
      <c r="B837" s="2" t="s">
        <v>5</v>
      </c>
      <c r="C837" s="2" t="s">
        <v>1717</v>
      </c>
      <c r="D837" s="2" t="s">
        <v>1707</v>
      </c>
      <c r="E837" s="2" t="str">
        <f>HYPERLINK("https://talan.bank.gov.ua/get-user-certificate/sec1eVSILRfze1Yyiy-g","Завантажити сертифікат")</f>
        <v>Завантажити сертифікат</v>
      </c>
    </row>
    <row r="838" spans="1:5" x14ac:dyDescent="0.3">
      <c r="A838" s="2" t="s">
        <v>1718</v>
      </c>
      <c r="B838" s="2" t="s">
        <v>5</v>
      </c>
      <c r="C838" s="2" t="s">
        <v>1719</v>
      </c>
      <c r="D838" s="2" t="s">
        <v>1707</v>
      </c>
      <c r="E838" s="2" t="str">
        <f>HYPERLINK("https://talan.bank.gov.ua/get-user-certificate/sec1edv9Cl9_zDtjegoP","Завантажити сертифікат")</f>
        <v>Завантажити сертифікат</v>
      </c>
    </row>
    <row r="839" spans="1:5" x14ac:dyDescent="0.3">
      <c r="A839" s="2" t="s">
        <v>1720</v>
      </c>
      <c r="B839" s="2" t="s">
        <v>5</v>
      </c>
      <c r="C839" s="2" t="s">
        <v>1721</v>
      </c>
      <c r="D839" s="2" t="s">
        <v>1707</v>
      </c>
      <c r="E839" s="2" t="str">
        <f>HYPERLINK("https://talan.bank.gov.ua/get-user-certificate/sec1et_DzrEOioiUF_CM","Завантажити сертифікат")</f>
        <v>Завантажити сертифікат</v>
      </c>
    </row>
    <row r="840" spans="1:5" x14ac:dyDescent="0.3">
      <c r="A840" s="2" t="s">
        <v>1722</v>
      </c>
      <c r="B840" s="2" t="s">
        <v>5</v>
      </c>
      <c r="C840" s="2" t="s">
        <v>1723</v>
      </c>
      <c r="D840" s="2" t="s">
        <v>1707</v>
      </c>
      <c r="E840" s="2" t="str">
        <f>HYPERLINK("https://talan.bank.gov.ua/get-user-certificate/sec1e7zKvf_FTpE6_Nme","Завантажити сертифікат")</f>
        <v>Завантажити сертифікат</v>
      </c>
    </row>
    <row r="841" spans="1:5" x14ac:dyDescent="0.3">
      <c r="A841" s="2" t="s">
        <v>1724</v>
      </c>
      <c r="B841" s="2" t="s">
        <v>5</v>
      </c>
      <c r="C841" s="2" t="s">
        <v>1725</v>
      </c>
      <c r="D841" s="2" t="s">
        <v>1707</v>
      </c>
      <c r="E841" s="2" t="str">
        <f>HYPERLINK("https://talan.bank.gov.ua/get-user-certificate/sec1eMUuUgqZIAGsSN5O","Завантажити сертифікат")</f>
        <v>Завантажити сертифікат</v>
      </c>
    </row>
    <row r="842" spans="1:5" x14ac:dyDescent="0.3">
      <c r="A842" s="2" t="s">
        <v>1726</v>
      </c>
      <c r="B842" s="2" t="s">
        <v>5</v>
      </c>
      <c r="C842" s="2" t="s">
        <v>1727</v>
      </c>
      <c r="D842" s="2" t="s">
        <v>1707</v>
      </c>
      <c r="E842" s="2" t="str">
        <f>HYPERLINK("https://talan.bank.gov.ua/get-user-certificate/sec1ejpBhXV-b5-wO7Z1","Завантажити сертифікат")</f>
        <v>Завантажити сертифікат</v>
      </c>
    </row>
    <row r="843" spans="1:5" x14ac:dyDescent="0.3">
      <c r="A843" s="2" t="s">
        <v>1728</v>
      </c>
      <c r="B843" s="2" t="s">
        <v>5</v>
      </c>
      <c r="C843" s="2" t="s">
        <v>1729</v>
      </c>
      <c r="D843" s="2" t="s">
        <v>1707</v>
      </c>
      <c r="E843" s="2" t="str">
        <f>HYPERLINK("https://talan.bank.gov.ua/get-user-certificate/sec1en02yRaQtf77lwx0","Завантажити сертифікат")</f>
        <v>Завантажити сертифікат</v>
      </c>
    </row>
    <row r="844" spans="1:5" x14ac:dyDescent="0.3">
      <c r="A844" s="2" t="s">
        <v>1730</v>
      </c>
      <c r="B844" s="2" t="s">
        <v>5</v>
      </c>
      <c r="C844" s="2" t="s">
        <v>1731</v>
      </c>
      <c r="D844" s="2" t="s">
        <v>1707</v>
      </c>
      <c r="E844" s="2" t="str">
        <f>HYPERLINK("https://talan.bank.gov.ua/get-user-certificate/sec1e2wpVFUbPa2iyEeA","Завантажити сертифікат")</f>
        <v>Завантажити сертифікат</v>
      </c>
    </row>
    <row r="845" spans="1:5" x14ac:dyDescent="0.3">
      <c r="A845" s="2" t="s">
        <v>1732</v>
      </c>
      <c r="B845" s="2" t="s">
        <v>5</v>
      </c>
      <c r="C845" s="2" t="s">
        <v>1733</v>
      </c>
      <c r="D845" s="2" t="s">
        <v>1707</v>
      </c>
      <c r="E845" s="2" t="str">
        <f>HYPERLINK("https://talan.bank.gov.ua/get-user-certificate/sec1eA_NOdAzhtxRin9h","Завантажити сертифікат")</f>
        <v>Завантажити сертифікат</v>
      </c>
    </row>
    <row r="846" spans="1:5" x14ac:dyDescent="0.3">
      <c r="A846" s="2" t="s">
        <v>1734</v>
      </c>
      <c r="B846" s="2" t="s">
        <v>5</v>
      </c>
      <c r="C846" s="2" t="s">
        <v>1735</v>
      </c>
      <c r="D846" s="2" t="s">
        <v>1707</v>
      </c>
      <c r="E846" s="2" t="str">
        <f>HYPERLINK("https://talan.bank.gov.ua/get-user-certificate/sec1elGWTZOMThqj3LHh","Завантажити сертифікат")</f>
        <v>Завантажити сертифікат</v>
      </c>
    </row>
    <row r="847" spans="1:5" x14ac:dyDescent="0.3">
      <c r="A847" s="2" t="s">
        <v>1736</v>
      </c>
      <c r="B847" s="2" t="s">
        <v>5</v>
      </c>
      <c r="C847" s="2" t="s">
        <v>1737</v>
      </c>
      <c r="D847" s="2" t="s">
        <v>1707</v>
      </c>
      <c r="E847" s="2" t="str">
        <f>HYPERLINK("https://talan.bank.gov.ua/get-user-certificate/sec1e_OiGTaNFC7KpGgq","Завантажити сертифікат")</f>
        <v>Завантажити сертифікат</v>
      </c>
    </row>
    <row r="848" spans="1:5" x14ac:dyDescent="0.3">
      <c r="A848" s="2" t="s">
        <v>1738</v>
      </c>
      <c r="B848" s="2" t="s">
        <v>5</v>
      </c>
      <c r="C848" s="2" t="s">
        <v>1739</v>
      </c>
      <c r="D848" s="2" t="s">
        <v>1707</v>
      </c>
      <c r="E848" s="2" t="str">
        <f>HYPERLINK("https://talan.bank.gov.ua/get-user-certificate/sec1eAiKigkQoEEnKBwv","Завантажити сертифікат")</f>
        <v>Завантажити сертифікат</v>
      </c>
    </row>
    <row r="849" spans="1:5" x14ac:dyDescent="0.3">
      <c r="A849" s="2" t="s">
        <v>1740</v>
      </c>
      <c r="B849" s="2" t="s">
        <v>5</v>
      </c>
      <c r="C849" s="2" t="s">
        <v>1741</v>
      </c>
      <c r="D849" s="2" t="s">
        <v>1707</v>
      </c>
      <c r="E849" s="2" t="str">
        <f>HYPERLINK("https://talan.bank.gov.ua/get-user-certificate/sec1eGuFXvjl77BXsFUA","Завантажити сертифікат")</f>
        <v>Завантажити сертифікат</v>
      </c>
    </row>
    <row r="850" spans="1:5" x14ac:dyDescent="0.3">
      <c r="A850" s="2" t="s">
        <v>1742</v>
      </c>
      <c r="B850" s="2" t="s">
        <v>5</v>
      </c>
      <c r="C850" s="2" t="s">
        <v>1743</v>
      </c>
      <c r="D850" s="2" t="s">
        <v>1707</v>
      </c>
      <c r="E850" s="2" t="str">
        <f>HYPERLINK("https://talan.bank.gov.ua/get-user-certificate/sec1eSfL82cXz9c93mur","Завантажити сертифікат")</f>
        <v>Завантажити сертифікат</v>
      </c>
    </row>
    <row r="851" spans="1:5" x14ac:dyDescent="0.3">
      <c r="A851" s="2" t="s">
        <v>1744</v>
      </c>
      <c r="B851" s="2" t="s">
        <v>5</v>
      </c>
      <c r="C851" s="2" t="s">
        <v>1745</v>
      </c>
      <c r="D851" s="2" t="s">
        <v>1707</v>
      </c>
      <c r="E851" s="2" t="str">
        <f>HYPERLINK("https://talan.bank.gov.ua/get-user-certificate/sec1ePtpMJHm7LiRy1nY","Завантажити сертифікат")</f>
        <v>Завантажити сертифікат</v>
      </c>
    </row>
    <row r="852" spans="1:5" x14ac:dyDescent="0.3">
      <c r="A852" s="2" t="s">
        <v>1746</v>
      </c>
      <c r="B852" s="2" t="s">
        <v>5</v>
      </c>
      <c r="C852" s="2" t="s">
        <v>1747</v>
      </c>
      <c r="D852" s="2" t="s">
        <v>1707</v>
      </c>
      <c r="E852" s="2" t="str">
        <f>HYPERLINK("https://talan.bank.gov.ua/get-user-certificate/sec1eLP1q_4Gt56jYa6C","Завантажити сертифікат")</f>
        <v>Завантажити сертифікат</v>
      </c>
    </row>
    <row r="853" spans="1:5" x14ac:dyDescent="0.3">
      <c r="A853" s="2" t="s">
        <v>1748</v>
      </c>
      <c r="B853" s="2" t="s">
        <v>5</v>
      </c>
      <c r="C853" s="2" t="s">
        <v>1749</v>
      </c>
      <c r="D853" s="2" t="s">
        <v>1707</v>
      </c>
      <c r="E853" s="2" t="str">
        <f>HYPERLINK("https://talan.bank.gov.ua/get-user-certificate/sec1ehkF2ucSNl2nKX4q","Завантажити сертифікат")</f>
        <v>Завантажити сертифікат</v>
      </c>
    </row>
    <row r="854" spans="1:5" x14ac:dyDescent="0.3">
      <c r="A854" s="2" t="s">
        <v>1750</v>
      </c>
      <c r="B854" s="2" t="s">
        <v>5</v>
      </c>
      <c r="C854" s="2" t="s">
        <v>1751</v>
      </c>
      <c r="D854" s="2" t="s">
        <v>1707</v>
      </c>
      <c r="E854" s="2" t="str">
        <f>HYPERLINK("https://talan.bank.gov.ua/get-user-certificate/sec1e_BVBAsP1WZet1G9","Завантажити сертифікат")</f>
        <v>Завантажити сертифікат</v>
      </c>
    </row>
    <row r="855" spans="1:5" x14ac:dyDescent="0.3">
      <c r="A855" s="2" t="s">
        <v>1752</v>
      </c>
      <c r="B855" s="2" t="s">
        <v>5</v>
      </c>
      <c r="C855" s="2" t="s">
        <v>1753</v>
      </c>
      <c r="D855" s="2" t="s">
        <v>1707</v>
      </c>
      <c r="E855" s="2" t="str">
        <f>HYPERLINK("https://talan.bank.gov.ua/get-user-certificate/sec1eS0x30lKGZsv0x_d","Завантажити сертифікат")</f>
        <v>Завантажити сертифікат</v>
      </c>
    </row>
    <row r="856" spans="1:5" x14ac:dyDescent="0.3">
      <c r="A856" s="2" t="s">
        <v>1754</v>
      </c>
      <c r="B856" s="2" t="s">
        <v>5</v>
      </c>
      <c r="C856" s="2" t="s">
        <v>1755</v>
      </c>
      <c r="D856" s="2" t="s">
        <v>1707</v>
      </c>
      <c r="E856" s="2" t="str">
        <f>HYPERLINK("https://talan.bank.gov.ua/get-user-certificate/sec1e4WYph4MfGHooC_T","Завантажити сертифікат")</f>
        <v>Завантажити сертифікат</v>
      </c>
    </row>
    <row r="857" spans="1:5" x14ac:dyDescent="0.3">
      <c r="A857" s="2" t="s">
        <v>1756</v>
      </c>
      <c r="B857" s="2" t="s">
        <v>5</v>
      </c>
      <c r="C857" s="2" t="s">
        <v>1757</v>
      </c>
      <c r="D857" s="2" t="s">
        <v>1758</v>
      </c>
      <c r="E857" s="2" t="str">
        <f>HYPERLINK("https://talan.bank.gov.ua/get-user-certificate/sec1eHjxpR8itQhyDgRJ","Завантажити сертифікат")</f>
        <v>Завантажити сертифікат</v>
      </c>
    </row>
    <row r="858" spans="1:5" x14ac:dyDescent="0.3">
      <c r="A858" s="2" t="s">
        <v>1759</v>
      </c>
      <c r="B858" s="2" t="s">
        <v>5</v>
      </c>
      <c r="C858" s="2" t="s">
        <v>1760</v>
      </c>
      <c r="D858" s="2" t="s">
        <v>1758</v>
      </c>
      <c r="E858" s="2" t="str">
        <f>HYPERLINK("https://talan.bank.gov.ua/get-user-certificate/sec1edefN_dnIQ9EiYKo","Завантажити сертифікат")</f>
        <v>Завантажити сертифікат</v>
      </c>
    </row>
    <row r="859" spans="1:5" x14ac:dyDescent="0.3">
      <c r="A859" s="2" t="s">
        <v>1761</v>
      </c>
      <c r="B859" s="2" t="s">
        <v>5</v>
      </c>
      <c r="C859" s="2" t="s">
        <v>1762</v>
      </c>
      <c r="D859" s="2" t="s">
        <v>1758</v>
      </c>
      <c r="E859" s="2" t="str">
        <f>HYPERLINK("https://talan.bank.gov.ua/get-user-certificate/sec1e-b0tbDhcvD0xkkb","Завантажити сертифікат")</f>
        <v>Завантажити сертифікат</v>
      </c>
    </row>
    <row r="860" spans="1:5" x14ac:dyDescent="0.3">
      <c r="A860" s="2" t="s">
        <v>1763</v>
      </c>
      <c r="B860" s="2" t="s">
        <v>5</v>
      </c>
      <c r="C860" s="2" t="s">
        <v>1764</v>
      </c>
      <c r="D860" s="2" t="s">
        <v>1758</v>
      </c>
      <c r="E860" s="2" t="str">
        <f>HYPERLINK("https://talan.bank.gov.ua/get-user-certificate/sec1et_tQgRjnrpwruiN","Завантажити сертифікат")</f>
        <v>Завантажити сертифікат</v>
      </c>
    </row>
    <row r="861" spans="1:5" x14ac:dyDescent="0.3">
      <c r="A861" s="2" t="s">
        <v>1765</v>
      </c>
      <c r="B861" s="2" t="s">
        <v>5</v>
      </c>
      <c r="C861" s="2" t="s">
        <v>1766</v>
      </c>
      <c r="D861" s="2" t="s">
        <v>1758</v>
      </c>
      <c r="E861" s="2" t="str">
        <f>HYPERLINK("https://talan.bank.gov.ua/get-user-certificate/sec1e28yqj1JqEpgaxLR","Завантажити сертифікат")</f>
        <v>Завантажити сертифікат</v>
      </c>
    </row>
    <row r="862" spans="1:5" x14ac:dyDescent="0.3">
      <c r="A862" s="2" t="s">
        <v>1767</v>
      </c>
      <c r="B862" s="2" t="s">
        <v>5</v>
      </c>
      <c r="C862" s="2" t="s">
        <v>1768</v>
      </c>
      <c r="D862" s="2" t="s">
        <v>1758</v>
      </c>
      <c r="E862" s="2" t="str">
        <f>HYPERLINK("https://talan.bank.gov.ua/get-user-certificate/sec1e1Qldk-MKqQ839ud","Завантажити сертифікат")</f>
        <v>Завантажити сертифікат</v>
      </c>
    </row>
    <row r="863" spans="1:5" x14ac:dyDescent="0.3">
      <c r="A863" s="2" t="s">
        <v>1769</v>
      </c>
      <c r="B863" s="2" t="s">
        <v>5</v>
      </c>
      <c r="C863" s="2" t="s">
        <v>1770</v>
      </c>
      <c r="D863" s="2" t="s">
        <v>1758</v>
      </c>
      <c r="E863" s="2" t="str">
        <f>HYPERLINK("https://talan.bank.gov.ua/get-user-certificate/sec1elLDk_perxkzaJWx","Завантажити сертифікат")</f>
        <v>Завантажити сертифікат</v>
      </c>
    </row>
    <row r="864" spans="1:5" x14ac:dyDescent="0.3">
      <c r="A864" s="2" t="s">
        <v>1771</v>
      </c>
      <c r="B864" s="2" t="s">
        <v>5</v>
      </c>
      <c r="C864" s="2" t="s">
        <v>1772</v>
      </c>
      <c r="D864" s="2" t="s">
        <v>1758</v>
      </c>
      <c r="E864" s="2" t="str">
        <f>HYPERLINK("https://talan.bank.gov.ua/get-user-certificate/sec1e9MYMG0Xv61T97V_","Завантажити сертифікат")</f>
        <v>Завантажити сертифікат</v>
      </c>
    </row>
    <row r="865" spans="1:5" x14ac:dyDescent="0.3">
      <c r="A865" s="2" t="s">
        <v>1773</v>
      </c>
      <c r="B865" s="2" t="s">
        <v>5</v>
      </c>
      <c r="C865" s="2" t="s">
        <v>1774</v>
      </c>
      <c r="D865" s="2" t="s">
        <v>1758</v>
      </c>
      <c r="E865" s="2" t="str">
        <f>HYPERLINK("https://talan.bank.gov.ua/get-user-certificate/sec1ePMOuZFAdpIiJofL","Завантажити сертифікат")</f>
        <v>Завантажити сертифікат</v>
      </c>
    </row>
    <row r="866" spans="1:5" x14ac:dyDescent="0.3">
      <c r="A866" s="2" t="s">
        <v>1775</v>
      </c>
      <c r="B866" s="2" t="s">
        <v>5</v>
      </c>
      <c r="C866" s="2" t="s">
        <v>1776</v>
      </c>
      <c r="D866" s="2" t="s">
        <v>1758</v>
      </c>
      <c r="E866" s="2" t="str">
        <f>HYPERLINK("https://talan.bank.gov.ua/get-user-certificate/sec1enA5KN9kK93WCRvN","Завантажити сертифікат")</f>
        <v>Завантажити сертифікат</v>
      </c>
    </row>
    <row r="867" spans="1:5" x14ac:dyDescent="0.3">
      <c r="A867" s="2" t="s">
        <v>1777</v>
      </c>
      <c r="B867" s="2" t="s">
        <v>5</v>
      </c>
      <c r="C867" s="2" t="s">
        <v>1778</v>
      </c>
      <c r="D867" s="2" t="s">
        <v>1758</v>
      </c>
      <c r="E867" s="2" t="str">
        <f>HYPERLINK("https://talan.bank.gov.ua/get-user-certificate/sec1eNJzHgsnuFWrRW0m","Завантажити сертифікат")</f>
        <v>Завантажити сертифікат</v>
      </c>
    </row>
    <row r="868" spans="1:5" x14ac:dyDescent="0.3">
      <c r="A868" s="2" t="s">
        <v>1779</v>
      </c>
      <c r="B868" s="2" t="s">
        <v>5</v>
      </c>
      <c r="C868" s="2" t="s">
        <v>1780</v>
      </c>
      <c r="D868" s="2" t="s">
        <v>1758</v>
      </c>
      <c r="E868" s="2" t="str">
        <f>HYPERLINK("https://talan.bank.gov.ua/get-user-certificate/sec1e5SWP_81X3767JGV","Завантажити сертифікат")</f>
        <v>Завантажити сертифікат</v>
      </c>
    </row>
    <row r="869" spans="1:5" x14ac:dyDescent="0.3">
      <c r="A869" s="2" t="s">
        <v>1781</v>
      </c>
      <c r="B869" s="2" t="s">
        <v>5</v>
      </c>
      <c r="C869" s="2" t="s">
        <v>1782</v>
      </c>
      <c r="D869" s="2" t="s">
        <v>1758</v>
      </c>
      <c r="E869" s="2" t="str">
        <f>HYPERLINK("https://talan.bank.gov.ua/get-user-certificate/sec1eWB3dimpD8EF-OqM","Завантажити сертифікат")</f>
        <v>Завантажити сертифікат</v>
      </c>
    </row>
    <row r="870" spans="1:5" x14ac:dyDescent="0.3">
      <c r="A870" s="2" t="s">
        <v>1783</v>
      </c>
      <c r="B870" s="2" t="s">
        <v>5</v>
      </c>
      <c r="C870" s="2" t="s">
        <v>1784</v>
      </c>
      <c r="D870" s="2" t="s">
        <v>1758</v>
      </c>
      <c r="E870" s="2" t="str">
        <f>HYPERLINK("https://talan.bank.gov.ua/get-user-certificate/sec1eJwLK7CZ3hlVqnkH","Завантажити сертифікат")</f>
        <v>Завантажити сертифікат</v>
      </c>
    </row>
    <row r="871" spans="1:5" x14ac:dyDescent="0.3">
      <c r="A871" s="2" t="s">
        <v>1785</v>
      </c>
      <c r="B871" s="2" t="s">
        <v>5</v>
      </c>
      <c r="C871" s="2" t="s">
        <v>1786</v>
      </c>
      <c r="D871" s="2" t="s">
        <v>1758</v>
      </c>
      <c r="E871" s="2" t="str">
        <f>HYPERLINK("https://talan.bank.gov.ua/get-user-certificate/sec1eTodVUsus4U8m2Nx","Завантажити сертифікат")</f>
        <v>Завантажити сертифікат</v>
      </c>
    </row>
    <row r="872" spans="1:5" x14ac:dyDescent="0.3">
      <c r="A872" s="2" t="s">
        <v>1787</v>
      </c>
      <c r="B872" s="2" t="s">
        <v>5</v>
      </c>
      <c r="C872" s="2" t="s">
        <v>1788</v>
      </c>
      <c r="D872" s="2" t="s">
        <v>1758</v>
      </c>
      <c r="E872" s="2" t="str">
        <f>HYPERLINK("https://talan.bank.gov.ua/get-user-certificate/sec1eihXRne3k4Hv8d09","Завантажити сертифікат")</f>
        <v>Завантажити сертифікат</v>
      </c>
    </row>
    <row r="873" spans="1:5" x14ac:dyDescent="0.3">
      <c r="A873" s="2" t="s">
        <v>1789</v>
      </c>
      <c r="B873" s="2" t="s">
        <v>5</v>
      </c>
      <c r="C873" s="2" t="s">
        <v>1790</v>
      </c>
      <c r="D873" s="2" t="s">
        <v>1758</v>
      </c>
      <c r="E873" s="2" t="str">
        <f>HYPERLINK("https://talan.bank.gov.ua/get-user-certificate/sec1eu6Dn3gpr_SFU7zi","Завантажити сертифікат")</f>
        <v>Завантажити сертифікат</v>
      </c>
    </row>
    <row r="874" spans="1:5" x14ac:dyDescent="0.3">
      <c r="A874" s="2" t="s">
        <v>1791</v>
      </c>
      <c r="B874" s="2" t="s">
        <v>5</v>
      </c>
      <c r="C874" s="2" t="s">
        <v>1792</v>
      </c>
      <c r="D874" s="2" t="s">
        <v>1758</v>
      </c>
      <c r="E874" s="2" t="str">
        <f>HYPERLINK("https://talan.bank.gov.ua/get-user-certificate/sec1eztIhjGS9iG1wlzD","Завантажити сертифікат")</f>
        <v>Завантажити сертифікат</v>
      </c>
    </row>
    <row r="875" spans="1:5" x14ac:dyDescent="0.3">
      <c r="A875" s="2" t="s">
        <v>1793</v>
      </c>
      <c r="B875" s="2" t="s">
        <v>5</v>
      </c>
      <c r="C875" s="2" t="s">
        <v>1794</v>
      </c>
      <c r="D875" s="2" t="s">
        <v>1758</v>
      </c>
      <c r="E875" s="2" t="str">
        <f>HYPERLINK("https://talan.bank.gov.ua/get-user-certificate/sec1eFoCY8aSCIy51XAU","Завантажити сертифікат")</f>
        <v>Завантажити сертифікат</v>
      </c>
    </row>
    <row r="876" spans="1:5" x14ac:dyDescent="0.3">
      <c r="A876" s="2" t="s">
        <v>1795</v>
      </c>
      <c r="B876" s="2" t="s">
        <v>5</v>
      </c>
      <c r="C876" s="2" t="s">
        <v>1796</v>
      </c>
      <c r="D876" s="2" t="s">
        <v>1758</v>
      </c>
      <c r="E876" s="2" t="str">
        <f>HYPERLINK("https://talan.bank.gov.ua/get-user-certificate/sec1eCjh0boVQVaQ5wqe","Завантажити сертифікат")</f>
        <v>Завантажити сертифікат</v>
      </c>
    </row>
    <row r="877" spans="1:5" x14ac:dyDescent="0.3">
      <c r="A877" s="2" t="s">
        <v>1797</v>
      </c>
      <c r="B877" s="2" t="s">
        <v>5</v>
      </c>
      <c r="C877" s="2" t="s">
        <v>1798</v>
      </c>
      <c r="D877" s="2" t="s">
        <v>1758</v>
      </c>
      <c r="E877" s="2" t="str">
        <f>HYPERLINK("https://talan.bank.gov.ua/get-user-certificate/sec1eGoIfdHRZRwmVv95","Завантажити сертифікат")</f>
        <v>Завантажити сертифікат</v>
      </c>
    </row>
    <row r="878" spans="1:5" x14ac:dyDescent="0.3">
      <c r="A878" s="2" t="s">
        <v>1799</v>
      </c>
      <c r="B878" s="2" t="s">
        <v>5</v>
      </c>
      <c r="C878" s="2" t="s">
        <v>1800</v>
      </c>
      <c r="D878" s="2" t="s">
        <v>1758</v>
      </c>
      <c r="E878" s="2" t="str">
        <f>HYPERLINK("https://talan.bank.gov.ua/get-user-certificate/sec1e7HLea-IjTTO2VWU","Завантажити сертифікат")</f>
        <v>Завантажити сертифікат</v>
      </c>
    </row>
    <row r="879" spans="1:5" x14ac:dyDescent="0.3">
      <c r="A879" s="2" t="s">
        <v>1801</v>
      </c>
      <c r="B879" s="2" t="s">
        <v>5</v>
      </c>
      <c r="C879" s="2" t="s">
        <v>1802</v>
      </c>
      <c r="D879" s="2" t="s">
        <v>1758</v>
      </c>
      <c r="E879" s="2" t="str">
        <f>HYPERLINK("https://talan.bank.gov.ua/get-user-certificate/sec1eGa_WxQoO6dYXstq","Завантажити сертифікат")</f>
        <v>Завантажити сертифікат</v>
      </c>
    </row>
    <row r="880" spans="1:5" x14ac:dyDescent="0.3">
      <c r="A880" s="2" t="s">
        <v>1803</v>
      </c>
      <c r="B880" s="2" t="s">
        <v>5</v>
      </c>
      <c r="C880" s="2" t="s">
        <v>1804</v>
      </c>
      <c r="D880" s="2" t="s">
        <v>1758</v>
      </c>
      <c r="E880" s="2" t="str">
        <f>HYPERLINK("https://talan.bank.gov.ua/get-user-certificate/sec1eO-4NPsqoFfzYa9N","Завантажити сертифікат")</f>
        <v>Завантажити сертифікат</v>
      </c>
    </row>
    <row r="881" spans="1:5" x14ac:dyDescent="0.3">
      <c r="A881" s="2" t="s">
        <v>1805</v>
      </c>
      <c r="B881" s="2" t="s">
        <v>5</v>
      </c>
      <c r="C881" s="2" t="s">
        <v>1806</v>
      </c>
      <c r="D881" s="2" t="s">
        <v>1758</v>
      </c>
      <c r="E881" s="2" t="str">
        <f>HYPERLINK("https://talan.bank.gov.ua/get-user-certificate/sec1eiSHW9vcikMbUpGm","Завантажити сертифікат")</f>
        <v>Завантажити сертифікат</v>
      </c>
    </row>
    <row r="882" spans="1:5" x14ac:dyDescent="0.3">
      <c r="A882" s="2" t="s">
        <v>1807</v>
      </c>
      <c r="B882" s="2" t="s">
        <v>5</v>
      </c>
      <c r="C882" s="2" t="s">
        <v>1808</v>
      </c>
      <c r="D882" s="2" t="s">
        <v>1758</v>
      </c>
      <c r="E882" s="2" t="str">
        <f>HYPERLINK("https://talan.bank.gov.ua/get-user-certificate/sec1e7Aieeze0PLXzKi0","Завантажити сертифікат")</f>
        <v>Завантажити сертифікат</v>
      </c>
    </row>
    <row r="883" spans="1:5" x14ac:dyDescent="0.3">
      <c r="A883" s="2" t="s">
        <v>1809</v>
      </c>
      <c r="B883" s="2" t="s">
        <v>5</v>
      </c>
      <c r="C883" s="2" t="s">
        <v>1810</v>
      </c>
      <c r="D883" s="2" t="s">
        <v>1758</v>
      </c>
      <c r="E883" s="2" t="str">
        <f>HYPERLINK("https://talan.bank.gov.ua/get-user-certificate/sec1eiVl3JTi25QTuGcX","Завантажити сертифікат")</f>
        <v>Завантажити сертифікат</v>
      </c>
    </row>
    <row r="884" spans="1:5" x14ac:dyDescent="0.3">
      <c r="A884" s="2" t="s">
        <v>1811</v>
      </c>
      <c r="B884" s="2" t="s">
        <v>5</v>
      </c>
      <c r="C884" s="2" t="s">
        <v>1812</v>
      </c>
      <c r="D884" s="2" t="s">
        <v>1758</v>
      </c>
      <c r="E884" s="2" t="str">
        <f>HYPERLINK("https://talan.bank.gov.ua/get-user-certificate/sec1eJq9WqIoVOL3fgZd","Завантажити сертифікат")</f>
        <v>Завантажити сертифікат</v>
      </c>
    </row>
    <row r="885" spans="1:5" x14ac:dyDescent="0.3">
      <c r="A885" s="2" t="s">
        <v>1813</v>
      </c>
      <c r="B885" s="2" t="s">
        <v>5</v>
      </c>
      <c r="C885" s="2" t="s">
        <v>1814</v>
      </c>
      <c r="D885" s="2" t="s">
        <v>1758</v>
      </c>
      <c r="E885" s="2" t="str">
        <f>HYPERLINK("https://talan.bank.gov.ua/get-user-certificate/sec1epxhX1YZsPrxaDVb","Завантажити сертифікат")</f>
        <v>Завантажити сертифікат</v>
      </c>
    </row>
    <row r="886" spans="1:5" x14ac:dyDescent="0.3">
      <c r="A886" s="2" t="s">
        <v>1815</v>
      </c>
      <c r="B886" s="2" t="s">
        <v>5</v>
      </c>
      <c r="C886" s="2" t="s">
        <v>1816</v>
      </c>
      <c r="D886" s="2" t="s">
        <v>1758</v>
      </c>
      <c r="E886" s="2" t="str">
        <f>HYPERLINK("https://talan.bank.gov.ua/get-user-certificate/sec1eYTruN7vsQao7DOI","Завантажити сертифікат")</f>
        <v>Завантажити сертифікат</v>
      </c>
    </row>
    <row r="887" spans="1:5" x14ac:dyDescent="0.3">
      <c r="A887" s="2" t="s">
        <v>1817</v>
      </c>
      <c r="B887" s="2" t="s">
        <v>5</v>
      </c>
      <c r="C887" s="2" t="s">
        <v>1818</v>
      </c>
      <c r="D887" s="2" t="s">
        <v>1758</v>
      </c>
      <c r="E887" s="2" t="str">
        <f>HYPERLINK("https://talan.bank.gov.ua/get-user-certificate/sec1eSR33XIyQSjM0hYo","Завантажити сертифікат")</f>
        <v>Завантажити сертифікат</v>
      </c>
    </row>
    <row r="888" spans="1:5" x14ac:dyDescent="0.3">
      <c r="A888" s="2" t="s">
        <v>1819</v>
      </c>
      <c r="B888" s="2" t="s">
        <v>5</v>
      </c>
      <c r="C888" s="2" t="s">
        <v>1820</v>
      </c>
      <c r="D888" s="2" t="s">
        <v>1758</v>
      </c>
      <c r="E888" s="2" t="str">
        <f>HYPERLINK("https://talan.bank.gov.ua/get-user-certificate/sec1ePBKiJXjbOgrbIsS","Завантажити сертифікат")</f>
        <v>Завантажити сертифікат</v>
      </c>
    </row>
    <row r="889" spans="1:5" x14ac:dyDescent="0.3">
      <c r="A889" s="2" t="s">
        <v>1821</v>
      </c>
      <c r="B889" s="2" t="s">
        <v>5</v>
      </c>
      <c r="C889" s="2" t="s">
        <v>1822</v>
      </c>
      <c r="D889" s="2" t="s">
        <v>1758</v>
      </c>
      <c r="E889" s="2" t="str">
        <f>HYPERLINK("https://talan.bank.gov.ua/get-user-certificate/sec1epX4Tvb7Q1xyWAkC","Завантажити сертифікат")</f>
        <v>Завантажити сертифікат</v>
      </c>
    </row>
    <row r="890" spans="1:5" x14ac:dyDescent="0.3">
      <c r="A890" s="2" t="s">
        <v>1823</v>
      </c>
      <c r="B890" s="2" t="s">
        <v>5</v>
      </c>
      <c r="C890" s="2" t="s">
        <v>1824</v>
      </c>
      <c r="D890" s="2" t="s">
        <v>1758</v>
      </c>
      <c r="E890" s="2" t="str">
        <f>HYPERLINK("https://talan.bank.gov.ua/get-user-certificate/sec1ewPqLFNDgVO-slWC","Завантажити сертифікат")</f>
        <v>Завантажити сертифікат</v>
      </c>
    </row>
    <row r="891" spans="1:5" x14ac:dyDescent="0.3">
      <c r="A891" s="2" t="s">
        <v>1825</v>
      </c>
      <c r="B891" s="2" t="s">
        <v>5</v>
      </c>
      <c r="C891" s="2" t="s">
        <v>1826</v>
      </c>
      <c r="D891" s="2" t="s">
        <v>1758</v>
      </c>
      <c r="E891" s="2" t="str">
        <f>HYPERLINK("https://talan.bank.gov.ua/get-user-certificate/sec1eEVOcv9AKkQ63sha","Завантажити сертифікат")</f>
        <v>Завантажити сертифікат</v>
      </c>
    </row>
    <row r="892" spans="1:5" x14ac:dyDescent="0.3">
      <c r="A892" s="2" t="s">
        <v>1827</v>
      </c>
      <c r="B892" s="2" t="s">
        <v>5</v>
      </c>
      <c r="C892" s="2" t="s">
        <v>1828</v>
      </c>
      <c r="D892" s="2" t="s">
        <v>1758</v>
      </c>
      <c r="E892" s="2" t="str">
        <f>HYPERLINK("https://talan.bank.gov.ua/get-user-certificate/sec1eejKZOYdjvhEZjKR","Завантажити сертифікат")</f>
        <v>Завантажити сертифікат</v>
      </c>
    </row>
    <row r="893" spans="1:5" x14ac:dyDescent="0.3">
      <c r="A893" s="2" t="s">
        <v>1829</v>
      </c>
      <c r="B893" s="2" t="s">
        <v>5</v>
      </c>
      <c r="C893" s="2" t="s">
        <v>1830</v>
      </c>
      <c r="D893" s="2" t="s">
        <v>1758</v>
      </c>
      <c r="E893" s="2" t="str">
        <f>HYPERLINK("https://talan.bank.gov.ua/get-user-certificate/sec1e6Cwk6heeuuFOsXa","Завантажити сертифікат")</f>
        <v>Завантажити сертифікат</v>
      </c>
    </row>
    <row r="894" spans="1:5" x14ac:dyDescent="0.3">
      <c r="A894" s="2" t="s">
        <v>1831</v>
      </c>
      <c r="B894" s="2" t="s">
        <v>5</v>
      </c>
      <c r="C894" s="2" t="s">
        <v>1832</v>
      </c>
      <c r="D894" s="2" t="s">
        <v>1758</v>
      </c>
      <c r="E894" s="2" t="str">
        <f>HYPERLINK("https://talan.bank.gov.ua/get-user-certificate/sec1eKzQtejJpKWyW3T6","Завантажити сертифікат")</f>
        <v>Завантажити сертифікат</v>
      </c>
    </row>
    <row r="895" spans="1:5" x14ac:dyDescent="0.3">
      <c r="A895" s="2" t="s">
        <v>1833</v>
      </c>
      <c r="B895" s="2" t="s">
        <v>5</v>
      </c>
      <c r="C895" s="2" t="s">
        <v>1834</v>
      </c>
      <c r="D895" s="2" t="s">
        <v>1835</v>
      </c>
      <c r="E895" s="2" t="str">
        <f>HYPERLINK("https://talan.bank.gov.ua/get-user-certificate/sec1ernxuYOLJ9Kczdz2","Завантажити сертифікат")</f>
        <v>Завантажити сертифікат</v>
      </c>
    </row>
    <row r="896" spans="1:5" x14ac:dyDescent="0.3">
      <c r="A896" s="2" t="s">
        <v>1836</v>
      </c>
      <c r="B896" s="2" t="s">
        <v>5</v>
      </c>
      <c r="C896" s="2" t="s">
        <v>1837</v>
      </c>
      <c r="D896" s="2" t="s">
        <v>1835</v>
      </c>
      <c r="E896" s="2" t="str">
        <f>HYPERLINK("https://talan.bank.gov.ua/get-user-certificate/sec1eUxRYGSyGGBU-OUo","Завантажити сертифікат")</f>
        <v>Завантажити сертифікат</v>
      </c>
    </row>
    <row r="897" spans="1:5" x14ac:dyDescent="0.3">
      <c r="A897" s="2" t="s">
        <v>1838</v>
      </c>
      <c r="B897" s="2" t="s">
        <v>5</v>
      </c>
      <c r="C897" s="2" t="s">
        <v>1839</v>
      </c>
      <c r="D897" s="2" t="s">
        <v>1835</v>
      </c>
      <c r="E897" s="2" t="str">
        <f>HYPERLINK("https://talan.bank.gov.ua/get-user-certificate/sec1e6sZIeueoAQTuq3m","Завантажити сертифікат")</f>
        <v>Завантажити сертифікат</v>
      </c>
    </row>
    <row r="898" spans="1:5" x14ac:dyDescent="0.3">
      <c r="A898" s="2" t="s">
        <v>1840</v>
      </c>
      <c r="B898" s="2" t="s">
        <v>5</v>
      </c>
      <c r="C898" s="2" t="s">
        <v>1841</v>
      </c>
      <c r="D898" s="2" t="s">
        <v>1835</v>
      </c>
      <c r="E898" s="2" t="str">
        <f>HYPERLINK("https://talan.bank.gov.ua/get-user-certificate/sec1elIblH8EG0Q0bif9","Завантажити сертифікат")</f>
        <v>Завантажити сертифікат</v>
      </c>
    </row>
    <row r="899" spans="1:5" x14ac:dyDescent="0.3">
      <c r="A899" s="2" t="s">
        <v>1842</v>
      </c>
      <c r="B899" s="2" t="s">
        <v>5</v>
      </c>
      <c r="C899" s="2" t="s">
        <v>1843</v>
      </c>
      <c r="D899" s="2" t="s">
        <v>1835</v>
      </c>
      <c r="E899" s="2" t="str">
        <f>HYPERLINK("https://talan.bank.gov.ua/get-user-certificate/sec1eCdfGN74w76u9yNN","Завантажити сертифікат")</f>
        <v>Завантажити сертифікат</v>
      </c>
    </row>
    <row r="900" spans="1:5" x14ac:dyDescent="0.3">
      <c r="A900" s="2" t="s">
        <v>1844</v>
      </c>
      <c r="B900" s="2" t="s">
        <v>5</v>
      </c>
      <c r="C900" s="2" t="s">
        <v>1845</v>
      </c>
      <c r="D900" s="2" t="s">
        <v>1835</v>
      </c>
      <c r="E900" s="2" t="str">
        <f>HYPERLINK("https://talan.bank.gov.ua/get-user-certificate/sec1eYh_9WyQTNvoMhby","Завантажити сертифікат")</f>
        <v>Завантажити сертифікат</v>
      </c>
    </row>
    <row r="901" spans="1:5" x14ac:dyDescent="0.3">
      <c r="A901" s="2" t="s">
        <v>1846</v>
      </c>
      <c r="B901" s="2" t="s">
        <v>5</v>
      </c>
      <c r="C901" s="2" t="s">
        <v>1847</v>
      </c>
      <c r="D901" s="2" t="s">
        <v>1835</v>
      </c>
      <c r="E901" s="2" t="str">
        <f>HYPERLINK("https://talan.bank.gov.ua/get-user-certificate/sec1eHe3Bcaekf24jmCM","Завантажити сертифікат")</f>
        <v>Завантажити сертифікат</v>
      </c>
    </row>
    <row r="902" spans="1:5" x14ac:dyDescent="0.3">
      <c r="A902" s="2" t="s">
        <v>1848</v>
      </c>
      <c r="B902" s="2" t="s">
        <v>5</v>
      </c>
      <c r="C902" s="2" t="s">
        <v>1849</v>
      </c>
      <c r="D902" s="2" t="s">
        <v>1835</v>
      </c>
      <c r="E902" s="2" t="str">
        <f>HYPERLINK("https://talan.bank.gov.ua/get-user-certificate/sec1eUHzI0zk_dhuStrG","Завантажити сертифікат")</f>
        <v>Завантажити сертифікат</v>
      </c>
    </row>
    <row r="903" spans="1:5" x14ac:dyDescent="0.3">
      <c r="A903" s="2" t="s">
        <v>1850</v>
      </c>
      <c r="B903" s="2" t="s">
        <v>5</v>
      </c>
      <c r="C903" s="2" t="s">
        <v>1851</v>
      </c>
      <c r="D903" s="2" t="s">
        <v>1835</v>
      </c>
      <c r="E903" s="2" t="str">
        <f>HYPERLINK("https://talan.bank.gov.ua/get-user-certificate/sec1eal7RzplyWHTJ2vC","Завантажити сертифікат")</f>
        <v>Завантажити сертифікат</v>
      </c>
    </row>
    <row r="904" spans="1:5" x14ac:dyDescent="0.3">
      <c r="A904" s="2" t="s">
        <v>1852</v>
      </c>
      <c r="B904" s="2" t="s">
        <v>5</v>
      </c>
      <c r="C904" s="2" t="s">
        <v>1853</v>
      </c>
      <c r="D904" s="2" t="s">
        <v>1835</v>
      </c>
      <c r="E904" s="2" t="str">
        <f>HYPERLINK("https://talan.bank.gov.ua/get-user-certificate/sec1eM6gYmgv_yR0vahc","Завантажити сертифікат")</f>
        <v>Завантажити сертифікат</v>
      </c>
    </row>
    <row r="905" spans="1:5" x14ac:dyDescent="0.3">
      <c r="A905" s="2" t="s">
        <v>1854</v>
      </c>
      <c r="B905" s="2" t="s">
        <v>5</v>
      </c>
      <c r="C905" s="2" t="s">
        <v>1855</v>
      </c>
      <c r="D905" s="2" t="s">
        <v>1835</v>
      </c>
      <c r="E905" s="2" t="str">
        <f>HYPERLINK("https://talan.bank.gov.ua/get-user-certificate/sec1eXX5A2CaU-4FHWQa","Завантажити сертифікат")</f>
        <v>Завантажити сертифікат</v>
      </c>
    </row>
    <row r="906" spans="1:5" x14ac:dyDescent="0.3">
      <c r="A906" s="2" t="s">
        <v>1856</v>
      </c>
      <c r="B906" s="2" t="s">
        <v>5</v>
      </c>
      <c r="C906" s="2" t="s">
        <v>1857</v>
      </c>
      <c r="D906" s="2" t="s">
        <v>1835</v>
      </c>
      <c r="E906" s="2" t="str">
        <f>HYPERLINK("https://talan.bank.gov.ua/get-user-certificate/sec1eBzXoQQJKBHNHsC7","Завантажити сертифікат")</f>
        <v>Завантажити сертифікат</v>
      </c>
    </row>
    <row r="907" spans="1:5" x14ac:dyDescent="0.3">
      <c r="A907" s="2" t="s">
        <v>1858</v>
      </c>
      <c r="B907" s="2" t="s">
        <v>5</v>
      </c>
      <c r="C907" s="2" t="s">
        <v>1859</v>
      </c>
      <c r="D907" s="2" t="s">
        <v>1835</v>
      </c>
      <c r="E907" s="2" t="str">
        <f>HYPERLINK("https://talan.bank.gov.ua/get-user-certificate/sec1ekrwwyiIUbx0-Fhy","Завантажити сертифікат")</f>
        <v>Завантажити сертифікат</v>
      </c>
    </row>
    <row r="908" spans="1:5" x14ac:dyDescent="0.3">
      <c r="A908" s="2" t="s">
        <v>1860</v>
      </c>
      <c r="B908" s="2" t="s">
        <v>5</v>
      </c>
      <c r="C908" s="2" t="s">
        <v>1861</v>
      </c>
      <c r="D908" s="2" t="s">
        <v>1835</v>
      </c>
      <c r="E908" s="2" t="str">
        <f>HYPERLINK("https://talan.bank.gov.ua/get-user-certificate/sec1eh-J4TbUHTrRe2F_","Завантажити сертифікат")</f>
        <v>Завантажити сертифікат</v>
      </c>
    </row>
    <row r="909" spans="1:5" x14ac:dyDescent="0.3">
      <c r="A909" s="2" t="s">
        <v>1862</v>
      </c>
      <c r="B909" s="2" t="s">
        <v>5</v>
      </c>
      <c r="C909" s="2" t="s">
        <v>1863</v>
      </c>
      <c r="D909" s="2" t="s">
        <v>1835</v>
      </c>
      <c r="E909" s="2" t="str">
        <f>HYPERLINK("https://talan.bank.gov.ua/get-user-certificate/sec1etA5kVZavtZp4IQz","Завантажити сертифікат")</f>
        <v>Завантажити сертифікат</v>
      </c>
    </row>
    <row r="910" spans="1:5" x14ac:dyDescent="0.3">
      <c r="A910" s="2" t="s">
        <v>1864</v>
      </c>
      <c r="B910" s="2" t="s">
        <v>5</v>
      </c>
      <c r="C910" s="2" t="s">
        <v>1865</v>
      </c>
      <c r="D910" s="2" t="s">
        <v>1835</v>
      </c>
      <c r="E910" s="2" t="str">
        <f>HYPERLINK("https://talan.bank.gov.ua/get-user-certificate/sec1eJlV4Vmg-wB_zQMF","Завантажити сертифікат")</f>
        <v>Завантажити сертифікат</v>
      </c>
    </row>
    <row r="911" spans="1:5" x14ac:dyDescent="0.3">
      <c r="A911" s="2" t="s">
        <v>1866</v>
      </c>
      <c r="B911" s="2" t="s">
        <v>5</v>
      </c>
      <c r="C911" s="2" t="s">
        <v>1867</v>
      </c>
      <c r="D911" s="2" t="s">
        <v>1835</v>
      </c>
      <c r="E911" s="2" t="str">
        <f>HYPERLINK("https://talan.bank.gov.ua/get-user-certificate/sec1eB4X4Kc0vkwgqvLU","Завантажити сертифікат")</f>
        <v>Завантажити сертифікат</v>
      </c>
    </row>
    <row r="912" spans="1:5" x14ac:dyDescent="0.3">
      <c r="A912" s="2" t="s">
        <v>1868</v>
      </c>
      <c r="B912" s="2" t="s">
        <v>5</v>
      </c>
      <c r="C912" s="2" t="s">
        <v>1869</v>
      </c>
      <c r="D912" s="2" t="s">
        <v>1835</v>
      </c>
      <c r="E912" s="2" t="str">
        <f>HYPERLINK("https://talan.bank.gov.ua/get-user-certificate/sec1eQgVnQmEDiCatisj","Завантажити сертифікат")</f>
        <v>Завантажити сертифікат</v>
      </c>
    </row>
    <row r="913" spans="1:5" x14ac:dyDescent="0.3">
      <c r="A913" s="2" t="s">
        <v>1870</v>
      </c>
      <c r="B913" s="2" t="s">
        <v>5</v>
      </c>
      <c r="C913" s="2" t="s">
        <v>1871</v>
      </c>
      <c r="D913" s="2" t="s">
        <v>1835</v>
      </c>
      <c r="E913" s="2" t="str">
        <f>HYPERLINK("https://talan.bank.gov.ua/get-user-certificate/sec1eHrvcD1whnJ2mErH","Завантажити сертифікат")</f>
        <v>Завантажити сертифікат</v>
      </c>
    </row>
    <row r="914" spans="1:5" x14ac:dyDescent="0.3">
      <c r="A914" s="2" t="s">
        <v>1872</v>
      </c>
      <c r="B914" s="2" t="s">
        <v>5</v>
      </c>
      <c r="C914" s="2" t="s">
        <v>1873</v>
      </c>
      <c r="D914" s="2" t="s">
        <v>1835</v>
      </c>
      <c r="E914" s="2" t="str">
        <f>HYPERLINK("https://talan.bank.gov.ua/get-user-certificate/sec1e4lRmJyyKiHB5C8a","Завантажити сертифікат")</f>
        <v>Завантажити сертифікат</v>
      </c>
    </row>
    <row r="915" spans="1:5" x14ac:dyDescent="0.3">
      <c r="A915" s="2" t="s">
        <v>1874</v>
      </c>
      <c r="B915" s="2" t="s">
        <v>5</v>
      </c>
      <c r="C915" s="2" t="s">
        <v>1875</v>
      </c>
      <c r="D915" s="2" t="s">
        <v>1835</v>
      </c>
      <c r="E915" s="2" t="str">
        <f>HYPERLINK("https://talan.bank.gov.ua/get-user-certificate/sec1ekIWpiPlbeP_u1DI","Завантажити сертифікат")</f>
        <v>Завантажити сертифікат</v>
      </c>
    </row>
    <row r="916" spans="1:5" x14ac:dyDescent="0.3">
      <c r="A916" s="2" t="s">
        <v>1876</v>
      </c>
      <c r="B916" s="2" t="s">
        <v>5</v>
      </c>
      <c r="C916" s="2" t="s">
        <v>1877</v>
      </c>
      <c r="D916" s="2" t="s">
        <v>1835</v>
      </c>
      <c r="E916" s="2" t="str">
        <f>HYPERLINK("https://talan.bank.gov.ua/get-user-certificate/sec1eS8z4cFFpvfg4G0S","Завантажити сертифікат")</f>
        <v>Завантажити сертифікат</v>
      </c>
    </row>
    <row r="917" spans="1:5" x14ac:dyDescent="0.3">
      <c r="A917" s="2" t="s">
        <v>1878</v>
      </c>
      <c r="B917" s="2" t="s">
        <v>5</v>
      </c>
      <c r="C917" s="2" t="s">
        <v>1879</v>
      </c>
      <c r="D917" s="2" t="s">
        <v>1835</v>
      </c>
      <c r="E917" s="2" t="str">
        <f>HYPERLINK("https://talan.bank.gov.ua/get-user-certificate/sec1ehBjkNmmYC6nDnSB","Завантажити сертифікат")</f>
        <v>Завантажити сертифікат</v>
      </c>
    </row>
    <row r="918" spans="1:5" x14ac:dyDescent="0.3">
      <c r="A918" s="2" t="s">
        <v>1880</v>
      </c>
      <c r="B918" s="2" t="s">
        <v>5</v>
      </c>
      <c r="C918" s="2" t="s">
        <v>1881</v>
      </c>
      <c r="D918" s="2" t="s">
        <v>1835</v>
      </c>
      <c r="E918" s="2" t="str">
        <f>HYPERLINK("https://talan.bank.gov.ua/get-user-certificate/sec1el14qktQr_PozAwO","Завантажити сертифікат")</f>
        <v>Завантажити сертифікат</v>
      </c>
    </row>
    <row r="919" spans="1:5" x14ac:dyDescent="0.3">
      <c r="A919" s="2" t="s">
        <v>1882</v>
      </c>
      <c r="B919" s="2" t="s">
        <v>5</v>
      </c>
      <c r="C919" s="2" t="s">
        <v>1883</v>
      </c>
      <c r="D919" s="2" t="s">
        <v>1835</v>
      </c>
      <c r="E919" s="2" t="str">
        <f>HYPERLINK("https://talan.bank.gov.ua/get-user-certificate/sec1eYUS74DzqeQadbqD","Завантажити сертифікат")</f>
        <v>Завантажити сертифікат</v>
      </c>
    </row>
    <row r="920" spans="1:5" x14ac:dyDescent="0.3">
      <c r="A920" s="2" t="s">
        <v>1884</v>
      </c>
      <c r="B920" s="2" t="s">
        <v>5</v>
      </c>
      <c r="C920" s="2" t="s">
        <v>1885</v>
      </c>
      <c r="D920" s="2" t="s">
        <v>1835</v>
      </c>
      <c r="E920" s="2" t="str">
        <f>HYPERLINK("https://talan.bank.gov.ua/get-user-certificate/sec1eEnxlVfxV1r0laNZ","Завантажити сертифікат")</f>
        <v>Завантажити сертифікат</v>
      </c>
    </row>
    <row r="921" spans="1:5" x14ac:dyDescent="0.3">
      <c r="A921" s="2" t="s">
        <v>1886</v>
      </c>
      <c r="B921" s="2" t="s">
        <v>5</v>
      </c>
      <c r="C921" s="2" t="s">
        <v>1887</v>
      </c>
      <c r="D921" s="2" t="s">
        <v>1888</v>
      </c>
      <c r="E921" s="2" t="str">
        <f>HYPERLINK("https://talan.bank.gov.ua/get-user-certificate/sec1eLtF9D-4rPzanowR","Завантажити сертифікат")</f>
        <v>Завантажити сертифікат</v>
      </c>
    </row>
    <row r="922" spans="1:5" x14ac:dyDescent="0.3">
      <c r="A922" s="2" t="s">
        <v>1889</v>
      </c>
      <c r="B922" s="2" t="s">
        <v>5</v>
      </c>
      <c r="C922" s="2" t="s">
        <v>1890</v>
      </c>
      <c r="D922" s="2" t="s">
        <v>1888</v>
      </c>
      <c r="E922" s="2" t="str">
        <f>HYPERLINK("https://talan.bank.gov.ua/get-user-certificate/sec1eQSGwk55DMgBdUjP","Завантажити сертифікат")</f>
        <v>Завантажити сертифікат</v>
      </c>
    </row>
    <row r="923" spans="1:5" x14ac:dyDescent="0.3">
      <c r="A923" s="2" t="s">
        <v>1891</v>
      </c>
      <c r="B923" s="2" t="s">
        <v>5</v>
      </c>
      <c r="C923" s="2" t="s">
        <v>1892</v>
      </c>
      <c r="D923" s="2" t="s">
        <v>1888</v>
      </c>
      <c r="E923" s="2" t="str">
        <f>HYPERLINK("https://talan.bank.gov.ua/get-user-certificate/sec1edsl9F1ODsAakaAn","Завантажити сертифікат")</f>
        <v>Завантажити сертифікат</v>
      </c>
    </row>
    <row r="924" spans="1:5" x14ac:dyDescent="0.3">
      <c r="A924" s="2" t="s">
        <v>1893</v>
      </c>
      <c r="B924" s="2" t="s">
        <v>5</v>
      </c>
      <c r="C924" s="2" t="s">
        <v>1894</v>
      </c>
      <c r="D924" s="2" t="s">
        <v>1888</v>
      </c>
      <c r="E924" s="2" t="str">
        <f>HYPERLINK("https://talan.bank.gov.ua/get-user-certificate/sec1eBcWRfPaiekBCoQV","Завантажити сертифікат")</f>
        <v>Завантажити сертифікат</v>
      </c>
    </row>
    <row r="925" spans="1:5" x14ac:dyDescent="0.3">
      <c r="A925" s="2" t="s">
        <v>1895</v>
      </c>
      <c r="B925" s="2" t="s">
        <v>5</v>
      </c>
      <c r="C925" s="2" t="s">
        <v>1896</v>
      </c>
      <c r="D925" s="2" t="s">
        <v>1888</v>
      </c>
      <c r="E925" s="2" t="str">
        <f>HYPERLINK("https://talan.bank.gov.ua/get-user-certificate/sec1eQDSb8jhqhHNrSTn","Завантажити сертифікат")</f>
        <v>Завантажити сертифікат</v>
      </c>
    </row>
    <row r="926" spans="1:5" x14ac:dyDescent="0.3">
      <c r="A926" s="2" t="s">
        <v>1897</v>
      </c>
      <c r="B926" s="2" t="s">
        <v>5</v>
      </c>
      <c r="C926" s="2" t="s">
        <v>1898</v>
      </c>
      <c r="D926" s="2" t="s">
        <v>1888</v>
      </c>
      <c r="E926" s="2" t="str">
        <f>HYPERLINK("https://talan.bank.gov.ua/get-user-certificate/sec1eXK5-0aAZHsILljK","Завантажити сертифікат")</f>
        <v>Завантажити сертифікат</v>
      </c>
    </row>
    <row r="927" spans="1:5" x14ac:dyDescent="0.3">
      <c r="A927" s="2" t="s">
        <v>1899</v>
      </c>
      <c r="B927" s="2" t="s">
        <v>5</v>
      </c>
      <c r="C927" s="2" t="s">
        <v>1900</v>
      </c>
      <c r="D927" s="2" t="s">
        <v>1888</v>
      </c>
      <c r="E927" s="2" t="str">
        <f>HYPERLINK("https://talan.bank.gov.ua/get-user-certificate/sec1eViWUEY6Tzey3wTZ","Завантажити сертифікат")</f>
        <v>Завантажити сертифікат</v>
      </c>
    </row>
    <row r="928" spans="1:5" x14ac:dyDescent="0.3">
      <c r="A928" s="2" t="s">
        <v>1901</v>
      </c>
      <c r="B928" s="2" t="s">
        <v>5</v>
      </c>
      <c r="C928" s="2" t="s">
        <v>1902</v>
      </c>
      <c r="D928" s="2" t="s">
        <v>1888</v>
      </c>
      <c r="E928" s="2" t="str">
        <f>HYPERLINK("https://talan.bank.gov.ua/get-user-certificate/sec1e0PHyJwbjdHW-0FM","Завантажити сертифікат")</f>
        <v>Завантажити сертифікат</v>
      </c>
    </row>
    <row r="929" spans="1:5" x14ac:dyDescent="0.3">
      <c r="A929" s="2" t="s">
        <v>1903</v>
      </c>
      <c r="B929" s="2" t="s">
        <v>5</v>
      </c>
      <c r="C929" s="2" t="s">
        <v>1904</v>
      </c>
      <c r="D929" s="2" t="s">
        <v>1888</v>
      </c>
      <c r="E929" s="2" t="str">
        <f>HYPERLINK("https://talan.bank.gov.ua/get-user-certificate/sec1eBCUy7D-ke2XKn5Y","Завантажити сертифікат")</f>
        <v>Завантажити сертифікат</v>
      </c>
    </row>
    <row r="930" spans="1:5" x14ac:dyDescent="0.3">
      <c r="A930" s="2" t="s">
        <v>1905</v>
      </c>
      <c r="B930" s="2" t="s">
        <v>5</v>
      </c>
      <c r="C930" s="2" t="s">
        <v>1906</v>
      </c>
      <c r="D930" s="2" t="s">
        <v>1888</v>
      </c>
      <c r="E930" s="2" t="str">
        <f>HYPERLINK("https://talan.bank.gov.ua/get-user-certificate/sec1ewAixVlXwXLxcprZ","Завантажити сертифікат")</f>
        <v>Завантажити сертифікат</v>
      </c>
    </row>
    <row r="931" spans="1:5" x14ac:dyDescent="0.3">
      <c r="A931" s="2" t="s">
        <v>1907</v>
      </c>
      <c r="B931" s="2" t="s">
        <v>5</v>
      </c>
      <c r="C931" s="2" t="s">
        <v>1908</v>
      </c>
      <c r="D931" s="2" t="s">
        <v>1888</v>
      </c>
      <c r="E931" s="2" t="str">
        <f>HYPERLINK("https://talan.bank.gov.ua/get-user-certificate/sec1eYJf7RYlR80fbMOO","Завантажити сертифікат")</f>
        <v>Завантажити сертифікат</v>
      </c>
    </row>
    <row r="932" spans="1:5" x14ac:dyDescent="0.3">
      <c r="A932" s="2" t="s">
        <v>1909</v>
      </c>
      <c r="B932" s="2" t="s">
        <v>5</v>
      </c>
      <c r="C932" s="2" t="s">
        <v>1910</v>
      </c>
      <c r="D932" s="2" t="s">
        <v>1888</v>
      </c>
      <c r="E932" s="2" t="str">
        <f>HYPERLINK("https://talan.bank.gov.ua/get-user-certificate/sec1eHarQ2ad8iU0w5il","Завантажити сертифікат")</f>
        <v>Завантажити сертифікат</v>
      </c>
    </row>
    <row r="933" spans="1:5" x14ac:dyDescent="0.3">
      <c r="A933" s="2" t="s">
        <v>1911</v>
      </c>
      <c r="B933" s="2" t="s">
        <v>5</v>
      </c>
      <c r="C933" s="2" t="s">
        <v>1912</v>
      </c>
      <c r="D933" s="2" t="s">
        <v>1888</v>
      </c>
      <c r="E933" s="2" t="str">
        <f>HYPERLINK("https://talan.bank.gov.ua/get-user-certificate/sec1egpkJ2PQ1C762RB4","Завантажити сертифікат")</f>
        <v>Завантажити сертифікат</v>
      </c>
    </row>
    <row r="934" spans="1:5" x14ac:dyDescent="0.3">
      <c r="A934" s="2" t="s">
        <v>1913</v>
      </c>
      <c r="B934" s="2" t="s">
        <v>5</v>
      </c>
      <c r="C934" s="2" t="s">
        <v>1914</v>
      </c>
      <c r="D934" s="2" t="s">
        <v>1888</v>
      </c>
      <c r="E934" s="2" t="str">
        <f>HYPERLINK("https://talan.bank.gov.ua/get-user-certificate/sec1eozWFs4Dw5bNzeh2","Завантажити сертифікат")</f>
        <v>Завантажити сертифікат</v>
      </c>
    </row>
    <row r="935" spans="1:5" x14ac:dyDescent="0.3">
      <c r="A935" s="2" t="s">
        <v>1915</v>
      </c>
      <c r="B935" s="2" t="s">
        <v>5</v>
      </c>
      <c r="C935" s="2" t="s">
        <v>1916</v>
      </c>
      <c r="D935" s="2" t="s">
        <v>1888</v>
      </c>
      <c r="E935" s="2" t="str">
        <f>HYPERLINK("https://talan.bank.gov.ua/get-user-certificate/sec1eKgw04nKCfFRrNer","Завантажити сертифікат")</f>
        <v>Завантажити сертифікат</v>
      </c>
    </row>
    <row r="936" spans="1:5" x14ac:dyDescent="0.3">
      <c r="A936" s="2" t="s">
        <v>1917</v>
      </c>
      <c r="B936" s="2" t="s">
        <v>5</v>
      </c>
      <c r="C936" s="2" t="s">
        <v>1918</v>
      </c>
      <c r="D936" s="2" t="s">
        <v>1919</v>
      </c>
      <c r="E936" s="2" t="str">
        <f>HYPERLINK("https://talan.bank.gov.ua/get-user-certificate/sec1eX-r3TWwzgmFbtu-","Завантажити сертифікат")</f>
        <v>Завантажити сертифікат</v>
      </c>
    </row>
    <row r="937" spans="1:5" x14ac:dyDescent="0.3">
      <c r="A937" s="2" t="s">
        <v>1920</v>
      </c>
      <c r="B937" s="2" t="s">
        <v>5</v>
      </c>
      <c r="C937" s="2" t="s">
        <v>1921</v>
      </c>
      <c r="D937" s="2" t="s">
        <v>1919</v>
      </c>
      <c r="E937" s="2" t="str">
        <f>HYPERLINK("https://talan.bank.gov.ua/get-user-certificate/sec1elR-CgnxsANdo8ez","Завантажити сертифікат")</f>
        <v>Завантажити сертифікат</v>
      </c>
    </row>
    <row r="938" spans="1:5" x14ac:dyDescent="0.3">
      <c r="A938" s="2" t="s">
        <v>1922</v>
      </c>
      <c r="B938" s="2" t="s">
        <v>5</v>
      </c>
      <c r="C938" s="2" t="s">
        <v>1923</v>
      </c>
      <c r="D938" s="2" t="s">
        <v>1919</v>
      </c>
      <c r="E938" s="2" t="str">
        <f>HYPERLINK("https://talan.bank.gov.ua/get-user-certificate/sec1eX_jYanOQiQH5G3n","Завантажити сертифікат")</f>
        <v>Завантажити сертифікат</v>
      </c>
    </row>
    <row r="939" spans="1:5" x14ac:dyDescent="0.3">
      <c r="A939" s="2" t="s">
        <v>1924</v>
      </c>
      <c r="B939" s="2" t="s">
        <v>5</v>
      </c>
      <c r="C939" s="2" t="s">
        <v>1925</v>
      </c>
      <c r="D939" s="2" t="s">
        <v>1919</v>
      </c>
      <c r="E939" s="2" t="str">
        <f>HYPERLINK("https://talan.bank.gov.ua/get-user-certificate/sec1enCNbMVschWGBe7e","Завантажити сертифікат")</f>
        <v>Завантажити сертифікат</v>
      </c>
    </row>
    <row r="940" spans="1:5" x14ac:dyDescent="0.3">
      <c r="A940" s="2" t="s">
        <v>1926</v>
      </c>
      <c r="B940" s="2" t="s">
        <v>5</v>
      </c>
      <c r="C940" s="2" t="s">
        <v>1927</v>
      </c>
      <c r="D940" s="2" t="s">
        <v>1919</v>
      </c>
      <c r="E940" s="2" t="str">
        <f>HYPERLINK("https://talan.bank.gov.ua/get-user-certificate/sec1eO-GW5O-fZNCJkPF","Завантажити сертифікат")</f>
        <v>Завантажити сертифікат</v>
      </c>
    </row>
    <row r="941" spans="1:5" x14ac:dyDescent="0.3">
      <c r="A941" s="2" t="s">
        <v>1928</v>
      </c>
      <c r="B941" s="2" t="s">
        <v>5</v>
      </c>
      <c r="C941" s="2" t="s">
        <v>1929</v>
      </c>
      <c r="D941" s="2" t="s">
        <v>1919</v>
      </c>
      <c r="E941" s="2" t="str">
        <f>HYPERLINK("https://talan.bank.gov.ua/get-user-certificate/sec1eniOSeIGiFCnF2NB","Завантажити сертифікат")</f>
        <v>Завантажити сертифікат</v>
      </c>
    </row>
    <row r="942" spans="1:5" x14ac:dyDescent="0.3">
      <c r="A942" s="2" t="s">
        <v>1930</v>
      </c>
      <c r="B942" s="2" t="s">
        <v>5</v>
      </c>
      <c r="C942" s="2" t="s">
        <v>1931</v>
      </c>
      <c r="D942" s="2" t="s">
        <v>1919</v>
      </c>
      <c r="E942" s="2" t="str">
        <f>HYPERLINK("https://talan.bank.gov.ua/get-user-certificate/sec1eU0ZsQwS-74-LM9u","Завантажити сертифікат")</f>
        <v>Завантажити сертифікат</v>
      </c>
    </row>
    <row r="943" spans="1:5" x14ac:dyDescent="0.3">
      <c r="A943" s="2" t="s">
        <v>1932</v>
      </c>
      <c r="B943" s="2" t="s">
        <v>5</v>
      </c>
      <c r="C943" s="2" t="s">
        <v>1933</v>
      </c>
      <c r="D943" s="2" t="s">
        <v>1919</v>
      </c>
      <c r="E943" s="2" t="str">
        <f>HYPERLINK("https://talan.bank.gov.ua/get-user-certificate/sec1eX2gCSwA5AxM-Zl0","Завантажити сертифікат")</f>
        <v>Завантажити сертифікат</v>
      </c>
    </row>
    <row r="944" spans="1:5" x14ac:dyDescent="0.3">
      <c r="A944" s="2" t="s">
        <v>1934</v>
      </c>
      <c r="B944" s="2" t="s">
        <v>5</v>
      </c>
      <c r="C944" s="2" t="s">
        <v>1935</v>
      </c>
      <c r="D944" s="2" t="s">
        <v>1919</v>
      </c>
      <c r="E944" s="2" t="str">
        <f>HYPERLINK("https://talan.bank.gov.ua/get-user-certificate/sec1eG5Ij4eW5n3R4tpy","Завантажити сертифікат")</f>
        <v>Завантажити сертифікат</v>
      </c>
    </row>
    <row r="945" spans="1:5" x14ac:dyDescent="0.3">
      <c r="A945" s="2" t="s">
        <v>1936</v>
      </c>
      <c r="B945" s="2" t="s">
        <v>5</v>
      </c>
      <c r="C945" s="2" t="s">
        <v>1937</v>
      </c>
      <c r="D945" s="2" t="s">
        <v>1919</v>
      </c>
      <c r="E945" s="2" t="str">
        <f>HYPERLINK("https://talan.bank.gov.ua/get-user-certificate/sec1eXX9smpIwl3_7gfD","Завантажити сертифікат")</f>
        <v>Завантажити сертифікат</v>
      </c>
    </row>
    <row r="946" spans="1:5" x14ac:dyDescent="0.3">
      <c r="A946" s="2" t="s">
        <v>1938</v>
      </c>
      <c r="B946" s="2" t="s">
        <v>5</v>
      </c>
      <c r="C946" s="2" t="s">
        <v>1939</v>
      </c>
      <c r="D946" s="2" t="s">
        <v>1919</v>
      </c>
      <c r="E946" s="2" t="str">
        <f>HYPERLINK("https://talan.bank.gov.ua/get-user-certificate/sec1ez9c5Xa4X3sKr-A_","Завантажити сертифікат")</f>
        <v>Завантажити сертифікат</v>
      </c>
    </row>
    <row r="947" spans="1:5" x14ac:dyDescent="0.3">
      <c r="A947" s="2" t="s">
        <v>1940</v>
      </c>
      <c r="B947" s="2" t="s">
        <v>5</v>
      </c>
      <c r="C947" s="2" t="s">
        <v>1941</v>
      </c>
      <c r="D947" s="2" t="s">
        <v>1919</v>
      </c>
      <c r="E947" s="2" t="str">
        <f>HYPERLINK("https://talan.bank.gov.ua/get-user-certificate/sec1eCKJD6qaTtujlexT","Завантажити сертифікат")</f>
        <v>Завантажити сертифікат</v>
      </c>
    </row>
    <row r="948" spans="1:5" x14ac:dyDescent="0.3">
      <c r="A948" s="2" t="s">
        <v>1942</v>
      </c>
      <c r="B948" s="2" t="s">
        <v>5</v>
      </c>
      <c r="C948" s="2" t="s">
        <v>1943</v>
      </c>
      <c r="D948" s="2" t="s">
        <v>1919</v>
      </c>
      <c r="E948" s="2" t="str">
        <f>HYPERLINK("https://talan.bank.gov.ua/get-user-certificate/sec1enDpWQXN-t4aOUFa","Завантажити сертифікат")</f>
        <v>Завантажити сертифікат</v>
      </c>
    </row>
    <row r="949" spans="1:5" x14ac:dyDescent="0.3">
      <c r="A949" s="2" t="s">
        <v>1944</v>
      </c>
      <c r="B949" s="2" t="s">
        <v>5</v>
      </c>
      <c r="C949" s="2" t="s">
        <v>1945</v>
      </c>
      <c r="D949" s="2" t="s">
        <v>1919</v>
      </c>
      <c r="E949" s="2" t="str">
        <f>HYPERLINK("https://talan.bank.gov.ua/get-user-certificate/sec1eQst4RIDWXYMDVkI","Завантажити сертифікат")</f>
        <v>Завантажити сертифікат</v>
      </c>
    </row>
    <row r="950" spans="1:5" x14ac:dyDescent="0.3">
      <c r="A950" s="2" t="s">
        <v>1946</v>
      </c>
      <c r="B950" s="2" t="s">
        <v>5</v>
      </c>
      <c r="C950" s="2" t="s">
        <v>1947</v>
      </c>
      <c r="D950" s="2" t="s">
        <v>1919</v>
      </c>
      <c r="E950" s="2" t="str">
        <f>HYPERLINK("https://talan.bank.gov.ua/get-user-certificate/sec1e5tCBoSIFF4Kmbek","Завантажити сертифікат")</f>
        <v>Завантажити сертифікат</v>
      </c>
    </row>
    <row r="951" spans="1:5" x14ac:dyDescent="0.3">
      <c r="A951" s="2" t="s">
        <v>1948</v>
      </c>
      <c r="B951" s="2" t="s">
        <v>5</v>
      </c>
      <c r="C951" s="2" t="s">
        <v>1949</v>
      </c>
      <c r="D951" s="2" t="s">
        <v>1919</v>
      </c>
      <c r="E951" s="2" t="str">
        <f>HYPERLINK("https://talan.bank.gov.ua/get-user-certificate/sec1eQVeIoIX68m4pGu0","Завантажити сертифікат")</f>
        <v>Завантажити сертифікат</v>
      </c>
    </row>
    <row r="952" spans="1:5" x14ac:dyDescent="0.3">
      <c r="A952" s="2" t="s">
        <v>1950</v>
      </c>
      <c r="B952" s="2" t="s">
        <v>5</v>
      </c>
      <c r="C952" s="2" t="s">
        <v>1951</v>
      </c>
      <c r="D952" s="2" t="s">
        <v>1919</v>
      </c>
      <c r="E952" s="2" t="str">
        <f>HYPERLINK("https://talan.bank.gov.ua/get-user-certificate/sec1ev1169STtaFaMxEV","Завантажити сертифікат")</f>
        <v>Завантажити сертифікат</v>
      </c>
    </row>
    <row r="953" spans="1:5" x14ac:dyDescent="0.3">
      <c r="A953" s="2" t="s">
        <v>1952</v>
      </c>
      <c r="B953" s="2" t="s">
        <v>5</v>
      </c>
      <c r="C953" s="2" t="s">
        <v>1953</v>
      </c>
      <c r="D953" s="2" t="s">
        <v>1919</v>
      </c>
      <c r="E953" s="2" t="str">
        <f>HYPERLINK("https://talan.bank.gov.ua/get-user-certificate/sec1e1voXvsyl_Yq_cRs","Завантажити сертифікат")</f>
        <v>Завантажити сертифікат</v>
      </c>
    </row>
    <row r="954" spans="1:5" x14ac:dyDescent="0.3">
      <c r="A954" s="2" t="s">
        <v>1954</v>
      </c>
      <c r="B954" s="2" t="s">
        <v>5</v>
      </c>
      <c r="C954" s="2" t="s">
        <v>1955</v>
      </c>
      <c r="D954" s="2" t="s">
        <v>1919</v>
      </c>
      <c r="E954" s="2" t="str">
        <f>HYPERLINK("https://talan.bank.gov.ua/get-user-certificate/sec1eVNLM8yei0dhuOB1","Завантажити сертифікат")</f>
        <v>Завантажити сертифікат</v>
      </c>
    </row>
    <row r="955" spans="1:5" x14ac:dyDescent="0.3">
      <c r="A955" s="2" t="s">
        <v>1956</v>
      </c>
      <c r="B955" s="2" t="s">
        <v>5</v>
      </c>
      <c r="C955" s="2" t="s">
        <v>1957</v>
      </c>
      <c r="D955" s="2" t="s">
        <v>1919</v>
      </c>
      <c r="E955" s="2" t="str">
        <f>HYPERLINK("https://talan.bank.gov.ua/get-user-certificate/sec1e7zX9mt9801iWLwV","Завантажити сертифікат")</f>
        <v>Завантажити сертифікат</v>
      </c>
    </row>
    <row r="956" spans="1:5" x14ac:dyDescent="0.3">
      <c r="A956" s="2" t="s">
        <v>1958</v>
      </c>
      <c r="B956" s="2" t="s">
        <v>5</v>
      </c>
      <c r="C956" s="2" t="s">
        <v>1959</v>
      </c>
      <c r="D956" s="2" t="s">
        <v>1919</v>
      </c>
      <c r="E956" s="2" t="str">
        <f>HYPERLINK("https://talan.bank.gov.ua/get-user-certificate/sec1eZvLvCY15Qr2lVFH","Завантажити сертифікат")</f>
        <v>Завантажити сертифікат</v>
      </c>
    </row>
    <row r="957" spans="1:5" x14ac:dyDescent="0.3">
      <c r="A957" s="2" t="s">
        <v>1960</v>
      </c>
      <c r="B957" s="2" t="s">
        <v>5</v>
      </c>
      <c r="C957" s="2" t="s">
        <v>1961</v>
      </c>
      <c r="D957" s="2" t="s">
        <v>1919</v>
      </c>
      <c r="E957" s="2" t="str">
        <f>HYPERLINK("https://talan.bank.gov.ua/get-user-certificate/sec1ehOabJdpA5NfaVBW","Завантажити сертифікат")</f>
        <v>Завантажити сертифікат</v>
      </c>
    </row>
    <row r="958" spans="1:5" x14ac:dyDescent="0.3">
      <c r="A958" s="2" t="s">
        <v>1962</v>
      </c>
      <c r="B958" s="2" t="s">
        <v>5</v>
      </c>
      <c r="C958" s="2" t="s">
        <v>1963</v>
      </c>
      <c r="D958" s="2" t="s">
        <v>1919</v>
      </c>
      <c r="E958" s="2" t="str">
        <f>HYPERLINK("https://talan.bank.gov.ua/get-user-certificate/sec1eWmDXXBZP0jmeXW6","Завантажити сертифікат")</f>
        <v>Завантажити сертифікат</v>
      </c>
    </row>
    <row r="959" spans="1:5" x14ac:dyDescent="0.3">
      <c r="A959" s="2" t="s">
        <v>1964</v>
      </c>
      <c r="B959" s="2" t="s">
        <v>5</v>
      </c>
      <c r="C959" s="2" t="s">
        <v>1965</v>
      </c>
      <c r="D959" s="2" t="s">
        <v>1919</v>
      </c>
      <c r="E959" s="2" t="str">
        <f>HYPERLINK("https://talan.bank.gov.ua/get-user-certificate/sec1ekvmiLBTDNAlR13h","Завантажити сертифікат")</f>
        <v>Завантажити сертифікат</v>
      </c>
    </row>
    <row r="960" spans="1:5" x14ac:dyDescent="0.3">
      <c r="A960" s="2" t="s">
        <v>1966</v>
      </c>
      <c r="B960" s="2" t="s">
        <v>5</v>
      </c>
      <c r="C960" s="2" t="s">
        <v>1967</v>
      </c>
      <c r="D960" s="2" t="s">
        <v>1919</v>
      </c>
      <c r="E960" s="2" t="str">
        <f>HYPERLINK("https://talan.bank.gov.ua/get-user-certificate/sec1ets0ZRgiMklPfN9o","Завантажити сертифікат")</f>
        <v>Завантажити сертифікат</v>
      </c>
    </row>
    <row r="961" spans="1:5" x14ac:dyDescent="0.3">
      <c r="A961" s="2" t="s">
        <v>1968</v>
      </c>
      <c r="B961" s="2" t="s">
        <v>5</v>
      </c>
      <c r="C961" s="2" t="s">
        <v>1969</v>
      </c>
      <c r="D961" s="2" t="s">
        <v>1919</v>
      </c>
      <c r="E961" s="2" t="str">
        <f>HYPERLINK("https://talan.bank.gov.ua/get-user-certificate/sec1eLwwfDwJ43a7_wt8","Завантажити сертифікат")</f>
        <v>Завантажити сертифікат</v>
      </c>
    </row>
    <row r="962" spans="1:5" x14ac:dyDescent="0.3">
      <c r="A962" s="2" t="s">
        <v>1970</v>
      </c>
      <c r="B962" s="2" t="s">
        <v>5</v>
      </c>
      <c r="C962" s="2" t="s">
        <v>1971</v>
      </c>
      <c r="D962" s="2" t="s">
        <v>1919</v>
      </c>
      <c r="E962" s="2" t="str">
        <f>HYPERLINK("https://talan.bank.gov.ua/get-user-certificate/sec1eFWvASOY5GqSQL9E","Завантажити сертифікат")</f>
        <v>Завантажити сертифікат</v>
      </c>
    </row>
    <row r="963" spans="1:5" x14ac:dyDescent="0.3">
      <c r="A963" s="2" t="s">
        <v>1972</v>
      </c>
      <c r="B963" s="2" t="s">
        <v>5</v>
      </c>
      <c r="C963" s="2" t="s">
        <v>1973</v>
      </c>
      <c r="D963" s="2" t="s">
        <v>1919</v>
      </c>
      <c r="E963" s="2" t="str">
        <f>HYPERLINK("https://talan.bank.gov.ua/get-user-certificate/sec1e0nKp2XEbRPgQYkg","Завантажити сертифікат")</f>
        <v>Завантажити сертифікат</v>
      </c>
    </row>
    <row r="964" spans="1:5" x14ac:dyDescent="0.3">
      <c r="A964" s="2" t="s">
        <v>1974</v>
      </c>
      <c r="B964" s="2" t="s">
        <v>5</v>
      </c>
      <c r="C964" s="2" t="s">
        <v>1975</v>
      </c>
      <c r="D964" s="2" t="s">
        <v>1919</v>
      </c>
      <c r="E964" s="2" t="str">
        <f>HYPERLINK("https://talan.bank.gov.ua/get-user-certificate/sec1eoEQ0NzjY9GMBo6a","Завантажити сертифікат")</f>
        <v>Завантажити сертифікат</v>
      </c>
    </row>
    <row r="965" spans="1:5" x14ac:dyDescent="0.3">
      <c r="A965" s="2" t="s">
        <v>1976</v>
      </c>
      <c r="B965" s="2" t="s">
        <v>5</v>
      </c>
      <c r="C965" s="2" t="s">
        <v>1977</v>
      </c>
      <c r="D965" s="2" t="s">
        <v>1919</v>
      </c>
      <c r="E965" s="2" t="str">
        <f>HYPERLINK("https://talan.bank.gov.ua/get-user-certificate/sec1e_tRN2ZwaTl1z5SO","Завантажити сертифікат")</f>
        <v>Завантажити сертифікат</v>
      </c>
    </row>
    <row r="966" spans="1:5" x14ac:dyDescent="0.3">
      <c r="A966" s="2" t="s">
        <v>1978</v>
      </c>
      <c r="B966" s="2" t="s">
        <v>5</v>
      </c>
      <c r="C966" s="2" t="s">
        <v>1979</v>
      </c>
      <c r="D966" s="2" t="s">
        <v>1980</v>
      </c>
      <c r="E966" s="2" t="str">
        <f>HYPERLINK("https://talan.bank.gov.ua/get-user-certificate/sec1eh_pgvE5G40L1ll3","Завантажити сертифікат")</f>
        <v>Завантажити сертифікат</v>
      </c>
    </row>
    <row r="967" spans="1:5" x14ac:dyDescent="0.3">
      <c r="A967" s="2" t="s">
        <v>1981</v>
      </c>
      <c r="B967" s="2" t="s">
        <v>5</v>
      </c>
      <c r="C967" s="2" t="s">
        <v>1982</v>
      </c>
      <c r="D967" s="2" t="s">
        <v>1980</v>
      </c>
      <c r="E967" s="2" t="str">
        <f>HYPERLINK("https://talan.bank.gov.ua/get-user-certificate/sec1e5dTR2iPM_nZ_3zm","Завантажити сертифікат")</f>
        <v>Завантажити сертифікат</v>
      </c>
    </row>
    <row r="968" spans="1:5" x14ac:dyDescent="0.3">
      <c r="A968" s="2" t="s">
        <v>1983</v>
      </c>
      <c r="B968" s="2" t="s">
        <v>5</v>
      </c>
      <c r="C968" s="2" t="s">
        <v>1984</v>
      </c>
      <c r="D968" s="2" t="s">
        <v>1980</v>
      </c>
      <c r="E968" s="2" t="str">
        <f>HYPERLINK("https://talan.bank.gov.ua/get-user-certificate/sec1e9JbaHQqd8FZ4sGU","Завантажити сертифікат")</f>
        <v>Завантажити сертифікат</v>
      </c>
    </row>
    <row r="969" spans="1:5" x14ac:dyDescent="0.3">
      <c r="A969" s="2" t="s">
        <v>1985</v>
      </c>
      <c r="B969" s="2" t="s">
        <v>5</v>
      </c>
      <c r="C969" s="2" t="s">
        <v>1986</v>
      </c>
      <c r="D969" s="2" t="s">
        <v>1980</v>
      </c>
      <c r="E969" s="2" t="str">
        <f>HYPERLINK("https://talan.bank.gov.ua/get-user-certificate/sec1eY1N0m1qXImKN5M-","Завантажити сертифікат")</f>
        <v>Завантажити сертифікат</v>
      </c>
    </row>
    <row r="970" spans="1:5" x14ac:dyDescent="0.3">
      <c r="A970" s="2" t="s">
        <v>1987</v>
      </c>
      <c r="B970" s="2" t="s">
        <v>5</v>
      </c>
      <c r="C970" s="2" t="s">
        <v>1988</v>
      </c>
      <c r="D970" s="2" t="s">
        <v>1980</v>
      </c>
      <c r="E970" s="2" t="str">
        <f>HYPERLINK("https://talan.bank.gov.ua/get-user-certificate/sec1eIL-hedEIrM4RtCx","Завантажити сертифікат")</f>
        <v>Завантажити сертифікат</v>
      </c>
    </row>
    <row r="971" spans="1:5" x14ac:dyDescent="0.3">
      <c r="A971" s="2" t="s">
        <v>1989</v>
      </c>
      <c r="B971" s="2" t="s">
        <v>5</v>
      </c>
      <c r="C971" s="2" t="s">
        <v>1990</v>
      </c>
      <c r="D971" s="2" t="s">
        <v>1980</v>
      </c>
      <c r="E971" s="2" t="str">
        <f>HYPERLINK("https://talan.bank.gov.ua/get-user-certificate/sec1erz81ole28ugwMAK","Завантажити сертифікат")</f>
        <v>Завантажити сертифікат</v>
      </c>
    </row>
    <row r="972" spans="1:5" x14ac:dyDescent="0.3">
      <c r="A972" s="2" t="s">
        <v>1991</v>
      </c>
      <c r="B972" s="2" t="s">
        <v>5</v>
      </c>
      <c r="C972" s="2" t="s">
        <v>1992</v>
      </c>
      <c r="D972" s="2" t="s">
        <v>1980</v>
      </c>
      <c r="E972" s="2" t="str">
        <f>HYPERLINK("https://talan.bank.gov.ua/get-user-certificate/sec1ef2BrRsQ_7TQNZvv","Завантажити сертифікат")</f>
        <v>Завантажити сертифікат</v>
      </c>
    </row>
    <row r="973" spans="1:5" x14ac:dyDescent="0.3">
      <c r="A973" s="2" t="s">
        <v>1993</v>
      </c>
      <c r="B973" s="2" t="s">
        <v>5</v>
      </c>
      <c r="C973" s="2" t="s">
        <v>1994</v>
      </c>
      <c r="D973" s="2" t="s">
        <v>1980</v>
      </c>
      <c r="E973" s="2" t="str">
        <f>HYPERLINK("https://talan.bank.gov.ua/get-user-certificate/sec1eS7bcTiBfzKG5l7u","Завантажити сертифікат")</f>
        <v>Завантажити сертифікат</v>
      </c>
    </row>
    <row r="974" spans="1:5" x14ac:dyDescent="0.3">
      <c r="A974" s="2" t="s">
        <v>1995</v>
      </c>
      <c r="B974" s="2" t="s">
        <v>5</v>
      </c>
      <c r="C974" s="2" t="s">
        <v>1996</v>
      </c>
      <c r="D974" s="2" t="s">
        <v>1980</v>
      </c>
      <c r="E974" s="2" t="str">
        <f>HYPERLINK("https://talan.bank.gov.ua/get-user-certificate/sec1e4LomjcKBOX0QsTf","Завантажити сертифікат")</f>
        <v>Завантажити сертифікат</v>
      </c>
    </row>
    <row r="975" spans="1:5" x14ac:dyDescent="0.3">
      <c r="A975" s="2" t="s">
        <v>1997</v>
      </c>
      <c r="B975" s="2" t="s">
        <v>5</v>
      </c>
      <c r="C975" s="2" t="s">
        <v>1998</v>
      </c>
      <c r="D975" s="2" t="s">
        <v>1980</v>
      </c>
      <c r="E975" s="2" t="str">
        <f>HYPERLINK("https://talan.bank.gov.ua/get-user-certificate/sec1emdkVGiE-7Q1ocJr","Завантажити сертифікат")</f>
        <v>Завантажити сертифікат</v>
      </c>
    </row>
    <row r="976" spans="1:5" x14ac:dyDescent="0.3">
      <c r="A976" s="2" t="s">
        <v>1999</v>
      </c>
      <c r="B976" s="2" t="s">
        <v>5</v>
      </c>
      <c r="C976" s="2" t="s">
        <v>2000</v>
      </c>
      <c r="D976" s="2" t="s">
        <v>1980</v>
      </c>
      <c r="E976" s="2" t="str">
        <f>HYPERLINK("https://talan.bank.gov.ua/get-user-certificate/sec1eCbXvgrZagd8aebx","Завантажити сертифікат")</f>
        <v>Завантажити сертифікат</v>
      </c>
    </row>
    <row r="977" spans="1:5" x14ac:dyDescent="0.3">
      <c r="A977" s="2" t="s">
        <v>2001</v>
      </c>
      <c r="B977" s="2" t="s">
        <v>5</v>
      </c>
      <c r="C977" s="2" t="s">
        <v>2002</v>
      </c>
      <c r="D977" s="2" t="s">
        <v>1980</v>
      </c>
      <c r="E977" s="2" t="str">
        <f>HYPERLINK("https://talan.bank.gov.ua/get-user-certificate/sec1ejULNt6m3ecEHHfl","Завантажити сертифікат")</f>
        <v>Завантажити сертифікат</v>
      </c>
    </row>
    <row r="978" spans="1:5" x14ac:dyDescent="0.3">
      <c r="A978" s="2" t="s">
        <v>2003</v>
      </c>
      <c r="B978" s="2" t="s">
        <v>5</v>
      </c>
      <c r="C978" s="2" t="s">
        <v>2004</v>
      </c>
      <c r="D978" s="2" t="s">
        <v>1980</v>
      </c>
      <c r="E978" s="2" t="str">
        <f>HYPERLINK("https://talan.bank.gov.ua/get-user-certificate/sec1ebqyrL3Hj0UmisEN","Завантажити сертифікат")</f>
        <v>Завантажити сертифікат</v>
      </c>
    </row>
    <row r="979" spans="1:5" x14ac:dyDescent="0.3">
      <c r="A979" s="2" t="s">
        <v>2005</v>
      </c>
      <c r="B979" s="2" t="s">
        <v>5</v>
      </c>
      <c r="C979" s="2" t="s">
        <v>2006</v>
      </c>
      <c r="D979" s="2" t="s">
        <v>1980</v>
      </c>
      <c r="E979" s="2" t="str">
        <f>HYPERLINK("https://talan.bank.gov.ua/get-user-certificate/sec1erPrmV9YaDQMMtOZ","Завантажити сертифікат")</f>
        <v>Завантажити сертифікат</v>
      </c>
    </row>
    <row r="980" spans="1:5" x14ac:dyDescent="0.3">
      <c r="A980" s="2" t="s">
        <v>2007</v>
      </c>
      <c r="B980" s="2" t="s">
        <v>5</v>
      </c>
      <c r="C980" s="2" t="s">
        <v>2008</v>
      </c>
      <c r="D980" s="2" t="s">
        <v>1980</v>
      </c>
      <c r="E980" s="2" t="str">
        <f>HYPERLINK("https://talan.bank.gov.ua/get-user-certificate/sec1eKUlRxQwfAEEqCqZ","Завантажити сертифікат")</f>
        <v>Завантажити сертифікат</v>
      </c>
    </row>
    <row r="981" spans="1:5" x14ac:dyDescent="0.3">
      <c r="A981" s="2" t="s">
        <v>2009</v>
      </c>
      <c r="B981" s="2" t="s">
        <v>5</v>
      </c>
      <c r="C981" s="2" t="s">
        <v>2010</v>
      </c>
      <c r="D981" s="2" t="s">
        <v>1980</v>
      </c>
      <c r="E981" s="2" t="str">
        <f>HYPERLINK("https://talan.bank.gov.ua/get-user-certificate/sec1evl_baAONHIJS2oi","Завантажити сертифікат")</f>
        <v>Завантажити сертифікат</v>
      </c>
    </row>
    <row r="982" spans="1:5" x14ac:dyDescent="0.3">
      <c r="A982" s="2" t="s">
        <v>2011</v>
      </c>
      <c r="B982" s="2" t="s">
        <v>5</v>
      </c>
      <c r="C982" s="2" t="s">
        <v>2012</v>
      </c>
      <c r="D982" s="2" t="s">
        <v>1980</v>
      </c>
      <c r="E982" s="2" t="str">
        <f>HYPERLINK("https://talan.bank.gov.ua/get-user-certificate/sec1e5IuT3FKFpFxheJx","Завантажити сертифікат")</f>
        <v>Завантажити сертифікат</v>
      </c>
    </row>
    <row r="983" spans="1:5" x14ac:dyDescent="0.3">
      <c r="A983" s="2" t="s">
        <v>2013</v>
      </c>
      <c r="B983" s="2" t="s">
        <v>5</v>
      </c>
      <c r="C983" s="2" t="s">
        <v>2014</v>
      </c>
      <c r="D983" s="2" t="s">
        <v>1980</v>
      </c>
      <c r="E983" s="2" t="str">
        <f>HYPERLINK("https://talan.bank.gov.ua/get-user-certificate/sec1elbIq2eYSiK5gxKM","Завантажити сертифікат")</f>
        <v>Завантажити сертифікат</v>
      </c>
    </row>
    <row r="984" spans="1:5" x14ac:dyDescent="0.3">
      <c r="A984" s="2" t="s">
        <v>2015</v>
      </c>
      <c r="B984" s="2" t="s">
        <v>5</v>
      </c>
      <c r="C984" s="2" t="s">
        <v>2016</v>
      </c>
      <c r="D984" s="2" t="s">
        <v>1980</v>
      </c>
      <c r="E984" s="2" t="str">
        <f>HYPERLINK("https://talan.bank.gov.ua/get-user-certificate/sec1eCwjzLMIYbr3uTSX","Завантажити сертифікат")</f>
        <v>Завантажити сертифікат</v>
      </c>
    </row>
    <row r="985" spans="1:5" x14ac:dyDescent="0.3">
      <c r="A985" s="2" t="s">
        <v>2017</v>
      </c>
      <c r="B985" s="2" t="s">
        <v>5</v>
      </c>
      <c r="C985" s="2" t="s">
        <v>2018</v>
      </c>
      <c r="D985" s="2" t="s">
        <v>1980</v>
      </c>
      <c r="E985" s="2" t="str">
        <f>HYPERLINK("https://talan.bank.gov.ua/get-user-certificate/sec1esWoy6LMbrVZ1c_5","Завантажити сертифікат")</f>
        <v>Завантажити сертифікат</v>
      </c>
    </row>
    <row r="986" spans="1:5" x14ac:dyDescent="0.3">
      <c r="A986" s="2" t="s">
        <v>2019</v>
      </c>
      <c r="B986" s="2" t="s">
        <v>5</v>
      </c>
      <c r="C986" s="2" t="s">
        <v>2020</v>
      </c>
      <c r="D986" s="2" t="s">
        <v>1980</v>
      </c>
      <c r="E986" s="2" t="str">
        <f>HYPERLINK("https://talan.bank.gov.ua/get-user-certificate/sec1eChTYJWAuN7I-QEu","Завантажити сертифікат")</f>
        <v>Завантажити сертифікат</v>
      </c>
    </row>
    <row r="987" spans="1:5" x14ac:dyDescent="0.3">
      <c r="A987" s="2" t="s">
        <v>2021</v>
      </c>
      <c r="B987" s="2" t="s">
        <v>5</v>
      </c>
      <c r="C987" s="2" t="s">
        <v>2022</v>
      </c>
      <c r="D987" s="2" t="s">
        <v>1980</v>
      </c>
      <c r="E987" s="2" t="str">
        <f>HYPERLINK("https://talan.bank.gov.ua/get-user-certificate/sec1eFmroniB6vwmWZx-","Завантажити сертифікат")</f>
        <v>Завантажити сертифікат</v>
      </c>
    </row>
    <row r="988" spans="1:5" x14ac:dyDescent="0.3">
      <c r="A988" s="2" t="s">
        <v>2023</v>
      </c>
      <c r="B988" s="2" t="s">
        <v>5</v>
      </c>
      <c r="C988" s="2" t="s">
        <v>2024</v>
      </c>
      <c r="D988" s="2" t="s">
        <v>1980</v>
      </c>
      <c r="E988" s="2" t="str">
        <f>HYPERLINK("https://talan.bank.gov.ua/get-user-certificate/sec1esu3SocYMq438L32","Завантажити сертифікат")</f>
        <v>Завантажити сертифікат</v>
      </c>
    </row>
    <row r="989" spans="1:5" x14ac:dyDescent="0.3">
      <c r="A989" s="2" t="s">
        <v>2025</v>
      </c>
      <c r="B989" s="2" t="s">
        <v>5</v>
      </c>
      <c r="C989" s="2" t="s">
        <v>2026</v>
      </c>
      <c r="D989" s="2" t="s">
        <v>1980</v>
      </c>
      <c r="E989" s="2" t="str">
        <f>HYPERLINK("https://talan.bank.gov.ua/get-user-certificate/sec1eTLGQgQqJxEabCY1","Завантажити сертифікат")</f>
        <v>Завантажити сертифікат</v>
      </c>
    </row>
    <row r="990" spans="1:5" x14ac:dyDescent="0.3">
      <c r="A990" s="2" t="s">
        <v>2027</v>
      </c>
      <c r="B990" s="2" t="s">
        <v>5</v>
      </c>
      <c r="C990" s="2" t="s">
        <v>2028</v>
      </c>
      <c r="D990" s="2" t="s">
        <v>1980</v>
      </c>
      <c r="E990" s="2" t="str">
        <f>HYPERLINK("https://talan.bank.gov.ua/get-user-certificate/sec1eQPYt8ZwRoNQCWbC","Завантажити сертифікат")</f>
        <v>Завантажити сертифікат</v>
      </c>
    </row>
    <row r="991" spans="1:5" x14ac:dyDescent="0.3">
      <c r="A991" s="2" t="s">
        <v>2029</v>
      </c>
      <c r="B991" s="2" t="s">
        <v>5</v>
      </c>
      <c r="C991" s="2" t="s">
        <v>2030</v>
      </c>
      <c r="D991" s="2" t="s">
        <v>1980</v>
      </c>
      <c r="E991" s="2" t="str">
        <f>HYPERLINK("https://talan.bank.gov.ua/get-user-certificate/sec1eYry1_uMoOV4S3Wm","Завантажити сертифікат")</f>
        <v>Завантажити сертифікат</v>
      </c>
    </row>
    <row r="992" spans="1:5" x14ac:dyDescent="0.3">
      <c r="A992" s="2" t="s">
        <v>2031</v>
      </c>
      <c r="B992" s="2" t="s">
        <v>5</v>
      </c>
      <c r="C992" s="2" t="s">
        <v>2032</v>
      </c>
      <c r="D992" s="2" t="s">
        <v>1980</v>
      </c>
      <c r="E992" s="2" t="str">
        <f>HYPERLINK("https://talan.bank.gov.ua/get-user-certificate/sec1enqrrQ2294EENXDE","Завантажити сертифікат")</f>
        <v>Завантажити сертифікат</v>
      </c>
    </row>
    <row r="993" spans="1:5" x14ac:dyDescent="0.3">
      <c r="A993" s="2" t="s">
        <v>2033</v>
      </c>
      <c r="B993" s="2" t="s">
        <v>5</v>
      </c>
      <c r="C993" s="2" t="s">
        <v>2034</v>
      </c>
      <c r="D993" s="2" t="s">
        <v>1980</v>
      </c>
      <c r="E993" s="2" t="str">
        <f>HYPERLINK("https://talan.bank.gov.ua/get-user-certificate/sec1e9g2T7H79N6zNUIb","Завантажити сертифікат")</f>
        <v>Завантажити сертифікат</v>
      </c>
    </row>
    <row r="994" spans="1:5" x14ac:dyDescent="0.3">
      <c r="A994" s="2" t="s">
        <v>2035</v>
      </c>
      <c r="B994" s="2" t="s">
        <v>5</v>
      </c>
      <c r="C994" s="2" t="s">
        <v>2036</v>
      </c>
      <c r="D994" s="2" t="s">
        <v>1980</v>
      </c>
      <c r="E994" s="2" t="str">
        <f>HYPERLINK("https://talan.bank.gov.ua/get-user-certificate/sec1eIDTi57_G9ba0Vl6","Завантажити сертифікат")</f>
        <v>Завантажити сертифікат</v>
      </c>
    </row>
    <row r="995" spans="1:5" x14ac:dyDescent="0.3">
      <c r="A995" s="2" t="s">
        <v>2037</v>
      </c>
      <c r="B995" s="2" t="s">
        <v>5</v>
      </c>
      <c r="C995" s="2" t="s">
        <v>2038</v>
      </c>
      <c r="D995" s="2" t="s">
        <v>1980</v>
      </c>
      <c r="E995" s="2" t="str">
        <f>HYPERLINK("https://talan.bank.gov.ua/get-user-certificate/sec1eEubX1HFz8lFB5Hu","Завантажити сертифікат")</f>
        <v>Завантажити сертифікат</v>
      </c>
    </row>
    <row r="996" spans="1:5" x14ac:dyDescent="0.3">
      <c r="A996" s="2" t="s">
        <v>2039</v>
      </c>
      <c r="B996" s="2" t="s">
        <v>5</v>
      </c>
      <c r="C996" s="2" t="s">
        <v>2040</v>
      </c>
      <c r="D996" s="2" t="s">
        <v>1980</v>
      </c>
      <c r="E996" s="2" t="str">
        <f>HYPERLINK("https://talan.bank.gov.ua/get-user-certificate/sec1e4WN8MQrCP2e_ACc","Завантажити сертифікат")</f>
        <v>Завантажити сертифікат</v>
      </c>
    </row>
    <row r="997" spans="1:5" x14ac:dyDescent="0.3">
      <c r="A997" s="2" t="s">
        <v>2041</v>
      </c>
      <c r="B997" s="2" t="s">
        <v>5</v>
      </c>
      <c r="C997" s="2" t="s">
        <v>2042</v>
      </c>
      <c r="D997" s="2" t="s">
        <v>1980</v>
      </c>
      <c r="E997" s="2" t="str">
        <f>HYPERLINK("https://talan.bank.gov.ua/get-user-certificate/sec1elIBDt1fkLjxAweV","Завантажити сертифікат")</f>
        <v>Завантажити сертифікат</v>
      </c>
    </row>
    <row r="998" spans="1:5" x14ac:dyDescent="0.3">
      <c r="A998" s="2" t="s">
        <v>2043</v>
      </c>
      <c r="B998" s="2" t="s">
        <v>5</v>
      </c>
      <c r="C998" s="2" t="s">
        <v>2044</v>
      </c>
      <c r="D998" s="2" t="s">
        <v>1980</v>
      </c>
      <c r="E998" s="2" t="str">
        <f>HYPERLINK("https://talan.bank.gov.ua/get-user-certificate/sec1eQsa9yfPx6lbg6FD","Завантажити сертифікат")</f>
        <v>Завантажити сертифікат</v>
      </c>
    </row>
    <row r="999" spans="1:5" x14ac:dyDescent="0.3">
      <c r="A999" s="2" t="s">
        <v>2045</v>
      </c>
      <c r="B999" s="2" t="s">
        <v>5</v>
      </c>
      <c r="C999" s="2" t="s">
        <v>2046</v>
      </c>
      <c r="D999" s="2" t="s">
        <v>1980</v>
      </c>
      <c r="E999" s="2" t="str">
        <f>HYPERLINK("https://talan.bank.gov.ua/get-user-certificate/sec1eKyQkwJFYjwU-DAK","Завантажити сертифікат")</f>
        <v>Завантажити сертифікат</v>
      </c>
    </row>
    <row r="1000" spans="1:5" x14ac:dyDescent="0.3">
      <c r="A1000" s="2" t="s">
        <v>2047</v>
      </c>
      <c r="B1000" s="2" t="s">
        <v>5</v>
      </c>
      <c r="C1000" s="2" t="s">
        <v>2048</v>
      </c>
      <c r="D1000" s="2" t="s">
        <v>1980</v>
      </c>
      <c r="E1000" s="2" t="str">
        <f>HYPERLINK("https://talan.bank.gov.ua/get-user-certificate/sec1e7nipRx_48IxLo0c","Завантажити сертифікат")</f>
        <v>Завантажити сертифікат</v>
      </c>
    </row>
    <row r="1001" spans="1:5" x14ac:dyDescent="0.3">
      <c r="A1001" s="2" t="s">
        <v>2049</v>
      </c>
      <c r="B1001" s="2" t="s">
        <v>5</v>
      </c>
      <c r="C1001" s="2" t="s">
        <v>2050</v>
      </c>
      <c r="D1001" s="2" t="s">
        <v>1980</v>
      </c>
      <c r="E1001" s="2" t="str">
        <f>HYPERLINK("https://talan.bank.gov.ua/get-user-certificate/sec1eKFgwTE0Lq34ITFw","Завантажити сертифікат")</f>
        <v>Завантажити сертифікат</v>
      </c>
    </row>
    <row r="1002" spans="1:5" x14ac:dyDescent="0.3">
      <c r="A1002" s="2" t="s">
        <v>2051</v>
      </c>
      <c r="B1002" s="2" t="s">
        <v>5</v>
      </c>
      <c r="C1002" s="2" t="s">
        <v>2052</v>
      </c>
      <c r="D1002" s="2" t="s">
        <v>1980</v>
      </c>
      <c r="E1002" s="2" t="str">
        <f>HYPERLINK("https://talan.bank.gov.ua/get-user-certificate/sec1eoqYVP_DEM9PrQDm","Завантажити сертифікат")</f>
        <v>Завантажити сертифікат</v>
      </c>
    </row>
    <row r="1003" spans="1:5" x14ac:dyDescent="0.3">
      <c r="A1003" s="2" t="s">
        <v>2053</v>
      </c>
      <c r="B1003" s="2" t="s">
        <v>5</v>
      </c>
      <c r="C1003" s="2" t="s">
        <v>2054</v>
      </c>
      <c r="D1003" s="2" t="s">
        <v>1980</v>
      </c>
      <c r="E1003" s="2" t="str">
        <f>HYPERLINK("https://talan.bank.gov.ua/get-user-certificate/sec1e0XXksE_kx7dJOSL","Завантажити сертифікат")</f>
        <v>Завантажити сертифікат</v>
      </c>
    </row>
    <row r="1004" spans="1:5" x14ac:dyDescent="0.3">
      <c r="A1004" s="2" t="s">
        <v>2055</v>
      </c>
      <c r="B1004" s="2" t="s">
        <v>5</v>
      </c>
      <c r="C1004" s="2" t="s">
        <v>2056</v>
      </c>
      <c r="D1004" s="2" t="s">
        <v>1980</v>
      </c>
      <c r="E1004" s="2" t="str">
        <f>HYPERLINK("https://talan.bank.gov.ua/get-user-certificate/sec1euXha33xpdNImP0m","Завантажити сертифікат")</f>
        <v>Завантажити сертифікат</v>
      </c>
    </row>
    <row r="1005" spans="1:5" x14ac:dyDescent="0.3">
      <c r="A1005" s="2" t="s">
        <v>2057</v>
      </c>
      <c r="B1005" s="2" t="s">
        <v>5</v>
      </c>
      <c r="C1005" s="2" t="s">
        <v>2058</v>
      </c>
      <c r="D1005" s="2" t="s">
        <v>1980</v>
      </c>
      <c r="E1005" s="2" t="str">
        <f>HYPERLINK("https://talan.bank.gov.ua/get-user-certificate/sec1e41PYxVpFBWub_s8","Завантажити сертифікат")</f>
        <v>Завантажити сертифікат</v>
      </c>
    </row>
    <row r="1006" spans="1:5" x14ac:dyDescent="0.3">
      <c r="A1006" s="2" t="s">
        <v>2059</v>
      </c>
      <c r="B1006" s="2" t="s">
        <v>5</v>
      </c>
      <c r="C1006" s="2" t="s">
        <v>2060</v>
      </c>
      <c r="D1006" s="2" t="s">
        <v>1980</v>
      </c>
      <c r="E1006" s="2" t="str">
        <f>HYPERLINK("https://talan.bank.gov.ua/get-user-certificate/sec1e_QIDlshev-aM-Q-","Завантажити сертифікат")</f>
        <v>Завантажити сертифікат</v>
      </c>
    </row>
    <row r="1007" spans="1:5" x14ac:dyDescent="0.3">
      <c r="A1007" s="2" t="s">
        <v>2061</v>
      </c>
      <c r="B1007" s="2" t="s">
        <v>5</v>
      </c>
      <c r="C1007" s="2" t="s">
        <v>2062</v>
      </c>
      <c r="D1007" s="2" t="s">
        <v>1980</v>
      </c>
      <c r="E1007" s="2" t="str">
        <f>HYPERLINK("https://talan.bank.gov.ua/get-user-certificate/sec1erdY5SVvBKNohFQ6","Завантажити сертифікат")</f>
        <v>Завантажити сертифікат</v>
      </c>
    </row>
    <row r="1008" spans="1:5" x14ac:dyDescent="0.3">
      <c r="A1008" s="2" t="s">
        <v>2063</v>
      </c>
      <c r="B1008" s="2" t="s">
        <v>5</v>
      </c>
      <c r="C1008" s="2" t="s">
        <v>2064</v>
      </c>
      <c r="D1008" s="2" t="s">
        <v>1980</v>
      </c>
      <c r="E1008" s="2" t="str">
        <f>HYPERLINK("https://talan.bank.gov.ua/get-user-certificate/sec1eVTUA5ixdLLw1nd-","Завантажити сертифікат")</f>
        <v>Завантажити сертифікат</v>
      </c>
    </row>
    <row r="1009" spans="1:5" x14ac:dyDescent="0.3">
      <c r="A1009" s="2" t="s">
        <v>2065</v>
      </c>
      <c r="B1009" s="2" t="s">
        <v>5</v>
      </c>
      <c r="C1009" s="2" t="s">
        <v>2066</v>
      </c>
      <c r="D1009" s="2" t="s">
        <v>1980</v>
      </c>
      <c r="E1009" s="2" t="str">
        <f>HYPERLINK("https://talan.bank.gov.ua/get-user-certificate/sec1eqR9_xNbRJCplQF2","Завантажити сертифікат")</f>
        <v>Завантажити сертифікат</v>
      </c>
    </row>
    <row r="1010" spans="1:5" x14ac:dyDescent="0.3">
      <c r="A1010" s="2" t="s">
        <v>2067</v>
      </c>
      <c r="B1010" s="2" t="s">
        <v>5</v>
      </c>
      <c r="C1010" s="2" t="s">
        <v>2068</v>
      </c>
      <c r="D1010" s="2" t="s">
        <v>1980</v>
      </c>
      <c r="E1010" s="2" t="str">
        <f>HYPERLINK("https://talan.bank.gov.ua/get-user-certificate/sec1e9xYCZzime-ognfD","Завантажити сертифікат")</f>
        <v>Завантажити сертифікат</v>
      </c>
    </row>
    <row r="1011" spans="1:5" x14ac:dyDescent="0.3">
      <c r="A1011" s="2" t="s">
        <v>2069</v>
      </c>
      <c r="B1011" s="2" t="s">
        <v>5</v>
      </c>
      <c r="C1011" s="2" t="s">
        <v>2070</v>
      </c>
      <c r="D1011" s="2" t="s">
        <v>1980</v>
      </c>
      <c r="E1011" s="2" t="str">
        <f>HYPERLINK("https://talan.bank.gov.ua/get-user-certificate/sec1eJMagDbMZxQQQQ_N","Завантажити сертифікат")</f>
        <v>Завантажити сертифікат</v>
      </c>
    </row>
    <row r="1012" spans="1:5" x14ac:dyDescent="0.3">
      <c r="A1012" s="2" t="s">
        <v>2071</v>
      </c>
      <c r="B1012" s="2" t="s">
        <v>5</v>
      </c>
      <c r="C1012" s="2" t="s">
        <v>2072</v>
      </c>
      <c r="D1012" s="2" t="s">
        <v>1980</v>
      </c>
      <c r="E1012" s="2" t="str">
        <f>HYPERLINK("https://talan.bank.gov.ua/get-user-certificate/sec1eOHx0Orky__xqfUd","Завантажити сертифікат")</f>
        <v>Завантажити сертифікат</v>
      </c>
    </row>
    <row r="1013" spans="1:5" x14ac:dyDescent="0.3">
      <c r="A1013" s="2" t="s">
        <v>2073</v>
      </c>
      <c r="B1013" s="2" t="s">
        <v>5</v>
      </c>
      <c r="C1013" s="2" t="s">
        <v>2074</v>
      </c>
      <c r="D1013" s="2" t="s">
        <v>1980</v>
      </c>
      <c r="E1013" s="2" t="str">
        <f>HYPERLINK("https://talan.bank.gov.ua/get-user-certificate/sec1e3OfRvE5FBi2Rdcp","Завантажити сертифікат")</f>
        <v>Завантажити сертифікат</v>
      </c>
    </row>
    <row r="1014" spans="1:5" x14ac:dyDescent="0.3">
      <c r="A1014" s="2" t="s">
        <v>2075</v>
      </c>
      <c r="B1014" s="2" t="s">
        <v>5</v>
      </c>
      <c r="C1014" s="2" t="s">
        <v>2076</v>
      </c>
      <c r="D1014" s="2" t="s">
        <v>1980</v>
      </c>
      <c r="E1014" s="2" t="str">
        <f>HYPERLINK("https://talan.bank.gov.ua/get-user-certificate/sec1eCPzKN3QttjgJTjK","Завантажити сертифікат")</f>
        <v>Завантажити сертифікат</v>
      </c>
    </row>
    <row r="1015" spans="1:5" x14ac:dyDescent="0.3">
      <c r="A1015" s="2" t="s">
        <v>2077</v>
      </c>
      <c r="B1015" s="2" t="s">
        <v>5</v>
      </c>
      <c r="C1015" s="2" t="s">
        <v>2078</v>
      </c>
      <c r="D1015" s="2" t="s">
        <v>1980</v>
      </c>
      <c r="E1015" s="2" t="str">
        <f>HYPERLINK("https://talan.bank.gov.ua/get-user-certificate/sec1eEqecILy6zKzyxSK","Завантажити сертифікат")</f>
        <v>Завантажити сертифікат</v>
      </c>
    </row>
    <row r="1016" spans="1:5" x14ac:dyDescent="0.3">
      <c r="A1016" s="2" t="s">
        <v>2079</v>
      </c>
      <c r="B1016" s="2" t="s">
        <v>5</v>
      </c>
      <c r="C1016" s="2" t="s">
        <v>2080</v>
      </c>
      <c r="D1016" s="2" t="s">
        <v>1980</v>
      </c>
      <c r="E1016" s="2" t="str">
        <f>HYPERLINK("https://talan.bank.gov.ua/get-user-certificate/sec1e7EgxioE_n5S9ivx","Завантажити сертифікат")</f>
        <v>Завантажити сертифікат</v>
      </c>
    </row>
    <row r="1017" spans="1:5" x14ac:dyDescent="0.3">
      <c r="A1017" s="2" t="s">
        <v>2081</v>
      </c>
      <c r="B1017" s="2" t="s">
        <v>5</v>
      </c>
      <c r="C1017" s="2" t="s">
        <v>2082</v>
      </c>
      <c r="D1017" s="2" t="s">
        <v>1980</v>
      </c>
      <c r="E1017" s="2" t="str">
        <f>HYPERLINK("https://talan.bank.gov.ua/get-user-certificate/sec1eS6zBM7V0z6XIu2v","Завантажити сертифікат")</f>
        <v>Завантажити сертифікат</v>
      </c>
    </row>
    <row r="1018" spans="1:5" x14ac:dyDescent="0.3">
      <c r="A1018" s="2" t="s">
        <v>2083</v>
      </c>
      <c r="B1018" s="2" t="s">
        <v>5</v>
      </c>
      <c r="C1018" s="2" t="s">
        <v>2084</v>
      </c>
      <c r="D1018" s="2" t="s">
        <v>1980</v>
      </c>
      <c r="E1018" s="2" t="str">
        <f>HYPERLINK("https://talan.bank.gov.ua/get-user-certificate/sec1eu4KkE9sM8WphpJ6","Завантажити сертифікат")</f>
        <v>Завантажити сертифікат</v>
      </c>
    </row>
    <row r="1019" spans="1:5" x14ac:dyDescent="0.3">
      <c r="A1019" s="2" t="s">
        <v>2085</v>
      </c>
      <c r="B1019" s="2" t="s">
        <v>5</v>
      </c>
      <c r="C1019" s="2" t="s">
        <v>2086</v>
      </c>
      <c r="D1019" s="2" t="s">
        <v>1980</v>
      </c>
      <c r="E1019" s="2" t="str">
        <f>HYPERLINK("https://talan.bank.gov.ua/get-user-certificate/sec1eqir5xH7FM5dVlIx","Завантажити сертифікат")</f>
        <v>Завантажити сертифікат</v>
      </c>
    </row>
    <row r="1020" spans="1:5" x14ac:dyDescent="0.3">
      <c r="A1020" s="2" t="s">
        <v>2087</v>
      </c>
      <c r="B1020" s="2" t="s">
        <v>5</v>
      </c>
      <c r="C1020" s="2" t="s">
        <v>2088</v>
      </c>
      <c r="D1020" s="2" t="s">
        <v>1980</v>
      </c>
      <c r="E1020" s="2" t="str">
        <f>HYPERLINK("https://talan.bank.gov.ua/get-user-certificate/sec1ePvPZnHP_I_Nz7Xy","Завантажити сертифікат")</f>
        <v>Завантажити сертифікат</v>
      </c>
    </row>
    <row r="1021" spans="1:5" x14ac:dyDescent="0.3">
      <c r="A1021" s="2" t="s">
        <v>2089</v>
      </c>
      <c r="B1021" s="2" t="s">
        <v>5</v>
      </c>
      <c r="C1021" s="2" t="s">
        <v>2090</v>
      </c>
      <c r="D1021" s="2" t="s">
        <v>1980</v>
      </c>
      <c r="E1021" s="2" t="str">
        <f>HYPERLINK("https://talan.bank.gov.ua/get-user-certificate/sec1enKyrFNM-a1y3UK7","Завантажити сертифікат")</f>
        <v>Завантажити сертифікат</v>
      </c>
    </row>
    <row r="1022" spans="1:5" x14ac:dyDescent="0.3">
      <c r="A1022" s="2" t="s">
        <v>2091</v>
      </c>
      <c r="B1022" s="2" t="s">
        <v>5</v>
      </c>
      <c r="C1022" s="2" t="s">
        <v>2092</v>
      </c>
      <c r="D1022" s="2" t="s">
        <v>2093</v>
      </c>
      <c r="E1022" s="2" t="str">
        <f>HYPERLINK("https://talan.bank.gov.ua/get-user-certificate/sec1eQPRHQcGtL5YJ6fF","Завантажити сертифікат")</f>
        <v>Завантажити сертифікат</v>
      </c>
    </row>
    <row r="1023" spans="1:5" x14ac:dyDescent="0.3">
      <c r="A1023" s="2" t="s">
        <v>2094</v>
      </c>
      <c r="B1023" s="2" t="s">
        <v>5</v>
      </c>
      <c r="C1023" s="2" t="s">
        <v>2095</v>
      </c>
      <c r="D1023" s="2" t="s">
        <v>2093</v>
      </c>
      <c r="E1023" s="2" t="str">
        <f>HYPERLINK("https://talan.bank.gov.ua/get-user-certificate/sec1eA7ksUZOq_9oVscn","Завантажити сертифікат")</f>
        <v>Завантажити сертифікат</v>
      </c>
    </row>
    <row r="1024" spans="1:5" x14ac:dyDescent="0.3">
      <c r="A1024" s="2" t="s">
        <v>2096</v>
      </c>
      <c r="B1024" s="2" t="s">
        <v>5</v>
      </c>
      <c r="C1024" s="2" t="s">
        <v>2097</v>
      </c>
      <c r="D1024" s="2" t="s">
        <v>2093</v>
      </c>
      <c r="E1024" s="2" t="str">
        <f>HYPERLINK("https://talan.bank.gov.ua/get-user-certificate/sec1ee-SPc4J6wur44jc","Завантажити сертифікат")</f>
        <v>Завантажити сертифікат</v>
      </c>
    </row>
    <row r="1025" spans="1:5" x14ac:dyDescent="0.3">
      <c r="A1025" s="2" t="s">
        <v>2098</v>
      </c>
      <c r="B1025" s="2" t="s">
        <v>5</v>
      </c>
      <c r="C1025" s="2" t="s">
        <v>2099</v>
      </c>
      <c r="D1025" s="2" t="s">
        <v>2093</v>
      </c>
      <c r="E1025" s="2" t="str">
        <f>HYPERLINK("https://talan.bank.gov.ua/get-user-certificate/sec1egcBhG8oJh2H8pjv","Завантажити сертифікат")</f>
        <v>Завантажити сертифікат</v>
      </c>
    </row>
    <row r="1026" spans="1:5" x14ac:dyDescent="0.3">
      <c r="A1026" s="2" t="s">
        <v>2100</v>
      </c>
      <c r="B1026" s="2" t="s">
        <v>5</v>
      </c>
      <c r="C1026" s="2" t="s">
        <v>2101</v>
      </c>
      <c r="D1026" s="2" t="s">
        <v>2093</v>
      </c>
      <c r="E1026" s="2" t="str">
        <f>HYPERLINK("https://talan.bank.gov.ua/get-user-certificate/sec1elKh1T4BRHyPkJ5v","Завантажити сертифікат")</f>
        <v>Завантажити сертифікат</v>
      </c>
    </row>
    <row r="1027" spans="1:5" x14ac:dyDescent="0.3">
      <c r="A1027" s="2" t="s">
        <v>2102</v>
      </c>
      <c r="B1027" s="2" t="s">
        <v>5</v>
      </c>
      <c r="C1027" s="2" t="s">
        <v>2103</v>
      </c>
      <c r="D1027" s="2" t="s">
        <v>2093</v>
      </c>
      <c r="E1027" s="2" t="str">
        <f>HYPERLINK("https://talan.bank.gov.ua/get-user-certificate/sec1eODXpVjV6W_glvEk","Завантажити сертифікат")</f>
        <v>Завантажити сертифікат</v>
      </c>
    </row>
    <row r="1028" spans="1:5" x14ac:dyDescent="0.3">
      <c r="A1028" s="2" t="s">
        <v>2104</v>
      </c>
      <c r="B1028" s="2" t="s">
        <v>5</v>
      </c>
      <c r="C1028" s="2" t="s">
        <v>2105</v>
      </c>
      <c r="D1028" s="2" t="s">
        <v>2093</v>
      </c>
      <c r="E1028" s="2" t="str">
        <f>HYPERLINK("https://talan.bank.gov.ua/get-user-certificate/sec1eSIdRvF7wIMe7hue","Завантажити сертифікат")</f>
        <v>Завантажити сертифікат</v>
      </c>
    </row>
    <row r="1029" spans="1:5" x14ac:dyDescent="0.3">
      <c r="A1029" s="2" t="s">
        <v>2106</v>
      </c>
      <c r="B1029" s="2" t="s">
        <v>5</v>
      </c>
      <c r="C1029" s="2" t="s">
        <v>2107</v>
      </c>
      <c r="D1029" s="2" t="s">
        <v>2093</v>
      </c>
      <c r="E1029" s="2" t="str">
        <f>HYPERLINK("https://talan.bank.gov.ua/get-user-certificate/sec1ekRUrYoKJdANSaQl","Завантажити сертифікат")</f>
        <v>Завантажити сертифікат</v>
      </c>
    </row>
    <row r="1030" spans="1:5" x14ac:dyDescent="0.3">
      <c r="A1030" s="2" t="s">
        <v>2108</v>
      </c>
      <c r="B1030" s="2" t="s">
        <v>5</v>
      </c>
      <c r="C1030" s="2" t="s">
        <v>2109</v>
      </c>
      <c r="D1030" s="2" t="s">
        <v>2093</v>
      </c>
      <c r="E1030" s="2" t="str">
        <f>HYPERLINK("https://talan.bank.gov.ua/get-user-certificate/sec1eaQD9e5JZsk3BdT_","Завантажити сертифікат")</f>
        <v>Завантажити сертифікат</v>
      </c>
    </row>
    <row r="1031" spans="1:5" x14ac:dyDescent="0.3">
      <c r="A1031" s="2" t="s">
        <v>2110</v>
      </c>
      <c r="B1031" s="2" t="s">
        <v>5</v>
      </c>
      <c r="C1031" s="2" t="s">
        <v>2111</v>
      </c>
      <c r="D1031" s="2" t="s">
        <v>2093</v>
      </c>
      <c r="E1031" s="2" t="str">
        <f>HYPERLINK("https://talan.bank.gov.ua/get-user-certificate/sec1e2FeiBMucFP8Y5HH","Завантажити сертифікат")</f>
        <v>Завантажити сертифікат</v>
      </c>
    </row>
    <row r="1032" spans="1:5" x14ac:dyDescent="0.3">
      <c r="A1032" s="2" t="s">
        <v>2112</v>
      </c>
      <c r="B1032" s="2" t="s">
        <v>5</v>
      </c>
      <c r="C1032" s="2" t="s">
        <v>2113</v>
      </c>
      <c r="D1032" s="2" t="s">
        <v>2093</v>
      </c>
      <c r="E1032" s="2" t="str">
        <f>HYPERLINK("https://talan.bank.gov.ua/get-user-certificate/sec1eDcF04e8nZOjGMkG","Завантажити сертифікат")</f>
        <v>Завантажити сертифікат</v>
      </c>
    </row>
    <row r="1033" spans="1:5" x14ac:dyDescent="0.3">
      <c r="A1033" s="2" t="s">
        <v>2114</v>
      </c>
      <c r="B1033" s="2" t="s">
        <v>5</v>
      </c>
      <c r="C1033" s="2" t="s">
        <v>2115</v>
      </c>
      <c r="D1033" s="2" t="s">
        <v>2093</v>
      </c>
      <c r="E1033" s="2" t="str">
        <f>HYPERLINK("https://talan.bank.gov.ua/get-user-certificate/sec1exGdcwWo1qjCW9YE","Завантажити сертифікат")</f>
        <v>Завантажити сертифікат</v>
      </c>
    </row>
    <row r="1034" spans="1:5" x14ac:dyDescent="0.3">
      <c r="A1034" s="2" t="s">
        <v>2116</v>
      </c>
      <c r="B1034" s="2" t="s">
        <v>5</v>
      </c>
      <c r="C1034" s="2" t="s">
        <v>2117</v>
      </c>
      <c r="D1034" s="2" t="s">
        <v>2118</v>
      </c>
      <c r="E1034" s="2" t="str">
        <f>HYPERLINK("https://talan.bank.gov.ua/get-user-certificate/sec1efX1dsdJmTrj8ED-","Завантажити сертифікат")</f>
        <v>Завантажити сертифікат</v>
      </c>
    </row>
    <row r="1035" spans="1:5" x14ac:dyDescent="0.3">
      <c r="A1035" s="2" t="s">
        <v>2119</v>
      </c>
      <c r="B1035" s="2" t="s">
        <v>5</v>
      </c>
      <c r="C1035" s="2" t="s">
        <v>2120</v>
      </c>
      <c r="D1035" s="2" t="s">
        <v>2118</v>
      </c>
      <c r="E1035" s="2" t="str">
        <f>HYPERLINK("https://talan.bank.gov.ua/get-user-certificate/sec1eZcojmLD--fcKMAq","Завантажити сертифікат")</f>
        <v>Завантажити сертифікат</v>
      </c>
    </row>
    <row r="1036" spans="1:5" x14ac:dyDescent="0.3">
      <c r="A1036" s="2" t="s">
        <v>2121</v>
      </c>
      <c r="B1036" s="2" t="s">
        <v>5</v>
      </c>
      <c r="C1036" s="2" t="s">
        <v>2122</v>
      </c>
      <c r="D1036" s="2" t="s">
        <v>2118</v>
      </c>
      <c r="E1036" s="2" t="str">
        <f>HYPERLINK("https://talan.bank.gov.ua/get-user-certificate/sec1eyiWVdtnqYCq3cja","Завантажити сертифікат")</f>
        <v>Завантажити сертифікат</v>
      </c>
    </row>
    <row r="1037" spans="1:5" x14ac:dyDescent="0.3">
      <c r="A1037" s="2" t="s">
        <v>2123</v>
      </c>
      <c r="B1037" s="2" t="s">
        <v>5</v>
      </c>
      <c r="C1037" s="2" t="s">
        <v>2124</v>
      </c>
      <c r="D1037" s="2" t="s">
        <v>2118</v>
      </c>
      <c r="E1037" s="2" t="str">
        <f>HYPERLINK("https://talan.bank.gov.ua/get-user-certificate/sec1ev3CC1EkhiIMjW5t","Завантажити сертифікат")</f>
        <v>Завантажити сертифікат</v>
      </c>
    </row>
    <row r="1038" spans="1:5" x14ac:dyDescent="0.3">
      <c r="A1038" s="2" t="s">
        <v>2125</v>
      </c>
      <c r="B1038" s="2" t="s">
        <v>5</v>
      </c>
      <c r="C1038" s="2" t="s">
        <v>2126</v>
      </c>
      <c r="D1038" s="2" t="s">
        <v>2118</v>
      </c>
      <c r="E1038" s="2" t="str">
        <f>HYPERLINK("https://talan.bank.gov.ua/get-user-certificate/sec1eijruMZqG_tp-O_M","Завантажити сертифікат")</f>
        <v>Завантажити сертифікат</v>
      </c>
    </row>
    <row r="1039" spans="1:5" x14ac:dyDescent="0.3">
      <c r="A1039" s="2" t="s">
        <v>2127</v>
      </c>
      <c r="B1039" s="2" t="s">
        <v>5</v>
      </c>
      <c r="C1039" s="2" t="s">
        <v>2128</v>
      </c>
      <c r="D1039" s="2" t="s">
        <v>2118</v>
      </c>
      <c r="E1039" s="2" t="str">
        <f>HYPERLINK("https://talan.bank.gov.ua/get-user-certificate/sec1eqVL5p59QT6NtZYp","Завантажити сертифікат")</f>
        <v>Завантажити сертифікат</v>
      </c>
    </row>
    <row r="1040" spans="1:5" x14ac:dyDescent="0.3">
      <c r="A1040" s="2" t="s">
        <v>2129</v>
      </c>
      <c r="B1040" s="2" t="s">
        <v>5</v>
      </c>
      <c r="C1040" s="2" t="s">
        <v>2130</v>
      </c>
      <c r="D1040" s="2" t="s">
        <v>2118</v>
      </c>
      <c r="E1040" s="2" t="str">
        <f>HYPERLINK("https://talan.bank.gov.ua/get-user-certificate/sec1eRXV7A_E-5P7l9CB","Завантажити сертифікат")</f>
        <v>Завантажити сертифікат</v>
      </c>
    </row>
    <row r="1041" spans="1:5" x14ac:dyDescent="0.3">
      <c r="A1041" s="2" t="s">
        <v>2131</v>
      </c>
      <c r="B1041" s="2" t="s">
        <v>5</v>
      </c>
      <c r="C1041" s="2" t="s">
        <v>2132</v>
      </c>
      <c r="D1041" s="2" t="s">
        <v>2118</v>
      </c>
      <c r="E1041" s="2" t="str">
        <f>HYPERLINK("https://talan.bank.gov.ua/get-user-certificate/sec1e6pJCxzIIgVCSbkl","Завантажити сертифікат")</f>
        <v>Завантажити сертифікат</v>
      </c>
    </row>
    <row r="1042" spans="1:5" x14ac:dyDescent="0.3">
      <c r="A1042" s="2" t="s">
        <v>2133</v>
      </c>
      <c r="B1042" s="2" t="s">
        <v>5</v>
      </c>
      <c r="C1042" s="2" t="s">
        <v>2134</v>
      </c>
      <c r="D1042" s="2" t="s">
        <v>2118</v>
      </c>
      <c r="E1042" s="2" t="str">
        <f>HYPERLINK("https://talan.bank.gov.ua/get-user-certificate/sec1ekF3tQAniD2VcJ2d","Завантажити сертифікат")</f>
        <v>Завантажити сертифікат</v>
      </c>
    </row>
    <row r="1043" spans="1:5" x14ac:dyDescent="0.3">
      <c r="A1043" s="2" t="s">
        <v>2135</v>
      </c>
      <c r="B1043" s="2" t="s">
        <v>5</v>
      </c>
      <c r="C1043" s="2" t="s">
        <v>2136</v>
      </c>
      <c r="D1043" s="2" t="s">
        <v>2118</v>
      </c>
      <c r="E1043" s="2" t="str">
        <f>HYPERLINK("https://talan.bank.gov.ua/get-user-certificate/sec1e7u8XJYqoiB-CJb_","Завантажити сертифікат")</f>
        <v>Завантажити сертифікат</v>
      </c>
    </row>
    <row r="1044" spans="1:5" x14ac:dyDescent="0.3">
      <c r="A1044" s="2" t="s">
        <v>2137</v>
      </c>
      <c r="B1044" s="2" t="s">
        <v>5</v>
      </c>
      <c r="C1044" s="2" t="s">
        <v>2138</v>
      </c>
      <c r="D1044" s="2" t="s">
        <v>2118</v>
      </c>
      <c r="E1044" s="2" t="str">
        <f>HYPERLINK("https://talan.bank.gov.ua/get-user-certificate/sec1eHk1i7h4g67WPfS3","Завантажити сертифікат")</f>
        <v>Завантажити сертифікат</v>
      </c>
    </row>
    <row r="1045" spans="1:5" x14ac:dyDescent="0.3">
      <c r="A1045" s="2" t="s">
        <v>2139</v>
      </c>
      <c r="B1045" s="2" t="s">
        <v>5</v>
      </c>
      <c r="C1045" s="2" t="s">
        <v>2140</v>
      </c>
      <c r="D1045" s="2" t="s">
        <v>2118</v>
      </c>
      <c r="E1045" s="2" t="str">
        <f>HYPERLINK("https://talan.bank.gov.ua/get-user-certificate/sec1eI2sKT94T4LpzsX9","Завантажити сертифікат")</f>
        <v>Завантажити сертифікат</v>
      </c>
    </row>
    <row r="1046" spans="1:5" x14ac:dyDescent="0.3">
      <c r="A1046" s="2" t="s">
        <v>2141</v>
      </c>
      <c r="B1046" s="2" t="s">
        <v>5</v>
      </c>
      <c r="C1046" s="2" t="s">
        <v>2142</v>
      </c>
      <c r="D1046" s="2" t="s">
        <v>2118</v>
      </c>
      <c r="E1046" s="2" t="str">
        <f>HYPERLINK("https://talan.bank.gov.ua/get-user-certificate/sec1eV40t6Hx8aaZirln","Завантажити сертифікат")</f>
        <v>Завантажити сертифікат</v>
      </c>
    </row>
    <row r="1047" spans="1:5" x14ac:dyDescent="0.3">
      <c r="A1047" s="2" t="s">
        <v>2143</v>
      </c>
      <c r="B1047" s="2" t="s">
        <v>5</v>
      </c>
      <c r="C1047" s="2" t="s">
        <v>2144</v>
      </c>
      <c r="D1047" s="2" t="s">
        <v>2118</v>
      </c>
      <c r="E1047" s="2" t="str">
        <f>HYPERLINK("https://talan.bank.gov.ua/get-user-certificate/sec1eSZiKffJ_v5j0npk","Завантажити сертифікат")</f>
        <v>Завантажити сертифікат</v>
      </c>
    </row>
    <row r="1048" spans="1:5" x14ac:dyDescent="0.3">
      <c r="A1048" s="2" t="s">
        <v>2145</v>
      </c>
      <c r="B1048" s="2" t="s">
        <v>5</v>
      </c>
      <c r="C1048" s="2" t="s">
        <v>2146</v>
      </c>
      <c r="D1048" s="2" t="s">
        <v>2118</v>
      </c>
      <c r="E1048" s="2" t="str">
        <f>HYPERLINK("https://talan.bank.gov.ua/get-user-certificate/sec1e2ORk8oKJI258MU4","Завантажити сертифікат")</f>
        <v>Завантажити сертифікат</v>
      </c>
    </row>
    <row r="1049" spans="1:5" x14ac:dyDescent="0.3">
      <c r="A1049" s="2" t="s">
        <v>2147</v>
      </c>
      <c r="B1049" s="2" t="s">
        <v>5</v>
      </c>
      <c r="C1049" s="2" t="s">
        <v>2148</v>
      </c>
      <c r="D1049" s="2" t="s">
        <v>2118</v>
      </c>
      <c r="E1049" s="2" t="str">
        <f>HYPERLINK("https://talan.bank.gov.ua/get-user-certificate/sec1eKScV4IlTVMODTRo","Завантажити сертифікат")</f>
        <v>Завантажити сертифікат</v>
      </c>
    </row>
    <row r="1050" spans="1:5" x14ac:dyDescent="0.3">
      <c r="A1050" s="2" t="s">
        <v>2149</v>
      </c>
      <c r="B1050" s="2" t="s">
        <v>5</v>
      </c>
      <c r="C1050" s="2" t="s">
        <v>2150</v>
      </c>
      <c r="D1050" s="2" t="s">
        <v>2118</v>
      </c>
      <c r="E1050" s="2" t="str">
        <f>HYPERLINK("https://talan.bank.gov.ua/get-user-certificate/sec1eZ3U6VeMWZ8uDRyN","Завантажити сертифікат")</f>
        <v>Завантажити сертифікат</v>
      </c>
    </row>
    <row r="1051" spans="1:5" x14ac:dyDescent="0.3">
      <c r="A1051" s="2" t="s">
        <v>2151</v>
      </c>
      <c r="B1051" s="2" t="s">
        <v>5</v>
      </c>
      <c r="C1051" s="2" t="s">
        <v>2152</v>
      </c>
      <c r="D1051" s="2" t="s">
        <v>2118</v>
      </c>
      <c r="E1051" s="2" t="str">
        <f>HYPERLINK("https://talan.bank.gov.ua/get-user-certificate/sec1et1l8zQJfOytB25L","Завантажити сертифікат")</f>
        <v>Завантажити сертифікат</v>
      </c>
    </row>
    <row r="1052" spans="1:5" x14ac:dyDescent="0.3">
      <c r="A1052" s="2" t="s">
        <v>2153</v>
      </c>
      <c r="B1052" s="2" t="s">
        <v>5</v>
      </c>
      <c r="C1052" s="2" t="s">
        <v>2154</v>
      </c>
      <c r="D1052" s="2" t="s">
        <v>2118</v>
      </c>
      <c r="E1052" s="2" t="str">
        <f>HYPERLINK("https://talan.bank.gov.ua/get-user-certificate/sec1erUkyw39I8mX3iqv","Завантажити сертифікат")</f>
        <v>Завантажити сертифікат</v>
      </c>
    </row>
    <row r="1053" spans="1:5" x14ac:dyDescent="0.3">
      <c r="A1053" s="2" t="s">
        <v>2155</v>
      </c>
      <c r="B1053" s="2" t="s">
        <v>5</v>
      </c>
      <c r="C1053" s="2" t="s">
        <v>2156</v>
      </c>
      <c r="D1053" s="2" t="s">
        <v>2118</v>
      </c>
      <c r="E1053" s="2" t="str">
        <f>HYPERLINK("https://talan.bank.gov.ua/get-user-certificate/sec1e9vS8c90oJtSGl1k","Завантажити сертифікат")</f>
        <v>Завантажити сертифікат</v>
      </c>
    </row>
    <row r="1054" spans="1:5" x14ac:dyDescent="0.3">
      <c r="A1054" s="2" t="s">
        <v>2157</v>
      </c>
      <c r="B1054" s="2" t="s">
        <v>5</v>
      </c>
      <c r="C1054" s="2" t="s">
        <v>2158</v>
      </c>
      <c r="D1054" s="2" t="s">
        <v>2118</v>
      </c>
      <c r="E1054" s="2" t="str">
        <f>HYPERLINK("https://talan.bank.gov.ua/get-user-certificate/sec1en3t0DAz6OW0Zl06","Завантажити сертифікат")</f>
        <v>Завантажити сертифікат</v>
      </c>
    </row>
    <row r="1055" spans="1:5" x14ac:dyDescent="0.3">
      <c r="A1055" s="2" t="s">
        <v>2159</v>
      </c>
      <c r="B1055" s="2" t="s">
        <v>5</v>
      </c>
      <c r="C1055" s="2" t="s">
        <v>2160</v>
      </c>
      <c r="D1055" s="2" t="s">
        <v>2118</v>
      </c>
      <c r="E1055" s="2" t="str">
        <f>HYPERLINK("https://talan.bank.gov.ua/get-user-certificate/sec1eFLzzbLKcYXTHK_f","Завантажити сертифікат")</f>
        <v>Завантажити сертифікат</v>
      </c>
    </row>
    <row r="1056" spans="1:5" x14ac:dyDescent="0.3">
      <c r="A1056" s="2" t="s">
        <v>2161</v>
      </c>
      <c r="B1056" s="2" t="s">
        <v>5</v>
      </c>
      <c r="C1056" s="2" t="s">
        <v>2162</v>
      </c>
      <c r="D1056" s="2" t="s">
        <v>2118</v>
      </c>
      <c r="E1056" s="2" t="str">
        <f>HYPERLINK("https://talan.bank.gov.ua/get-user-certificate/sec1e6UYywEVOeQ9RXSH","Завантажити сертифікат")</f>
        <v>Завантажити сертифікат</v>
      </c>
    </row>
    <row r="1057" spans="1:5" x14ac:dyDescent="0.3">
      <c r="A1057" s="2" t="s">
        <v>2163</v>
      </c>
      <c r="B1057" s="2" t="s">
        <v>5</v>
      </c>
      <c r="C1057" s="2" t="s">
        <v>2164</v>
      </c>
      <c r="D1057" s="2" t="s">
        <v>2118</v>
      </c>
      <c r="E1057" s="2" t="str">
        <f>HYPERLINK("https://talan.bank.gov.ua/get-user-certificate/sec1e5ohC_RzoBOYj-ZL","Завантажити сертифікат")</f>
        <v>Завантажити сертифікат</v>
      </c>
    </row>
    <row r="1058" spans="1:5" x14ac:dyDescent="0.3">
      <c r="A1058" s="2" t="s">
        <v>2165</v>
      </c>
      <c r="B1058" s="2" t="s">
        <v>5</v>
      </c>
      <c r="C1058" s="2" t="s">
        <v>2166</v>
      </c>
      <c r="D1058" s="2" t="s">
        <v>2118</v>
      </c>
      <c r="E1058" s="2" t="str">
        <f>HYPERLINK("https://talan.bank.gov.ua/get-user-certificate/sec1eh-i-CVyuATa_9nm","Завантажити сертифікат")</f>
        <v>Завантажити сертифікат</v>
      </c>
    </row>
    <row r="1059" spans="1:5" x14ac:dyDescent="0.3">
      <c r="A1059" s="2" t="s">
        <v>2167</v>
      </c>
      <c r="B1059" s="2" t="s">
        <v>5</v>
      </c>
      <c r="C1059" s="2" t="s">
        <v>2168</v>
      </c>
      <c r="D1059" s="2" t="s">
        <v>2118</v>
      </c>
      <c r="E1059" s="2" t="str">
        <f>HYPERLINK("https://talan.bank.gov.ua/get-user-certificate/sec1eoGShAo0RZN30snT","Завантажити сертифікат")</f>
        <v>Завантажити сертифікат</v>
      </c>
    </row>
    <row r="1060" spans="1:5" x14ac:dyDescent="0.3">
      <c r="A1060" s="2" t="s">
        <v>2169</v>
      </c>
      <c r="B1060" s="2" t="s">
        <v>5</v>
      </c>
      <c r="C1060" s="2" t="s">
        <v>2170</v>
      </c>
      <c r="D1060" s="2" t="s">
        <v>2118</v>
      </c>
      <c r="E1060" s="2" t="str">
        <f>HYPERLINK("https://talan.bank.gov.ua/get-user-certificate/sec1e5kbdfYgeBHemAuy","Завантажити сертифікат")</f>
        <v>Завантажити сертифікат</v>
      </c>
    </row>
    <row r="1061" spans="1:5" x14ac:dyDescent="0.3">
      <c r="A1061" s="2" t="s">
        <v>2171</v>
      </c>
      <c r="B1061" s="2" t="s">
        <v>5</v>
      </c>
      <c r="C1061" s="2" t="s">
        <v>2172</v>
      </c>
      <c r="D1061" s="2" t="s">
        <v>2118</v>
      </c>
      <c r="E1061" s="2" t="str">
        <f>HYPERLINK("https://talan.bank.gov.ua/get-user-certificate/sec1eJ5Dg9j0cNeBBOju","Завантажити сертифікат")</f>
        <v>Завантажити сертифікат</v>
      </c>
    </row>
    <row r="1062" spans="1:5" x14ac:dyDescent="0.3">
      <c r="A1062" s="2" t="s">
        <v>2173</v>
      </c>
      <c r="B1062" s="2" t="s">
        <v>5</v>
      </c>
      <c r="C1062" s="2" t="s">
        <v>2174</v>
      </c>
      <c r="D1062" s="2" t="s">
        <v>2118</v>
      </c>
      <c r="E1062" s="2" t="str">
        <f>HYPERLINK("https://talan.bank.gov.ua/get-user-certificate/sec1ekNlMRwCpvrD8EH0","Завантажити сертифікат")</f>
        <v>Завантажити сертифікат</v>
      </c>
    </row>
    <row r="1063" spans="1:5" x14ac:dyDescent="0.3">
      <c r="A1063" s="2" t="s">
        <v>2175</v>
      </c>
      <c r="B1063" s="2" t="s">
        <v>5</v>
      </c>
      <c r="C1063" s="2" t="s">
        <v>2176</v>
      </c>
      <c r="D1063" s="2" t="s">
        <v>2118</v>
      </c>
      <c r="E1063" s="2" t="str">
        <f>HYPERLINK("https://talan.bank.gov.ua/get-user-certificate/sec1eIJ4cowA2nz0IaTI","Завантажити сертифікат")</f>
        <v>Завантажити сертифікат</v>
      </c>
    </row>
    <row r="1064" spans="1:5" x14ac:dyDescent="0.3">
      <c r="A1064" s="2" t="s">
        <v>2177</v>
      </c>
      <c r="B1064" s="2" t="s">
        <v>5</v>
      </c>
      <c r="C1064" s="2" t="s">
        <v>2178</v>
      </c>
      <c r="D1064" s="2" t="s">
        <v>2118</v>
      </c>
      <c r="E1064" s="2" t="str">
        <f>HYPERLINK("https://talan.bank.gov.ua/get-user-certificate/sec1ez6PuhfjCy3XTRWJ","Завантажити сертифікат")</f>
        <v>Завантажити сертифікат</v>
      </c>
    </row>
    <row r="1065" spans="1:5" x14ac:dyDescent="0.3">
      <c r="A1065" s="2" t="s">
        <v>2179</v>
      </c>
      <c r="B1065" s="2" t="s">
        <v>5</v>
      </c>
      <c r="C1065" s="2" t="s">
        <v>2180</v>
      </c>
      <c r="D1065" s="2" t="s">
        <v>2118</v>
      </c>
      <c r="E1065" s="2" t="str">
        <f>HYPERLINK("https://talan.bank.gov.ua/get-user-certificate/sec1evFwpspTRYuvWxCG","Завантажити сертифікат")</f>
        <v>Завантажити сертифікат</v>
      </c>
    </row>
    <row r="1066" spans="1:5" x14ac:dyDescent="0.3">
      <c r="A1066" s="2" t="s">
        <v>2181</v>
      </c>
      <c r="B1066" s="2" t="s">
        <v>5</v>
      </c>
      <c r="C1066" s="2" t="s">
        <v>2182</v>
      </c>
      <c r="D1066" s="2" t="s">
        <v>2118</v>
      </c>
      <c r="E1066" s="2" t="str">
        <f>HYPERLINK("https://talan.bank.gov.ua/get-user-certificate/sec1ew9_ainZqIiUVZhe","Завантажити сертифікат")</f>
        <v>Завантажити сертифікат</v>
      </c>
    </row>
    <row r="1067" spans="1:5" x14ac:dyDescent="0.3">
      <c r="A1067" s="2" t="s">
        <v>2183</v>
      </c>
      <c r="B1067" s="2" t="s">
        <v>5</v>
      </c>
      <c r="C1067" s="2" t="s">
        <v>2184</v>
      </c>
      <c r="D1067" s="2" t="s">
        <v>2118</v>
      </c>
      <c r="E1067" s="2" t="str">
        <f>HYPERLINK("https://talan.bank.gov.ua/get-user-certificate/sec1eNsUvkiBNVJSzElW","Завантажити сертифікат")</f>
        <v>Завантажити сертифікат</v>
      </c>
    </row>
    <row r="1068" spans="1:5" x14ac:dyDescent="0.3">
      <c r="A1068" s="2" t="s">
        <v>2185</v>
      </c>
      <c r="B1068" s="2" t="s">
        <v>5</v>
      </c>
      <c r="C1068" s="2" t="s">
        <v>2186</v>
      </c>
      <c r="D1068" s="2" t="s">
        <v>2118</v>
      </c>
      <c r="E1068" s="2" t="str">
        <f>HYPERLINK("https://talan.bank.gov.ua/get-user-certificate/sec1eqhKCeFZ3V8tuyW_","Завантажити сертифікат")</f>
        <v>Завантажити сертифікат</v>
      </c>
    </row>
    <row r="1069" spans="1:5" x14ac:dyDescent="0.3">
      <c r="A1069" s="2" t="s">
        <v>2187</v>
      </c>
      <c r="B1069" s="2" t="s">
        <v>5</v>
      </c>
      <c r="C1069" s="2" t="s">
        <v>2188</v>
      </c>
      <c r="D1069" s="2" t="s">
        <v>2118</v>
      </c>
      <c r="E1069" s="2" t="str">
        <f>HYPERLINK("https://talan.bank.gov.ua/get-user-certificate/sec1eRQMv08nfxUkisH_","Завантажити сертифікат")</f>
        <v>Завантажити сертифікат</v>
      </c>
    </row>
    <row r="1070" spans="1:5" x14ac:dyDescent="0.3">
      <c r="A1070" s="2" t="s">
        <v>2189</v>
      </c>
      <c r="B1070" s="2" t="s">
        <v>5</v>
      </c>
      <c r="C1070" s="2" t="s">
        <v>2190</v>
      </c>
      <c r="D1070" s="2" t="s">
        <v>2118</v>
      </c>
      <c r="E1070" s="2" t="str">
        <f>HYPERLINK("https://talan.bank.gov.ua/get-user-certificate/sec1eObn3TPbK8r8liPl","Завантажити сертифікат")</f>
        <v>Завантажити сертифікат</v>
      </c>
    </row>
    <row r="1071" spans="1:5" x14ac:dyDescent="0.3">
      <c r="A1071" s="2" t="s">
        <v>2191</v>
      </c>
      <c r="B1071" s="2" t="s">
        <v>5</v>
      </c>
      <c r="C1071" s="2" t="s">
        <v>2192</v>
      </c>
      <c r="D1071" s="2" t="s">
        <v>2118</v>
      </c>
      <c r="E1071" s="2" t="str">
        <f>HYPERLINK("https://talan.bank.gov.ua/get-user-certificate/sec1ez6A3Os47ARrcSao","Завантажити сертифікат")</f>
        <v>Завантажити сертифікат</v>
      </c>
    </row>
    <row r="1072" spans="1:5" x14ac:dyDescent="0.3">
      <c r="A1072" s="2" t="s">
        <v>2193</v>
      </c>
      <c r="B1072" s="2" t="s">
        <v>5</v>
      </c>
      <c r="C1072" s="2" t="s">
        <v>2194</v>
      </c>
      <c r="D1072" s="2" t="s">
        <v>2118</v>
      </c>
      <c r="E1072" s="2" t="str">
        <f>HYPERLINK("https://talan.bank.gov.ua/get-user-certificate/sec1eKl0c1498XH7B9-z","Завантажити сертифікат")</f>
        <v>Завантажити сертифікат</v>
      </c>
    </row>
    <row r="1073" spans="1:5" x14ac:dyDescent="0.3">
      <c r="A1073" s="2" t="s">
        <v>2195</v>
      </c>
      <c r="B1073" s="2" t="s">
        <v>5</v>
      </c>
      <c r="C1073" s="2" t="s">
        <v>2196</v>
      </c>
      <c r="D1073" s="2" t="s">
        <v>2118</v>
      </c>
      <c r="E1073" s="2" t="str">
        <f>HYPERLINK("https://talan.bank.gov.ua/get-user-certificate/sec1eXOaafz_E-CYVkIX","Завантажити сертифікат")</f>
        <v>Завантажити сертифікат</v>
      </c>
    </row>
    <row r="1074" spans="1:5" x14ac:dyDescent="0.3">
      <c r="A1074" s="2" t="s">
        <v>2197</v>
      </c>
      <c r="B1074" s="2" t="s">
        <v>5</v>
      </c>
      <c r="C1074" s="2" t="s">
        <v>2198</v>
      </c>
      <c r="D1074" s="2" t="s">
        <v>2118</v>
      </c>
      <c r="E1074" s="2" t="str">
        <f>HYPERLINK("https://talan.bank.gov.ua/get-user-certificate/sec1egEvDKaU2R3HXaXl","Завантажити сертифікат")</f>
        <v>Завантажити сертифікат</v>
      </c>
    </row>
    <row r="1075" spans="1:5" x14ac:dyDescent="0.3">
      <c r="A1075" s="2" t="s">
        <v>2199</v>
      </c>
      <c r="B1075" s="2" t="s">
        <v>5</v>
      </c>
      <c r="C1075" s="2" t="s">
        <v>2200</v>
      </c>
      <c r="D1075" s="2" t="s">
        <v>2118</v>
      </c>
      <c r="E1075" s="2" t="str">
        <f>HYPERLINK("https://talan.bank.gov.ua/get-user-certificate/sec1egLVNA9B2-1_pzzt","Завантажити сертифікат")</f>
        <v>Завантажити сертифікат</v>
      </c>
    </row>
    <row r="1076" spans="1:5" x14ac:dyDescent="0.3">
      <c r="A1076" s="2" t="s">
        <v>2201</v>
      </c>
      <c r="B1076" s="2" t="s">
        <v>5</v>
      </c>
      <c r="C1076" s="2" t="s">
        <v>2202</v>
      </c>
      <c r="D1076" s="2" t="s">
        <v>2118</v>
      </c>
      <c r="E1076" s="2" t="str">
        <f>HYPERLINK("https://talan.bank.gov.ua/get-user-certificate/sec1evB96s5CmTh8KGN9","Завантажити сертифікат")</f>
        <v>Завантажити сертифікат</v>
      </c>
    </row>
    <row r="1077" spans="1:5" x14ac:dyDescent="0.3">
      <c r="A1077" s="2" t="s">
        <v>2203</v>
      </c>
      <c r="B1077" s="2" t="s">
        <v>5</v>
      </c>
      <c r="C1077" s="2" t="s">
        <v>2204</v>
      </c>
      <c r="D1077" s="2" t="s">
        <v>2118</v>
      </c>
      <c r="E1077" s="2" t="str">
        <f>HYPERLINK("https://talan.bank.gov.ua/get-user-certificate/sec1ecgZq6ptxlPu9m8C","Завантажити сертифікат")</f>
        <v>Завантажити сертифікат</v>
      </c>
    </row>
    <row r="1078" spans="1:5" x14ac:dyDescent="0.3">
      <c r="A1078" s="2" t="s">
        <v>2205</v>
      </c>
      <c r="B1078" s="2" t="s">
        <v>5</v>
      </c>
      <c r="C1078" s="2" t="s">
        <v>2206</v>
      </c>
      <c r="D1078" s="2" t="s">
        <v>2118</v>
      </c>
      <c r="E1078" s="2" t="str">
        <f>HYPERLINK("https://talan.bank.gov.ua/get-user-certificate/sec1emNUSkgHBh8k3B2U","Завантажити сертифікат")</f>
        <v>Завантажити сертифікат</v>
      </c>
    </row>
    <row r="1079" spans="1:5" x14ac:dyDescent="0.3">
      <c r="A1079" s="2" t="s">
        <v>2207</v>
      </c>
      <c r="B1079" s="2" t="s">
        <v>5</v>
      </c>
      <c r="C1079" s="2" t="s">
        <v>2208</v>
      </c>
      <c r="D1079" s="2" t="s">
        <v>2209</v>
      </c>
      <c r="E1079" s="2" t="str">
        <f>HYPERLINK("https://talan.bank.gov.ua/get-user-certificate/sec1eUoPQZenAtMg4--0","Завантажити сертифікат")</f>
        <v>Завантажити сертифікат</v>
      </c>
    </row>
    <row r="1080" spans="1:5" x14ac:dyDescent="0.3">
      <c r="A1080" s="2" t="s">
        <v>2210</v>
      </c>
      <c r="B1080" s="2" t="s">
        <v>5</v>
      </c>
      <c r="C1080" s="2" t="s">
        <v>2211</v>
      </c>
      <c r="D1080" s="2" t="s">
        <v>2209</v>
      </c>
      <c r="E1080" s="2" t="str">
        <f>HYPERLINK("https://talan.bank.gov.ua/get-user-certificate/sec1esUAZXlbP-tsjACG","Завантажити сертифікат")</f>
        <v>Завантажити сертифікат</v>
      </c>
    </row>
    <row r="1081" spans="1:5" x14ac:dyDescent="0.3">
      <c r="A1081" s="2" t="s">
        <v>2212</v>
      </c>
      <c r="B1081" s="2" t="s">
        <v>5</v>
      </c>
      <c r="C1081" s="2" t="s">
        <v>2213</v>
      </c>
      <c r="D1081" s="2" t="s">
        <v>2209</v>
      </c>
      <c r="E1081" s="2" t="str">
        <f>HYPERLINK("https://talan.bank.gov.ua/get-user-certificate/sec1elFnqsaC74lYY9KI","Завантажити сертифікат")</f>
        <v>Завантажити сертифікат</v>
      </c>
    </row>
    <row r="1082" spans="1:5" x14ac:dyDescent="0.3">
      <c r="A1082" s="2" t="s">
        <v>2214</v>
      </c>
      <c r="B1082" s="2" t="s">
        <v>5</v>
      </c>
      <c r="C1082" s="2" t="s">
        <v>2215</v>
      </c>
      <c r="D1082" s="2" t="s">
        <v>2209</v>
      </c>
      <c r="E1082" s="2" t="str">
        <f>HYPERLINK("https://talan.bank.gov.ua/get-user-certificate/sec1eaYm-bvj6zcKkXay","Завантажити сертифікат")</f>
        <v>Завантажити сертифікат</v>
      </c>
    </row>
    <row r="1083" spans="1:5" x14ac:dyDescent="0.3">
      <c r="A1083" s="2" t="s">
        <v>2216</v>
      </c>
      <c r="B1083" s="2" t="s">
        <v>5</v>
      </c>
      <c r="C1083" s="2" t="s">
        <v>2217</v>
      </c>
      <c r="D1083" s="2" t="s">
        <v>2209</v>
      </c>
      <c r="E1083" s="2" t="str">
        <f>HYPERLINK("https://talan.bank.gov.ua/get-user-certificate/sec1eNA2KL9_nMxQKp35","Завантажити сертифікат")</f>
        <v>Завантажити сертифікат</v>
      </c>
    </row>
    <row r="1084" spans="1:5" x14ac:dyDescent="0.3">
      <c r="A1084" s="2" t="s">
        <v>2218</v>
      </c>
      <c r="B1084" s="2" t="s">
        <v>5</v>
      </c>
      <c r="C1084" s="2" t="s">
        <v>2219</v>
      </c>
      <c r="D1084" s="2" t="s">
        <v>2220</v>
      </c>
      <c r="E1084" s="2" t="str">
        <f>HYPERLINK("https://talan.bank.gov.ua/get-user-certificate/sec1eoqpG2sT46dVJwQm","Завантажити сертифікат")</f>
        <v>Завантажити сертифікат</v>
      </c>
    </row>
    <row r="1085" spans="1:5" x14ac:dyDescent="0.3">
      <c r="A1085" s="2" t="s">
        <v>2221</v>
      </c>
      <c r="B1085" s="2" t="s">
        <v>5</v>
      </c>
      <c r="C1085" s="2" t="s">
        <v>2222</v>
      </c>
      <c r="D1085" s="2" t="s">
        <v>2220</v>
      </c>
      <c r="E1085" s="2" t="str">
        <f>HYPERLINK("https://talan.bank.gov.ua/get-user-certificate/sec1e-8SbaM4obox3PbD","Завантажити сертифікат")</f>
        <v>Завантажити сертифікат</v>
      </c>
    </row>
    <row r="1086" spans="1:5" x14ac:dyDescent="0.3">
      <c r="A1086" s="2" t="s">
        <v>2223</v>
      </c>
      <c r="B1086" s="2" t="s">
        <v>5</v>
      </c>
      <c r="C1086" s="2" t="s">
        <v>2224</v>
      </c>
      <c r="D1086" s="2" t="s">
        <v>2220</v>
      </c>
      <c r="E1086" s="2" t="str">
        <f>HYPERLINK("https://talan.bank.gov.ua/get-user-certificate/sec1eRw6V59lvIfY1pz-","Завантажити сертифікат")</f>
        <v>Завантажити сертифікат</v>
      </c>
    </row>
    <row r="1087" spans="1:5" x14ac:dyDescent="0.3">
      <c r="A1087" s="2" t="s">
        <v>2225</v>
      </c>
      <c r="B1087" s="2" t="s">
        <v>5</v>
      </c>
      <c r="C1087" s="2" t="s">
        <v>2226</v>
      </c>
      <c r="D1087" s="2" t="s">
        <v>2220</v>
      </c>
      <c r="E1087" s="2" t="str">
        <f>HYPERLINK("https://talan.bank.gov.ua/get-user-certificate/sec1eHgLVOHrYWHXaGMI","Завантажити сертифікат")</f>
        <v>Завантажити сертифікат</v>
      </c>
    </row>
    <row r="1088" spans="1:5" x14ac:dyDescent="0.3">
      <c r="A1088" s="2" t="s">
        <v>2227</v>
      </c>
      <c r="B1088" s="2" t="s">
        <v>5</v>
      </c>
      <c r="C1088" s="2" t="s">
        <v>2228</v>
      </c>
      <c r="D1088" s="2" t="s">
        <v>2220</v>
      </c>
      <c r="E1088" s="2" t="str">
        <f>HYPERLINK("https://talan.bank.gov.ua/get-user-certificate/sec1eLmlVFS1uzQt5Trh","Завантажити сертифікат")</f>
        <v>Завантажити сертифікат</v>
      </c>
    </row>
    <row r="1089" spans="1:5" x14ac:dyDescent="0.3">
      <c r="A1089" s="2" t="s">
        <v>2229</v>
      </c>
      <c r="B1089" s="2" t="s">
        <v>5</v>
      </c>
      <c r="C1089" s="2" t="s">
        <v>2230</v>
      </c>
      <c r="D1089" s="2" t="s">
        <v>2220</v>
      </c>
      <c r="E1089" s="2" t="str">
        <f>HYPERLINK("https://talan.bank.gov.ua/get-user-certificate/sec1eTLpufoC_PDsRvo_","Завантажити сертифікат")</f>
        <v>Завантажити сертифікат</v>
      </c>
    </row>
    <row r="1090" spans="1:5" x14ac:dyDescent="0.3">
      <c r="A1090" s="2" t="s">
        <v>2231</v>
      </c>
      <c r="B1090" s="2" t="s">
        <v>5</v>
      </c>
      <c r="C1090" s="2" t="s">
        <v>2232</v>
      </c>
      <c r="D1090" s="2" t="s">
        <v>2220</v>
      </c>
      <c r="E1090" s="2" t="str">
        <f>HYPERLINK("https://talan.bank.gov.ua/get-user-certificate/sec1eeF0DHy1HBNjOqmL","Завантажити сертифікат")</f>
        <v>Завантажити сертифікат</v>
      </c>
    </row>
    <row r="1091" spans="1:5" x14ac:dyDescent="0.3">
      <c r="A1091" s="2" t="s">
        <v>2233</v>
      </c>
      <c r="B1091" s="2" t="s">
        <v>5</v>
      </c>
      <c r="C1091" s="2" t="s">
        <v>2234</v>
      </c>
      <c r="D1091" s="2" t="s">
        <v>2220</v>
      </c>
      <c r="E1091" s="2" t="str">
        <f>HYPERLINK("https://talan.bank.gov.ua/get-user-certificate/sec1ego7ipE4y1P_EpGo","Завантажити сертифікат")</f>
        <v>Завантажити сертифікат</v>
      </c>
    </row>
    <row r="1092" spans="1:5" x14ac:dyDescent="0.3">
      <c r="A1092" s="2" t="s">
        <v>2235</v>
      </c>
      <c r="B1092" s="2" t="s">
        <v>5</v>
      </c>
      <c r="C1092" s="2" t="s">
        <v>2236</v>
      </c>
      <c r="D1092" s="2" t="s">
        <v>2220</v>
      </c>
      <c r="E1092" s="2" t="str">
        <f>HYPERLINK("https://talan.bank.gov.ua/get-user-certificate/sec1etVHZ6uihzBq-qSY","Завантажити сертифікат")</f>
        <v>Завантажити сертифікат</v>
      </c>
    </row>
    <row r="1093" spans="1:5" x14ac:dyDescent="0.3">
      <c r="A1093" s="2" t="s">
        <v>2237</v>
      </c>
      <c r="B1093" s="2" t="s">
        <v>5</v>
      </c>
      <c r="C1093" s="2" t="s">
        <v>2238</v>
      </c>
      <c r="D1093" s="2" t="s">
        <v>2220</v>
      </c>
      <c r="E1093" s="2" t="str">
        <f>HYPERLINK("https://talan.bank.gov.ua/get-user-certificate/sec1e3FCgDlZ8L4oWFec","Завантажити сертифікат")</f>
        <v>Завантажити сертифікат</v>
      </c>
    </row>
    <row r="1094" spans="1:5" x14ac:dyDescent="0.3">
      <c r="A1094" s="2" t="s">
        <v>2239</v>
      </c>
      <c r="B1094" s="2" t="s">
        <v>5</v>
      </c>
      <c r="C1094" s="2" t="s">
        <v>2240</v>
      </c>
      <c r="D1094" s="2" t="s">
        <v>2220</v>
      </c>
      <c r="E1094" s="2" t="str">
        <f>HYPERLINK("https://talan.bank.gov.ua/get-user-certificate/sec1eFHviAtRiAej2IOO","Завантажити сертифікат")</f>
        <v>Завантажити сертифікат</v>
      </c>
    </row>
    <row r="1095" spans="1:5" x14ac:dyDescent="0.3">
      <c r="A1095" s="2" t="s">
        <v>2241</v>
      </c>
      <c r="B1095" s="2" t="s">
        <v>5</v>
      </c>
      <c r="C1095" s="2" t="s">
        <v>2242</v>
      </c>
      <c r="D1095" s="2" t="s">
        <v>2220</v>
      </c>
      <c r="E1095" s="2" t="str">
        <f>HYPERLINK("https://talan.bank.gov.ua/get-user-certificate/sec1eXLSez4OTycGf_Vy","Завантажити сертифікат")</f>
        <v>Завантажити сертифікат</v>
      </c>
    </row>
    <row r="1096" spans="1:5" x14ac:dyDescent="0.3">
      <c r="A1096" s="2" t="s">
        <v>2243</v>
      </c>
      <c r="B1096" s="2" t="s">
        <v>5</v>
      </c>
      <c r="C1096" s="2" t="s">
        <v>2244</v>
      </c>
      <c r="D1096" s="2" t="s">
        <v>2220</v>
      </c>
      <c r="E1096" s="2" t="str">
        <f>HYPERLINK("https://talan.bank.gov.ua/get-user-certificate/sec1eA5LnJU3kPc77Bsw","Завантажити сертифікат")</f>
        <v>Завантажити сертифікат</v>
      </c>
    </row>
    <row r="1097" spans="1:5" x14ac:dyDescent="0.3">
      <c r="A1097" s="2" t="s">
        <v>2245</v>
      </c>
      <c r="B1097" s="2" t="s">
        <v>5</v>
      </c>
      <c r="C1097" s="2" t="s">
        <v>2246</v>
      </c>
      <c r="D1097" s="2" t="s">
        <v>2220</v>
      </c>
      <c r="E1097" s="2" t="str">
        <f>HYPERLINK("https://talan.bank.gov.ua/get-user-certificate/sec1edeZJOTmvms8-gC9","Завантажити сертифікат")</f>
        <v>Завантажити сертифікат</v>
      </c>
    </row>
    <row r="1098" spans="1:5" x14ac:dyDescent="0.3">
      <c r="A1098" s="2" t="s">
        <v>2247</v>
      </c>
      <c r="B1098" s="2" t="s">
        <v>5</v>
      </c>
      <c r="C1098" s="2" t="s">
        <v>2248</v>
      </c>
      <c r="D1098" s="2" t="s">
        <v>2220</v>
      </c>
      <c r="E1098" s="2" t="str">
        <f>HYPERLINK("https://talan.bank.gov.ua/get-user-certificate/sec1eeElcICP2mmYCBxz","Завантажити сертифікат")</f>
        <v>Завантажити сертифікат</v>
      </c>
    </row>
    <row r="1099" spans="1:5" x14ac:dyDescent="0.3">
      <c r="A1099" s="2" t="s">
        <v>2249</v>
      </c>
      <c r="B1099" s="2" t="s">
        <v>5</v>
      </c>
      <c r="C1099" s="2" t="s">
        <v>2250</v>
      </c>
      <c r="D1099" s="2" t="s">
        <v>2220</v>
      </c>
      <c r="E1099" s="2" t="str">
        <f>HYPERLINK("https://talan.bank.gov.ua/get-user-certificate/sec1eMOoW5HdmLzke4RL","Завантажити сертифікат")</f>
        <v>Завантажити сертифікат</v>
      </c>
    </row>
    <row r="1100" spans="1:5" x14ac:dyDescent="0.3">
      <c r="A1100" s="2" t="s">
        <v>2251</v>
      </c>
      <c r="B1100" s="2" t="s">
        <v>5</v>
      </c>
      <c r="C1100" s="2" t="s">
        <v>2252</v>
      </c>
      <c r="D1100" s="2" t="s">
        <v>2220</v>
      </c>
      <c r="E1100" s="2" t="str">
        <f>HYPERLINK("https://talan.bank.gov.ua/get-user-certificate/sec1ezJln6IZ9CjtVI76","Завантажити сертифікат")</f>
        <v>Завантажити сертифікат</v>
      </c>
    </row>
    <row r="1101" spans="1:5" x14ac:dyDescent="0.3">
      <c r="A1101" s="2" t="s">
        <v>2253</v>
      </c>
      <c r="B1101" s="2" t="s">
        <v>5</v>
      </c>
      <c r="C1101" s="2" t="s">
        <v>2254</v>
      </c>
      <c r="D1101" s="2" t="s">
        <v>2220</v>
      </c>
      <c r="E1101" s="2" t="str">
        <f>HYPERLINK("https://talan.bank.gov.ua/get-user-certificate/sec1e1s-OQi4XUWZ-Zwt","Завантажити сертифікат")</f>
        <v>Завантажити сертифікат</v>
      </c>
    </row>
    <row r="1102" spans="1:5" x14ac:dyDescent="0.3">
      <c r="A1102" s="2" t="s">
        <v>2255</v>
      </c>
      <c r="B1102" s="2" t="s">
        <v>5</v>
      </c>
      <c r="C1102" s="2" t="s">
        <v>2256</v>
      </c>
      <c r="D1102" s="2" t="s">
        <v>2220</v>
      </c>
      <c r="E1102" s="2" t="str">
        <f>HYPERLINK("https://talan.bank.gov.ua/get-user-certificate/sec1epvq0t_PKh3MIy1t","Завантажити сертифікат")</f>
        <v>Завантажити сертифікат</v>
      </c>
    </row>
    <row r="1103" spans="1:5" x14ac:dyDescent="0.3">
      <c r="A1103" s="2" t="s">
        <v>2257</v>
      </c>
      <c r="B1103" s="2" t="s">
        <v>5</v>
      </c>
      <c r="C1103" s="2" t="s">
        <v>2258</v>
      </c>
      <c r="D1103" s="2" t="s">
        <v>2220</v>
      </c>
      <c r="E1103" s="2" t="str">
        <f>HYPERLINK("https://talan.bank.gov.ua/get-user-certificate/sec1e9bnym-M0xBAJZ1N","Завантажити сертифікат")</f>
        <v>Завантажити сертифікат</v>
      </c>
    </row>
    <row r="1104" spans="1:5" x14ac:dyDescent="0.3">
      <c r="A1104" s="2" t="s">
        <v>2259</v>
      </c>
      <c r="B1104" s="2" t="s">
        <v>5</v>
      </c>
      <c r="C1104" s="2" t="s">
        <v>2260</v>
      </c>
      <c r="D1104" s="2" t="s">
        <v>2220</v>
      </c>
      <c r="E1104" s="2" t="str">
        <f>HYPERLINK("https://talan.bank.gov.ua/get-user-certificate/sec1eTG1wh53yzjs2ytw","Завантажити сертифікат")</f>
        <v>Завантажити сертифікат</v>
      </c>
    </row>
    <row r="1105" spans="1:5" x14ac:dyDescent="0.3">
      <c r="A1105" s="2" t="s">
        <v>2261</v>
      </c>
      <c r="B1105" s="2" t="s">
        <v>5</v>
      </c>
      <c r="C1105" s="2" t="s">
        <v>2262</v>
      </c>
      <c r="D1105" s="2" t="s">
        <v>2220</v>
      </c>
      <c r="E1105" s="2" t="str">
        <f>HYPERLINK("https://talan.bank.gov.ua/get-user-certificate/sec1edJIjznnTlHTns3E","Завантажити сертифікат")</f>
        <v>Завантажити сертифікат</v>
      </c>
    </row>
    <row r="1106" spans="1:5" x14ac:dyDescent="0.3">
      <c r="A1106" s="2" t="s">
        <v>2263</v>
      </c>
      <c r="B1106" s="2" t="s">
        <v>5</v>
      </c>
      <c r="C1106" s="2" t="s">
        <v>2264</v>
      </c>
      <c r="D1106" s="2" t="s">
        <v>2220</v>
      </c>
      <c r="E1106" s="2" t="str">
        <f>HYPERLINK("https://talan.bank.gov.ua/get-user-certificate/sec1eT8ngmwErJldCzWi","Завантажити сертифікат")</f>
        <v>Завантажити сертифікат</v>
      </c>
    </row>
    <row r="1107" spans="1:5" x14ac:dyDescent="0.3">
      <c r="A1107" s="2" t="s">
        <v>2265</v>
      </c>
      <c r="B1107" s="2" t="s">
        <v>5</v>
      </c>
      <c r="C1107" s="2" t="s">
        <v>2266</v>
      </c>
      <c r="D1107" s="2" t="s">
        <v>2220</v>
      </c>
      <c r="E1107" s="2" t="str">
        <f>HYPERLINK("https://talan.bank.gov.ua/get-user-certificate/sec1e5JOybCcH00rrKba","Завантажити сертифікат")</f>
        <v>Завантажити сертифікат</v>
      </c>
    </row>
    <row r="1108" spans="1:5" x14ac:dyDescent="0.3">
      <c r="A1108" s="2" t="s">
        <v>2267</v>
      </c>
      <c r="B1108" s="2" t="s">
        <v>5</v>
      </c>
      <c r="C1108" s="2" t="s">
        <v>2268</v>
      </c>
      <c r="D1108" s="2" t="s">
        <v>2269</v>
      </c>
      <c r="E1108" s="2" t="str">
        <f>HYPERLINK("https://talan.bank.gov.ua/get-user-certificate/sec1eUJDyZC_DRfj8dtS","Завантажити сертифікат")</f>
        <v>Завантажити сертифікат</v>
      </c>
    </row>
    <row r="1109" spans="1:5" x14ac:dyDescent="0.3">
      <c r="A1109" s="2" t="s">
        <v>2270</v>
      </c>
      <c r="B1109" s="2" t="s">
        <v>5</v>
      </c>
      <c r="C1109" s="2" t="s">
        <v>2271</v>
      </c>
      <c r="D1109" s="2" t="s">
        <v>2269</v>
      </c>
      <c r="E1109" s="2" t="str">
        <f>HYPERLINK("https://talan.bank.gov.ua/get-user-certificate/sec1eN091r7i-bTyXuiI","Завантажити сертифікат")</f>
        <v>Завантажити сертифікат</v>
      </c>
    </row>
    <row r="1110" spans="1:5" x14ac:dyDescent="0.3">
      <c r="A1110" s="2" t="s">
        <v>2272</v>
      </c>
      <c r="B1110" s="2" t="s">
        <v>5</v>
      </c>
      <c r="C1110" s="2" t="s">
        <v>2273</v>
      </c>
      <c r="D1110" s="2" t="s">
        <v>2269</v>
      </c>
      <c r="E1110" s="2" t="str">
        <f>HYPERLINK("https://talan.bank.gov.ua/get-user-certificate/sec1enWGH_fg00argwF9","Завантажити сертифікат")</f>
        <v>Завантажити сертифікат</v>
      </c>
    </row>
    <row r="1111" spans="1:5" x14ac:dyDescent="0.3">
      <c r="A1111" s="2" t="s">
        <v>2274</v>
      </c>
      <c r="B1111" s="2" t="s">
        <v>5</v>
      </c>
      <c r="C1111" s="2" t="s">
        <v>2275</v>
      </c>
      <c r="D1111" s="2" t="s">
        <v>2269</v>
      </c>
      <c r="E1111" s="2" t="str">
        <f>HYPERLINK("https://talan.bank.gov.ua/get-user-certificate/sec1ecxq5hxYybhvokHk","Завантажити сертифікат")</f>
        <v>Завантажити сертифікат</v>
      </c>
    </row>
    <row r="1112" spans="1:5" x14ac:dyDescent="0.3">
      <c r="A1112" s="2" t="s">
        <v>2276</v>
      </c>
      <c r="B1112" s="2" t="s">
        <v>5</v>
      </c>
      <c r="C1112" s="2" t="s">
        <v>2277</v>
      </c>
      <c r="D1112" s="2" t="s">
        <v>2269</v>
      </c>
      <c r="E1112" s="2" t="str">
        <f>HYPERLINK("https://talan.bank.gov.ua/get-user-certificate/sec1ebVfAe2tuqRbPvy7","Завантажити сертифікат")</f>
        <v>Завантажити сертифікат</v>
      </c>
    </row>
    <row r="1113" spans="1:5" x14ac:dyDescent="0.3">
      <c r="A1113" s="2" t="s">
        <v>2278</v>
      </c>
      <c r="B1113" s="2" t="s">
        <v>5</v>
      </c>
      <c r="C1113" s="2" t="s">
        <v>2279</v>
      </c>
      <c r="D1113" s="2" t="s">
        <v>2269</v>
      </c>
      <c r="E1113" s="2" t="str">
        <f>HYPERLINK("https://talan.bank.gov.ua/get-user-certificate/sec1eLNRm58DqcuTmLxL","Завантажити сертифікат")</f>
        <v>Завантажити сертифікат</v>
      </c>
    </row>
    <row r="1114" spans="1:5" x14ac:dyDescent="0.3">
      <c r="A1114" s="2" t="s">
        <v>2280</v>
      </c>
      <c r="B1114" s="2" t="s">
        <v>5</v>
      </c>
      <c r="C1114" s="2" t="s">
        <v>2281</v>
      </c>
      <c r="D1114" s="2" t="s">
        <v>2269</v>
      </c>
      <c r="E1114" s="2" t="str">
        <f>HYPERLINK("https://talan.bank.gov.ua/get-user-certificate/sec1eICs5DNuM1EvEV0s","Завантажити сертифікат")</f>
        <v>Завантажити сертифікат</v>
      </c>
    </row>
    <row r="1115" spans="1:5" x14ac:dyDescent="0.3">
      <c r="A1115" s="2" t="s">
        <v>2282</v>
      </c>
      <c r="B1115" s="2" t="s">
        <v>5</v>
      </c>
      <c r="C1115" s="2" t="s">
        <v>2283</v>
      </c>
      <c r="D1115" s="2" t="s">
        <v>2269</v>
      </c>
      <c r="E1115" s="2" t="str">
        <f>HYPERLINK("https://talan.bank.gov.ua/get-user-certificate/sec1e9nOJ7JoRiv6oTWM","Завантажити сертифікат")</f>
        <v>Завантажити сертифікат</v>
      </c>
    </row>
    <row r="1116" spans="1:5" x14ac:dyDescent="0.3">
      <c r="A1116" s="2" t="s">
        <v>2284</v>
      </c>
      <c r="B1116" s="2" t="s">
        <v>5</v>
      </c>
      <c r="C1116" s="2" t="s">
        <v>2285</v>
      </c>
      <c r="D1116" s="2" t="s">
        <v>2269</v>
      </c>
      <c r="E1116" s="2" t="str">
        <f>HYPERLINK("https://talan.bank.gov.ua/get-user-certificate/sec1edwpWz6_0uigdILq","Завантажити сертифікат")</f>
        <v>Завантажити сертифікат</v>
      </c>
    </row>
    <row r="1117" spans="1:5" x14ac:dyDescent="0.3">
      <c r="A1117" s="2" t="s">
        <v>2286</v>
      </c>
      <c r="B1117" s="2" t="s">
        <v>5</v>
      </c>
      <c r="C1117" s="2" t="s">
        <v>2287</v>
      </c>
      <c r="D1117" s="2" t="s">
        <v>2269</v>
      </c>
      <c r="E1117" s="2" t="str">
        <f>HYPERLINK("https://talan.bank.gov.ua/get-user-certificate/sec1em6KCV1Fj3zkHWo2","Завантажити сертифікат")</f>
        <v>Завантажити сертифікат</v>
      </c>
    </row>
    <row r="1118" spans="1:5" x14ac:dyDescent="0.3">
      <c r="A1118" s="2" t="s">
        <v>2288</v>
      </c>
      <c r="B1118" s="2" t="s">
        <v>5</v>
      </c>
      <c r="C1118" s="2" t="s">
        <v>2289</v>
      </c>
      <c r="D1118" s="2" t="s">
        <v>2269</v>
      </c>
      <c r="E1118" s="2" t="str">
        <f>HYPERLINK("https://talan.bank.gov.ua/get-user-certificate/sec1eoUC586gsuSIVj5i","Завантажити сертифікат")</f>
        <v>Завантажити сертифікат</v>
      </c>
    </row>
    <row r="1119" spans="1:5" x14ac:dyDescent="0.3">
      <c r="A1119" s="2" t="s">
        <v>2290</v>
      </c>
      <c r="B1119" s="2" t="s">
        <v>5</v>
      </c>
      <c r="C1119" s="2" t="s">
        <v>2291</v>
      </c>
      <c r="D1119" s="2" t="s">
        <v>2269</v>
      </c>
      <c r="E1119" s="2" t="str">
        <f>HYPERLINK("https://talan.bank.gov.ua/get-user-certificate/sec1e6q4dtY3YTP3zkSV","Завантажити сертифікат")</f>
        <v>Завантажити сертифікат</v>
      </c>
    </row>
    <row r="1120" spans="1:5" x14ac:dyDescent="0.3">
      <c r="A1120" s="2" t="s">
        <v>2292</v>
      </c>
      <c r="B1120" s="2" t="s">
        <v>5</v>
      </c>
      <c r="C1120" s="2" t="s">
        <v>2293</v>
      </c>
      <c r="D1120" s="2" t="s">
        <v>2269</v>
      </c>
      <c r="E1120" s="2" t="str">
        <f>HYPERLINK("https://talan.bank.gov.ua/get-user-certificate/sec1e8dnW-hBQnFq5HuB","Завантажити сертифікат")</f>
        <v>Завантажити сертифікат</v>
      </c>
    </row>
    <row r="1121" spans="1:5" x14ac:dyDescent="0.3">
      <c r="A1121" s="2" t="s">
        <v>2294</v>
      </c>
      <c r="B1121" s="2" t="s">
        <v>5</v>
      </c>
      <c r="C1121" s="2" t="s">
        <v>2295</v>
      </c>
      <c r="D1121" s="2" t="s">
        <v>2269</v>
      </c>
      <c r="E1121" s="2" t="str">
        <f>HYPERLINK("https://talan.bank.gov.ua/get-user-certificate/sec1eZmFrhLrbYw21U9I","Завантажити сертифікат")</f>
        <v>Завантажити сертифікат</v>
      </c>
    </row>
    <row r="1122" spans="1:5" x14ac:dyDescent="0.3">
      <c r="A1122" s="2" t="s">
        <v>2296</v>
      </c>
      <c r="B1122" s="2" t="s">
        <v>5</v>
      </c>
      <c r="C1122" s="2" t="s">
        <v>2297</v>
      </c>
      <c r="D1122" s="2" t="s">
        <v>2298</v>
      </c>
      <c r="E1122" s="2" t="str">
        <f>HYPERLINK("https://talan.bank.gov.ua/get-user-certificate/sec1ejtInv8HI4x67AGs","Завантажити сертифікат")</f>
        <v>Завантажити сертифікат</v>
      </c>
    </row>
    <row r="1123" spans="1:5" x14ac:dyDescent="0.3">
      <c r="A1123" s="2" t="s">
        <v>2299</v>
      </c>
      <c r="B1123" s="2" t="s">
        <v>5</v>
      </c>
      <c r="C1123" s="2" t="s">
        <v>2300</v>
      </c>
      <c r="D1123" s="2" t="s">
        <v>2298</v>
      </c>
      <c r="E1123" s="2" t="str">
        <f>HYPERLINK("https://talan.bank.gov.ua/get-user-certificate/sec1ePnurn1crN-7r1cB","Завантажити сертифікат")</f>
        <v>Завантажити сертифікат</v>
      </c>
    </row>
    <row r="1124" spans="1:5" x14ac:dyDescent="0.3">
      <c r="A1124" s="2" t="s">
        <v>2301</v>
      </c>
      <c r="B1124" s="2" t="s">
        <v>5</v>
      </c>
      <c r="C1124" s="2" t="s">
        <v>2302</v>
      </c>
      <c r="D1124" s="2" t="s">
        <v>2298</v>
      </c>
      <c r="E1124" s="2" t="str">
        <f>HYPERLINK("https://talan.bank.gov.ua/get-user-certificate/sec1eiVNRIpNS6uZhxwd","Завантажити сертифікат")</f>
        <v>Завантажити сертифікат</v>
      </c>
    </row>
    <row r="1125" spans="1:5" x14ac:dyDescent="0.3">
      <c r="A1125" s="2" t="s">
        <v>2303</v>
      </c>
      <c r="B1125" s="2" t="s">
        <v>5</v>
      </c>
      <c r="C1125" s="2" t="s">
        <v>2304</v>
      </c>
      <c r="D1125" s="2" t="s">
        <v>2298</v>
      </c>
      <c r="E1125" s="2" t="str">
        <f>HYPERLINK("https://talan.bank.gov.ua/get-user-certificate/sec1eMb75pvW0VaoW_Te","Завантажити сертифікат")</f>
        <v>Завантажити сертифікат</v>
      </c>
    </row>
    <row r="1126" spans="1:5" x14ac:dyDescent="0.3">
      <c r="A1126" s="2" t="s">
        <v>2305</v>
      </c>
      <c r="B1126" s="2" t="s">
        <v>5</v>
      </c>
      <c r="C1126" s="2" t="s">
        <v>2306</v>
      </c>
      <c r="D1126" s="2" t="s">
        <v>2298</v>
      </c>
      <c r="E1126" s="2" t="str">
        <f>HYPERLINK("https://talan.bank.gov.ua/get-user-certificate/sec1eKoix3be22OFAMgz","Завантажити сертифікат")</f>
        <v>Завантажити сертифікат</v>
      </c>
    </row>
    <row r="1127" spans="1:5" x14ac:dyDescent="0.3">
      <c r="A1127" s="2" t="s">
        <v>2307</v>
      </c>
      <c r="B1127" s="2" t="s">
        <v>5</v>
      </c>
      <c r="C1127" s="2" t="s">
        <v>2308</v>
      </c>
      <c r="D1127" s="2" t="s">
        <v>2298</v>
      </c>
      <c r="E1127" s="2" t="str">
        <f>HYPERLINK("https://talan.bank.gov.ua/get-user-certificate/sec1esMIfPrf_oNhlwSw","Завантажити сертифікат")</f>
        <v>Завантажити сертифікат</v>
      </c>
    </row>
    <row r="1128" spans="1:5" x14ac:dyDescent="0.3">
      <c r="A1128" s="2" t="s">
        <v>2309</v>
      </c>
      <c r="B1128" s="2" t="s">
        <v>5</v>
      </c>
      <c r="C1128" s="2" t="s">
        <v>2310</v>
      </c>
      <c r="D1128" s="2" t="s">
        <v>2298</v>
      </c>
      <c r="E1128" s="2" t="str">
        <f>HYPERLINK("https://talan.bank.gov.ua/get-user-certificate/sec1eOz3ug0IYWTdsS74","Завантажити сертифікат")</f>
        <v>Завантажити сертифікат</v>
      </c>
    </row>
    <row r="1129" spans="1:5" x14ac:dyDescent="0.3">
      <c r="A1129" s="2" t="s">
        <v>2311</v>
      </c>
      <c r="B1129" s="2" t="s">
        <v>5</v>
      </c>
      <c r="C1129" s="2" t="s">
        <v>2312</v>
      </c>
      <c r="D1129" s="2" t="s">
        <v>2298</v>
      </c>
      <c r="E1129" s="2" t="str">
        <f>HYPERLINK("https://talan.bank.gov.ua/get-user-certificate/sec1enH7EWm4O66aScfV","Завантажити сертифікат")</f>
        <v>Завантажити сертифікат</v>
      </c>
    </row>
    <row r="1130" spans="1:5" x14ac:dyDescent="0.3">
      <c r="A1130" s="2" t="s">
        <v>2313</v>
      </c>
      <c r="B1130" s="2" t="s">
        <v>5</v>
      </c>
      <c r="C1130" s="2" t="s">
        <v>2314</v>
      </c>
      <c r="D1130" s="2" t="s">
        <v>2298</v>
      </c>
      <c r="E1130" s="2" t="str">
        <f>HYPERLINK("https://talan.bank.gov.ua/get-user-certificate/sec1eyNOYYgHTSHJHzqT","Завантажити сертифікат")</f>
        <v>Завантажити сертифікат</v>
      </c>
    </row>
    <row r="1131" spans="1:5" x14ac:dyDescent="0.3">
      <c r="A1131" s="2" t="s">
        <v>2315</v>
      </c>
      <c r="B1131" s="2" t="s">
        <v>5</v>
      </c>
      <c r="C1131" s="2" t="s">
        <v>2316</v>
      </c>
      <c r="D1131" s="2" t="s">
        <v>2298</v>
      </c>
      <c r="E1131" s="2" t="str">
        <f>HYPERLINK("https://talan.bank.gov.ua/get-user-certificate/sec1eX5WAuYagPeEJRy-","Завантажити сертифікат")</f>
        <v>Завантажити сертифікат</v>
      </c>
    </row>
    <row r="1132" spans="1:5" x14ac:dyDescent="0.3">
      <c r="A1132" s="2" t="s">
        <v>2317</v>
      </c>
      <c r="B1132" s="2" t="s">
        <v>5</v>
      </c>
      <c r="C1132" s="2" t="s">
        <v>2318</v>
      </c>
      <c r="D1132" s="2" t="s">
        <v>2298</v>
      </c>
      <c r="E1132" s="2" t="str">
        <f>HYPERLINK("https://talan.bank.gov.ua/get-user-certificate/sec1e9SHXdDZldhCUHPx","Завантажити сертифікат")</f>
        <v>Завантажити сертифікат</v>
      </c>
    </row>
    <row r="1133" spans="1:5" x14ac:dyDescent="0.3">
      <c r="A1133" s="2" t="s">
        <v>2319</v>
      </c>
      <c r="B1133" s="2" t="s">
        <v>5</v>
      </c>
      <c r="C1133" s="2" t="s">
        <v>2320</v>
      </c>
      <c r="D1133" s="2" t="s">
        <v>2298</v>
      </c>
      <c r="E1133" s="2" t="str">
        <f>HYPERLINK("https://talan.bank.gov.ua/get-user-certificate/sec1ez6npuUpXPeQhTKy","Завантажити сертифікат")</f>
        <v>Завантажити сертифікат</v>
      </c>
    </row>
    <row r="1134" spans="1:5" x14ac:dyDescent="0.3">
      <c r="A1134" s="2" t="s">
        <v>2321</v>
      </c>
      <c r="B1134" s="2" t="s">
        <v>5</v>
      </c>
      <c r="C1134" s="2" t="s">
        <v>2322</v>
      </c>
      <c r="D1134" s="2" t="s">
        <v>2298</v>
      </c>
      <c r="E1134" s="2" t="str">
        <f>HYPERLINK("https://talan.bank.gov.ua/get-user-certificate/sec1eZGP3ID40BAX8Tjq","Завантажити сертифікат")</f>
        <v>Завантажити сертифікат</v>
      </c>
    </row>
    <row r="1135" spans="1:5" x14ac:dyDescent="0.3">
      <c r="A1135" s="2" t="s">
        <v>2323</v>
      </c>
      <c r="B1135" s="2" t="s">
        <v>5</v>
      </c>
      <c r="C1135" s="2" t="s">
        <v>2324</v>
      </c>
      <c r="D1135" s="2" t="s">
        <v>2298</v>
      </c>
      <c r="E1135" s="2" t="str">
        <f>HYPERLINK("https://talan.bank.gov.ua/get-user-certificate/sec1evIO6s9Ia0uHy8Rc","Завантажити сертифікат")</f>
        <v>Завантажити сертифікат</v>
      </c>
    </row>
    <row r="1136" spans="1:5" x14ac:dyDescent="0.3">
      <c r="A1136" s="2" t="s">
        <v>2325</v>
      </c>
      <c r="B1136" s="2" t="s">
        <v>5</v>
      </c>
      <c r="C1136" s="2" t="s">
        <v>2326</v>
      </c>
      <c r="D1136" s="2" t="s">
        <v>2298</v>
      </c>
      <c r="E1136" s="2" t="str">
        <f>HYPERLINK("https://talan.bank.gov.ua/get-user-certificate/sec1eWhQwCbOQQTUYXjq","Завантажити сертифікат")</f>
        <v>Завантажити сертифікат</v>
      </c>
    </row>
    <row r="1137" spans="1:5" x14ac:dyDescent="0.3">
      <c r="A1137" s="2" t="s">
        <v>2327</v>
      </c>
      <c r="B1137" s="2" t="s">
        <v>5</v>
      </c>
      <c r="C1137" s="2" t="s">
        <v>2328</v>
      </c>
      <c r="D1137" s="2" t="s">
        <v>2298</v>
      </c>
      <c r="E1137" s="2" t="str">
        <f>HYPERLINK("https://talan.bank.gov.ua/get-user-certificate/sec1e9jkLlRpDlV5e0T1","Завантажити сертифікат")</f>
        <v>Завантажити сертифікат</v>
      </c>
    </row>
    <row r="1138" spans="1:5" x14ac:dyDescent="0.3">
      <c r="A1138" s="2" t="s">
        <v>2329</v>
      </c>
      <c r="B1138" s="2" t="s">
        <v>5</v>
      </c>
      <c r="C1138" s="2" t="s">
        <v>2330</v>
      </c>
      <c r="D1138" s="2" t="s">
        <v>2298</v>
      </c>
      <c r="E1138" s="2" t="str">
        <f>HYPERLINK("https://talan.bank.gov.ua/get-user-certificate/sec1ezUT6MaDJv6Z-6-T","Завантажити сертифікат")</f>
        <v>Завантажити сертифікат</v>
      </c>
    </row>
    <row r="1139" spans="1:5" x14ac:dyDescent="0.3">
      <c r="A1139" s="2" t="s">
        <v>2331</v>
      </c>
      <c r="B1139" s="2" t="s">
        <v>5</v>
      </c>
      <c r="C1139" s="2" t="s">
        <v>2332</v>
      </c>
      <c r="D1139" s="2" t="s">
        <v>2298</v>
      </c>
      <c r="E1139" s="2" t="str">
        <f>HYPERLINK("https://talan.bank.gov.ua/get-user-certificate/sec1evjUsLF-rTj3tQf2","Завантажити сертифікат")</f>
        <v>Завантажити сертифікат</v>
      </c>
    </row>
    <row r="1140" spans="1:5" x14ac:dyDescent="0.3">
      <c r="A1140" s="2" t="s">
        <v>2333</v>
      </c>
      <c r="B1140" s="2" t="s">
        <v>5</v>
      </c>
      <c r="C1140" s="2" t="s">
        <v>2334</v>
      </c>
      <c r="D1140" s="2" t="s">
        <v>2335</v>
      </c>
      <c r="E1140" s="2" t="str">
        <f>HYPERLINK("https://talan.bank.gov.ua/get-user-certificate/sec1ewNc4F4oItEEcTbz","Завантажити сертифікат")</f>
        <v>Завантажити сертифікат</v>
      </c>
    </row>
    <row r="1141" spans="1:5" x14ac:dyDescent="0.3">
      <c r="A1141" s="2" t="s">
        <v>2336</v>
      </c>
      <c r="B1141" s="2" t="s">
        <v>5</v>
      </c>
      <c r="C1141" s="2" t="s">
        <v>2337</v>
      </c>
      <c r="D1141" s="2" t="s">
        <v>2335</v>
      </c>
      <c r="E1141" s="2" t="str">
        <f>HYPERLINK("https://talan.bank.gov.ua/get-user-certificate/sec1eRIS66WiVkPgDPmB","Завантажити сертифікат")</f>
        <v>Завантажити сертифікат</v>
      </c>
    </row>
    <row r="1142" spans="1:5" x14ac:dyDescent="0.3">
      <c r="A1142" s="2" t="s">
        <v>2338</v>
      </c>
      <c r="B1142" s="2" t="s">
        <v>5</v>
      </c>
      <c r="C1142" s="2" t="s">
        <v>2339</v>
      </c>
      <c r="D1142" s="2" t="s">
        <v>2335</v>
      </c>
      <c r="E1142" s="2" t="str">
        <f>HYPERLINK("https://talan.bank.gov.ua/get-user-certificate/sec1eUacKzzUrXPODOs3","Завантажити сертифікат")</f>
        <v>Завантажити сертифікат</v>
      </c>
    </row>
    <row r="1143" spans="1:5" x14ac:dyDescent="0.3">
      <c r="A1143" s="2" t="s">
        <v>2340</v>
      </c>
      <c r="B1143" s="2" t="s">
        <v>5</v>
      </c>
      <c r="C1143" s="2" t="s">
        <v>2341</v>
      </c>
      <c r="D1143" s="2" t="s">
        <v>2335</v>
      </c>
      <c r="E1143" s="2" t="str">
        <f>HYPERLINK("https://talan.bank.gov.ua/get-user-certificate/sec1eFWH9HO2gW2IyaA7","Завантажити сертифікат")</f>
        <v>Завантажити сертифікат</v>
      </c>
    </row>
    <row r="1144" spans="1:5" x14ac:dyDescent="0.3">
      <c r="A1144" s="2" t="s">
        <v>2342</v>
      </c>
      <c r="B1144" s="2" t="s">
        <v>5</v>
      </c>
      <c r="C1144" s="2" t="s">
        <v>2343</v>
      </c>
      <c r="D1144" s="2" t="s">
        <v>2335</v>
      </c>
      <c r="E1144" s="2" t="str">
        <f>HYPERLINK("https://talan.bank.gov.ua/get-user-certificate/sec1eingUI4bHMxlqlJK","Завантажити сертифікат")</f>
        <v>Завантажити сертифікат</v>
      </c>
    </row>
    <row r="1145" spans="1:5" x14ac:dyDescent="0.3">
      <c r="A1145" s="2" t="s">
        <v>2344</v>
      </c>
      <c r="B1145" s="2" t="s">
        <v>5</v>
      </c>
      <c r="C1145" s="2" t="s">
        <v>2345</v>
      </c>
      <c r="D1145" s="2" t="s">
        <v>2335</v>
      </c>
      <c r="E1145" s="2" t="str">
        <f>HYPERLINK("https://talan.bank.gov.ua/get-user-certificate/sec1ehuATRgB5kTKBnmG","Завантажити сертифікат")</f>
        <v>Завантажити сертифікат</v>
      </c>
    </row>
    <row r="1146" spans="1:5" x14ac:dyDescent="0.3">
      <c r="A1146" s="2" t="s">
        <v>2346</v>
      </c>
      <c r="B1146" s="2" t="s">
        <v>5</v>
      </c>
      <c r="C1146" s="2" t="s">
        <v>2347</v>
      </c>
      <c r="D1146" s="2" t="s">
        <v>2335</v>
      </c>
      <c r="E1146" s="2" t="str">
        <f>HYPERLINK("https://talan.bank.gov.ua/get-user-certificate/sec1ecXvUDtwuaNw86Q3","Завантажити сертифікат")</f>
        <v>Завантажити сертифікат</v>
      </c>
    </row>
    <row r="1147" spans="1:5" x14ac:dyDescent="0.3">
      <c r="A1147" s="2" t="s">
        <v>2348</v>
      </c>
      <c r="B1147" s="2" t="s">
        <v>5</v>
      </c>
      <c r="C1147" s="2" t="s">
        <v>2349</v>
      </c>
      <c r="D1147" s="2" t="s">
        <v>2335</v>
      </c>
      <c r="E1147" s="2" t="str">
        <f>HYPERLINK("https://talan.bank.gov.ua/get-user-certificate/sec1ermRXYjEBYNphLRE","Завантажити сертифікат")</f>
        <v>Завантажити сертифікат</v>
      </c>
    </row>
    <row r="1148" spans="1:5" x14ac:dyDescent="0.3">
      <c r="A1148" s="2" t="s">
        <v>2350</v>
      </c>
      <c r="B1148" s="2" t="s">
        <v>5</v>
      </c>
      <c r="C1148" s="2" t="s">
        <v>2351</v>
      </c>
      <c r="D1148" s="2" t="s">
        <v>2335</v>
      </c>
      <c r="E1148" s="2" t="str">
        <f>HYPERLINK("https://talan.bank.gov.ua/get-user-certificate/sec1et-2upLf2czaDnwb","Завантажити сертифікат")</f>
        <v>Завантажити сертифікат</v>
      </c>
    </row>
    <row r="1149" spans="1:5" x14ac:dyDescent="0.3">
      <c r="A1149" s="2" t="s">
        <v>2352</v>
      </c>
      <c r="B1149" s="2" t="s">
        <v>5</v>
      </c>
      <c r="C1149" s="2" t="s">
        <v>2353</v>
      </c>
      <c r="D1149" s="2" t="s">
        <v>2335</v>
      </c>
      <c r="E1149" s="2" t="str">
        <f>HYPERLINK("https://talan.bank.gov.ua/get-user-certificate/sec1ejHi_v7Ix5CHE4Fn","Завантажити сертифікат")</f>
        <v>Завантажити сертифікат</v>
      </c>
    </row>
    <row r="1150" spans="1:5" x14ac:dyDescent="0.3">
      <c r="A1150" s="2" t="s">
        <v>2354</v>
      </c>
      <c r="B1150" s="2" t="s">
        <v>5</v>
      </c>
      <c r="C1150" s="2" t="s">
        <v>2355</v>
      </c>
      <c r="D1150" s="2" t="s">
        <v>2335</v>
      </c>
      <c r="E1150" s="2" t="str">
        <f>HYPERLINK("https://talan.bank.gov.ua/get-user-certificate/sec1epdy0Pu4DZL06lit","Завантажити сертифікат")</f>
        <v>Завантажити сертифікат</v>
      </c>
    </row>
    <row r="1151" spans="1:5" x14ac:dyDescent="0.3">
      <c r="A1151" s="2" t="s">
        <v>2356</v>
      </c>
      <c r="B1151" s="2" t="s">
        <v>5</v>
      </c>
      <c r="C1151" s="2" t="s">
        <v>2357</v>
      </c>
      <c r="D1151" s="2" t="s">
        <v>2335</v>
      </c>
      <c r="E1151" s="2" t="str">
        <f>HYPERLINK("https://talan.bank.gov.ua/get-user-certificate/sec1ead-X-_LEy-m5RRX","Завантажити сертифікат")</f>
        <v>Завантажити сертифікат</v>
      </c>
    </row>
    <row r="1152" spans="1:5" x14ac:dyDescent="0.3">
      <c r="A1152" s="2" t="s">
        <v>2358</v>
      </c>
      <c r="B1152" s="2" t="s">
        <v>5</v>
      </c>
      <c r="C1152" s="2" t="s">
        <v>2359</v>
      </c>
      <c r="D1152" s="2" t="s">
        <v>2335</v>
      </c>
      <c r="E1152" s="2" t="str">
        <f>HYPERLINK("https://talan.bank.gov.ua/get-user-certificate/sec1eNbqf7UHjloEZyGa","Завантажити сертифікат")</f>
        <v>Завантажити сертифікат</v>
      </c>
    </row>
    <row r="1153" spans="1:5" x14ac:dyDescent="0.3">
      <c r="A1153" s="2" t="s">
        <v>2360</v>
      </c>
      <c r="B1153" s="2" t="s">
        <v>5</v>
      </c>
      <c r="C1153" s="2" t="s">
        <v>2361</v>
      </c>
      <c r="D1153" s="2" t="s">
        <v>2335</v>
      </c>
      <c r="E1153" s="2" t="str">
        <f>HYPERLINK("https://talan.bank.gov.ua/get-user-certificate/sec1e-ayWcEaCnaMuU9j","Завантажити сертифікат")</f>
        <v>Завантажити сертифікат</v>
      </c>
    </row>
    <row r="1154" spans="1:5" x14ac:dyDescent="0.3">
      <c r="A1154" s="2" t="s">
        <v>2362</v>
      </c>
      <c r="B1154" s="2" t="s">
        <v>5</v>
      </c>
      <c r="C1154" s="2" t="s">
        <v>2363</v>
      </c>
      <c r="D1154" s="2" t="s">
        <v>2335</v>
      </c>
      <c r="E1154" s="2" t="str">
        <f>HYPERLINK("https://talan.bank.gov.ua/get-user-certificate/sec1eXBb4UReqoX_YY7d","Завантажити сертифікат")</f>
        <v>Завантажити сертифікат</v>
      </c>
    </row>
    <row r="1155" spans="1:5" x14ac:dyDescent="0.3">
      <c r="A1155" s="2" t="s">
        <v>2364</v>
      </c>
      <c r="B1155" s="2" t="s">
        <v>5</v>
      </c>
      <c r="C1155" s="2" t="s">
        <v>2365</v>
      </c>
      <c r="D1155" s="2" t="s">
        <v>2335</v>
      </c>
      <c r="E1155" s="2" t="str">
        <f>HYPERLINK("https://talan.bank.gov.ua/get-user-certificate/sec1eOXpARvuXr21XqRF","Завантажити сертифікат")</f>
        <v>Завантажити сертифікат</v>
      </c>
    </row>
    <row r="1156" spans="1:5" x14ac:dyDescent="0.3">
      <c r="A1156" s="2" t="s">
        <v>2366</v>
      </c>
      <c r="B1156" s="2" t="s">
        <v>5</v>
      </c>
      <c r="C1156" s="2" t="s">
        <v>2367</v>
      </c>
      <c r="D1156" s="2" t="s">
        <v>2335</v>
      </c>
      <c r="E1156" s="2" t="str">
        <f>HYPERLINK("https://talan.bank.gov.ua/get-user-certificate/sec1eD3nfTZXM91t2U9t","Завантажити сертифікат")</f>
        <v>Завантажити сертифікат</v>
      </c>
    </row>
    <row r="1157" spans="1:5" x14ac:dyDescent="0.3">
      <c r="A1157" s="2" t="s">
        <v>2368</v>
      </c>
      <c r="B1157" s="2" t="s">
        <v>5</v>
      </c>
      <c r="C1157" s="2" t="s">
        <v>2369</v>
      </c>
      <c r="D1157" s="2" t="s">
        <v>2335</v>
      </c>
      <c r="E1157" s="2" t="str">
        <f>HYPERLINK("https://talan.bank.gov.ua/get-user-certificate/sec1eQl78xa40ntlx1Ug","Завантажити сертифікат")</f>
        <v>Завантажити сертифікат</v>
      </c>
    </row>
    <row r="1158" spans="1:5" x14ac:dyDescent="0.3">
      <c r="A1158" s="2" t="s">
        <v>2370</v>
      </c>
      <c r="B1158" s="2" t="s">
        <v>5</v>
      </c>
      <c r="C1158" s="2" t="s">
        <v>2371</v>
      </c>
      <c r="D1158" s="2" t="s">
        <v>2335</v>
      </c>
      <c r="E1158" s="2" t="str">
        <f>HYPERLINK("https://talan.bank.gov.ua/get-user-certificate/sec1evyxB9IDNZWlEZOs","Завантажити сертифікат")</f>
        <v>Завантажити сертифікат</v>
      </c>
    </row>
    <row r="1159" spans="1:5" x14ac:dyDescent="0.3">
      <c r="A1159" s="2" t="s">
        <v>2372</v>
      </c>
      <c r="B1159" s="2" t="s">
        <v>5</v>
      </c>
      <c r="C1159" s="2" t="s">
        <v>2373</v>
      </c>
      <c r="D1159" s="2" t="s">
        <v>2335</v>
      </c>
      <c r="E1159" s="2" t="str">
        <f>HYPERLINK("https://talan.bank.gov.ua/get-user-certificate/sec1eWxPy5o0uurCQPFI","Завантажити сертифікат")</f>
        <v>Завантажити сертифікат</v>
      </c>
    </row>
    <row r="1160" spans="1:5" x14ac:dyDescent="0.3">
      <c r="A1160" s="2" t="s">
        <v>2374</v>
      </c>
      <c r="B1160" s="2" t="s">
        <v>5</v>
      </c>
      <c r="C1160" s="2" t="s">
        <v>2375</v>
      </c>
      <c r="D1160" s="2" t="s">
        <v>2335</v>
      </c>
      <c r="E1160" s="2" t="str">
        <f>HYPERLINK("https://talan.bank.gov.ua/get-user-certificate/sec1e278Q2kLbZz1DwX-","Завантажити сертифікат")</f>
        <v>Завантажити сертифікат</v>
      </c>
    </row>
    <row r="1161" spans="1:5" x14ac:dyDescent="0.3">
      <c r="A1161" s="2" t="s">
        <v>2376</v>
      </c>
      <c r="B1161" s="2" t="s">
        <v>5</v>
      </c>
      <c r="C1161" s="2" t="s">
        <v>2377</v>
      </c>
      <c r="D1161" s="2" t="s">
        <v>2335</v>
      </c>
      <c r="E1161" s="2" t="str">
        <f>HYPERLINK("https://talan.bank.gov.ua/get-user-certificate/sec1eSADRPcELkkvr_9N","Завантажити сертифікат")</f>
        <v>Завантажити сертифікат</v>
      </c>
    </row>
    <row r="1162" spans="1:5" x14ac:dyDescent="0.3">
      <c r="A1162" s="2" t="s">
        <v>2378</v>
      </c>
      <c r="B1162" s="2" t="s">
        <v>5</v>
      </c>
      <c r="C1162" s="2" t="s">
        <v>2379</v>
      </c>
      <c r="D1162" s="2" t="s">
        <v>2335</v>
      </c>
      <c r="E1162" s="2" t="str">
        <f>HYPERLINK("https://talan.bank.gov.ua/get-user-certificate/sec1edaY6SPyvT-pdI4y","Завантажити сертифікат")</f>
        <v>Завантажити сертифікат</v>
      </c>
    </row>
    <row r="1163" spans="1:5" x14ac:dyDescent="0.3">
      <c r="A1163" s="2" t="s">
        <v>2380</v>
      </c>
      <c r="B1163" s="2" t="s">
        <v>5</v>
      </c>
      <c r="C1163" s="2" t="s">
        <v>2381</v>
      </c>
      <c r="D1163" s="2" t="s">
        <v>2335</v>
      </c>
      <c r="E1163" s="2" t="str">
        <f>HYPERLINK("https://talan.bank.gov.ua/get-user-certificate/sec1eQP9qb-ouBwv5v69","Завантажити сертифікат")</f>
        <v>Завантажити сертифікат</v>
      </c>
    </row>
    <row r="1164" spans="1:5" x14ac:dyDescent="0.3">
      <c r="A1164" s="2" t="s">
        <v>2382</v>
      </c>
      <c r="B1164" s="2" t="s">
        <v>5</v>
      </c>
      <c r="C1164" s="2" t="s">
        <v>2383</v>
      </c>
      <c r="D1164" s="2" t="s">
        <v>2335</v>
      </c>
      <c r="E1164" s="2" t="str">
        <f>HYPERLINK("https://talan.bank.gov.ua/get-user-certificate/sec1eptshql1SG8bOYsZ","Завантажити сертифікат")</f>
        <v>Завантажити сертифікат</v>
      </c>
    </row>
    <row r="1165" spans="1:5" x14ac:dyDescent="0.3">
      <c r="A1165" s="2" t="s">
        <v>2384</v>
      </c>
      <c r="B1165" s="2" t="s">
        <v>5</v>
      </c>
      <c r="C1165" s="2" t="s">
        <v>2385</v>
      </c>
      <c r="D1165" s="2" t="s">
        <v>2335</v>
      </c>
      <c r="E1165" s="2" t="str">
        <f>HYPERLINK("https://talan.bank.gov.ua/get-user-certificate/sec1e4z51ib_kFw9_zJp","Завантажити сертифікат")</f>
        <v>Завантажити сертифікат</v>
      </c>
    </row>
    <row r="1166" spans="1:5" x14ac:dyDescent="0.3">
      <c r="A1166" s="2" t="s">
        <v>2386</v>
      </c>
      <c r="B1166" s="2" t="s">
        <v>5</v>
      </c>
      <c r="C1166" s="2" t="s">
        <v>2387</v>
      </c>
      <c r="D1166" s="2" t="s">
        <v>2335</v>
      </c>
      <c r="E1166" s="2" t="str">
        <f>HYPERLINK("https://talan.bank.gov.ua/get-user-certificate/sec1e24f7jG0U2o3THoK","Завантажити сертифікат")</f>
        <v>Завантажити сертифікат</v>
      </c>
    </row>
    <row r="1167" spans="1:5" x14ac:dyDescent="0.3">
      <c r="A1167" s="2" t="s">
        <v>2388</v>
      </c>
      <c r="B1167" s="2" t="s">
        <v>5</v>
      </c>
      <c r="C1167" s="2" t="s">
        <v>2389</v>
      </c>
      <c r="D1167" s="2" t="s">
        <v>2335</v>
      </c>
      <c r="E1167" s="2" t="str">
        <f>HYPERLINK("https://talan.bank.gov.ua/get-user-certificate/sec1eE3cSo7l0-NvftRb","Завантажити сертифікат")</f>
        <v>Завантажити сертифікат</v>
      </c>
    </row>
    <row r="1168" spans="1:5" x14ac:dyDescent="0.3">
      <c r="A1168" s="2" t="s">
        <v>2390</v>
      </c>
      <c r="B1168" s="2" t="s">
        <v>5</v>
      </c>
      <c r="C1168" s="2" t="s">
        <v>2391</v>
      </c>
      <c r="D1168" s="2" t="s">
        <v>2335</v>
      </c>
      <c r="E1168" s="2" t="str">
        <f>HYPERLINK("https://talan.bank.gov.ua/get-user-certificate/sec1eUhpBLUJjY3VDhHl","Завантажити сертифікат")</f>
        <v>Завантажити сертифікат</v>
      </c>
    </row>
    <row r="1169" spans="1:5" x14ac:dyDescent="0.3">
      <c r="A1169" s="2" t="s">
        <v>2392</v>
      </c>
      <c r="B1169" s="2" t="s">
        <v>5</v>
      </c>
      <c r="C1169" s="2" t="s">
        <v>2393</v>
      </c>
      <c r="D1169" s="2" t="s">
        <v>2335</v>
      </c>
      <c r="E1169" s="2" t="str">
        <f>HYPERLINK("https://talan.bank.gov.ua/get-user-certificate/sec1eeIq4QDSZpOwvd53","Завантажити сертифікат")</f>
        <v>Завантажити сертифікат</v>
      </c>
    </row>
    <row r="1170" spans="1:5" x14ac:dyDescent="0.3">
      <c r="A1170" s="2" t="s">
        <v>2394</v>
      </c>
      <c r="B1170" s="2" t="s">
        <v>5</v>
      </c>
      <c r="C1170" s="2" t="s">
        <v>2395</v>
      </c>
      <c r="D1170" s="2" t="s">
        <v>2335</v>
      </c>
      <c r="E1170" s="2" t="str">
        <f>HYPERLINK("https://talan.bank.gov.ua/get-user-certificate/sec1eniAlBo7ff0h3S2n","Завантажити сертифікат")</f>
        <v>Завантажити сертифікат</v>
      </c>
    </row>
    <row r="1171" spans="1:5" x14ac:dyDescent="0.3">
      <c r="A1171" s="2" t="s">
        <v>2396</v>
      </c>
      <c r="B1171" s="2" t="s">
        <v>5</v>
      </c>
      <c r="C1171" s="2" t="s">
        <v>2397</v>
      </c>
      <c r="D1171" s="2" t="s">
        <v>2335</v>
      </c>
      <c r="E1171" s="2" t="str">
        <f>HYPERLINK("https://talan.bank.gov.ua/get-user-certificate/sec1eDT55EEFsWCyhi6z","Завантажити сертифікат")</f>
        <v>Завантажити сертифікат</v>
      </c>
    </row>
    <row r="1172" spans="1:5" x14ac:dyDescent="0.3">
      <c r="A1172" s="2" t="s">
        <v>2398</v>
      </c>
      <c r="B1172" s="2" t="s">
        <v>5</v>
      </c>
      <c r="C1172" s="2" t="s">
        <v>2399</v>
      </c>
      <c r="D1172" s="2" t="s">
        <v>2400</v>
      </c>
      <c r="E1172" s="2" t="str">
        <f>HYPERLINK("https://talan.bank.gov.ua/get-user-certificate/sec1eZWNATxwqVNAOQ_G","Завантажити сертифікат")</f>
        <v>Завантажити сертифікат</v>
      </c>
    </row>
    <row r="1173" spans="1:5" x14ac:dyDescent="0.3">
      <c r="A1173" s="2" t="s">
        <v>2401</v>
      </c>
      <c r="B1173" s="2" t="s">
        <v>5</v>
      </c>
      <c r="C1173" s="2" t="s">
        <v>2402</v>
      </c>
      <c r="D1173" s="2" t="s">
        <v>2400</v>
      </c>
      <c r="E1173" s="2" t="str">
        <f>HYPERLINK("https://talan.bank.gov.ua/get-user-certificate/sec1ec0-euWFIjgscIIq","Завантажити сертифікат")</f>
        <v>Завантажити сертифікат</v>
      </c>
    </row>
    <row r="1174" spans="1:5" x14ac:dyDescent="0.3">
      <c r="A1174" s="2" t="s">
        <v>2403</v>
      </c>
      <c r="B1174" s="2" t="s">
        <v>5</v>
      </c>
      <c r="C1174" s="2" t="s">
        <v>2404</v>
      </c>
      <c r="D1174" s="2" t="s">
        <v>2400</v>
      </c>
      <c r="E1174" s="2" t="str">
        <f>HYPERLINK("https://talan.bank.gov.ua/get-user-certificate/sec1e-f6Iktmq-oi4vXT","Завантажити сертифікат")</f>
        <v>Завантажити сертифікат</v>
      </c>
    </row>
    <row r="1175" spans="1:5" x14ac:dyDescent="0.3">
      <c r="A1175" s="2" t="s">
        <v>2405</v>
      </c>
      <c r="B1175" s="2" t="s">
        <v>5</v>
      </c>
      <c r="C1175" s="2" t="s">
        <v>2406</v>
      </c>
      <c r="D1175" s="2" t="s">
        <v>2400</v>
      </c>
      <c r="E1175" s="2" t="str">
        <f>HYPERLINK("https://talan.bank.gov.ua/get-user-certificate/sec1eq8uXO28PlIFsEQb","Завантажити сертифікат")</f>
        <v>Завантажити сертифікат</v>
      </c>
    </row>
    <row r="1176" spans="1:5" x14ac:dyDescent="0.3">
      <c r="A1176" s="2" t="s">
        <v>2407</v>
      </c>
      <c r="B1176" s="2" t="s">
        <v>5</v>
      </c>
      <c r="C1176" s="2" t="s">
        <v>2408</v>
      </c>
      <c r="D1176" s="2" t="s">
        <v>2400</v>
      </c>
      <c r="E1176" s="2" t="str">
        <f>HYPERLINK("https://talan.bank.gov.ua/get-user-certificate/sec1eAM27v2XZ092UcgW","Завантажити сертифікат")</f>
        <v>Завантажити сертифікат</v>
      </c>
    </row>
    <row r="1177" spans="1:5" x14ac:dyDescent="0.3">
      <c r="A1177" s="2" t="s">
        <v>2409</v>
      </c>
      <c r="B1177" s="2" t="s">
        <v>5</v>
      </c>
      <c r="C1177" s="2" t="s">
        <v>2410</v>
      </c>
      <c r="D1177" s="2" t="s">
        <v>2400</v>
      </c>
      <c r="E1177" s="2" t="str">
        <f>HYPERLINK("https://talan.bank.gov.ua/get-user-certificate/sec1eytIH_CUmnXT7-b_","Завантажити сертифікат")</f>
        <v>Завантажити сертифікат</v>
      </c>
    </row>
    <row r="1178" spans="1:5" x14ac:dyDescent="0.3">
      <c r="A1178" s="2" t="s">
        <v>2411</v>
      </c>
      <c r="B1178" s="2" t="s">
        <v>5</v>
      </c>
      <c r="C1178" s="2" t="s">
        <v>2412</v>
      </c>
      <c r="D1178" s="2" t="s">
        <v>2400</v>
      </c>
      <c r="E1178" s="2" t="str">
        <f>HYPERLINK("https://talan.bank.gov.ua/get-user-certificate/sec1etMtctkMjfbD3cgl","Завантажити сертифікат")</f>
        <v>Завантажити сертифікат</v>
      </c>
    </row>
    <row r="1179" spans="1:5" x14ac:dyDescent="0.3">
      <c r="A1179" s="2" t="s">
        <v>2413</v>
      </c>
      <c r="B1179" s="2" t="s">
        <v>5</v>
      </c>
      <c r="C1179" s="2" t="s">
        <v>2414</v>
      </c>
      <c r="D1179" s="2" t="s">
        <v>2400</v>
      </c>
      <c r="E1179" s="2" t="str">
        <f>HYPERLINK("https://talan.bank.gov.ua/get-user-certificate/sec1ePcbbHTW3RUYFoR2","Завантажити сертифікат")</f>
        <v>Завантажити сертифікат</v>
      </c>
    </row>
    <row r="1180" spans="1:5" x14ac:dyDescent="0.3">
      <c r="A1180" s="2" t="s">
        <v>2415</v>
      </c>
      <c r="B1180" s="2" t="s">
        <v>5</v>
      </c>
      <c r="C1180" s="2" t="s">
        <v>2416</v>
      </c>
      <c r="D1180" s="2" t="s">
        <v>2400</v>
      </c>
      <c r="E1180" s="2" t="str">
        <f>HYPERLINK("https://talan.bank.gov.ua/get-user-certificate/sec1ehlIRguYzBgl11aZ","Завантажити сертифікат")</f>
        <v>Завантажити сертифікат</v>
      </c>
    </row>
    <row r="1181" spans="1:5" x14ac:dyDescent="0.3">
      <c r="A1181" s="2" t="s">
        <v>2417</v>
      </c>
      <c r="B1181" s="2" t="s">
        <v>5</v>
      </c>
      <c r="C1181" s="2" t="s">
        <v>2418</v>
      </c>
      <c r="D1181" s="2" t="s">
        <v>2400</v>
      </c>
      <c r="E1181" s="2" t="str">
        <f>HYPERLINK("https://talan.bank.gov.ua/get-user-certificate/sec1e8Kw1GL_gbk1T4_l","Завантажити сертифікат")</f>
        <v>Завантажити сертифікат</v>
      </c>
    </row>
    <row r="1182" spans="1:5" x14ac:dyDescent="0.3">
      <c r="A1182" s="2" t="s">
        <v>2419</v>
      </c>
      <c r="B1182" s="2" t="s">
        <v>5</v>
      </c>
      <c r="C1182" s="2" t="s">
        <v>2420</v>
      </c>
      <c r="D1182" s="2" t="s">
        <v>2400</v>
      </c>
      <c r="E1182" s="2" t="str">
        <f>HYPERLINK("https://talan.bank.gov.ua/get-user-certificate/sec1exNGe1zEDRDdz0kA","Завантажити сертифікат")</f>
        <v>Завантажити сертифікат</v>
      </c>
    </row>
    <row r="1183" spans="1:5" x14ac:dyDescent="0.3">
      <c r="A1183" s="2" t="s">
        <v>2421</v>
      </c>
      <c r="B1183" s="2" t="s">
        <v>5</v>
      </c>
      <c r="C1183" s="2" t="s">
        <v>2422</v>
      </c>
      <c r="D1183" s="2" t="s">
        <v>2400</v>
      </c>
      <c r="E1183" s="2" t="str">
        <f>HYPERLINK("https://talan.bank.gov.ua/get-user-certificate/sec1eJVJr6oBe9KqgPdJ","Завантажити сертифікат")</f>
        <v>Завантажити сертифікат</v>
      </c>
    </row>
    <row r="1184" spans="1:5" x14ac:dyDescent="0.3">
      <c r="A1184" s="2" t="s">
        <v>2423</v>
      </c>
      <c r="B1184" s="2" t="s">
        <v>5</v>
      </c>
      <c r="C1184" s="2" t="s">
        <v>2424</v>
      </c>
      <c r="D1184" s="2" t="s">
        <v>2400</v>
      </c>
      <c r="E1184" s="2" t="str">
        <f>HYPERLINK("https://talan.bank.gov.ua/get-user-certificate/sec1e1CUEEALb7Sy5SLO","Завантажити сертифікат")</f>
        <v>Завантажити сертифікат</v>
      </c>
    </row>
    <row r="1185" spans="1:5" x14ac:dyDescent="0.3">
      <c r="A1185" s="2" t="s">
        <v>2425</v>
      </c>
      <c r="B1185" s="2" t="s">
        <v>5</v>
      </c>
      <c r="C1185" s="2" t="s">
        <v>2426</v>
      </c>
      <c r="D1185" s="2" t="s">
        <v>2400</v>
      </c>
      <c r="E1185" s="2" t="str">
        <f>HYPERLINK("https://talan.bank.gov.ua/get-user-certificate/sec1ezEZqOUtZ_j6qSkM","Завантажити сертифікат")</f>
        <v>Завантажити сертифікат</v>
      </c>
    </row>
    <row r="1186" spans="1:5" x14ac:dyDescent="0.3">
      <c r="A1186" s="2" t="s">
        <v>2427</v>
      </c>
      <c r="B1186" s="2" t="s">
        <v>5</v>
      </c>
      <c r="C1186" s="2" t="s">
        <v>2428</v>
      </c>
      <c r="D1186" s="2" t="s">
        <v>2400</v>
      </c>
      <c r="E1186" s="2" t="str">
        <f>HYPERLINK("https://talan.bank.gov.ua/get-user-certificate/sec1evxO7X3_jyKaP7yt","Завантажити сертифікат")</f>
        <v>Завантажити сертифікат</v>
      </c>
    </row>
    <row r="1187" spans="1:5" x14ac:dyDescent="0.3">
      <c r="A1187" s="2" t="s">
        <v>2429</v>
      </c>
      <c r="B1187" s="2" t="s">
        <v>5</v>
      </c>
      <c r="C1187" s="2" t="s">
        <v>2430</v>
      </c>
      <c r="D1187" s="2" t="s">
        <v>2400</v>
      </c>
      <c r="E1187" s="2" t="str">
        <f>HYPERLINK("https://talan.bank.gov.ua/get-user-certificate/sec1eRtazH9UuXcy4gsV","Завантажити сертифікат")</f>
        <v>Завантажити сертифікат</v>
      </c>
    </row>
    <row r="1188" spans="1:5" x14ac:dyDescent="0.3">
      <c r="A1188" s="2" t="s">
        <v>2431</v>
      </c>
      <c r="B1188" s="2" t="s">
        <v>5</v>
      </c>
      <c r="C1188" s="2" t="s">
        <v>2432</v>
      </c>
      <c r="D1188" s="2" t="s">
        <v>2400</v>
      </c>
      <c r="E1188" s="2" t="str">
        <f>HYPERLINK("https://talan.bank.gov.ua/get-user-certificate/sec1e1GpwwbwxaCFCY5t","Завантажити сертифікат")</f>
        <v>Завантажити сертифікат</v>
      </c>
    </row>
    <row r="1189" spans="1:5" x14ac:dyDescent="0.3">
      <c r="A1189" s="2" t="s">
        <v>2433</v>
      </c>
      <c r="B1189" s="2" t="s">
        <v>5</v>
      </c>
      <c r="C1189" s="2" t="s">
        <v>2434</v>
      </c>
      <c r="D1189" s="2" t="s">
        <v>2400</v>
      </c>
      <c r="E1189" s="2" t="str">
        <f>HYPERLINK("https://talan.bank.gov.ua/get-user-certificate/sec1e780wXX7eseQqFjq","Завантажити сертифікат")</f>
        <v>Завантажити сертифікат</v>
      </c>
    </row>
    <row r="1190" spans="1:5" x14ac:dyDescent="0.3">
      <c r="A1190" s="2" t="s">
        <v>2435</v>
      </c>
      <c r="B1190" s="2" t="s">
        <v>5</v>
      </c>
      <c r="C1190" s="2" t="s">
        <v>2436</v>
      </c>
      <c r="D1190" s="2" t="s">
        <v>2400</v>
      </c>
      <c r="E1190" s="2" t="str">
        <f>HYPERLINK("https://talan.bank.gov.ua/get-user-certificate/sec1en9MCdBpDTU5wlAs","Завантажити сертифікат")</f>
        <v>Завантажити сертифікат</v>
      </c>
    </row>
    <row r="1191" spans="1:5" x14ac:dyDescent="0.3">
      <c r="A1191" s="2" t="s">
        <v>2437</v>
      </c>
      <c r="B1191" s="2" t="s">
        <v>5</v>
      </c>
      <c r="C1191" s="2" t="s">
        <v>2438</v>
      </c>
      <c r="D1191" s="2" t="s">
        <v>2400</v>
      </c>
      <c r="E1191" s="2" t="str">
        <f>HYPERLINK("https://talan.bank.gov.ua/get-user-certificate/sec1eSvz_GhV-A9i0hJr","Завантажити сертифікат")</f>
        <v>Завантажити сертифікат</v>
      </c>
    </row>
    <row r="1192" spans="1:5" x14ac:dyDescent="0.3">
      <c r="A1192" s="2" t="s">
        <v>2439</v>
      </c>
      <c r="B1192" s="2" t="s">
        <v>5</v>
      </c>
      <c r="C1192" s="2" t="s">
        <v>2440</v>
      </c>
      <c r="D1192" s="2" t="s">
        <v>2400</v>
      </c>
      <c r="E1192" s="2" t="str">
        <f>HYPERLINK("https://talan.bank.gov.ua/get-user-certificate/sec1eBrjxJLYvO4nosaY","Завантажити сертифікат")</f>
        <v>Завантажити сертифікат</v>
      </c>
    </row>
    <row r="1193" spans="1:5" x14ac:dyDescent="0.3">
      <c r="A1193" s="2" t="s">
        <v>2441</v>
      </c>
      <c r="B1193" s="2" t="s">
        <v>5</v>
      </c>
      <c r="C1193" s="2" t="s">
        <v>2442</v>
      </c>
      <c r="D1193" s="2" t="s">
        <v>2400</v>
      </c>
      <c r="E1193" s="2" t="str">
        <f>HYPERLINK("https://talan.bank.gov.ua/get-user-certificate/sec1ej1W8_-oPckCdHPB","Завантажити сертифікат")</f>
        <v>Завантажити сертифікат</v>
      </c>
    </row>
    <row r="1194" spans="1:5" x14ac:dyDescent="0.3">
      <c r="A1194" s="2" t="s">
        <v>2443</v>
      </c>
      <c r="B1194" s="2" t="s">
        <v>5</v>
      </c>
      <c r="C1194" s="2" t="s">
        <v>2444</v>
      </c>
      <c r="D1194" s="2" t="s">
        <v>2400</v>
      </c>
      <c r="E1194" s="2" t="str">
        <f>HYPERLINK("https://talan.bank.gov.ua/get-user-certificate/sec1el-38myzjeQ0RS1G","Завантажити сертифікат")</f>
        <v>Завантажити сертифікат</v>
      </c>
    </row>
    <row r="1195" spans="1:5" x14ac:dyDescent="0.3">
      <c r="A1195" s="2" t="s">
        <v>2445</v>
      </c>
      <c r="B1195" s="2" t="s">
        <v>5</v>
      </c>
      <c r="C1195" s="2" t="s">
        <v>2446</v>
      </c>
      <c r="D1195" s="2" t="s">
        <v>2447</v>
      </c>
      <c r="E1195" s="2" t="str">
        <f>HYPERLINK("https://talan.bank.gov.ua/get-user-certificate/sec1emsKNAM1V4jbSttK","Завантажити сертифікат")</f>
        <v>Завантажити сертифікат</v>
      </c>
    </row>
    <row r="1196" spans="1:5" x14ac:dyDescent="0.3">
      <c r="A1196" s="2" t="s">
        <v>2448</v>
      </c>
      <c r="B1196" s="2" t="s">
        <v>5</v>
      </c>
      <c r="C1196" s="2" t="s">
        <v>2449</v>
      </c>
      <c r="D1196" s="2" t="s">
        <v>2447</v>
      </c>
      <c r="E1196" s="2" t="str">
        <f>HYPERLINK("https://talan.bank.gov.ua/get-user-certificate/sec1eYq2tLMPEnlJ6Cyd","Завантажити сертифікат")</f>
        <v>Завантажити сертифікат</v>
      </c>
    </row>
    <row r="1197" spans="1:5" x14ac:dyDescent="0.3">
      <c r="A1197" s="2" t="s">
        <v>2450</v>
      </c>
      <c r="B1197" s="2" t="s">
        <v>5</v>
      </c>
      <c r="C1197" s="2" t="s">
        <v>2451</v>
      </c>
      <c r="D1197" s="2" t="s">
        <v>2447</v>
      </c>
      <c r="E1197" s="2" t="str">
        <f>HYPERLINK("https://talan.bank.gov.ua/get-user-certificate/sec1enar_WQZknEiE4SU","Завантажити сертифікат")</f>
        <v>Завантажити сертифікат</v>
      </c>
    </row>
    <row r="1198" spans="1:5" x14ac:dyDescent="0.3">
      <c r="A1198" s="2" t="s">
        <v>2452</v>
      </c>
      <c r="B1198" s="2" t="s">
        <v>5</v>
      </c>
      <c r="C1198" s="2" t="s">
        <v>2453</v>
      </c>
      <c r="D1198" s="2" t="s">
        <v>2447</v>
      </c>
      <c r="E1198" s="2" t="str">
        <f>HYPERLINK("https://talan.bank.gov.ua/get-user-certificate/sec1e6Z2EM53DVLOefy6","Завантажити сертифікат")</f>
        <v>Завантажити сертифікат</v>
      </c>
    </row>
    <row r="1199" spans="1:5" x14ac:dyDescent="0.3">
      <c r="A1199" s="2" t="s">
        <v>2454</v>
      </c>
      <c r="B1199" s="2" t="s">
        <v>5</v>
      </c>
      <c r="C1199" s="2" t="s">
        <v>2455</v>
      </c>
      <c r="D1199" s="2" t="s">
        <v>2447</v>
      </c>
      <c r="E1199" s="2" t="str">
        <f>HYPERLINK("https://talan.bank.gov.ua/get-user-certificate/sec1em337fk6Az5u-uV6","Завантажити сертифікат")</f>
        <v>Завантажити сертифікат</v>
      </c>
    </row>
    <row r="1200" spans="1:5" x14ac:dyDescent="0.3">
      <c r="A1200" s="2" t="s">
        <v>2456</v>
      </c>
      <c r="B1200" s="2" t="s">
        <v>5</v>
      </c>
      <c r="C1200" s="2" t="s">
        <v>2457</v>
      </c>
      <c r="D1200" s="2" t="s">
        <v>2447</v>
      </c>
      <c r="E1200" s="2" t="str">
        <f>HYPERLINK("https://talan.bank.gov.ua/get-user-certificate/sec1eDHZY4epC5Lcd-Q2","Завантажити сертифікат")</f>
        <v>Завантажити сертифікат</v>
      </c>
    </row>
    <row r="1201" spans="1:5" x14ac:dyDescent="0.3">
      <c r="A1201" s="2" t="s">
        <v>2458</v>
      </c>
      <c r="B1201" s="2" t="s">
        <v>5</v>
      </c>
      <c r="C1201" s="2" t="s">
        <v>2459</v>
      </c>
      <c r="D1201" s="2" t="s">
        <v>2447</v>
      </c>
      <c r="E1201" s="2" t="str">
        <f>HYPERLINK("https://talan.bank.gov.ua/get-user-certificate/sec1ejLG7L8Mm-rWb9St","Завантажити сертифікат")</f>
        <v>Завантажити сертифікат</v>
      </c>
    </row>
    <row r="1202" spans="1:5" x14ac:dyDescent="0.3">
      <c r="A1202" s="2" t="s">
        <v>2460</v>
      </c>
      <c r="B1202" s="2" t="s">
        <v>5</v>
      </c>
      <c r="C1202" s="2" t="s">
        <v>2461</v>
      </c>
      <c r="D1202" s="2" t="s">
        <v>2447</v>
      </c>
      <c r="E1202" s="2" t="str">
        <f>HYPERLINK("https://talan.bank.gov.ua/get-user-certificate/sec1eU7WRiLWxLKbgzGX","Завантажити сертифікат")</f>
        <v>Завантажити сертифікат</v>
      </c>
    </row>
    <row r="1203" spans="1:5" x14ac:dyDescent="0.3">
      <c r="A1203" s="2" t="s">
        <v>2462</v>
      </c>
      <c r="B1203" s="2" t="s">
        <v>5</v>
      </c>
      <c r="C1203" s="2" t="s">
        <v>2463</v>
      </c>
      <c r="D1203" s="2" t="s">
        <v>2447</v>
      </c>
      <c r="E1203" s="2" t="str">
        <f>HYPERLINK("https://talan.bank.gov.ua/get-user-certificate/sec1etxYHISUXZ0Bd6qE","Завантажити сертифікат")</f>
        <v>Завантажити сертифікат</v>
      </c>
    </row>
    <row r="1204" spans="1:5" x14ac:dyDescent="0.3">
      <c r="A1204" s="2" t="s">
        <v>2464</v>
      </c>
      <c r="B1204" s="2" t="s">
        <v>5</v>
      </c>
      <c r="C1204" s="2" t="s">
        <v>2465</v>
      </c>
      <c r="D1204" s="2" t="s">
        <v>2447</v>
      </c>
      <c r="E1204" s="2" t="str">
        <f>HYPERLINK("https://talan.bank.gov.ua/get-user-certificate/sec1eiuK-j7mHsQhsshr","Завантажити сертифікат")</f>
        <v>Завантажити сертифікат</v>
      </c>
    </row>
    <row r="1205" spans="1:5" x14ac:dyDescent="0.3">
      <c r="A1205" s="2" t="s">
        <v>2466</v>
      </c>
      <c r="B1205" s="2" t="s">
        <v>5</v>
      </c>
      <c r="C1205" s="2" t="s">
        <v>2467</v>
      </c>
      <c r="D1205" s="2" t="s">
        <v>2447</v>
      </c>
      <c r="E1205" s="2" t="str">
        <f>HYPERLINK("https://talan.bank.gov.ua/get-user-certificate/sec1eqDU5uO9ZIZwvGvO","Завантажити сертифікат")</f>
        <v>Завантажити сертифікат</v>
      </c>
    </row>
    <row r="1206" spans="1:5" x14ac:dyDescent="0.3">
      <c r="A1206" s="2" t="s">
        <v>2468</v>
      </c>
      <c r="B1206" s="2" t="s">
        <v>5</v>
      </c>
      <c r="C1206" s="2" t="s">
        <v>2469</v>
      </c>
      <c r="D1206" s="2" t="s">
        <v>2447</v>
      </c>
      <c r="E1206" s="2" t="str">
        <f>HYPERLINK("https://talan.bank.gov.ua/get-user-certificate/sec1eG9wFiTexmKF5yE2","Завантажити сертифікат")</f>
        <v>Завантажити сертифікат</v>
      </c>
    </row>
    <row r="1207" spans="1:5" x14ac:dyDescent="0.3">
      <c r="A1207" s="2" t="s">
        <v>2470</v>
      </c>
      <c r="B1207" s="2" t="s">
        <v>5</v>
      </c>
      <c r="C1207" s="2" t="s">
        <v>2471</v>
      </c>
      <c r="D1207" s="2" t="s">
        <v>2447</v>
      </c>
      <c r="E1207" s="2" t="str">
        <f>HYPERLINK("https://talan.bank.gov.ua/get-user-certificate/sec1eR7aC5WxamOg09iF","Завантажити сертифікат")</f>
        <v>Завантажити сертифікат</v>
      </c>
    </row>
    <row r="1208" spans="1:5" x14ac:dyDescent="0.3">
      <c r="A1208" s="2" t="s">
        <v>2472</v>
      </c>
      <c r="B1208" s="2" t="s">
        <v>5</v>
      </c>
      <c r="C1208" s="2" t="s">
        <v>2473</v>
      </c>
      <c r="D1208" s="2" t="s">
        <v>2447</v>
      </c>
      <c r="E1208" s="2" t="str">
        <f>HYPERLINK("https://talan.bank.gov.ua/get-user-certificate/sec1eFlOdoqU_if0fl6e","Завантажити сертифікат")</f>
        <v>Завантажити сертифікат</v>
      </c>
    </row>
    <row r="1209" spans="1:5" x14ac:dyDescent="0.3">
      <c r="A1209" s="2" t="s">
        <v>2474</v>
      </c>
      <c r="B1209" s="2" t="s">
        <v>5</v>
      </c>
      <c r="C1209" s="2" t="s">
        <v>2475</v>
      </c>
      <c r="D1209" s="2" t="s">
        <v>2447</v>
      </c>
      <c r="E1209" s="2" t="str">
        <f>HYPERLINK("https://talan.bank.gov.ua/get-user-certificate/sec1ehfXhBmRHLfuF0he","Завантажити сертифікат")</f>
        <v>Завантажити сертифікат</v>
      </c>
    </row>
    <row r="1210" spans="1:5" x14ac:dyDescent="0.3">
      <c r="A1210" s="2" t="s">
        <v>2476</v>
      </c>
      <c r="B1210" s="2" t="s">
        <v>5</v>
      </c>
      <c r="C1210" s="2" t="s">
        <v>2477</v>
      </c>
      <c r="D1210" s="2" t="s">
        <v>2447</v>
      </c>
      <c r="E1210" s="2" t="str">
        <f>HYPERLINK("https://talan.bank.gov.ua/get-user-certificate/sec1eLyAWc2rSIaPC6ZT","Завантажити сертифікат")</f>
        <v>Завантажити сертифікат</v>
      </c>
    </row>
    <row r="1211" spans="1:5" x14ac:dyDescent="0.3">
      <c r="A1211" s="2" t="s">
        <v>2478</v>
      </c>
      <c r="B1211" s="2" t="s">
        <v>5</v>
      </c>
      <c r="C1211" s="2" t="s">
        <v>2479</v>
      </c>
      <c r="D1211" s="2" t="s">
        <v>2447</v>
      </c>
      <c r="E1211" s="2" t="str">
        <f>HYPERLINK("https://talan.bank.gov.ua/get-user-certificate/sec1eivOLs_BJ4G_RFAF","Завантажити сертифікат")</f>
        <v>Завантажити сертифікат</v>
      </c>
    </row>
    <row r="1212" spans="1:5" x14ac:dyDescent="0.3">
      <c r="A1212" s="2" t="s">
        <v>2480</v>
      </c>
      <c r="B1212" s="2" t="s">
        <v>5</v>
      </c>
      <c r="C1212" s="2" t="s">
        <v>2481</v>
      </c>
      <c r="D1212" s="2" t="s">
        <v>2447</v>
      </c>
      <c r="E1212" s="2" t="str">
        <f>HYPERLINK("https://talan.bank.gov.ua/get-user-certificate/sec1e13dc0qKE5mG7NuE","Завантажити сертифікат")</f>
        <v>Завантажити сертифікат</v>
      </c>
    </row>
    <row r="1213" spans="1:5" x14ac:dyDescent="0.3">
      <c r="A1213" s="2" t="s">
        <v>2482</v>
      </c>
      <c r="B1213" s="2" t="s">
        <v>5</v>
      </c>
      <c r="C1213" s="2" t="s">
        <v>2483</v>
      </c>
      <c r="D1213" s="2" t="s">
        <v>2447</v>
      </c>
      <c r="E1213" s="2" t="str">
        <f>HYPERLINK("https://talan.bank.gov.ua/get-user-certificate/sec1e-PVSZggJ6anZJAG","Завантажити сертифікат")</f>
        <v>Завантажити сертифікат</v>
      </c>
    </row>
    <row r="1214" spans="1:5" x14ac:dyDescent="0.3">
      <c r="A1214" s="2" t="s">
        <v>2484</v>
      </c>
      <c r="B1214" s="2" t="s">
        <v>5</v>
      </c>
      <c r="C1214" s="2" t="s">
        <v>2485</v>
      </c>
      <c r="D1214" s="2" t="s">
        <v>2447</v>
      </c>
      <c r="E1214" s="2" t="str">
        <f>HYPERLINK("https://talan.bank.gov.ua/get-user-certificate/sec1ecBIQdr0sPnbnbRI","Завантажити сертифікат")</f>
        <v>Завантажити сертифікат</v>
      </c>
    </row>
    <row r="1215" spans="1:5" x14ac:dyDescent="0.3">
      <c r="A1215" s="2" t="s">
        <v>2486</v>
      </c>
      <c r="B1215" s="2" t="s">
        <v>5</v>
      </c>
      <c r="C1215" s="2" t="s">
        <v>2487</v>
      </c>
      <c r="D1215" s="2" t="s">
        <v>2447</v>
      </c>
      <c r="E1215" s="2" t="str">
        <f>HYPERLINK("https://talan.bank.gov.ua/get-user-certificate/sec1eoH5qGQ17CtuQdjw","Завантажити сертифікат")</f>
        <v>Завантажити сертифікат</v>
      </c>
    </row>
    <row r="1216" spans="1:5" x14ac:dyDescent="0.3">
      <c r="A1216" s="2" t="s">
        <v>2488</v>
      </c>
      <c r="B1216" s="2" t="s">
        <v>5</v>
      </c>
      <c r="C1216" s="2" t="s">
        <v>2489</v>
      </c>
      <c r="D1216" s="2" t="s">
        <v>2447</v>
      </c>
      <c r="E1216" s="2" t="str">
        <f>HYPERLINK("https://talan.bank.gov.ua/get-user-certificate/sec1e4B1Rr2n3K2jyMx5","Завантажити сертифікат")</f>
        <v>Завантажити сертифікат</v>
      </c>
    </row>
    <row r="1217" spans="1:5" x14ac:dyDescent="0.3">
      <c r="A1217" s="2" t="s">
        <v>2490</v>
      </c>
      <c r="B1217" s="2" t="s">
        <v>5</v>
      </c>
      <c r="C1217" s="2" t="s">
        <v>2491</v>
      </c>
      <c r="D1217" s="2" t="s">
        <v>2447</v>
      </c>
      <c r="E1217" s="2" t="str">
        <f>HYPERLINK("https://talan.bank.gov.ua/get-user-certificate/sec1eOxs2w1QbuJI4UfQ","Завантажити сертифікат")</f>
        <v>Завантажити сертифікат</v>
      </c>
    </row>
    <row r="1218" spans="1:5" x14ac:dyDescent="0.3">
      <c r="A1218" s="2" t="s">
        <v>2492</v>
      </c>
      <c r="B1218" s="2" t="s">
        <v>5</v>
      </c>
      <c r="C1218" s="2" t="s">
        <v>2493</v>
      </c>
      <c r="D1218" s="2" t="s">
        <v>2447</v>
      </c>
      <c r="E1218" s="2" t="str">
        <f>HYPERLINK("https://talan.bank.gov.ua/get-user-certificate/sec1evkkZ2I42I6Sm9kT","Завантажити сертифікат")</f>
        <v>Завантажити сертифікат</v>
      </c>
    </row>
    <row r="1219" spans="1:5" x14ac:dyDescent="0.3">
      <c r="A1219" s="2" t="s">
        <v>2494</v>
      </c>
      <c r="B1219" s="2" t="s">
        <v>5</v>
      </c>
      <c r="C1219" s="2" t="s">
        <v>2495</v>
      </c>
      <c r="D1219" s="2" t="s">
        <v>2447</v>
      </c>
      <c r="E1219" s="2" t="str">
        <f>HYPERLINK("https://talan.bank.gov.ua/get-user-certificate/sec1emyInYvIoVUwjG_m","Завантажити сертифікат")</f>
        <v>Завантажити сертифікат</v>
      </c>
    </row>
    <row r="1220" spans="1:5" x14ac:dyDescent="0.3">
      <c r="A1220" s="2" t="s">
        <v>2496</v>
      </c>
      <c r="B1220" s="2" t="s">
        <v>5</v>
      </c>
      <c r="C1220" s="2" t="s">
        <v>2497</v>
      </c>
      <c r="D1220" s="2" t="s">
        <v>2447</v>
      </c>
      <c r="E1220" s="2" t="str">
        <f>HYPERLINK("https://talan.bank.gov.ua/get-user-certificate/sec1eriRYUWIT1caO56z","Завантажити сертифікат")</f>
        <v>Завантажити сертифікат</v>
      </c>
    </row>
    <row r="1221" spans="1:5" x14ac:dyDescent="0.3">
      <c r="A1221" s="2" t="s">
        <v>2498</v>
      </c>
      <c r="B1221" s="2" t="s">
        <v>5</v>
      </c>
      <c r="C1221" s="2" t="s">
        <v>2499</v>
      </c>
      <c r="D1221" s="2" t="s">
        <v>2500</v>
      </c>
      <c r="E1221" s="2" t="str">
        <f>HYPERLINK("https://talan.bank.gov.ua/get-user-certificate/sec1eG25CEVX9FknYbKa","Завантажити сертифікат")</f>
        <v>Завантажити сертифікат</v>
      </c>
    </row>
    <row r="1222" spans="1:5" x14ac:dyDescent="0.3">
      <c r="A1222" s="2" t="s">
        <v>2501</v>
      </c>
      <c r="B1222" s="2" t="s">
        <v>5</v>
      </c>
      <c r="C1222" s="2" t="s">
        <v>2502</v>
      </c>
      <c r="D1222" s="2" t="s">
        <v>2500</v>
      </c>
      <c r="E1222" s="2" t="str">
        <f>HYPERLINK("https://talan.bank.gov.ua/get-user-certificate/sec1eDLVOAafcKbqAXry","Завантажити сертифікат")</f>
        <v>Завантажити сертифікат</v>
      </c>
    </row>
    <row r="1223" spans="1:5" x14ac:dyDescent="0.3">
      <c r="A1223" s="2" t="s">
        <v>2503</v>
      </c>
      <c r="B1223" s="2" t="s">
        <v>5</v>
      </c>
      <c r="C1223" s="2" t="s">
        <v>2504</v>
      </c>
      <c r="D1223" s="2" t="s">
        <v>2500</v>
      </c>
      <c r="E1223" s="2" t="str">
        <f>HYPERLINK("https://talan.bank.gov.ua/get-user-certificate/sec1epvkHRBK2Ca1ELtB","Завантажити сертифікат")</f>
        <v>Завантажити сертифікат</v>
      </c>
    </row>
    <row r="1224" spans="1:5" x14ac:dyDescent="0.3">
      <c r="A1224" s="2" t="s">
        <v>2505</v>
      </c>
      <c r="B1224" s="2" t="s">
        <v>5</v>
      </c>
      <c r="C1224" s="2" t="s">
        <v>2506</v>
      </c>
      <c r="D1224" s="2" t="s">
        <v>2500</v>
      </c>
      <c r="E1224" s="2" t="str">
        <f>HYPERLINK("https://talan.bank.gov.ua/get-user-certificate/sec1eVajp-bHeJptH8XG","Завантажити сертифікат")</f>
        <v>Завантажити сертифікат</v>
      </c>
    </row>
    <row r="1225" spans="1:5" x14ac:dyDescent="0.3">
      <c r="A1225" s="2" t="s">
        <v>2507</v>
      </c>
      <c r="B1225" s="2" t="s">
        <v>5</v>
      </c>
      <c r="C1225" s="2" t="s">
        <v>2508</v>
      </c>
      <c r="D1225" s="2" t="s">
        <v>2500</v>
      </c>
      <c r="E1225" s="2" t="str">
        <f>HYPERLINK("https://talan.bank.gov.ua/get-user-certificate/sec1enjBJwB26zZ8xzAW","Завантажити сертифікат")</f>
        <v>Завантажити сертифікат</v>
      </c>
    </row>
    <row r="1226" spans="1:5" x14ac:dyDescent="0.3">
      <c r="A1226" s="2" t="s">
        <v>2509</v>
      </c>
      <c r="B1226" s="2" t="s">
        <v>5</v>
      </c>
      <c r="C1226" s="2" t="s">
        <v>2510</v>
      </c>
      <c r="D1226" s="2" t="s">
        <v>2500</v>
      </c>
      <c r="E1226" s="2" t="str">
        <f>HYPERLINK("https://talan.bank.gov.ua/get-user-certificate/sec1eg_667dJco0JaCwv","Завантажити сертифікат")</f>
        <v>Завантажити сертифікат</v>
      </c>
    </row>
    <row r="1227" spans="1:5" x14ac:dyDescent="0.3">
      <c r="A1227" s="2" t="s">
        <v>2511</v>
      </c>
      <c r="B1227" s="2" t="s">
        <v>5</v>
      </c>
      <c r="C1227" s="2" t="s">
        <v>2512</v>
      </c>
      <c r="D1227" s="2" t="s">
        <v>2500</v>
      </c>
      <c r="E1227" s="2" t="str">
        <f>HYPERLINK("https://talan.bank.gov.ua/get-user-certificate/sec1edExMv7bQf0K9WZq","Завантажити сертифікат")</f>
        <v>Завантажити сертифікат</v>
      </c>
    </row>
    <row r="1228" spans="1:5" x14ac:dyDescent="0.3">
      <c r="A1228" s="2" t="s">
        <v>2513</v>
      </c>
      <c r="B1228" s="2" t="s">
        <v>5</v>
      </c>
      <c r="C1228" s="2" t="s">
        <v>2514</v>
      </c>
      <c r="D1228" s="2" t="s">
        <v>2500</v>
      </c>
      <c r="E1228" s="2" t="str">
        <f>HYPERLINK("https://talan.bank.gov.ua/get-user-certificate/sec1e203iYFaDS88Ys56","Завантажити сертифікат")</f>
        <v>Завантажити сертифікат</v>
      </c>
    </row>
    <row r="1229" spans="1:5" x14ac:dyDescent="0.3">
      <c r="A1229" s="2" t="s">
        <v>2515</v>
      </c>
      <c r="B1229" s="2" t="s">
        <v>5</v>
      </c>
      <c r="C1229" s="2" t="s">
        <v>2516</v>
      </c>
      <c r="D1229" s="2" t="s">
        <v>2500</v>
      </c>
      <c r="E1229" s="2" t="str">
        <f>HYPERLINK("https://talan.bank.gov.ua/get-user-certificate/sec1eToOUkpG2T-hnR5w","Завантажити сертифікат")</f>
        <v>Завантажити сертифікат</v>
      </c>
    </row>
    <row r="1230" spans="1:5" x14ac:dyDescent="0.3">
      <c r="A1230" s="2" t="s">
        <v>2517</v>
      </c>
      <c r="B1230" s="2" t="s">
        <v>5</v>
      </c>
      <c r="C1230" s="2" t="s">
        <v>2518</v>
      </c>
      <c r="D1230" s="2" t="s">
        <v>2500</v>
      </c>
      <c r="E1230" s="2" t="str">
        <f>HYPERLINK("https://talan.bank.gov.ua/get-user-certificate/sec1e44hD2xIgUC1duA9","Завантажити сертифікат")</f>
        <v>Завантажити сертифікат</v>
      </c>
    </row>
    <row r="1231" spans="1:5" x14ac:dyDescent="0.3">
      <c r="A1231" s="2" t="s">
        <v>2519</v>
      </c>
      <c r="B1231" s="2" t="s">
        <v>5</v>
      </c>
      <c r="C1231" s="2" t="s">
        <v>2520</v>
      </c>
      <c r="D1231" s="2" t="s">
        <v>2500</v>
      </c>
      <c r="E1231" s="2" t="str">
        <f>HYPERLINK("https://talan.bank.gov.ua/get-user-certificate/sec1e527g0FIIVRRVpEk","Завантажити сертифікат")</f>
        <v>Завантажити сертифікат</v>
      </c>
    </row>
    <row r="1232" spans="1:5" x14ac:dyDescent="0.3">
      <c r="A1232" s="2" t="s">
        <v>2521</v>
      </c>
      <c r="B1232" s="2" t="s">
        <v>5</v>
      </c>
      <c r="C1232" s="2" t="s">
        <v>2522</v>
      </c>
      <c r="D1232" s="2" t="s">
        <v>2500</v>
      </c>
      <c r="E1232" s="2" t="str">
        <f>HYPERLINK("https://talan.bank.gov.ua/get-user-certificate/sec1epnjAo1lU4o1q2e3","Завантажити сертифікат")</f>
        <v>Завантажити сертифікат</v>
      </c>
    </row>
    <row r="1233" spans="1:5" x14ac:dyDescent="0.3">
      <c r="A1233" s="2" t="s">
        <v>2523</v>
      </c>
      <c r="B1233" s="2" t="s">
        <v>5</v>
      </c>
      <c r="C1233" s="2" t="s">
        <v>2524</v>
      </c>
      <c r="D1233" s="2" t="s">
        <v>2500</v>
      </c>
      <c r="E1233" s="2" t="str">
        <f>HYPERLINK("https://talan.bank.gov.ua/get-user-certificate/sec1e2v2nlwH0su3bzAF","Завантажити сертифікат")</f>
        <v>Завантажити сертифікат</v>
      </c>
    </row>
    <row r="1234" spans="1:5" x14ac:dyDescent="0.3">
      <c r="A1234" s="2" t="s">
        <v>2525</v>
      </c>
      <c r="B1234" s="2" t="s">
        <v>5</v>
      </c>
      <c r="C1234" s="2" t="s">
        <v>2526</v>
      </c>
      <c r="D1234" s="2" t="s">
        <v>2500</v>
      </c>
      <c r="E1234" s="2" t="str">
        <f>HYPERLINK("https://talan.bank.gov.ua/get-user-certificate/sec1eyxxNn90KI4LapA6","Завантажити сертифікат")</f>
        <v>Завантажити сертифікат</v>
      </c>
    </row>
    <row r="1235" spans="1:5" x14ac:dyDescent="0.3">
      <c r="A1235" s="2" t="s">
        <v>2527</v>
      </c>
      <c r="B1235" s="2" t="s">
        <v>5</v>
      </c>
      <c r="C1235" s="2" t="s">
        <v>2528</v>
      </c>
      <c r="D1235" s="2" t="s">
        <v>2500</v>
      </c>
      <c r="E1235" s="2" t="str">
        <f>HYPERLINK("https://talan.bank.gov.ua/get-user-certificate/sec1e9jUHbvsynqhf4S-","Завантажити сертифікат")</f>
        <v>Завантажити сертифікат</v>
      </c>
    </row>
    <row r="1236" spans="1:5" x14ac:dyDescent="0.3">
      <c r="A1236" s="2" t="s">
        <v>2529</v>
      </c>
      <c r="B1236" s="2" t="s">
        <v>5</v>
      </c>
      <c r="C1236" s="2" t="s">
        <v>2530</v>
      </c>
      <c r="D1236" s="2" t="s">
        <v>2500</v>
      </c>
      <c r="E1236" s="2" t="str">
        <f>HYPERLINK("https://talan.bank.gov.ua/get-user-certificate/sec1ecGjvKTyKrpuZPeg","Завантажити сертифікат")</f>
        <v>Завантажити сертифікат</v>
      </c>
    </row>
    <row r="1237" spans="1:5" x14ac:dyDescent="0.3">
      <c r="A1237" s="2" t="s">
        <v>2531</v>
      </c>
      <c r="B1237" s="2" t="s">
        <v>5</v>
      </c>
      <c r="C1237" s="2" t="s">
        <v>2532</v>
      </c>
      <c r="D1237" s="2" t="s">
        <v>2500</v>
      </c>
      <c r="E1237" s="2" t="str">
        <f>HYPERLINK("https://talan.bank.gov.ua/get-user-certificate/sec1e0Epu01snOyuynez","Завантажити сертифікат")</f>
        <v>Завантажити сертифікат</v>
      </c>
    </row>
    <row r="1238" spans="1:5" x14ac:dyDescent="0.3">
      <c r="A1238" s="2" t="s">
        <v>2533</v>
      </c>
      <c r="B1238" s="2" t="s">
        <v>5</v>
      </c>
      <c r="C1238" s="2" t="s">
        <v>2534</v>
      </c>
      <c r="D1238" s="2" t="s">
        <v>2500</v>
      </c>
      <c r="E1238" s="2" t="str">
        <f>HYPERLINK("https://talan.bank.gov.ua/get-user-certificate/sec1ehx0OyE6sD6P10LW","Завантажити сертифікат")</f>
        <v>Завантажити сертифікат</v>
      </c>
    </row>
    <row r="1239" spans="1:5" x14ac:dyDescent="0.3">
      <c r="A1239" s="2" t="s">
        <v>2535</v>
      </c>
      <c r="B1239" s="2" t="s">
        <v>5</v>
      </c>
      <c r="C1239" s="2" t="s">
        <v>2536</v>
      </c>
      <c r="D1239" s="2" t="s">
        <v>2500</v>
      </c>
      <c r="E1239" s="2" t="str">
        <f>HYPERLINK("https://talan.bank.gov.ua/get-user-certificate/sec1e93CxzcZ8ylfztye","Завантажити сертифікат")</f>
        <v>Завантажити сертифікат</v>
      </c>
    </row>
    <row r="1240" spans="1:5" x14ac:dyDescent="0.3">
      <c r="A1240" s="2" t="s">
        <v>2537</v>
      </c>
      <c r="B1240" s="2" t="s">
        <v>5</v>
      </c>
      <c r="C1240" s="2" t="s">
        <v>2538</v>
      </c>
      <c r="D1240" s="2" t="s">
        <v>2500</v>
      </c>
      <c r="E1240" s="2" t="str">
        <f>HYPERLINK("https://talan.bank.gov.ua/get-user-certificate/sec1ee7JKXXflW7TTeNu","Завантажити сертифікат")</f>
        <v>Завантажити сертифікат</v>
      </c>
    </row>
    <row r="1241" spans="1:5" x14ac:dyDescent="0.3">
      <c r="A1241" s="2" t="s">
        <v>2539</v>
      </c>
      <c r="B1241" s="2" t="s">
        <v>5</v>
      </c>
      <c r="C1241" s="2" t="s">
        <v>2540</v>
      </c>
      <c r="D1241" s="2" t="s">
        <v>2500</v>
      </c>
      <c r="E1241" s="2" t="str">
        <f>HYPERLINK("https://talan.bank.gov.ua/get-user-certificate/sec1e-foTIt7sIZy38ek","Завантажити сертифікат")</f>
        <v>Завантажити сертифікат</v>
      </c>
    </row>
    <row r="1242" spans="1:5" x14ac:dyDescent="0.3">
      <c r="A1242" s="2" t="s">
        <v>2541</v>
      </c>
      <c r="B1242" s="2" t="s">
        <v>5</v>
      </c>
      <c r="C1242" s="2" t="s">
        <v>2542</v>
      </c>
      <c r="D1242" s="2" t="s">
        <v>2500</v>
      </c>
      <c r="E1242" s="2" t="str">
        <f>HYPERLINK("https://talan.bank.gov.ua/get-user-certificate/sec1eCp0mMLuErI-qgTT","Завантажити сертифікат")</f>
        <v>Завантажити сертифікат</v>
      </c>
    </row>
    <row r="1243" spans="1:5" x14ac:dyDescent="0.3">
      <c r="A1243" s="2" t="s">
        <v>2543</v>
      </c>
      <c r="B1243" s="2" t="s">
        <v>5</v>
      </c>
      <c r="C1243" s="2" t="s">
        <v>2544</v>
      </c>
      <c r="D1243" s="2" t="s">
        <v>2500</v>
      </c>
      <c r="E1243" s="2" t="str">
        <f>HYPERLINK("https://talan.bank.gov.ua/get-user-certificate/sec1eajRzOHFPMpnUkHK","Завантажити сертифікат")</f>
        <v>Завантажити сертифікат</v>
      </c>
    </row>
    <row r="1244" spans="1:5" x14ac:dyDescent="0.3">
      <c r="A1244" s="2" t="s">
        <v>2545</v>
      </c>
      <c r="B1244" s="2" t="s">
        <v>5</v>
      </c>
      <c r="C1244" s="2" t="s">
        <v>2546</v>
      </c>
      <c r="D1244" s="2" t="s">
        <v>2500</v>
      </c>
      <c r="E1244" s="2" t="str">
        <f>HYPERLINK("https://talan.bank.gov.ua/get-user-certificate/sec1eJECqucfr3JE87uJ","Завантажити сертифікат")</f>
        <v>Завантажити сертифікат</v>
      </c>
    </row>
    <row r="1245" spans="1:5" x14ac:dyDescent="0.3">
      <c r="A1245" s="2" t="s">
        <v>2547</v>
      </c>
      <c r="B1245" s="2" t="s">
        <v>5</v>
      </c>
      <c r="C1245" s="2" t="s">
        <v>2548</v>
      </c>
      <c r="D1245" s="2" t="s">
        <v>2500</v>
      </c>
      <c r="E1245" s="2" t="str">
        <f>HYPERLINK("https://talan.bank.gov.ua/get-user-certificate/sec1ewj6_aaGivI210gz","Завантажити сертифікат")</f>
        <v>Завантажити сертифікат</v>
      </c>
    </row>
    <row r="1246" spans="1:5" x14ac:dyDescent="0.3">
      <c r="A1246" s="2" t="s">
        <v>2549</v>
      </c>
      <c r="B1246" s="2" t="s">
        <v>5</v>
      </c>
      <c r="C1246" s="2" t="s">
        <v>2550</v>
      </c>
      <c r="D1246" s="2" t="s">
        <v>2500</v>
      </c>
      <c r="E1246" s="2" t="str">
        <f>HYPERLINK("https://talan.bank.gov.ua/get-user-certificate/sec1eQUewSrsd54j31vo","Завантажити сертифікат")</f>
        <v>Завантажити сертифікат</v>
      </c>
    </row>
    <row r="1247" spans="1:5" x14ac:dyDescent="0.3">
      <c r="A1247" s="2" t="s">
        <v>2551</v>
      </c>
      <c r="B1247" s="2" t="s">
        <v>5</v>
      </c>
      <c r="C1247" s="2" t="s">
        <v>2552</v>
      </c>
      <c r="D1247" s="2" t="s">
        <v>2500</v>
      </c>
      <c r="E1247" s="2" t="str">
        <f>HYPERLINK("https://talan.bank.gov.ua/get-user-certificate/sec1eEUEtK4IVBUsb0pl","Завантажити сертифікат")</f>
        <v>Завантажити сертифікат</v>
      </c>
    </row>
    <row r="1248" spans="1:5" x14ac:dyDescent="0.3">
      <c r="A1248" s="2" t="s">
        <v>2553</v>
      </c>
      <c r="B1248" s="2" t="s">
        <v>5</v>
      </c>
      <c r="C1248" s="2" t="s">
        <v>2554</v>
      </c>
      <c r="D1248" s="2" t="s">
        <v>2500</v>
      </c>
      <c r="E1248" s="2" t="str">
        <f>HYPERLINK("https://talan.bank.gov.ua/get-user-certificate/sec1evxyb9t_KlDk_ZJj","Завантажити сертифікат")</f>
        <v>Завантажити сертифікат</v>
      </c>
    </row>
    <row r="1249" spans="1:5" x14ac:dyDescent="0.3">
      <c r="A1249" s="2" t="s">
        <v>2555</v>
      </c>
      <c r="B1249" s="2" t="s">
        <v>5</v>
      </c>
      <c r="C1249" s="2" t="s">
        <v>2556</v>
      </c>
      <c r="D1249" s="2" t="s">
        <v>2500</v>
      </c>
      <c r="E1249" s="2" t="str">
        <f>HYPERLINK("https://talan.bank.gov.ua/get-user-certificate/sec1eRnYYbxsagWLX0Dp","Завантажити сертифікат")</f>
        <v>Завантажити сертифікат</v>
      </c>
    </row>
    <row r="1250" spans="1:5" x14ac:dyDescent="0.3">
      <c r="A1250" s="2" t="s">
        <v>2557</v>
      </c>
      <c r="B1250" s="2" t="s">
        <v>5</v>
      </c>
      <c r="C1250" s="2" t="s">
        <v>2558</v>
      </c>
      <c r="D1250" s="2" t="s">
        <v>2500</v>
      </c>
      <c r="E1250" s="2" t="str">
        <f>HYPERLINK("https://talan.bank.gov.ua/get-user-certificate/sec1eQabO8OngFaR32b-","Завантажити сертифікат")</f>
        <v>Завантажити сертифікат</v>
      </c>
    </row>
    <row r="1251" spans="1:5" x14ac:dyDescent="0.3">
      <c r="A1251" s="2" t="s">
        <v>2559</v>
      </c>
      <c r="B1251" s="2" t="s">
        <v>5</v>
      </c>
      <c r="C1251" s="2" t="s">
        <v>2560</v>
      </c>
      <c r="D1251" s="2" t="s">
        <v>2500</v>
      </c>
      <c r="E1251" s="2" t="str">
        <f>HYPERLINK("https://talan.bank.gov.ua/get-user-certificate/sec1e-hcgaWrXEkdXeu8","Завантажити сертифікат")</f>
        <v>Завантажити сертифікат</v>
      </c>
    </row>
    <row r="1252" spans="1:5" x14ac:dyDescent="0.3">
      <c r="A1252" s="2" t="s">
        <v>2561</v>
      </c>
      <c r="B1252" s="2" t="s">
        <v>5</v>
      </c>
      <c r="C1252" s="2" t="s">
        <v>2562</v>
      </c>
      <c r="D1252" s="2" t="s">
        <v>2500</v>
      </c>
      <c r="E1252" s="2" t="str">
        <f>HYPERLINK("https://talan.bank.gov.ua/get-user-certificate/sec1eVSD1Q-lL8H3PnZU","Завантажити сертифікат")</f>
        <v>Завантажити сертифікат</v>
      </c>
    </row>
    <row r="1253" spans="1:5" x14ac:dyDescent="0.3">
      <c r="A1253" s="2" t="s">
        <v>2563</v>
      </c>
      <c r="B1253" s="2" t="s">
        <v>5</v>
      </c>
      <c r="C1253" s="2" t="s">
        <v>2564</v>
      </c>
      <c r="D1253" s="2" t="s">
        <v>2500</v>
      </c>
      <c r="E1253" s="2" t="str">
        <f>HYPERLINK("https://talan.bank.gov.ua/get-user-certificate/sec1etjQIIhs3Ni3JT1K","Завантажити сертифікат")</f>
        <v>Завантажити сертифікат</v>
      </c>
    </row>
    <row r="1254" spans="1:5" x14ac:dyDescent="0.3">
      <c r="A1254" s="2" t="s">
        <v>2565</v>
      </c>
      <c r="B1254" s="2" t="s">
        <v>5</v>
      </c>
      <c r="C1254" s="2" t="s">
        <v>2566</v>
      </c>
      <c r="D1254" s="2" t="s">
        <v>2500</v>
      </c>
      <c r="E1254" s="2" t="str">
        <f>HYPERLINK("https://talan.bank.gov.ua/get-user-certificate/sec1eRQT1hwi7EEpp0hw","Завантажити сертифікат")</f>
        <v>Завантажити сертифікат</v>
      </c>
    </row>
    <row r="1255" spans="1:5" x14ac:dyDescent="0.3">
      <c r="A1255" s="2" t="s">
        <v>2567</v>
      </c>
      <c r="B1255" s="2" t="s">
        <v>5</v>
      </c>
      <c r="C1255" s="2" t="s">
        <v>2568</v>
      </c>
      <c r="D1255" s="2" t="s">
        <v>2500</v>
      </c>
      <c r="E1255" s="2" t="str">
        <f>HYPERLINK("https://talan.bank.gov.ua/get-user-certificate/sec1eb2A7sAEJ3Le0ou1","Завантажити сертифікат")</f>
        <v>Завантажити сертифікат</v>
      </c>
    </row>
    <row r="1256" spans="1:5" x14ac:dyDescent="0.3">
      <c r="A1256" s="2" t="s">
        <v>2569</v>
      </c>
      <c r="B1256" s="2" t="s">
        <v>5</v>
      </c>
      <c r="C1256" s="2" t="s">
        <v>2570</v>
      </c>
      <c r="D1256" s="2" t="s">
        <v>2500</v>
      </c>
      <c r="E1256" s="2" t="str">
        <f>HYPERLINK("https://talan.bank.gov.ua/get-user-certificate/sec1euy3ZCt26iWq0oBx","Завантажити сертифікат")</f>
        <v>Завантажити сертифікат</v>
      </c>
    </row>
    <row r="1257" spans="1:5" x14ac:dyDescent="0.3">
      <c r="A1257" s="2" t="s">
        <v>2571</v>
      </c>
      <c r="B1257" s="2" t="s">
        <v>5</v>
      </c>
      <c r="C1257" s="2" t="s">
        <v>2572</v>
      </c>
      <c r="D1257" s="2" t="s">
        <v>2500</v>
      </c>
      <c r="E1257" s="2" t="str">
        <f>HYPERLINK("https://talan.bank.gov.ua/get-user-certificate/sec1ebLyklMqqxg_fabu","Завантажити сертифікат")</f>
        <v>Завантажити сертифікат</v>
      </c>
    </row>
    <row r="1258" spans="1:5" x14ac:dyDescent="0.3">
      <c r="A1258" s="2" t="s">
        <v>2573</v>
      </c>
      <c r="B1258" s="2" t="s">
        <v>5</v>
      </c>
      <c r="C1258" s="2" t="s">
        <v>2574</v>
      </c>
      <c r="D1258" s="2" t="s">
        <v>2500</v>
      </c>
      <c r="E1258" s="2" t="str">
        <f>HYPERLINK("https://talan.bank.gov.ua/get-user-certificate/sec1e0jAtp8hz9cfBflm","Завантажити сертифікат")</f>
        <v>Завантажити сертифікат</v>
      </c>
    </row>
    <row r="1259" spans="1:5" x14ac:dyDescent="0.3">
      <c r="A1259" s="2" t="s">
        <v>2575</v>
      </c>
      <c r="B1259" s="2" t="s">
        <v>5</v>
      </c>
      <c r="C1259" s="2" t="s">
        <v>2576</v>
      </c>
      <c r="D1259" s="2" t="s">
        <v>2500</v>
      </c>
      <c r="E1259" s="2" t="str">
        <f>HYPERLINK("https://talan.bank.gov.ua/get-user-certificate/sec1eMk38cPRwh3CTY9P","Завантажити сертифікат")</f>
        <v>Завантажити сертифікат</v>
      </c>
    </row>
    <row r="1260" spans="1:5" x14ac:dyDescent="0.3">
      <c r="A1260" s="2" t="s">
        <v>2577</v>
      </c>
      <c r="B1260" s="2" t="s">
        <v>5</v>
      </c>
      <c r="C1260" s="2" t="s">
        <v>2578</v>
      </c>
      <c r="D1260" s="2" t="s">
        <v>2579</v>
      </c>
      <c r="E1260" s="2" t="str">
        <f>HYPERLINK("https://talan.bank.gov.ua/get-user-certificate/sec1euKZ9aYlhiPbEIUF","Завантажити сертифікат")</f>
        <v>Завантажити сертифікат</v>
      </c>
    </row>
    <row r="1261" spans="1:5" x14ac:dyDescent="0.3">
      <c r="A1261" s="2" t="s">
        <v>2580</v>
      </c>
      <c r="B1261" s="2" t="s">
        <v>5</v>
      </c>
      <c r="C1261" s="2" t="s">
        <v>2581</v>
      </c>
      <c r="D1261" s="2" t="s">
        <v>2579</v>
      </c>
      <c r="E1261" s="2" t="str">
        <f>HYPERLINK("https://talan.bank.gov.ua/get-user-certificate/sec1ensl6eQDeaeg5iVb","Завантажити сертифікат")</f>
        <v>Завантажити сертифікат</v>
      </c>
    </row>
    <row r="1262" spans="1:5" x14ac:dyDescent="0.3">
      <c r="A1262" s="2" t="s">
        <v>2582</v>
      </c>
      <c r="B1262" s="2" t="s">
        <v>5</v>
      </c>
      <c r="C1262" s="2" t="s">
        <v>2583</v>
      </c>
      <c r="D1262" s="2" t="s">
        <v>2579</v>
      </c>
      <c r="E1262" s="2" t="str">
        <f>HYPERLINK("https://talan.bank.gov.ua/get-user-certificate/sec1ekqCvgyPTLwOXnrj","Завантажити сертифікат")</f>
        <v>Завантажити сертифікат</v>
      </c>
    </row>
    <row r="1263" spans="1:5" x14ac:dyDescent="0.3">
      <c r="A1263" s="2" t="s">
        <v>2584</v>
      </c>
      <c r="B1263" s="2" t="s">
        <v>5</v>
      </c>
      <c r="C1263" s="2" t="s">
        <v>2585</v>
      </c>
      <c r="D1263" s="2" t="s">
        <v>2579</v>
      </c>
      <c r="E1263" s="2" t="str">
        <f>HYPERLINK("https://talan.bank.gov.ua/get-user-certificate/sec1enuNer3_WJPwa1Hb","Завантажити сертифікат")</f>
        <v>Завантажити сертифікат</v>
      </c>
    </row>
    <row r="1264" spans="1:5" x14ac:dyDescent="0.3">
      <c r="A1264" s="2" t="s">
        <v>2586</v>
      </c>
      <c r="B1264" s="2" t="s">
        <v>5</v>
      </c>
      <c r="C1264" s="2" t="s">
        <v>2587</v>
      </c>
      <c r="D1264" s="2" t="s">
        <v>2579</v>
      </c>
      <c r="E1264" s="2" t="str">
        <f>HYPERLINK("https://talan.bank.gov.ua/get-user-certificate/sec1eaPOg8dLVrZCW2nu","Завантажити сертифікат")</f>
        <v>Завантажити сертифікат</v>
      </c>
    </row>
    <row r="1265" spans="1:5" x14ac:dyDescent="0.3">
      <c r="A1265" s="2" t="s">
        <v>2588</v>
      </c>
      <c r="B1265" s="2" t="s">
        <v>5</v>
      </c>
      <c r="C1265" s="2" t="s">
        <v>2589</v>
      </c>
      <c r="D1265" s="2" t="s">
        <v>2579</v>
      </c>
      <c r="E1265" s="2" t="str">
        <f>HYPERLINK("https://talan.bank.gov.ua/get-user-certificate/sec1e2rcz-u6cuIcQnTA","Завантажити сертифікат")</f>
        <v>Завантажити сертифікат</v>
      </c>
    </row>
    <row r="1266" spans="1:5" x14ac:dyDescent="0.3">
      <c r="A1266" s="2" t="s">
        <v>2590</v>
      </c>
      <c r="B1266" s="2" t="s">
        <v>5</v>
      </c>
      <c r="C1266" s="2" t="s">
        <v>2591</v>
      </c>
      <c r="D1266" s="2" t="s">
        <v>2579</v>
      </c>
      <c r="E1266" s="2" t="str">
        <f>HYPERLINK("https://talan.bank.gov.ua/get-user-certificate/sec1eToPZenejXiD_esH","Завантажити сертифікат")</f>
        <v>Завантажити сертифікат</v>
      </c>
    </row>
    <row r="1267" spans="1:5" x14ac:dyDescent="0.3">
      <c r="A1267" s="2" t="s">
        <v>2592</v>
      </c>
      <c r="B1267" s="2" t="s">
        <v>5</v>
      </c>
      <c r="C1267" s="2" t="s">
        <v>2593</v>
      </c>
      <c r="D1267" s="2" t="s">
        <v>2579</v>
      </c>
      <c r="E1267" s="2" t="str">
        <f>HYPERLINK("https://talan.bank.gov.ua/get-user-certificate/sec1e0Pxr9g3n85hXVKG","Завантажити сертифікат")</f>
        <v>Завантажити сертифікат</v>
      </c>
    </row>
    <row r="1268" spans="1:5" x14ac:dyDescent="0.3">
      <c r="A1268" s="2" t="s">
        <v>2594</v>
      </c>
      <c r="B1268" s="2" t="s">
        <v>5</v>
      </c>
      <c r="C1268" s="2" t="s">
        <v>2595</v>
      </c>
      <c r="D1268" s="2" t="s">
        <v>2579</v>
      </c>
      <c r="E1268" s="2" t="str">
        <f>HYPERLINK("https://talan.bank.gov.ua/get-user-certificate/sec1eh75_Lp-UQQXIKAl","Завантажити сертифікат")</f>
        <v>Завантажити сертифікат</v>
      </c>
    </row>
    <row r="1269" spans="1:5" x14ac:dyDescent="0.3">
      <c r="A1269" s="2" t="s">
        <v>2596</v>
      </c>
      <c r="B1269" s="2" t="s">
        <v>5</v>
      </c>
      <c r="C1269" s="2" t="s">
        <v>2597</v>
      </c>
      <c r="D1269" s="2" t="s">
        <v>2579</v>
      </c>
      <c r="E1269" s="2" t="str">
        <f>HYPERLINK("https://talan.bank.gov.ua/get-user-certificate/sec1eOGHKjkzspZH0jNq","Завантажити сертифікат")</f>
        <v>Завантажити сертифікат</v>
      </c>
    </row>
    <row r="1270" spans="1:5" x14ac:dyDescent="0.3">
      <c r="A1270" s="2" t="s">
        <v>2598</v>
      </c>
      <c r="B1270" s="2" t="s">
        <v>5</v>
      </c>
      <c r="C1270" s="2" t="s">
        <v>2599</v>
      </c>
      <c r="D1270" s="2" t="s">
        <v>2579</v>
      </c>
      <c r="E1270" s="2" t="str">
        <f>HYPERLINK("https://talan.bank.gov.ua/get-user-certificate/sec1epL2aSis_bmAPVwC","Завантажити сертифікат")</f>
        <v>Завантажити сертифікат</v>
      </c>
    </row>
    <row r="1271" spans="1:5" x14ac:dyDescent="0.3">
      <c r="A1271" s="2" t="s">
        <v>2600</v>
      </c>
      <c r="B1271" s="2" t="s">
        <v>5</v>
      </c>
      <c r="C1271" s="2" t="s">
        <v>2601</v>
      </c>
      <c r="D1271" s="2" t="s">
        <v>2579</v>
      </c>
      <c r="E1271" s="2" t="str">
        <f>HYPERLINK("https://talan.bank.gov.ua/get-user-certificate/sec1ebGDZM6ezM0Ykost","Завантажити сертифікат")</f>
        <v>Завантажити сертифікат</v>
      </c>
    </row>
    <row r="1272" spans="1:5" x14ac:dyDescent="0.3">
      <c r="A1272" s="2" t="s">
        <v>2602</v>
      </c>
      <c r="B1272" s="2" t="s">
        <v>5</v>
      </c>
      <c r="C1272" s="2" t="s">
        <v>2603</v>
      </c>
      <c r="D1272" s="2" t="s">
        <v>2579</v>
      </c>
      <c r="E1272" s="2" t="str">
        <f>HYPERLINK("https://talan.bank.gov.ua/get-user-certificate/sec1etBaZZZMeiTAsFnK","Завантажити сертифікат")</f>
        <v>Завантажити сертифікат</v>
      </c>
    </row>
    <row r="1273" spans="1:5" x14ac:dyDescent="0.3">
      <c r="A1273" s="2" t="s">
        <v>2604</v>
      </c>
      <c r="B1273" s="2" t="s">
        <v>5</v>
      </c>
      <c r="C1273" s="2" t="s">
        <v>2605</v>
      </c>
      <c r="D1273" s="2" t="s">
        <v>2579</v>
      </c>
      <c r="E1273" s="2" t="str">
        <f>HYPERLINK("https://talan.bank.gov.ua/get-user-certificate/sec1e2gwS_30e_qLG6KR","Завантажити сертифікат")</f>
        <v>Завантажити сертифікат</v>
      </c>
    </row>
    <row r="1274" spans="1:5" x14ac:dyDescent="0.3">
      <c r="A1274" s="2" t="s">
        <v>2606</v>
      </c>
      <c r="B1274" s="2" t="s">
        <v>5</v>
      </c>
      <c r="C1274" s="2" t="s">
        <v>2607</v>
      </c>
      <c r="D1274" s="2" t="s">
        <v>2579</v>
      </c>
      <c r="E1274" s="2" t="str">
        <f>HYPERLINK("https://talan.bank.gov.ua/get-user-certificate/sec1eO2SQtjCyDd8SHu-","Завантажити сертифікат")</f>
        <v>Завантажити сертифікат</v>
      </c>
    </row>
    <row r="1275" spans="1:5" x14ac:dyDescent="0.3">
      <c r="A1275" s="2" t="s">
        <v>2608</v>
      </c>
      <c r="B1275" s="2" t="s">
        <v>5</v>
      </c>
      <c r="C1275" s="2" t="s">
        <v>2609</v>
      </c>
      <c r="D1275" s="2" t="s">
        <v>2610</v>
      </c>
      <c r="E1275" s="2" t="str">
        <f>HYPERLINK("https://talan.bank.gov.ua/get-user-certificate/sec1ej45GvvIVWVicb_B","Завантажити сертифікат")</f>
        <v>Завантажити сертифікат</v>
      </c>
    </row>
    <row r="1276" spans="1:5" x14ac:dyDescent="0.3">
      <c r="A1276" s="2" t="s">
        <v>2611</v>
      </c>
      <c r="B1276" s="2" t="s">
        <v>5</v>
      </c>
      <c r="C1276" s="2" t="s">
        <v>2612</v>
      </c>
      <c r="D1276" s="2" t="s">
        <v>2613</v>
      </c>
      <c r="E1276" s="2" t="str">
        <f>HYPERLINK("https://talan.bank.gov.ua/get-user-certificate/sec1egqR2JlpPPXNEPaa","Завантажити сертифікат")</f>
        <v>Завантажити сертифікат</v>
      </c>
    </row>
    <row r="1277" spans="1:5" x14ac:dyDescent="0.3">
      <c r="A1277" s="2" t="s">
        <v>2614</v>
      </c>
      <c r="B1277" s="2" t="s">
        <v>5</v>
      </c>
      <c r="C1277" s="2" t="s">
        <v>2615</v>
      </c>
      <c r="D1277" s="2" t="s">
        <v>2613</v>
      </c>
      <c r="E1277" s="2" t="str">
        <f>HYPERLINK("https://talan.bank.gov.ua/get-user-certificate/sec1e4RH8s2dP6nru0pk","Завантажити сертифікат")</f>
        <v>Завантажити сертифікат</v>
      </c>
    </row>
    <row r="1278" spans="1:5" x14ac:dyDescent="0.3">
      <c r="A1278" s="2" t="s">
        <v>2616</v>
      </c>
      <c r="B1278" s="2" t="s">
        <v>5</v>
      </c>
      <c r="C1278" s="2" t="s">
        <v>2617</v>
      </c>
      <c r="D1278" s="2" t="s">
        <v>2613</v>
      </c>
      <c r="E1278" s="2" t="str">
        <f>HYPERLINK("https://talan.bank.gov.ua/get-user-certificate/sec1e2-pVH48Deth88a4","Завантажити сертифікат")</f>
        <v>Завантажити сертифікат</v>
      </c>
    </row>
    <row r="1279" spans="1:5" x14ac:dyDescent="0.3">
      <c r="A1279" s="2" t="s">
        <v>2618</v>
      </c>
      <c r="B1279" s="2" t="s">
        <v>5</v>
      </c>
      <c r="C1279" s="2" t="s">
        <v>2619</v>
      </c>
      <c r="D1279" s="2" t="s">
        <v>2613</v>
      </c>
      <c r="E1279" s="2" t="str">
        <f>HYPERLINK("https://talan.bank.gov.ua/get-user-certificate/sec1ewsbALw8c1LHJGVZ","Завантажити сертифікат")</f>
        <v>Завантажити сертифікат</v>
      </c>
    </row>
    <row r="1280" spans="1:5" x14ac:dyDescent="0.3">
      <c r="A1280" s="2" t="s">
        <v>2620</v>
      </c>
      <c r="B1280" s="2" t="s">
        <v>5</v>
      </c>
      <c r="C1280" s="2" t="s">
        <v>2621</v>
      </c>
      <c r="D1280" s="2" t="s">
        <v>2613</v>
      </c>
      <c r="E1280" s="2" t="str">
        <f>HYPERLINK("https://talan.bank.gov.ua/get-user-certificate/sec1efeI5MvgsdSbGtcC","Завантажити сертифікат")</f>
        <v>Завантажити сертифікат</v>
      </c>
    </row>
    <row r="1281" spans="1:5" x14ac:dyDescent="0.3">
      <c r="A1281" s="2" t="s">
        <v>2622</v>
      </c>
      <c r="B1281" s="2" t="s">
        <v>5</v>
      </c>
      <c r="C1281" s="2" t="s">
        <v>2623</v>
      </c>
      <c r="D1281" s="2" t="s">
        <v>2613</v>
      </c>
      <c r="E1281" s="2" t="str">
        <f>HYPERLINK("https://talan.bank.gov.ua/get-user-certificate/sec1efaq-1AYvpDfWRhC","Завантажити сертифікат")</f>
        <v>Завантажити сертифікат</v>
      </c>
    </row>
    <row r="1282" spans="1:5" x14ac:dyDescent="0.3">
      <c r="A1282" s="2" t="s">
        <v>2624</v>
      </c>
      <c r="B1282" s="2" t="s">
        <v>5</v>
      </c>
      <c r="C1282" s="2" t="s">
        <v>2625</v>
      </c>
      <c r="D1282" s="2" t="s">
        <v>2613</v>
      </c>
      <c r="E1282" s="2" t="str">
        <f>HYPERLINK("https://talan.bank.gov.ua/get-user-certificate/sec1e5MJSWhnJLJEeKCb","Завантажити сертифікат")</f>
        <v>Завантажити сертифікат</v>
      </c>
    </row>
    <row r="1283" spans="1:5" x14ac:dyDescent="0.3">
      <c r="A1283" s="2" t="s">
        <v>2626</v>
      </c>
      <c r="B1283" s="2" t="s">
        <v>5</v>
      </c>
      <c r="C1283" s="2" t="s">
        <v>2627</v>
      </c>
      <c r="D1283" s="2" t="s">
        <v>2628</v>
      </c>
      <c r="E1283" s="2" t="str">
        <f>HYPERLINK("https://talan.bank.gov.ua/get-user-certificate/sec1eb6MpaKXycRa30Yq","Завантажити сертифікат")</f>
        <v>Завантажити сертифікат</v>
      </c>
    </row>
    <row r="1284" spans="1:5" x14ac:dyDescent="0.3">
      <c r="A1284" s="2" t="s">
        <v>2629</v>
      </c>
      <c r="B1284" s="2" t="s">
        <v>5</v>
      </c>
      <c r="C1284" s="2" t="s">
        <v>2630</v>
      </c>
      <c r="D1284" s="2" t="s">
        <v>2628</v>
      </c>
      <c r="E1284" s="2" t="str">
        <f>HYPERLINK("https://talan.bank.gov.ua/get-user-certificate/sec1egV_h8vV0kVeRykM","Завантажити сертифікат")</f>
        <v>Завантажити сертифікат</v>
      </c>
    </row>
    <row r="1285" spans="1:5" x14ac:dyDescent="0.3">
      <c r="A1285" s="2" t="s">
        <v>2631</v>
      </c>
      <c r="B1285" s="2" t="s">
        <v>5</v>
      </c>
      <c r="C1285" s="2" t="s">
        <v>2632</v>
      </c>
      <c r="D1285" s="2" t="s">
        <v>2628</v>
      </c>
      <c r="E1285" s="2" t="str">
        <f>HYPERLINK("https://talan.bank.gov.ua/get-user-certificate/sec1e3DAOY31jXwsExxD","Завантажити сертифікат")</f>
        <v>Завантажити сертифікат</v>
      </c>
    </row>
    <row r="1286" spans="1:5" x14ac:dyDescent="0.3">
      <c r="A1286" s="2" t="s">
        <v>2633</v>
      </c>
      <c r="B1286" s="2" t="s">
        <v>5</v>
      </c>
      <c r="C1286" s="2" t="s">
        <v>2634</v>
      </c>
      <c r="D1286" s="2" t="s">
        <v>2628</v>
      </c>
      <c r="E1286" s="2" t="str">
        <f>HYPERLINK("https://talan.bank.gov.ua/get-user-certificate/sec1ecqcbzzUnMXcMxU3","Завантажити сертифікат")</f>
        <v>Завантажити сертифікат</v>
      </c>
    </row>
    <row r="1287" spans="1:5" x14ac:dyDescent="0.3">
      <c r="A1287" s="2" t="s">
        <v>2635</v>
      </c>
      <c r="B1287" s="2" t="s">
        <v>5</v>
      </c>
      <c r="C1287" s="2" t="s">
        <v>2636</v>
      </c>
      <c r="D1287" s="2" t="s">
        <v>2628</v>
      </c>
      <c r="E1287" s="2" t="str">
        <f>HYPERLINK("https://talan.bank.gov.ua/get-user-certificate/sec1epp9ytLq_rT0gxJM","Завантажити сертифікат")</f>
        <v>Завантажити сертифікат</v>
      </c>
    </row>
    <row r="1288" spans="1:5" x14ac:dyDescent="0.3">
      <c r="A1288" s="2" t="s">
        <v>2637</v>
      </c>
      <c r="B1288" s="2" t="s">
        <v>5</v>
      </c>
      <c r="C1288" s="2" t="s">
        <v>2638</v>
      </c>
      <c r="D1288" s="2" t="s">
        <v>2628</v>
      </c>
      <c r="E1288" s="2" t="str">
        <f>HYPERLINK("https://talan.bank.gov.ua/get-user-certificate/sec1ez-FLzjrKLx5fJHY","Завантажити сертифікат")</f>
        <v>Завантажити сертифікат</v>
      </c>
    </row>
    <row r="1289" spans="1:5" x14ac:dyDescent="0.3">
      <c r="A1289" s="2" t="s">
        <v>2639</v>
      </c>
      <c r="B1289" s="2" t="s">
        <v>5</v>
      </c>
      <c r="C1289" s="2" t="s">
        <v>2640</v>
      </c>
      <c r="D1289" s="2" t="s">
        <v>2628</v>
      </c>
      <c r="E1289" s="2" t="str">
        <f>HYPERLINK("https://talan.bank.gov.ua/get-user-certificate/sec1ednf8d5a9Tras3XB","Завантажити сертифікат")</f>
        <v>Завантажити сертифікат</v>
      </c>
    </row>
    <row r="1290" spans="1:5" x14ac:dyDescent="0.3">
      <c r="A1290" s="2" t="s">
        <v>2641</v>
      </c>
      <c r="B1290" s="2" t="s">
        <v>5</v>
      </c>
      <c r="C1290" s="2" t="s">
        <v>2642</v>
      </c>
      <c r="D1290" s="2" t="s">
        <v>2628</v>
      </c>
      <c r="E1290" s="2" t="str">
        <f>HYPERLINK("https://talan.bank.gov.ua/get-user-certificate/sec1efUBNWytPF93qHX8","Завантажити сертифікат")</f>
        <v>Завантажити сертифікат</v>
      </c>
    </row>
    <row r="1291" spans="1:5" x14ac:dyDescent="0.3">
      <c r="A1291" s="2" t="s">
        <v>2643</v>
      </c>
      <c r="B1291" s="2" t="s">
        <v>5</v>
      </c>
      <c r="C1291" s="2" t="s">
        <v>2644</v>
      </c>
      <c r="D1291" s="2" t="s">
        <v>2628</v>
      </c>
      <c r="E1291" s="2" t="str">
        <f>HYPERLINK("https://talan.bank.gov.ua/get-user-certificate/sec1ezPFe9E_EOqG9uYE","Завантажити сертифікат")</f>
        <v>Завантажити сертифікат</v>
      </c>
    </row>
    <row r="1292" spans="1:5" x14ac:dyDescent="0.3">
      <c r="A1292" s="2" t="s">
        <v>2645</v>
      </c>
      <c r="B1292" s="2" t="s">
        <v>5</v>
      </c>
      <c r="C1292" s="2" t="s">
        <v>2646</v>
      </c>
      <c r="D1292" s="2" t="s">
        <v>2628</v>
      </c>
      <c r="E1292" s="2" t="str">
        <f>HYPERLINK("https://talan.bank.gov.ua/get-user-certificate/sec1eDa62u8D_Zf4lSvF","Завантажити сертифікат")</f>
        <v>Завантажити сертифікат</v>
      </c>
    </row>
    <row r="1293" spans="1:5" x14ac:dyDescent="0.3">
      <c r="A1293" s="2" t="s">
        <v>2647</v>
      </c>
      <c r="B1293" s="2" t="s">
        <v>5</v>
      </c>
      <c r="C1293" s="2" t="s">
        <v>2648</v>
      </c>
      <c r="D1293" s="2" t="s">
        <v>2628</v>
      </c>
      <c r="E1293" s="2" t="str">
        <f>HYPERLINK("https://talan.bank.gov.ua/get-user-certificate/sec1eZ9LQIyCCNgL51wF","Завантажити сертифікат")</f>
        <v>Завантажити сертифікат</v>
      </c>
    </row>
    <row r="1294" spans="1:5" x14ac:dyDescent="0.3">
      <c r="A1294" s="2" t="s">
        <v>2649</v>
      </c>
      <c r="B1294" s="2" t="s">
        <v>5</v>
      </c>
      <c r="C1294" s="2" t="s">
        <v>2650</v>
      </c>
      <c r="D1294" s="2" t="s">
        <v>2628</v>
      </c>
      <c r="E1294" s="2" t="str">
        <f>HYPERLINK("https://talan.bank.gov.ua/get-user-certificate/sec1emGUf8sBliIrJ2CD","Завантажити сертифікат")</f>
        <v>Завантажити сертифікат</v>
      </c>
    </row>
    <row r="1295" spans="1:5" x14ac:dyDescent="0.3">
      <c r="A1295" s="2" t="s">
        <v>2651</v>
      </c>
      <c r="B1295" s="2" t="s">
        <v>5</v>
      </c>
      <c r="C1295" s="2" t="s">
        <v>2652</v>
      </c>
      <c r="D1295" s="2" t="s">
        <v>2628</v>
      </c>
      <c r="E1295" s="2" t="str">
        <f>HYPERLINK("https://talan.bank.gov.ua/get-user-certificate/sec1eNUV-dAy7Lumy4Dd","Завантажити сертифікат")</f>
        <v>Завантажити сертифікат</v>
      </c>
    </row>
    <row r="1296" spans="1:5" x14ac:dyDescent="0.3">
      <c r="A1296" s="2" t="s">
        <v>2653</v>
      </c>
      <c r="B1296" s="2" t="s">
        <v>5</v>
      </c>
      <c r="C1296" s="2" t="s">
        <v>2654</v>
      </c>
      <c r="D1296" s="2" t="s">
        <v>2628</v>
      </c>
      <c r="E1296" s="2" t="str">
        <f>HYPERLINK("https://talan.bank.gov.ua/get-user-certificate/sec1eQ8nETOb7mR0iKgL","Завантажити сертифікат")</f>
        <v>Завантажити сертифікат</v>
      </c>
    </row>
    <row r="1297" spans="1:5" x14ac:dyDescent="0.3">
      <c r="A1297" s="2" t="s">
        <v>2655</v>
      </c>
      <c r="B1297" s="2" t="s">
        <v>5</v>
      </c>
      <c r="C1297" s="2" t="s">
        <v>2656</v>
      </c>
      <c r="D1297" s="2" t="s">
        <v>2628</v>
      </c>
      <c r="E1297" s="2" t="str">
        <f>HYPERLINK("https://talan.bank.gov.ua/get-user-certificate/sec1eHp6pAr0N2uMGVT-","Завантажити сертифікат")</f>
        <v>Завантажити сертифікат</v>
      </c>
    </row>
    <row r="1298" spans="1:5" x14ac:dyDescent="0.3">
      <c r="A1298" s="2" t="s">
        <v>2657</v>
      </c>
      <c r="B1298" s="2" t="s">
        <v>5</v>
      </c>
      <c r="C1298" s="2" t="s">
        <v>2658</v>
      </c>
      <c r="D1298" s="2" t="s">
        <v>2628</v>
      </c>
      <c r="E1298" s="2" t="str">
        <f>HYPERLINK("https://talan.bank.gov.ua/get-user-certificate/sec1eBk8NJlsjsNDAvor","Завантажити сертифікат")</f>
        <v>Завантажити сертифікат</v>
      </c>
    </row>
    <row r="1299" spans="1:5" x14ac:dyDescent="0.3">
      <c r="A1299" s="2" t="s">
        <v>2659</v>
      </c>
      <c r="B1299" s="2" t="s">
        <v>5</v>
      </c>
      <c r="C1299" s="2" t="s">
        <v>2660</v>
      </c>
      <c r="D1299" s="2" t="s">
        <v>2628</v>
      </c>
      <c r="E1299" s="2" t="str">
        <f>HYPERLINK("https://talan.bank.gov.ua/get-user-certificate/sec1eE8sGM4xqTaPol0n","Завантажити сертифікат")</f>
        <v>Завантажити сертифікат</v>
      </c>
    </row>
    <row r="1300" spans="1:5" x14ac:dyDescent="0.3">
      <c r="A1300" s="2" t="s">
        <v>2661</v>
      </c>
      <c r="B1300" s="2" t="s">
        <v>5</v>
      </c>
      <c r="C1300" s="2" t="s">
        <v>2662</v>
      </c>
      <c r="D1300" s="2" t="s">
        <v>2628</v>
      </c>
      <c r="E1300" s="2" t="str">
        <f>HYPERLINK("https://talan.bank.gov.ua/get-user-certificate/sec1epmv-K29RXlx9qIU","Завантажити сертифікат")</f>
        <v>Завантажити сертифікат</v>
      </c>
    </row>
    <row r="1301" spans="1:5" x14ac:dyDescent="0.3">
      <c r="A1301" s="2" t="s">
        <v>2663</v>
      </c>
      <c r="B1301" s="2" t="s">
        <v>5</v>
      </c>
      <c r="C1301" s="2" t="s">
        <v>2664</v>
      </c>
      <c r="D1301" s="2" t="s">
        <v>2628</v>
      </c>
      <c r="E1301" s="2" t="str">
        <f>HYPERLINK("https://talan.bank.gov.ua/get-user-certificate/sec1eEnssOG9nntNa0xV","Завантажити сертифікат")</f>
        <v>Завантажити сертифікат</v>
      </c>
    </row>
    <row r="1302" spans="1:5" x14ac:dyDescent="0.3">
      <c r="A1302" s="2" t="s">
        <v>2665</v>
      </c>
      <c r="B1302" s="2" t="s">
        <v>5</v>
      </c>
      <c r="C1302" s="2" t="s">
        <v>2666</v>
      </c>
      <c r="D1302" s="2" t="s">
        <v>2628</v>
      </c>
      <c r="E1302" s="2" t="str">
        <f>HYPERLINK("https://talan.bank.gov.ua/get-user-certificate/sec1e62OJ9KglkLuIWeR","Завантажити сертифікат")</f>
        <v>Завантажити сертифікат</v>
      </c>
    </row>
    <row r="1303" spans="1:5" x14ac:dyDescent="0.3">
      <c r="A1303" s="2" t="s">
        <v>2667</v>
      </c>
      <c r="B1303" s="2" t="s">
        <v>5</v>
      </c>
      <c r="C1303" s="2" t="s">
        <v>2668</v>
      </c>
      <c r="D1303" s="2" t="s">
        <v>2669</v>
      </c>
      <c r="E1303" s="2" t="str">
        <f>HYPERLINK("https://talan.bank.gov.ua/get-user-certificate/sec1eRe53rqNBKcB-v_k","Завантажити сертифікат")</f>
        <v>Завантажити сертифікат</v>
      </c>
    </row>
    <row r="1304" spans="1:5" x14ac:dyDescent="0.3">
      <c r="A1304" s="2" t="s">
        <v>2670</v>
      </c>
      <c r="B1304" s="2" t="s">
        <v>5</v>
      </c>
      <c r="C1304" s="2" t="s">
        <v>2671</v>
      </c>
      <c r="D1304" s="2" t="s">
        <v>2669</v>
      </c>
      <c r="E1304" s="2" t="str">
        <f>HYPERLINK("https://talan.bank.gov.ua/get-user-certificate/sec1eNA88Lnht2c8cgSs","Завантажити сертифікат")</f>
        <v>Завантажити сертифікат</v>
      </c>
    </row>
    <row r="1305" spans="1:5" x14ac:dyDescent="0.3">
      <c r="A1305" s="2" t="s">
        <v>2672</v>
      </c>
      <c r="B1305" s="2" t="s">
        <v>5</v>
      </c>
      <c r="C1305" s="2" t="s">
        <v>2673</v>
      </c>
      <c r="D1305" s="2" t="s">
        <v>2669</v>
      </c>
      <c r="E1305" s="2" t="str">
        <f>HYPERLINK("https://talan.bank.gov.ua/get-user-certificate/sec1e--uSfGNN8VjcQlZ","Завантажити сертифікат")</f>
        <v>Завантажити сертифікат</v>
      </c>
    </row>
    <row r="1306" spans="1:5" x14ac:dyDescent="0.3">
      <c r="A1306" s="2" t="s">
        <v>2674</v>
      </c>
      <c r="B1306" s="2" t="s">
        <v>5</v>
      </c>
      <c r="C1306" s="2" t="s">
        <v>2675</v>
      </c>
      <c r="D1306" s="2" t="s">
        <v>2669</v>
      </c>
      <c r="E1306" s="2" t="str">
        <f>HYPERLINK("https://talan.bank.gov.ua/get-user-certificate/sec1eFaWb48-G8JtrVSA","Завантажити сертифікат")</f>
        <v>Завантажити сертифікат</v>
      </c>
    </row>
    <row r="1307" spans="1:5" x14ac:dyDescent="0.3">
      <c r="A1307" s="2" t="s">
        <v>2676</v>
      </c>
      <c r="B1307" s="2" t="s">
        <v>5</v>
      </c>
      <c r="C1307" s="2" t="s">
        <v>2677</v>
      </c>
      <c r="D1307" s="2" t="s">
        <v>2669</v>
      </c>
      <c r="E1307" s="2" t="str">
        <f>HYPERLINK("https://talan.bank.gov.ua/get-user-certificate/sec1eft-QqTTYOVzcaJR","Завантажити сертифікат")</f>
        <v>Завантажити сертифікат</v>
      </c>
    </row>
    <row r="1308" spans="1:5" x14ac:dyDescent="0.3">
      <c r="A1308" s="2" t="s">
        <v>2678</v>
      </c>
      <c r="B1308" s="2" t="s">
        <v>5</v>
      </c>
      <c r="C1308" s="2" t="s">
        <v>2679</v>
      </c>
      <c r="D1308" s="2" t="s">
        <v>2669</v>
      </c>
      <c r="E1308" s="2" t="str">
        <f>HYPERLINK("https://talan.bank.gov.ua/get-user-certificate/sec1ejW5x_jacRB4I3a4","Завантажити сертифікат")</f>
        <v>Завантажити сертифікат</v>
      </c>
    </row>
    <row r="1309" spans="1:5" x14ac:dyDescent="0.3">
      <c r="A1309" s="2" t="s">
        <v>2680</v>
      </c>
      <c r="B1309" s="2" t="s">
        <v>5</v>
      </c>
      <c r="C1309" s="2" t="s">
        <v>2681</v>
      </c>
      <c r="D1309" s="2" t="s">
        <v>2669</v>
      </c>
      <c r="E1309" s="2" t="str">
        <f>HYPERLINK("https://talan.bank.gov.ua/get-user-certificate/sec1e3rj2JGjnOysKL9l","Завантажити сертифікат")</f>
        <v>Завантажити сертифікат</v>
      </c>
    </row>
    <row r="1310" spans="1:5" x14ac:dyDescent="0.3">
      <c r="A1310" s="2" t="s">
        <v>2682</v>
      </c>
      <c r="B1310" s="2" t="s">
        <v>5</v>
      </c>
      <c r="C1310" s="2" t="s">
        <v>2683</v>
      </c>
      <c r="D1310" s="2" t="s">
        <v>2669</v>
      </c>
      <c r="E1310" s="2" t="str">
        <f>HYPERLINK("https://talan.bank.gov.ua/get-user-certificate/sec1eCRIeolhTr88mEEa","Завантажити сертифікат")</f>
        <v>Завантажити сертифікат</v>
      </c>
    </row>
    <row r="1311" spans="1:5" x14ac:dyDescent="0.3">
      <c r="A1311" s="2" t="s">
        <v>2684</v>
      </c>
      <c r="B1311" s="2" t="s">
        <v>5</v>
      </c>
      <c r="C1311" s="2" t="s">
        <v>2685</v>
      </c>
      <c r="D1311" s="2" t="s">
        <v>2669</v>
      </c>
      <c r="E1311" s="2" t="str">
        <f>HYPERLINK("https://talan.bank.gov.ua/get-user-certificate/sec1ek__sQL1rezt86z2","Завантажити сертифікат")</f>
        <v>Завантажити сертифікат</v>
      </c>
    </row>
    <row r="1312" spans="1:5" x14ac:dyDescent="0.3">
      <c r="A1312" s="2" t="s">
        <v>2686</v>
      </c>
      <c r="B1312" s="2" t="s">
        <v>5</v>
      </c>
      <c r="C1312" s="2" t="s">
        <v>2687</v>
      </c>
      <c r="D1312" s="2" t="s">
        <v>2669</v>
      </c>
      <c r="E1312" s="2" t="str">
        <f>HYPERLINK("https://talan.bank.gov.ua/get-user-certificate/sec1eqr8V8GueL2gcQsx","Завантажити сертифікат")</f>
        <v>Завантажити сертифікат</v>
      </c>
    </row>
    <row r="1313" spans="1:5" x14ac:dyDescent="0.3">
      <c r="A1313" s="2" t="s">
        <v>2688</v>
      </c>
      <c r="B1313" s="2" t="s">
        <v>5</v>
      </c>
      <c r="C1313" s="2" t="s">
        <v>2689</v>
      </c>
      <c r="D1313" s="2" t="s">
        <v>2669</v>
      </c>
      <c r="E1313" s="2" t="str">
        <f>HYPERLINK("https://talan.bank.gov.ua/get-user-certificate/sec1en822g7vRMVnIjKM","Завантажити сертифікат")</f>
        <v>Завантажити сертифікат</v>
      </c>
    </row>
    <row r="1314" spans="1:5" x14ac:dyDescent="0.3">
      <c r="A1314" s="2" t="s">
        <v>2690</v>
      </c>
      <c r="B1314" s="2" t="s">
        <v>5</v>
      </c>
      <c r="C1314" s="2" t="s">
        <v>2691</v>
      </c>
      <c r="D1314" s="2" t="s">
        <v>2669</v>
      </c>
      <c r="E1314" s="2" t="str">
        <f>HYPERLINK("https://talan.bank.gov.ua/get-user-certificate/sec1ee-RPjN9HQAANLP1","Завантажити сертифікат")</f>
        <v>Завантажити сертифікат</v>
      </c>
    </row>
    <row r="1315" spans="1:5" x14ac:dyDescent="0.3">
      <c r="A1315" s="2" t="s">
        <v>2692</v>
      </c>
      <c r="B1315" s="2" t="s">
        <v>5</v>
      </c>
      <c r="C1315" s="2" t="s">
        <v>2693</v>
      </c>
      <c r="D1315" s="2" t="s">
        <v>2669</v>
      </c>
      <c r="E1315" s="2" t="str">
        <f>HYPERLINK("https://talan.bank.gov.ua/get-user-certificate/sec1eqpnmYICUJlspZea","Завантажити сертифікат")</f>
        <v>Завантажити сертифікат</v>
      </c>
    </row>
    <row r="1316" spans="1:5" x14ac:dyDescent="0.3">
      <c r="A1316" s="2" t="s">
        <v>2694</v>
      </c>
      <c r="B1316" s="2" t="s">
        <v>5</v>
      </c>
      <c r="C1316" s="2" t="s">
        <v>2695</v>
      </c>
      <c r="D1316" s="2" t="s">
        <v>2669</v>
      </c>
      <c r="E1316" s="2" t="str">
        <f>HYPERLINK("https://talan.bank.gov.ua/get-user-certificate/sec1eW4baTAJ0Jism9RC","Завантажити сертифікат")</f>
        <v>Завантажити сертифікат</v>
      </c>
    </row>
    <row r="1317" spans="1:5" x14ac:dyDescent="0.3">
      <c r="A1317" s="2" t="s">
        <v>2696</v>
      </c>
      <c r="B1317" s="2" t="s">
        <v>5</v>
      </c>
      <c r="C1317" s="2" t="s">
        <v>2697</v>
      </c>
      <c r="D1317" s="2" t="s">
        <v>2669</v>
      </c>
      <c r="E1317" s="2" t="str">
        <f>HYPERLINK("https://talan.bank.gov.ua/get-user-certificate/sec1edYUW32UiVOkumzj","Завантажити сертифікат")</f>
        <v>Завантажити сертифікат</v>
      </c>
    </row>
    <row r="1318" spans="1:5" x14ac:dyDescent="0.3">
      <c r="A1318" s="2" t="s">
        <v>2698</v>
      </c>
      <c r="B1318" s="2" t="s">
        <v>5</v>
      </c>
      <c r="C1318" s="2" t="s">
        <v>2699</v>
      </c>
      <c r="D1318" s="2" t="s">
        <v>2669</v>
      </c>
      <c r="E1318" s="2" t="str">
        <f>HYPERLINK("https://talan.bank.gov.ua/get-user-certificate/sec1eNqojZC9_POUCvPR","Завантажити сертифікат")</f>
        <v>Завантажити сертифікат</v>
      </c>
    </row>
    <row r="1319" spans="1:5" x14ac:dyDescent="0.3">
      <c r="A1319" s="2" t="s">
        <v>2700</v>
      </c>
      <c r="B1319" s="2" t="s">
        <v>5</v>
      </c>
      <c r="C1319" s="2" t="s">
        <v>2701</v>
      </c>
      <c r="D1319" s="2" t="s">
        <v>2669</v>
      </c>
      <c r="E1319" s="2" t="str">
        <f>HYPERLINK("https://talan.bank.gov.ua/get-user-certificate/sec1e7C_IcgcYY6Q9gTG","Завантажити сертифікат")</f>
        <v>Завантажити сертифікат</v>
      </c>
    </row>
    <row r="1320" spans="1:5" x14ac:dyDescent="0.3">
      <c r="A1320" s="2" t="s">
        <v>2702</v>
      </c>
      <c r="B1320" s="2" t="s">
        <v>5</v>
      </c>
      <c r="C1320" s="2" t="s">
        <v>2703</v>
      </c>
      <c r="D1320" s="2" t="s">
        <v>2669</v>
      </c>
      <c r="E1320" s="2" t="str">
        <f>HYPERLINK("https://talan.bank.gov.ua/get-user-certificate/sec1es8H4CXVhnGP_uED","Завантажити сертифікат")</f>
        <v>Завантажити сертифікат</v>
      </c>
    </row>
    <row r="1321" spans="1:5" x14ac:dyDescent="0.3">
      <c r="A1321" s="2" t="s">
        <v>2704</v>
      </c>
      <c r="B1321" s="2" t="s">
        <v>5</v>
      </c>
      <c r="C1321" s="2" t="s">
        <v>2705</v>
      </c>
      <c r="D1321" s="2" t="s">
        <v>2669</v>
      </c>
      <c r="E1321" s="2" t="str">
        <f>HYPERLINK("https://talan.bank.gov.ua/get-user-certificate/sec1eTvlJJfFXSwiM2cT","Завантажити сертифікат")</f>
        <v>Завантажити сертифікат</v>
      </c>
    </row>
    <row r="1322" spans="1:5" x14ac:dyDescent="0.3">
      <c r="A1322" s="2" t="s">
        <v>2706</v>
      </c>
      <c r="B1322" s="2" t="s">
        <v>5</v>
      </c>
      <c r="C1322" s="2" t="s">
        <v>2707</v>
      </c>
      <c r="D1322" s="2" t="s">
        <v>2669</v>
      </c>
      <c r="E1322" s="2" t="str">
        <f>HYPERLINK("https://talan.bank.gov.ua/get-user-certificate/sec1ebbuAD2e1T6QWsww","Завантажити сертифікат")</f>
        <v>Завантажити сертифікат</v>
      </c>
    </row>
    <row r="1323" spans="1:5" x14ac:dyDescent="0.3">
      <c r="A1323" s="2" t="s">
        <v>2708</v>
      </c>
      <c r="B1323" s="2" t="s">
        <v>5</v>
      </c>
      <c r="C1323" s="2" t="s">
        <v>2709</v>
      </c>
      <c r="D1323" s="2" t="s">
        <v>2669</v>
      </c>
      <c r="E1323" s="2" t="str">
        <f>HYPERLINK("https://talan.bank.gov.ua/get-user-certificate/sec1eMQwgl1561Dk3lw0","Завантажити сертифікат")</f>
        <v>Завантажити сертифікат</v>
      </c>
    </row>
    <row r="1324" spans="1:5" x14ac:dyDescent="0.3">
      <c r="A1324" s="2" t="s">
        <v>2710</v>
      </c>
      <c r="B1324" s="2" t="s">
        <v>5</v>
      </c>
      <c r="C1324" s="2" t="s">
        <v>2711</v>
      </c>
      <c r="D1324" s="2" t="s">
        <v>2669</v>
      </c>
      <c r="E1324" s="2" t="str">
        <f>HYPERLINK("https://talan.bank.gov.ua/get-user-certificate/sec1eX9qdXljnX9mhBj3","Завантажити сертифікат")</f>
        <v>Завантажити сертифікат</v>
      </c>
    </row>
    <row r="1325" spans="1:5" x14ac:dyDescent="0.3">
      <c r="A1325" s="2" t="s">
        <v>2712</v>
      </c>
      <c r="B1325" s="2" t="s">
        <v>5</v>
      </c>
      <c r="C1325" s="2" t="s">
        <v>2713</v>
      </c>
      <c r="D1325" s="2" t="s">
        <v>2714</v>
      </c>
      <c r="E1325" s="2" t="str">
        <f>HYPERLINK("https://talan.bank.gov.ua/get-user-certificate/sec1eG-KLn2GIEL5sT3G","Завантажити сертифікат")</f>
        <v>Завантажити сертифікат</v>
      </c>
    </row>
    <row r="1326" spans="1:5" x14ac:dyDescent="0.3">
      <c r="A1326" s="2" t="s">
        <v>2715</v>
      </c>
      <c r="B1326" s="2" t="s">
        <v>5</v>
      </c>
      <c r="C1326" s="2" t="s">
        <v>2716</v>
      </c>
      <c r="D1326" s="2" t="s">
        <v>2714</v>
      </c>
      <c r="E1326" s="2" t="str">
        <f>HYPERLINK("https://talan.bank.gov.ua/get-user-certificate/sec1eMCbXXJoUsfErx0E","Завантажити сертифікат")</f>
        <v>Завантажити сертифікат</v>
      </c>
    </row>
    <row r="1327" spans="1:5" x14ac:dyDescent="0.3">
      <c r="A1327" s="2" t="s">
        <v>2717</v>
      </c>
      <c r="B1327" s="2" t="s">
        <v>5</v>
      </c>
      <c r="C1327" s="2" t="s">
        <v>2718</v>
      </c>
      <c r="D1327" s="2" t="s">
        <v>2714</v>
      </c>
      <c r="E1327" s="2" t="str">
        <f>HYPERLINK("https://talan.bank.gov.ua/get-user-certificate/sec1e5w17Z7ub9YYK87L","Завантажити сертифікат")</f>
        <v>Завантажити сертифікат</v>
      </c>
    </row>
    <row r="1328" spans="1:5" x14ac:dyDescent="0.3">
      <c r="A1328" s="2" t="s">
        <v>2719</v>
      </c>
      <c r="B1328" s="2" t="s">
        <v>5</v>
      </c>
      <c r="C1328" s="2" t="s">
        <v>2720</v>
      </c>
      <c r="D1328" s="2" t="s">
        <v>2714</v>
      </c>
      <c r="E1328" s="2" t="str">
        <f>HYPERLINK("https://talan.bank.gov.ua/get-user-certificate/sec1eOO693MkAKmAfPEC","Завантажити сертифікат")</f>
        <v>Завантажити сертифікат</v>
      </c>
    </row>
    <row r="1329" spans="1:5" x14ac:dyDescent="0.3">
      <c r="A1329" s="2" t="s">
        <v>2721</v>
      </c>
      <c r="B1329" s="2" t="s">
        <v>5</v>
      </c>
      <c r="C1329" s="2" t="s">
        <v>2722</v>
      </c>
      <c r="D1329" s="2" t="s">
        <v>2714</v>
      </c>
      <c r="E1329" s="2" t="str">
        <f>HYPERLINK("https://talan.bank.gov.ua/get-user-certificate/sec1eTQF_LsXrkd4DcBl","Завантажити сертифікат")</f>
        <v>Завантажити сертифікат</v>
      </c>
    </row>
    <row r="1330" spans="1:5" x14ac:dyDescent="0.3">
      <c r="A1330" s="2" t="s">
        <v>2723</v>
      </c>
      <c r="B1330" s="2" t="s">
        <v>5</v>
      </c>
      <c r="C1330" s="2" t="s">
        <v>2724</v>
      </c>
      <c r="D1330" s="2" t="s">
        <v>2714</v>
      </c>
      <c r="E1330" s="2" t="str">
        <f>HYPERLINK("https://talan.bank.gov.ua/get-user-certificate/sec1eQ8V2cC7-OH6OvNs","Завантажити сертифікат")</f>
        <v>Завантажити сертифікат</v>
      </c>
    </row>
    <row r="1331" spans="1:5" x14ac:dyDescent="0.3">
      <c r="A1331" s="2" t="s">
        <v>2725</v>
      </c>
      <c r="B1331" s="2" t="s">
        <v>5</v>
      </c>
      <c r="C1331" s="2" t="s">
        <v>2726</v>
      </c>
      <c r="D1331" s="2" t="s">
        <v>2727</v>
      </c>
      <c r="E1331" s="2" t="str">
        <f>HYPERLINK("https://talan.bank.gov.ua/get-user-certificate/sec1e5_SBj2o7gBqXhFF","Завантажити сертифікат")</f>
        <v>Завантажити сертифікат</v>
      </c>
    </row>
    <row r="1332" spans="1:5" x14ac:dyDescent="0.3">
      <c r="A1332" s="2" t="s">
        <v>2728</v>
      </c>
      <c r="B1332" s="2" t="s">
        <v>5</v>
      </c>
      <c r="C1332" s="2" t="s">
        <v>2729</v>
      </c>
      <c r="D1332" s="2" t="s">
        <v>2727</v>
      </c>
      <c r="E1332" s="2" t="str">
        <f>HYPERLINK("https://talan.bank.gov.ua/get-user-certificate/sec1es91d63R7I_wci7q","Завантажити сертифікат")</f>
        <v>Завантажити сертифікат</v>
      </c>
    </row>
    <row r="1333" spans="1:5" x14ac:dyDescent="0.3">
      <c r="A1333" s="2" t="s">
        <v>2730</v>
      </c>
      <c r="B1333" s="2" t="s">
        <v>5</v>
      </c>
      <c r="C1333" s="2" t="s">
        <v>2731</v>
      </c>
      <c r="D1333" s="2" t="s">
        <v>2727</v>
      </c>
      <c r="E1333" s="2" t="str">
        <f>HYPERLINK("https://talan.bank.gov.ua/get-user-certificate/sec1enrbEBbyzqN3jUzk","Завантажити сертифікат")</f>
        <v>Завантажити сертифікат</v>
      </c>
    </row>
    <row r="1334" spans="1:5" x14ac:dyDescent="0.3">
      <c r="A1334" s="2" t="s">
        <v>2732</v>
      </c>
      <c r="B1334" s="2" t="s">
        <v>5</v>
      </c>
      <c r="C1334" s="2" t="s">
        <v>2733</v>
      </c>
      <c r="D1334" s="2" t="s">
        <v>2727</v>
      </c>
      <c r="E1334" s="2" t="str">
        <f>HYPERLINK("https://talan.bank.gov.ua/get-user-certificate/sec1ewcXjuUhQwgp0ZVW","Завантажити сертифікат")</f>
        <v>Завантажити сертифікат</v>
      </c>
    </row>
    <row r="1335" spans="1:5" x14ac:dyDescent="0.3">
      <c r="A1335" s="2" t="s">
        <v>2734</v>
      </c>
      <c r="B1335" s="2" t="s">
        <v>5</v>
      </c>
      <c r="C1335" s="2" t="s">
        <v>2735</v>
      </c>
      <c r="D1335" s="2" t="s">
        <v>2727</v>
      </c>
      <c r="E1335" s="2" t="str">
        <f>HYPERLINK("https://talan.bank.gov.ua/get-user-certificate/sec1eddp49wm7GnYToap","Завантажити сертифікат")</f>
        <v>Завантажити сертифікат</v>
      </c>
    </row>
    <row r="1336" spans="1:5" x14ac:dyDescent="0.3">
      <c r="A1336" s="2" t="s">
        <v>2736</v>
      </c>
      <c r="B1336" s="2" t="s">
        <v>5</v>
      </c>
      <c r="C1336" s="2" t="s">
        <v>2737</v>
      </c>
      <c r="D1336" s="2" t="s">
        <v>2727</v>
      </c>
      <c r="E1336" s="2" t="str">
        <f>HYPERLINK("https://talan.bank.gov.ua/get-user-certificate/sec1e2mwkYdSVMXXALFL","Завантажити сертифікат")</f>
        <v>Завантажити сертифікат</v>
      </c>
    </row>
    <row r="1337" spans="1:5" x14ac:dyDescent="0.3">
      <c r="A1337" s="2" t="s">
        <v>2738</v>
      </c>
      <c r="B1337" s="2" t="s">
        <v>5</v>
      </c>
      <c r="C1337" s="2" t="s">
        <v>2739</v>
      </c>
      <c r="D1337" s="2" t="s">
        <v>2727</v>
      </c>
      <c r="E1337" s="2" t="str">
        <f>HYPERLINK("https://talan.bank.gov.ua/get-user-certificate/sec1e0mkJkRDvJ5B3yIj","Завантажити сертифікат")</f>
        <v>Завантажити сертифікат</v>
      </c>
    </row>
    <row r="1338" spans="1:5" x14ac:dyDescent="0.3">
      <c r="A1338" s="2" t="s">
        <v>2740</v>
      </c>
      <c r="B1338" s="2" t="s">
        <v>5</v>
      </c>
      <c r="C1338" s="2" t="s">
        <v>2741</v>
      </c>
      <c r="D1338" s="2" t="s">
        <v>2727</v>
      </c>
      <c r="E1338" s="2" t="str">
        <f>HYPERLINK("https://talan.bank.gov.ua/get-user-certificate/sec1eaHtamRDPPv8lKw-","Завантажити сертифікат")</f>
        <v>Завантажити сертифікат</v>
      </c>
    </row>
    <row r="1339" spans="1:5" x14ac:dyDescent="0.3">
      <c r="A1339" s="2" t="s">
        <v>2742</v>
      </c>
      <c r="B1339" s="2" t="s">
        <v>5</v>
      </c>
      <c r="C1339" s="2" t="s">
        <v>2743</v>
      </c>
      <c r="D1339" s="2" t="s">
        <v>2727</v>
      </c>
      <c r="E1339" s="2" t="str">
        <f>HYPERLINK("https://talan.bank.gov.ua/get-user-certificate/sec1eLqjmF5TlQGvbSby","Завантажити сертифікат")</f>
        <v>Завантажити сертифікат</v>
      </c>
    </row>
    <row r="1340" spans="1:5" x14ac:dyDescent="0.3">
      <c r="A1340" s="2" t="s">
        <v>2744</v>
      </c>
      <c r="B1340" s="2" t="s">
        <v>5</v>
      </c>
      <c r="C1340" s="2" t="s">
        <v>2745</v>
      </c>
      <c r="D1340" s="2" t="s">
        <v>2727</v>
      </c>
      <c r="E1340" s="2" t="str">
        <f>HYPERLINK("https://talan.bank.gov.ua/get-user-certificate/sec1ePqSnk3w6QzAcTSl","Завантажити сертифікат")</f>
        <v>Завантажити сертифікат</v>
      </c>
    </row>
    <row r="1341" spans="1:5" x14ac:dyDescent="0.3">
      <c r="A1341" s="2" t="s">
        <v>2746</v>
      </c>
      <c r="B1341" s="2" t="s">
        <v>5</v>
      </c>
      <c r="C1341" s="2" t="s">
        <v>2747</v>
      </c>
      <c r="D1341" s="2" t="s">
        <v>2727</v>
      </c>
      <c r="E1341" s="2" t="str">
        <f>HYPERLINK("https://talan.bank.gov.ua/get-user-certificate/sec1eypAeanFFAH99qpE","Завантажити сертифікат")</f>
        <v>Завантажити сертифікат</v>
      </c>
    </row>
    <row r="1342" spans="1:5" x14ac:dyDescent="0.3">
      <c r="A1342" s="2" t="s">
        <v>2748</v>
      </c>
      <c r="B1342" s="2" t="s">
        <v>5</v>
      </c>
      <c r="C1342" s="2" t="s">
        <v>2749</v>
      </c>
      <c r="D1342" s="2" t="s">
        <v>2727</v>
      </c>
      <c r="E1342" s="2" t="str">
        <f>HYPERLINK("https://talan.bank.gov.ua/get-user-certificate/sec1e1WS733Z2IhzYMeU","Завантажити сертифікат")</f>
        <v>Завантажити сертифікат</v>
      </c>
    </row>
    <row r="1343" spans="1:5" x14ac:dyDescent="0.3">
      <c r="A1343" s="2" t="s">
        <v>2750</v>
      </c>
      <c r="B1343" s="2" t="s">
        <v>5</v>
      </c>
      <c r="C1343" s="2" t="s">
        <v>2751</v>
      </c>
      <c r="D1343" s="2" t="s">
        <v>2752</v>
      </c>
      <c r="E1343" s="2" t="str">
        <f>HYPERLINK("https://talan.bank.gov.ua/get-user-certificate/sec1eekzuogPecZqOHOJ","Завантажити сертифікат")</f>
        <v>Завантажити сертифікат</v>
      </c>
    </row>
    <row r="1344" spans="1:5" x14ac:dyDescent="0.3">
      <c r="A1344" s="2" t="s">
        <v>2753</v>
      </c>
      <c r="B1344" s="2" t="s">
        <v>5</v>
      </c>
      <c r="C1344" s="2" t="s">
        <v>2754</v>
      </c>
      <c r="D1344" s="2" t="s">
        <v>2752</v>
      </c>
      <c r="E1344" s="2" t="str">
        <f>HYPERLINK("https://talan.bank.gov.ua/get-user-certificate/sec1eu4IFIU8pOOyXvmS","Завантажити сертифікат")</f>
        <v>Завантажити сертифікат</v>
      </c>
    </row>
    <row r="1345" spans="1:5" x14ac:dyDescent="0.3">
      <c r="A1345" s="2" t="s">
        <v>2755</v>
      </c>
      <c r="B1345" s="2" t="s">
        <v>5</v>
      </c>
      <c r="C1345" s="2" t="s">
        <v>2756</v>
      </c>
      <c r="D1345" s="2" t="s">
        <v>2752</v>
      </c>
      <c r="E1345" s="2" t="str">
        <f>HYPERLINK("https://talan.bank.gov.ua/get-user-certificate/sec1e0Q_N9GzCopzRvY_","Завантажити сертифікат")</f>
        <v>Завантажити сертифікат</v>
      </c>
    </row>
    <row r="1346" spans="1:5" x14ac:dyDescent="0.3">
      <c r="A1346" s="2" t="s">
        <v>2757</v>
      </c>
      <c r="B1346" s="2" t="s">
        <v>5</v>
      </c>
      <c r="C1346" s="2" t="s">
        <v>2758</v>
      </c>
      <c r="D1346" s="2" t="s">
        <v>2752</v>
      </c>
      <c r="E1346" s="2" t="str">
        <f>HYPERLINK("https://talan.bank.gov.ua/get-user-certificate/sec1eduj9D9PC80vm2Y7","Завантажити сертифікат")</f>
        <v>Завантажити сертифікат</v>
      </c>
    </row>
    <row r="1347" spans="1:5" x14ac:dyDescent="0.3">
      <c r="A1347" s="2" t="s">
        <v>2759</v>
      </c>
      <c r="B1347" s="2" t="s">
        <v>5</v>
      </c>
      <c r="C1347" s="2" t="s">
        <v>2760</v>
      </c>
      <c r="D1347" s="2" t="s">
        <v>2752</v>
      </c>
      <c r="E1347" s="2" t="str">
        <f>HYPERLINK("https://talan.bank.gov.ua/get-user-certificate/sec1e-L5aRPgJ7IwNFIK","Завантажити сертифікат")</f>
        <v>Завантажити сертифікат</v>
      </c>
    </row>
    <row r="1348" spans="1:5" x14ac:dyDescent="0.3">
      <c r="A1348" s="2" t="s">
        <v>2761</v>
      </c>
      <c r="B1348" s="2" t="s">
        <v>5</v>
      </c>
      <c r="C1348" s="2" t="s">
        <v>2762</v>
      </c>
      <c r="D1348" s="2" t="s">
        <v>2752</v>
      </c>
      <c r="E1348" s="2" t="str">
        <f>HYPERLINK("https://talan.bank.gov.ua/get-user-certificate/sec1eSwTvnEuG9Y2qagK","Завантажити сертифікат")</f>
        <v>Завантажити сертифікат</v>
      </c>
    </row>
    <row r="1349" spans="1:5" x14ac:dyDescent="0.3">
      <c r="A1349" s="2" t="s">
        <v>2763</v>
      </c>
      <c r="B1349" s="2" t="s">
        <v>5</v>
      </c>
      <c r="C1349" s="2" t="s">
        <v>2764</v>
      </c>
      <c r="D1349" s="2" t="s">
        <v>2752</v>
      </c>
      <c r="E1349" s="2" t="str">
        <f>HYPERLINK("https://talan.bank.gov.ua/get-user-certificate/sec1eBndzRJB5YmRii7z","Завантажити сертифікат")</f>
        <v>Завантажити сертифікат</v>
      </c>
    </row>
    <row r="1350" spans="1:5" x14ac:dyDescent="0.3">
      <c r="A1350" s="2" t="s">
        <v>2765</v>
      </c>
      <c r="B1350" s="2" t="s">
        <v>5</v>
      </c>
      <c r="C1350" s="2" t="s">
        <v>2766</v>
      </c>
      <c r="D1350" s="2" t="s">
        <v>2752</v>
      </c>
      <c r="E1350" s="2" t="str">
        <f>HYPERLINK("https://talan.bank.gov.ua/get-user-certificate/sec1egdETDO-gDR0y5Wm","Завантажити сертифікат")</f>
        <v>Завантажити сертифікат</v>
      </c>
    </row>
    <row r="1351" spans="1:5" x14ac:dyDescent="0.3">
      <c r="A1351" s="2" t="s">
        <v>2767</v>
      </c>
      <c r="B1351" s="2" t="s">
        <v>5</v>
      </c>
      <c r="C1351" s="2" t="s">
        <v>2768</v>
      </c>
      <c r="D1351" s="2" t="s">
        <v>2752</v>
      </c>
      <c r="E1351" s="2" t="str">
        <f>HYPERLINK("https://talan.bank.gov.ua/get-user-certificate/sec1eXAxp9BW-lLcOCAp","Завантажити сертифікат")</f>
        <v>Завантажити сертифікат</v>
      </c>
    </row>
    <row r="1352" spans="1:5" x14ac:dyDescent="0.3">
      <c r="A1352" s="2" t="s">
        <v>2769</v>
      </c>
      <c r="B1352" s="2" t="s">
        <v>5</v>
      </c>
      <c r="C1352" s="2" t="s">
        <v>2770</v>
      </c>
      <c r="D1352" s="2" t="s">
        <v>2752</v>
      </c>
      <c r="E1352" s="2" t="str">
        <f>HYPERLINK("https://talan.bank.gov.ua/get-user-certificate/sec1eVqj0cya_qXj4L2M","Завантажити сертифікат")</f>
        <v>Завантажити сертифікат</v>
      </c>
    </row>
    <row r="1353" spans="1:5" x14ac:dyDescent="0.3">
      <c r="A1353" s="2" t="s">
        <v>2771</v>
      </c>
      <c r="B1353" s="2" t="s">
        <v>5</v>
      </c>
      <c r="C1353" s="2" t="s">
        <v>2772</v>
      </c>
      <c r="D1353" s="2" t="s">
        <v>2752</v>
      </c>
      <c r="E1353" s="2" t="str">
        <f>HYPERLINK("https://talan.bank.gov.ua/get-user-certificate/sec1eMectONRk1flpm9T","Завантажити сертифікат")</f>
        <v>Завантажити сертифікат</v>
      </c>
    </row>
    <row r="1354" spans="1:5" x14ac:dyDescent="0.3">
      <c r="A1354" s="2" t="s">
        <v>2773</v>
      </c>
      <c r="B1354" s="2" t="s">
        <v>5</v>
      </c>
      <c r="C1354" s="2" t="s">
        <v>2774</v>
      </c>
      <c r="D1354" s="2" t="s">
        <v>2752</v>
      </c>
      <c r="E1354" s="2" t="str">
        <f>HYPERLINK("https://talan.bank.gov.ua/get-user-certificate/sec1eVOHHCLOgoqKADDm","Завантажити сертифікат")</f>
        <v>Завантажити сертифікат</v>
      </c>
    </row>
    <row r="1355" spans="1:5" x14ac:dyDescent="0.3">
      <c r="A1355" s="2" t="s">
        <v>2775</v>
      </c>
      <c r="B1355" s="2" t="s">
        <v>5</v>
      </c>
      <c r="C1355" s="2" t="s">
        <v>2776</v>
      </c>
      <c r="D1355" s="2" t="s">
        <v>2752</v>
      </c>
      <c r="E1355" s="2" t="str">
        <f>HYPERLINK("https://talan.bank.gov.ua/get-user-certificate/sec1ePEYHAXcXvT1idRq","Завантажити сертифікат")</f>
        <v>Завантажити сертифікат</v>
      </c>
    </row>
    <row r="1356" spans="1:5" x14ac:dyDescent="0.3">
      <c r="A1356" s="2" t="s">
        <v>2777</v>
      </c>
      <c r="B1356" s="2" t="s">
        <v>5</v>
      </c>
      <c r="C1356" s="2" t="s">
        <v>2778</v>
      </c>
      <c r="D1356" s="2" t="s">
        <v>2752</v>
      </c>
      <c r="E1356" s="2" t="str">
        <f>HYPERLINK("https://talan.bank.gov.ua/get-user-certificate/sec1eyi5u_Qb4Qvm4MPe","Завантажити сертифікат")</f>
        <v>Завантажити сертифікат</v>
      </c>
    </row>
    <row r="1357" spans="1:5" x14ac:dyDescent="0.3">
      <c r="A1357" s="2" t="s">
        <v>2779</v>
      </c>
      <c r="B1357" s="2" t="s">
        <v>5</v>
      </c>
      <c r="C1357" s="2" t="s">
        <v>2780</v>
      </c>
      <c r="D1357" s="2" t="s">
        <v>2752</v>
      </c>
      <c r="E1357" s="2" t="str">
        <f>HYPERLINK("https://talan.bank.gov.ua/get-user-certificate/sec1eXFYGmOTPKH-IIGj","Завантажити сертифікат")</f>
        <v>Завантажити сертифікат</v>
      </c>
    </row>
    <row r="1358" spans="1:5" x14ac:dyDescent="0.3">
      <c r="A1358" s="2" t="s">
        <v>2781</v>
      </c>
      <c r="B1358" s="2" t="s">
        <v>5</v>
      </c>
      <c r="C1358" s="2" t="s">
        <v>2782</v>
      </c>
      <c r="D1358" s="2" t="s">
        <v>2752</v>
      </c>
      <c r="E1358" s="2" t="str">
        <f>HYPERLINK("https://talan.bank.gov.ua/get-user-certificate/sec1e916EA5A_UsdyyN0","Завантажити сертифікат")</f>
        <v>Завантажити сертифікат</v>
      </c>
    </row>
    <row r="1359" spans="1:5" x14ac:dyDescent="0.3">
      <c r="A1359" s="2" t="s">
        <v>2783</v>
      </c>
      <c r="B1359" s="2" t="s">
        <v>5</v>
      </c>
      <c r="C1359" s="2" t="s">
        <v>2784</v>
      </c>
      <c r="D1359" s="2" t="s">
        <v>2752</v>
      </c>
      <c r="E1359" s="2" t="str">
        <f>HYPERLINK("https://talan.bank.gov.ua/get-user-certificate/sec1eTEu4092PRbsm36F","Завантажити сертифікат")</f>
        <v>Завантажити сертифікат</v>
      </c>
    </row>
    <row r="1360" spans="1:5" x14ac:dyDescent="0.3">
      <c r="A1360" s="2" t="s">
        <v>2785</v>
      </c>
      <c r="B1360" s="2" t="s">
        <v>5</v>
      </c>
      <c r="C1360" s="2" t="s">
        <v>2786</v>
      </c>
      <c r="D1360" s="2" t="s">
        <v>2752</v>
      </c>
      <c r="E1360" s="2" t="str">
        <f>HYPERLINK("https://talan.bank.gov.ua/get-user-certificate/sec1eM0x1SWGswcrSJUM","Завантажити сертифікат")</f>
        <v>Завантажити сертифікат</v>
      </c>
    </row>
    <row r="1361" spans="1:5" x14ac:dyDescent="0.3">
      <c r="A1361" s="2" t="s">
        <v>2787</v>
      </c>
      <c r="B1361" s="2" t="s">
        <v>5</v>
      </c>
      <c r="C1361" s="2" t="s">
        <v>2788</v>
      </c>
      <c r="D1361" s="2" t="s">
        <v>2789</v>
      </c>
      <c r="E1361" s="2" t="str">
        <f>HYPERLINK("https://talan.bank.gov.ua/get-user-certificate/sec1eJxkt80vg2ighKEX","Завантажити сертифікат")</f>
        <v>Завантажити сертифікат</v>
      </c>
    </row>
    <row r="1362" spans="1:5" x14ac:dyDescent="0.3">
      <c r="A1362" s="2" t="s">
        <v>2790</v>
      </c>
      <c r="B1362" s="2" t="s">
        <v>5</v>
      </c>
      <c r="C1362" s="2" t="s">
        <v>2791</v>
      </c>
      <c r="D1362" s="2" t="s">
        <v>2789</v>
      </c>
      <c r="E1362" s="2" t="str">
        <f>HYPERLINK("https://talan.bank.gov.ua/get-user-certificate/sec1e_I9X_FSObw_86WU","Завантажити сертифікат")</f>
        <v>Завантажити сертифікат</v>
      </c>
    </row>
    <row r="1363" spans="1:5" x14ac:dyDescent="0.3">
      <c r="A1363" s="2" t="s">
        <v>2792</v>
      </c>
      <c r="B1363" s="2" t="s">
        <v>5</v>
      </c>
      <c r="C1363" s="2" t="s">
        <v>2793</v>
      </c>
      <c r="D1363" s="2" t="s">
        <v>2789</v>
      </c>
      <c r="E1363" s="2" t="str">
        <f>HYPERLINK("https://talan.bank.gov.ua/get-user-certificate/sec1eHnihM4wzto3Rrwg","Завантажити сертифікат")</f>
        <v>Завантажити сертифікат</v>
      </c>
    </row>
    <row r="1364" spans="1:5" x14ac:dyDescent="0.3">
      <c r="A1364" s="2" t="s">
        <v>2794</v>
      </c>
      <c r="B1364" s="2" t="s">
        <v>5</v>
      </c>
      <c r="C1364" s="2" t="s">
        <v>2795</v>
      </c>
      <c r="D1364" s="2" t="s">
        <v>2796</v>
      </c>
      <c r="E1364" s="2" t="str">
        <f>HYPERLINK("https://talan.bank.gov.ua/get-user-certificate/sec1eDjPX8oe1iFRPt4m","Завантажити сертифікат")</f>
        <v>Завантажити сертифікат</v>
      </c>
    </row>
    <row r="1365" spans="1:5" x14ac:dyDescent="0.3">
      <c r="A1365" s="2" t="s">
        <v>2797</v>
      </c>
      <c r="B1365" s="2" t="s">
        <v>5</v>
      </c>
      <c r="C1365" s="2" t="s">
        <v>2798</v>
      </c>
      <c r="D1365" s="2" t="s">
        <v>2796</v>
      </c>
      <c r="E1365" s="2" t="str">
        <f>HYPERLINK("https://talan.bank.gov.ua/get-user-certificate/sec1eL2Z0Rce-sfH_lRH","Завантажити сертифікат")</f>
        <v>Завантажити сертифікат</v>
      </c>
    </row>
    <row r="1366" spans="1:5" x14ac:dyDescent="0.3">
      <c r="A1366" s="2" t="s">
        <v>2799</v>
      </c>
      <c r="B1366" s="2" t="s">
        <v>5</v>
      </c>
      <c r="C1366" s="2" t="s">
        <v>2800</v>
      </c>
      <c r="D1366" s="2" t="s">
        <v>2796</v>
      </c>
      <c r="E1366" s="2" t="str">
        <f>HYPERLINK("https://talan.bank.gov.ua/get-user-certificate/sec1ehi8tF8bGOn319ti","Завантажити сертифікат")</f>
        <v>Завантажити сертифікат</v>
      </c>
    </row>
    <row r="1367" spans="1:5" x14ac:dyDescent="0.3">
      <c r="A1367" s="2" t="s">
        <v>2801</v>
      </c>
      <c r="B1367" s="2" t="s">
        <v>5</v>
      </c>
      <c r="C1367" s="2" t="s">
        <v>2802</v>
      </c>
      <c r="D1367" s="2" t="s">
        <v>2796</v>
      </c>
      <c r="E1367" s="2" t="str">
        <f>HYPERLINK("https://talan.bank.gov.ua/get-user-certificate/sec1eupaqmSKdJ5CNtKP","Завантажити сертифікат")</f>
        <v>Завантажити сертифікат</v>
      </c>
    </row>
    <row r="1368" spans="1:5" x14ac:dyDescent="0.3">
      <c r="A1368" s="2" t="s">
        <v>2803</v>
      </c>
      <c r="B1368" s="2" t="s">
        <v>5</v>
      </c>
      <c r="C1368" s="2" t="s">
        <v>2804</v>
      </c>
      <c r="D1368" s="2" t="s">
        <v>2796</v>
      </c>
      <c r="E1368" s="2" t="str">
        <f>HYPERLINK("https://talan.bank.gov.ua/get-user-certificate/sec1e_8kbtoxs42kB3Pu","Завантажити сертифікат")</f>
        <v>Завантажити сертифікат</v>
      </c>
    </row>
    <row r="1369" spans="1:5" x14ac:dyDescent="0.3">
      <c r="A1369" s="2" t="s">
        <v>2805</v>
      </c>
      <c r="B1369" s="2" t="s">
        <v>5</v>
      </c>
      <c r="C1369" s="2" t="s">
        <v>2806</v>
      </c>
      <c r="D1369" s="2" t="s">
        <v>2796</v>
      </c>
      <c r="E1369" s="2" t="str">
        <f>HYPERLINK("https://talan.bank.gov.ua/get-user-certificate/sec1ewPDf3DWf26YgOAb","Завантажити сертифікат")</f>
        <v>Завантажити сертифікат</v>
      </c>
    </row>
    <row r="1370" spans="1:5" x14ac:dyDescent="0.3">
      <c r="A1370" s="2" t="s">
        <v>2807</v>
      </c>
      <c r="B1370" s="2" t="s">
        <v>5</v>
      </c>
      <c r="C1370" s="2" t="s">
        <v>2808</v>
      </c>
      <c r="D1370" s="2" t="s">
        <v>2796</v>
      </c>
      <c r="E1370" s="2" t="str">
        <f>HYPERLINK("https://talan.bank.gov.ua/get-user-certificate/sec1eL0HktWrD19FzU1i","Завантажити сертифікат")</f>
        <v>Завантажити сертифікат</v>
      </c>
    </row>
    <row r="1371" spans="1:5" x14ac:dyDescent="0.3">
      <c r="A1371" s="2" t="s">
        <v>2809</v>
      </c>
      <c r="B1371" s="2" t="s">
        <v>5</v>
      </c>
      <c r="C1371" s="2" t="s">
        <v>2810</v>
      </c>
      <c r="D1371" s="2" t="s">
        <v>2796</v>
      </c>
      <c r="E1371" s="2" t="str">
        <f>HYPERLINK("https://talan.bank.gov.ua/get-user-certificate/sec1e0mBivgiMgC2NwCB","Завантажити сертифікат")</f>
        <v>Завантажити сертифікат</v>
      </c>
    </row>
    <row r="1372" spans="1:5" x14ac:dyDescent="0.3">
      <c r="A1372" s="2" t="s">
        <v>2811</v>
      </c>
      <c r="B1372" s="2" t="s">
        <v>5</v>
      </c>
      <c r="C1372" s="2" t="s">
        <v>2812</v>
      </c>
      <c r="D1372" s="2" t="s">
        <v>2796</v>
      </c>
      <c r="E1372" s="2" t="str">
        <f>HYPERLINK("https://talan.bank.gov.ua/get-user-certificate/sec1e48CrqwD-yqnuKUV","Завантажити сертифікат")</f>
        <v>Завантажити сертифікат</v>
      </c>
    </row>
    <row r="1373" spans="1:5" x14ac:dyDescent="0.3">
      <c r="A1373" s="2" t="s">
        <v>2813</v>
      </c>
      <c r="B1373" s="2" t="s">
        <v>5</v>
      </c>
      <c r="C1373" s="2" t="s">
        <v>2814</v>
      </c>
      <c r="D1373" s="2" t="s">
        <v>2796</v>
      </c>
      <c r="E1373" s="2" t="str">
        <f>HYPERLINK("https://talan.bank.gov.ua/get-user-certificate/sec1eH1l4U_AEYHBdoI3","Завантажити сертифікат")</f>
        <v>Завантажити сертифікат</v>
      </c>
    </row>
    <row r="1374" spans="1:5" x14ac:dyDescent="0.3">
      <c r="A1374" s="2" t="s">
        <v>2815</v>
      </c>
      <c r="B1374" s="2" t="s">
        <v>5</v>
      </c>
      <c r="C1374" s="2" t="s">
        <v>2816</v>
      </c>
      <c r="D1374" s="2" t="s">
        <v>2796</v>
      </c>
      <c r="E1374" s="2" t="str">
        <f>HYPERLINK("https://talan.bank.gov.ua/get-user-certificate/sec1e7Rd_5-Svzaradk7","Завантажити сертифікат")</f>
        <v>Завантажити сертифікат</v>
      </c>
    </row>
    <row r="1375" spans="1:5" x14ac:dyDescent="0.3">
      <c r="A1375" s="2" t="s">
        <v>2817</v>
      </c>
      <c r="B1375" s="2" t="s">
        <v>5</v>
      </c>
      <c r="C1375" s="2" t="s">
        <v>2818</v>
      </c>
      <c r="D1375" s="2" t="s">
        <v>2796</v>
      </c>
      <c r="E1375" s="2" t="str">
        <f>HYPERLINK("https://talan.bank.gov.ua/get-user-certificate/sec1eGcFIZ4Ep7kIi_Xl","Завантажити сертифікат")</f>
        <v>Завантажити сертифікат</v>
      </c>
    </row>
    <row r="1376" spans="1:5" x14ac:dyDescent="0.3">
      <c r="A1376" s="2" t="s">
        <v>2819</v>
      </c>
      <c r="B1376" s="2" t="s">
        <v>5</v>
      </c>
      <c r="C1376" s="2" t="s">
        <v>2820</v>
      </c>
      <c r="D1376" s="2" t="s">
        <v>2796</v>
      </c>
      <c r="E1376" s="2" t="str">
        <f>HYPERLINK("https://talan.bank.gov.ua/get-user-certificate/sec1eqpfjAZbyDflPefN","Завантажити сертифікат")</f>
        <v>Завантажити сертифікат</v>
      </c>
    </row>
    <row r="1377" spans="1:5" x14ac:dyDescent="0.3">
      <c r="A1377" s="2" t="s">
        <v>2821</v>
      </c>
      <c r="B1377" s="2" t="s">
        <v>5</v>
      </c>
      <c r="C1377" s="2" t="s">
        <v>2822</v>
      </c>
      <c r="D1377" s="2" t="s">
        <v>2796</v>
      </c>
      <c r="E1377" s="2" t="str">
        <f>HYPERLINK("https://talan.bank.gov.ua/get-user-certificate/sec1e99jtSC5jMtsR9m6","Завантажити сертифікат")</f>
        <v>Завантажити сертифікат</v>
      </c>
    </row>
    <row r="1378" spans="1:5" x14ac:dyDescent="0.3">
      <c r="A1378" s="2" t="s">
        <v>2823</v>
      </c>
      <c r="B1378" s="2" t="s">
        <v>5</v>
      </c>
      <c r="C1378" s="2" t="s">
        <v>2824</v>
      </c>
      <c r="D1378" s="2" t="s">
        <v>2796</v>
      </c>
      <c r="E1378" s="2" t="str">
        <f>HYPERLINK("https://talan.bank.gov.ua/get-user-certificate/sec1e25vqtFDiUkmsbSB","Завантажити сертифікат")</f>
        <v>Завантажити сертифікат</v>
      </c>
    </row>
    <row r="1379" spans="1:5" x14ac:dyDescent="0.3">
      <c r="A1379" s="2" t="s">
        <v>2825</v>
      </c>
      <c r="B1379" s="2" t="s">
        <v>5</v>
      </c>
      <c r="C1379" s="2" t="s">
        <v>2826</v>
      </c>
      <c r="D1379" s="2" t="s">
        <v>2796</v>
      </c>
      <c r="E1379" s="2" t="str">
        <f>HYPERLINK("https://talan.bank.gov.ua/get-user-certificate/sec1eTNtAJVHumRDKgWk","Завантажити сертифікат")</f>
        <v>Завантажити сертифікат</v>
      </c>
    </row>
    <row r="1380" spans="1:5" x14ac:dyDescent="0.3">
      <c r="A1380" s="2" t="s">
        <v>2827</v>
      </c>
      <c r="B1380" s="2" t="s">
        <v>5</v>
      </c>
      <c r="C1380" s="2" t="s">
        <v>2828</v>
      </c>
      <c r="D1380" s="2" t="s">
        <v>2796</v>
      </c>
      <c r="E1380" s="2" t="str">
        <f>HYPERLINK("https://talan.bank.gov.ua/get-user-certificate/sec1eTGv-Som04FDzJ1X","Завантажити сертифікат")</f>
        <v>Завантажити сертифікат</v>
      </c>
    </row>
    <row r="1381" spans="1:5" x14ac:dyDescent="0.3">
      <c r="A1381" s="2" t="s">
        <v>2829</v>
      </c>
      <c r="B1381" s="2" t="s">
        <v>5</v>
      </c>
      <c r="C1381" s="2" t="s">
        <v>2830</v>
      </c>
      <c r="D1381" s="2" t="s">
        <v>2796</v>
      </c>
      <c r="E1381" s="2" t="str">
        <f>HYPERLINK("https://talan.bank.gov.ua/get-user-certificate/sec1e9dRXvIVpqvn745s","Завантажити сертифікат")</f>
        <v>Завантажити сертифікат</v>
      </c>
    </row>
    <row r="1382" spans="1:5" x14ac:dyDescent="0.3">
      <c r="A1382" s="2" t="s">
        <v>2831</v>
      </c>
      <c r="B1382" s="2" t="s">
        <v>5</v>
      </c>
      <c r="C1382" s="2" t="s">
        <v>2832</v>
      </c>
      <c r="D1382" s="2" t="s">
        <v>2796</v>
      </c>
      <c r="E1382" s="2" t="str">
        <f>HYPERLINK("https://talan.bank.gov.ua/get-user-certificate/sec1eojwElS_wh-_Ap2U","Завантажити сертифікат")</f>
        <v>Завантажити сертифікат</v>
      </c>
    </row>
    <row r="1383" spans="1:5" x14ac:dyDescent="0.3">
      <c r="A1383" s="2" t="s">
        <v>2833</v>
      </c>
      <c r="B1383" s="2" t="s">
        <v>5</v>
      </c>
      <c r="C1383" s="2" t="s">
        <v>2834</v>
      </c>
      <c r="D1383" s="2" t="s">
        <v>2796</v>
      </c>
      <c r="E1383" s="2" t="str">
        <f>HYPERLINK("https://talan.bank.gov.ua/get-user-certificate/sec1e4R6kMWSz5M3g0bH","Завантажити сертифікат")</f>
        <v>Завантажити сертифікат</v>
      </c>
    </row>
    <row r="1384" spans="1:5" x14ac:dyDescent="0.3">
      <c r="A1384" s="2" t="s">
        <v>2835</v>
      </c>
      <c r="B1384" s="2" t="s">
        <v>5</v>
      </c>
      <c r="C1384" s="2" t="s">
        <v>2836</v>
      </c>
      <c r="D1384" s="2" t="s">
        <v>2796</v>
      </c>
      <c r="E1384" s="2" t="str">
        <f>HYPERLINK("https://talan.bank.gov.ua/get-user-certificate/sec1eyuWfSOlC9p5onft","Завантажити сертифікат")</f>
        <v>Завантажити сертифікат</v>
      </c>
    </row>
    <row r="1385" spans="1:5" x14ac:dyDescent="0.3">
      <c r="A1385" s="2" t="s">
        <v>2837</v>
      </c>
      <c r="B1385" s="2" t="s">
        <v>5</v>
      </c>
      <c r="C1385" s="2" t="s">
        <v>2838</v>
      </c>
      <c r="D1385" s="2" t="s">
        <v>2796</v>
      </c>
      <c r="E1385" s="2" t="str">
        <f>HYPERLINK("https://talan.bank.gov.ua/get-user-certificate/sec1eI2rcxu0ryZzIgEf","Завантажити сертифікат")</f>
        <v>Завантажити сертифікат</v>
      </c>
    </row>
    <row r="1386" spans="1:5" x14ac:dyDescent="0.3">
      <c r="A1386" s="2" t="s">
        <v>2839</v>
      </c>
      <c r="B1386" s="2" t="s">
        <v>5</v>
      </c>
      <c r="C1386" s="2" t="s">
        <v>2840</v>
      </c>
      <c r="D1386" s="2" t="s">
        <v>2841</v>
      </c>
      <c r="E1386" s="2" t="str">
        <f>HYPERLINK("https://talan.bank.gov.ua/get-user-certificate/sec1e3N6Tw8CeBrwEG5U","Завантажити сертифікат")</f>
        <v>Завантажити сертифікат</v>
      </c>
    </row>
    <row r="1387" spans="1:5" x14ac:dyDescent="0.3">
      <c r="A1387" s="2" t="s">
        <v>2842</v>
      </c>
      <c r="B1387" s="2" t="s">
        <v>5</v>
      </c>
      <c r="C1387" s="2" t="s">
        <v>2843</v>
      </c>
      <c r="D1387" s="2" t="s">
        <v>2844</v>
      </c>
      <c r="E1387" s="2" t="str">
        <f>HYPERLINK("https://talan.bank.gov.ua/get-user-certificate/sec1eVqvd6DMDyshOR6_","Завантажити сертифікат")</f>
        <v>Завантажити сертифікат</v>
      </c>
    </row>
    <row r="1388" spans="1:5" x14ac:dyDescent="0.3">
      <c r="A1388" s="2" t="s">
        <v>2845</v>
      </c>
      <c r="B1388" s="2" t="s">
        <v>5</v>
      </c>
      <c r="C1388" s="2" t="s">
        <v>2846</v>
      </c>
      <c r="D1388" s="2" t="s">
        <v>2844</v>
      </c>
      <c r="E1388" s="2" t="str">
        <f>HYPERLINK("https://talan.bank.gov.ua/get-user-certificate/sec1e_fXIVHaF6oIvMfX","Завантажити сертифікат")</f>
        <v>Завантажити сертифікат</v>
      </c>
    </row>
    <row r="1389" spans="1:5" x14ac:dyDescent="0.3">
      <c r="A1389" s="2" t="s">
        <v>2847</v>
      </c>
      <c r="B1389" s="2" t="s">
        <v>5</v>
      </c>
      <c r="C1389" s="2" t="s">
        <v>2848</v>
      </c>
      <c r="D1389" s="2" t="s">
        <v>2844</v>
      </c>
      <c r="E1389" s="2" t="str">
        <f>HYPERLINK("https://talan.bank.gov.ua/get-user-certificate/sec1ecuecEw6MOYz8j0S","Завантажити сертифікат")</f>
        <v>Завантажити сертифікат</v>
      </c>
    </row>
    <row r="1390" spans="1:5" x14ac:dyDescent="0.3">
      <c r="A1390" s="2" t="s">
        <v>2849</v>
      </c>
      <c r="B1390" s="2" t="s">
        <v>5</v>
      </c>
      <c r="C1390" s="2" t="s">
        <v>2850</v>
      </c>
      <c r="D1390" s="2" t="s">
        <v>2844</v>
      </c>
      <c r="E1390" s="2" t="str">
        <f>HYPERLINK("https://talan.bank.gov.ua/get-user-certificate/sec1eHqfxFRGfx8qQDZ-","Завантажити сертифікат")</f>
        <v>Завантажити сертифікат</v>
      </c>
    </row>
    <row r="1391" spans="1:5" x14ac:dyDescent="0.3">
      <c r="A1391" s="2" t="s">
        <v>2851</v>
      </c>
      <c r="B1391" s="2" t="s">
        <v>5</v>
      </c>
      <c r="C1391" s="2" t="s">
        <v>2852</v>
      </c>
      <c r="D1391" s="2" t="s">
        <v>2844</v>
      </c>
      <c r="E1391" s="2" t="str">
        <f>HYPERLINK("https://talan.bank.gov.ua/get-user-certificate/sec1eLpXA6r9dCP0O9Xg","Завантажити сертифікат")</f>
        <v>Завантажити сертифікат</v>
      </c>
    </row>
    <row r="1392" spans="1:5" x14ac:dyDescent="0.3">
      <c r="A1392" s="2" t="s">
        <v>2853</v>
      </c>
      <c r="B1392" s="2" t="s">
        <v>5</v>
      </c>
      <c r="C1392" s="2" t="s">
        <v>2854</v>
      </c>
      <c r="D1392" s="2" t="s">
        <v>2844</v>
      </c>
      <c r="E1392" s="2" t="str">
        <f>HYPERLINK("https://talan.bank.gov.ua/get-user-certificate/sec1exNazUoUpMcEO9zj","Завантажити сертифікат")</f>
        <v>Завантажити сертифікат</v>
      </c>
    </row>
    <row r="1393" spans="1:5" x14ac:dyDescent="0.3">
      <c r="A1393" s="2" t="s">
        <v>2855</v>
      </c>
      <c r="B1393" s="2" t="s">
        <v>5</v>
      </c>
      <c r="C1393" s="2" t="s">
        <v>2856</v>
      </c>
      <c r="D1393" s="2" t="s">
        <v>2844</v>
      </c>
      <c r="E1393" s="2" t="str">
        <f>HYPERLINK("https://talan.bank.gov.ua/get-user-certificate/sec1e0XfuHuHLibejJxT","Завантажити сертифікат")</f>
        <v>Завантажити сертифікат</v>
      </c>
    </row>
    <row r="1394" spans="1:5" x14ac:dyDescent="0.3">
      <c r="A1394" s="2" t="s">
        <v>2857</v>
      </c>
      <c r="B1394" s="2" t="s">
        <v>5</v>
      </c>
      <c r="C1394" s="2" t="s">
        <v>2858</v>
      </c>
      <c r="D1394" s="2" t="s">
        <v>2844</v>
      </c>
      <c r="E1394" s="2" t="str">
        <f>HYPERLINK("https://talan.bank.gov.ua/get-user-certificate/sec1e9Nm7fnB4Yt6eNdD","Завантажити сертифікат")</f>
        <v>Завантажити сертифікат</v>
      </c>
    </row>
    <row r="1395" spans="1:5" x14ac:dyDescent="0.3">
      <c r="A1395" s="2" t="s">
        <v>2859</v>
      </c>
      <c r="B1395" s="2" t="s">
        <v>5</v>
      </c>
      <c r="C1395" s="2" t="s">
        <v>2860</v>
      </c>
      <c r="D1395" s="2" t="s">
        <v>2844</v>
      </c>
      <c r="E1395" s="2" t="str">
        <f>HYPERLINK("https://talan.bank.gov.ua/get-user-certificate/sec1eBo3rnPTRIVpwOb8","Завантажити сертифікат")</f>
        <v>Завантажити сертифікат</v>
      </c>
    </row>
    <row r="1396" spans="1:5" x14ac:dyDescent="0.3">
      <c r="A1396" s="2" t="s">
        <v>2861</v>
      </c>
      <c r="B1396" s="2" t="s">
        <v>5</v>
      </c>
      <c r="C1396" s="2" t="s">
        <v>2862</v>
      </c>
      <c r="D1396" s="2" t="s">
        <v>2844</v>
      </c>
      <c r="E1396" s="2" t="str">
        <f>HYPERLINK("https://talan.bank.gov.ua/get-user-certificate/sec1eHONMoF8Lztv_KQ9","Завантажити сертифікат")</f>
        <v>Завантажити сертифікат</v>
      </c>
    </row>
    <row r="1397" spans="1:5" x14ac:dyDescent="0.3">
      <c r="A1397" s="2" t="s">
        <v>2863</v>
      </c>
      <c r="B1397" s="2" t="s">
        <v>5</v>
      </c>
      <c r="C1397" s="2" t="s">
        <v>2864</v>
      </c>
      <c r="D1397" s="2" t="s">
        <v>2844</v>
      </c>
      <c r="E1397" s="2" t="str">
        <f>HYPERLINK("https://talan.bank.gov.ua/get-user-certificate/sec1eFiEItbHMjePdc-r","Завантажити сертифікат")</f>
        <v>Завантажити сертифікат</v>
      </c>
    </row>
    <row r="1398" spans="1:5" x14ac:dyDescent="0.3">
      <c r="A1398" s="2" t="s">
        <v>2865</v>
      </c>
      <c r="B1398" s="2" t="s">
        <v>5</v>
      </c>
      <c r="C1398" s="2" t="s">
        <v>2866</v>
      </c>
      <c r="D1398" s="2" t="s">
        <v>2844</v>
      </c>
      <c r="E1398" s="2" t="str">
        <f>HYPERLINK("https://talan.bank.gov.ua/get-user-certificate/sec1eOATgbihAte261TI","Завантажити сертифікат")</f>
        <v>Завантажити сертифікат</v>
      </c>
    </row>
    <row r="1399" spans="1:5" x14ac:dyDescent="0.3">
      <c r="A1399" s="2" t="s">
        <v>2867</v>
      </c>
      <c r="B1399" s="2" t="s">
        <v>5</v>
      </c>
      <c r="C1399" s="2" t="s">
        <v>2868</v>
      </c>
      <c r="D1399" s="2" t="s">
        <v>2844</v>
      </c>
      <c r="E1399" s="2" t="str">
        <f>HYPERLINK("https://talan.bank.gov.ua/get-user-certificate/sec1eTljBopHwN8UK4dI","Завантажити сертифікат")</f>
        <v>Завантажити сертифікат</v>
      </c>
    </row>
    <row r="1400" spans="1:5" x14ac:dyDescent="0.3">
      <c r="A1400" s="2" t="s">
        <v>2869</v>
      </c>
      <c r="B1400" s="2" t="s">
        <v>5</v>
      </c>
      <c r="C1400" s="2" t="s">
        <v>2870</v>
      </c>
      <c r="D1400" s="2" t="s">
        <v>2844</v>
      </c>
      <c r="E1400" s="2" t="str">
        <f>HYPERLINK("https://talan.bank.gov.ua/get-user-certificate/sec1e1LcL7QLAqct7Gve","Завантажити сертифікат")</f>
        <v>Завантажити сертифікат</v>
      </c>
    </row>
    <row r="1401" spans="1:5" x14ac:dyDescent="0.3">
      <c r="A1401" s="2" t="s">
        <v>2871</v>
      </c>
      <c r="B1401" s="2" t="s">
        <v>5</v>
      </c>
      <c r="C1401" s="2" t="s">
        <v>2872</v>
      </c>
      <c r="D1401" s="2" t="s">
        <v>2844</v>
      </c>
      <c r="E1401" s="2" t="str">
        <f>HYPERLINK("https://talan.bank.gov.ua/get-user-certificate/sec1eAw80P99pjqckFiJ","Завантажити сертифікат")</f>
        <v>Завантажити сертифікат</v>
      </c>
    </row>
    <row r="1402" spans="1:5" x14ac:dyDescent="0.3">
      <c r="A1402" s="2" t="s">
        <v>2873</v>
      </c>
      <c r="B1402" s="2" t="s">
        <v>5</v>
      </c>
      <c r="C1402" s="2" t="s">
        <v>2874</v>
      </c>
      <c r="D1402" s="2" t="s">
        <v>2844</v>
      </c>
      <c r="E1402" s="2" t="str">
        <f>HYPERLINK("https://talan.bank.gov.ua/get-user-certificate/sec1ejH3-ifT7hqwMCnQ","Завантажити сертифікат")</f>
        <v>Завантажити сертифікат</v>
      </c>
    </row>
    <row r="1403" spans="1:5" x14ac:dyDescent="0.3">
      <c r="A1403" s="2" t="s">
        <v>2875</v>
      </c>
      <c r="B1403" s="2" t="s">
        <v>5</v>
      </c>
      <c r="C1403" s="2" t="s">
        <v>2876</v>
      </c>
      <c r="D1403" s="2" t="s">
        <v>2844</v>
      </c>
      <c r="E1403" s="2" t="str">
        <f>HYPERLINK("https://talan.bank.gov.ua/get-user-certificate/sec1eWWFRsp_-0U_49of","Завантажити сертифікат")</f>
        <v>Завантажити сертифікат</v>
      </c>
    </row>
    <row r="1404" spans="1:5" x14ac:dyDescent="0.3">
      <c r="A1404" s="2" t="s">
        <v>2877</v>
      </c>
      <c r="B1404" s="2" t="s">
        <v>5</v>
      </c>
      <c r="C1404" s="2" t="s">
        <v>2878</v>
      </c>
      <c r="D1404" s="2" t="s">
        <v>2844</v>
      </c>
      <c r="E1404" s="2" t="str">
        <f>HYPERLINK("https://talan.bank.gov.ua/get-user-certificate/sec1efDQA5mjYgUX1Nfw","Завантажити сертифікат")</f>
        <v>Завантажити сертифікат</v>
      </c>
    </row>
    <row r="1405" spans="1:5" x14ac:dyDescent="0.3">
      <c r="A1405" s="2" t="s">
        <v>2879</v>
      </c>
      <c r="B1405" s="2" t="s">
        <v>5</v>
      </c>
      <c r="C1405" s="2" t="s">
        <v>2880</v>
      </c>
      <c r="D1405" s="2" t="s">
        <v>2844</v>
      </c>
      <c r="E1405" s="2" t="str">
        <f>HYPERLINK("https://talan.bank.gov.ua/get-user-certificate/sec1eK7YNzE7eDTVoZxt","Завантажити сертифікат")</f>
        <v>Завантажити сертифікат</v>
      </c>
    </row>
    <row r="1406" spans="1:5" x14ac:dyDescent="0.3">
      <c r="A1406" s="2" t="s">
        <v>2881</v>
      </c>
      <c r="B1406" s="2" t="s">
        <v>5</v>
      </c>
      <c r="C1406" s="2" t="s">
        <v>2882</v>
      </c>
      <c r="D1406" s="2" t="s">
        <v>2844</v>
      </c>
      <c r="E1406" s="2" t="str">
        <f>HYPERLINK("https://talan.bank.gov.ua/get-user-certificate/sec1efRHBPcj8WHJ9gtm","Завантажити сертифікат")</f>
        <v>Завантажити сертифікат</v>
      </c>
    </row>
    <row r="1407" spans="1:5" x14ac:dyDescent="0.3">
      <c r="A1407" s="2" t="s">
        <v>2883</v>
      </c>
      <c r="B1407" s="2" t="s">
        <v>5</v>
      </c>
      <c r="C1407" s="2" t="s">
        <v>2884</v>
      </c>
      <c r="D1407" s="2" t="s">
        <v>2885</v>
      </c>
      <c r="E1407" s="2" t="str">
        <f>HYPERLINK("https://talan.bank.gov.ua/get-user-certificate/sec1eFuVmFtB2Ml2wXUC","Завантажити сертифікат")</f>
        <v>Завантажити сертифікат</v>
      </c>
    </row>
    <row r="1408" spans="1:5" x14ac:dyDescent="0.3">
      <c r="A1408" s="2" t="s">
        <v>2886</v>
      </c>
      <c r="B1408" s="2" t="s">
        <v>5</v>
      </c>
      <c r="C1408" s="2" t="s">
        <v>2887</v>
      </c>
      <c r="D1408" s="2" t="s">
        <v>2885</v>
      </c>
      <c r="E1408" s="2" t="str">
        <f>HYPERLINK("https://talan.bank.gov.ua/get-user-certificate/sec1engRVj7WBkltMJi1","Завантажити сертифікат")</f>
        <v>Завантажити сертифікат</v>
      </c>
    </row>
    <row r="1409" spans="1:5" x14ac:dyDescent="0.3">
      <c r="A1409" s="2" t="s">
        <v>2888</v>
      </c>
      <c r="B1409" s="2" t="s">
        <v>5</v>
      </c>
      <c r="C1409" s="2" t="s">
        <v>2889</v>
      </c>
      <c r="D1409" s="2" t="s">
        <v>2885</v>
      </c>
      <c r="E1409" s="2" t="str">
        <f>HYPERLINK("https://talan.bank.gov.ua/get-user-certificate/sec1eFMW6LLPJSj_mHO2","Завантажити сертифікат")</f>
        <v>Завантажити сертифікат</v>
      </c>
    </row>
    <row r="1410" spans="1:5" x14ac:dyDescent="0.3">
      <c r="A1410" s="2" t="s">
        <v>2890</v>
      </c>
      <c r="B1410" s="2" t="s">
        <v>5</v>
      </c>
      <c r="C1410" s="2" t="s">
        <v>2891</v>
      </c>
      <c r="D1410" s="2" t="s">
        <v>2885</v>
      </c>
      <c r="E1410" s="2" t="str">
        <f>HYPERLINK("https://talan.bank.gov.ua/get-user-certificate/sec1eKsE50pkafahrSUn","Завантажити сертифікат")</f>
        <v>Завантажити сертифікат</v>
      </c>
    </row>
    <row r="1411" spans="1:5" x14ac:dyDescent="0.3">
      <c r="A1411" s="2" t="s">
        <v>2892</v>
      </c>
      <c r="B1411" s="2" t="s">
        <v>5</v>
      </c>
      <c r="C1411" s="2" t="s">
        <v>2893</v>
      </c>
      <c r="D1411" s="2" t="s">
        <v>2885</v>
      </c>
      <c r="E1411" s="2" t="str">
        <f>HYPERLINK("https://talan.bank.gov.ua/get-user-certificate/sec1eAYDBAqYWYs9Y096","Завантажити сертифікат")</f>
        <v>Завантажити сертифікат</v>
      </c>
    </row>
    <row r="1412" spans="1:5" x14ac:dyDescent="0.3">
      <c r="A1412" s="2" t="s">
        <v>2894</v>
      </c>
      <c r="B1412" s="2" t="s">
        <v>5</v>
      </c>
      <c r="C1412" s="2" t="s">
        <v>2895</v>
      </c>
      <c r="D1412" s="2" t="s">
        <v>2885</v>
      </c>
      <c r="E1412" s="2" t="str">
        <f>HYPERLINK("https://talan.bank.gov.ua/get-user-certificate/sec1eCbaBrjVJ4Vmr5Kn","Завантажити сертифікат")</f>
        <v>Завантажити сертифікат</v>
      </c>
    </row>
    <row r="1413" spans="1:5" x14ac:dyDescent="0.3">
      <c r="A1413" s="2" t="s">
        <v>2896</v>
      </c>
      <c r="B1413" s="2" t="s">
        <v>5</v>
      </c>
      <c r="C1413" s="2" t="s">
        <v>2897</v>
      </c>
      <c r="D1413" s="2" t="s">
        <v>2885</v>
      </c>
      <c r="E1413" s="2" t="str">
        <f>HYPERLINK("https://talan.bank.gov.ua/get-user-certificate/sec1eTz7Vo5CendtMX3h","Завантажити сертифікат")</f>
        <v>Завантажити сертифікат</v>
      </c>
    </row>
    <row r="1414" spans="1:5" x14ac:dyDescent="0.3">
      <c r="A1414" s="2" t="s">
        <v>2898</v>
      </c>
      <c r="B1414" s="2" t="s">
        <v>5</v>
      </c>
      <c r="C1414" s="2" t="s">
        <v>2899</v>
      </c>
      <c r="D1414" s="2" t="s">
        <v>2885</v>
      </c>
      <c r="E1414" s="2" t="str">
        <f>HYPERLINK("https://talan.bank.gov.ua/get-user-certificate/sec1ezO6DVbI7wKsyglG","Завантажити сертифікат")</f>
        <v>Завантажити сертифікат</v>
      </c>
    </row>
    <row r="1415" spans="1:5" x14ac:dyDescent="0.3">
      <c r="A1415" s="2" t="s">
        <v>2900</v>
      </c>
      <c r="B1415" s="2" t="s">
        <v>5</v>
      </c>
      <c r="C1415" s="2" t="s">
        <v>2901</v>
      </c>
      <c r="D1415" s="2" t="s">
        <v>2885</v>
      </c>
      <c r="E1415" s="2" t="str">
        <f>HYPERLINK("https://talan.bank.gov.ua/get-user-certificate/sec1enFabhViWHrbEO-L","Завантажити сертифікат")</f>
        <v>Завантажити сертифікат</v>
      </c>
    </row>
    <row r="1416" spans="1:5" x14ac:dyDescent="0.3">
      <c r="A1416" s="2" t="s">
        <v>2902</v>
      </c>
      <c r="B1416" s="2" t="s">
        <v>5</v>
      </c>
      <c r="C1416" s="2" t="s">
        <v>2903</v>
      </c>
      <c r="D1416" s="2" t="s">
        <v>2885</v>
      </c>
      <c r="E1416" s="2" t="str">
        <f>HYPERLINK("https://talan.bank.gov.ua/get-user-certificate/sec1eX5v-655933iQTts","Завантажити сертифікат")</f>
        <v>Завантажити сертифікат</v>
      </c>
    </row>
    <row r="1417" spans="1:5" x14ac:dyDescent="0.3">
      <c r="A1417" s="2" t="s">
        <v>2904</v>
      </c>
      <c r="B1417" s="2" t="s">
        <v>5</v>
      </c>
      <c r="C1417" s="2" t="s">
        <v>2905</v>
      </c>
      <c r="D1417" s="2" t="s">
        <v>2885</v>
      </c>
      <c r="E1417" s="2" t="str">
        <f>HYPERLINK("https://talan.bank.gov.ua/get-user-certificate/sec1e22Qi7zFpl64wWb4","Завантажити сертифікат")</f>
        <v>Завантажити сертифікат</v>
      </c>
    </row>
    <row r="1418" spans="1:5" x14ac:dyDescent="0.3">
      <c r="A1418" s="2" t="s">
        <v>2906</v>
      </c>
      <c r="B1418" s="2" t="s">
        <v>5</v>
      </c>
      <c r="C1418" s="2" t="s">
        <v>2907</v>
      </c>
      <c r="D1418" s="2" t="s">
        <v>2885</v>
      </c>
      <c r="E1418" s="2" t="str">
        <f>HYPERLINK("https://talan.bank.gov.ua/get-user-certificate/sec1egKaN_xVgkNmRvei","Завантажити сертифікат")</f>
        <v>Завантажити сертифікат</v>
      </c>
    </row>
    <row r="1419" spans="1:5" x14ac:dyDescent="0.3">
      <c r="A1419" s="2" t="s">
        <v>2908</v>
      </c>
      <c r="B1419" s="2" t="s">
        <v>5</v>
      </c>
      <c r="C1419" s="2" t="s">
        <v>2909</v>
      </c>
      <c r="D1419" s="2" t="s">
        <v>2885</v>
      </c>
      <c r="E1419" s="2" t="str">
        <f>HYPERLINK("https://talan.bank.gov.ua/get-user-certificate/sec1eshSwuYV6DNH5w46","Завантажити сертифікат")</f>
        <v>Завантажити сертифікат</v>
      </c>
    </row>
    <row r="1420" spans="1:5" x14ac:dyDescent="0.3">
      <c r="A1420" s="2" t="s">
        <v>2910</v>
      </c>
      <c r="B1420" s="2" t="s">
        <v>5</v>
      </c>
      <c r="C1420" s="2" t="s">
        <v>2911</v>
      </c>
      <c r="D1420" s="2" t="s">
        <v>2885</v>
      </c>
      <c r="E1420" s="2" t="str">
        <f>HYPERLINK("https://talan.bank.gov.ua/get-user-certificate/sec1eXKFymdaVk3PRhtN","Завантажити сертифікат")</f>
        <v>Завантажити сертифікат</v>
      </c>
    </row>
    <row r="1421" spans="1:5" x14ac:dyDescent="0.3">
      <c r="A1421" s="2" t="s">
        <v>2912</v>
      </c>
      <c r="B1421" s="2" t="s">
        <v>5</v>
      </c>
      <c r="C1421" s="2" t="s">
        <v>2913</v>
      </c>
      <c r="D1421" s="2" t="s">
        <v>2885</v>
      </c>
      <c r="E1421" s="2" t="str">
        <f>HYPERLINK("https://talan.bank.gov.ua/get-user-certificate/sec1ev4X4MjDV0MdhD6B","Завантажити сертифікат")</f>
        <v>Завантажити сертифікат</v>
      </c>
    </row>
    <row r="1422" spans="1:5" x14ac:dyDescent="0.3">
      <c r="A1422" s="2" t="s">
        <v>2914</v>
      </c>
      <c r="B1422" s="2" t="s">
        <v>5</v>
      </c>
      <c r="C1422" s="2" t="s">
        <v>2915</v>
      </c>
      <c r="D1422" s="2" t="s">
        <v>2885</v>
      </c>
      <c r="E1422" s="2" t="str">
        <f>HYPERLINK("https://talan.bank.gov.ua/get-user-certificate/sec1egmpcGUWtltEwEiu","Завантажити сертифікат")</f>
        <v>Завантажити сертифікат</v>
      </c>
    </row>
    <row r="1423" spans="1:5" x14ac:dyDescent="0.3">
      <c r="A1423" s="2" t="s">
        <v>2916</v>
      </c>
      <c r="B1423" s="2" t="s">
        <v>5</v>
      </c>
      <c r="C1423" s="2" t="s">
        <v>2917</v>
      </c>
      <c r="D1423" s="2" t="s">
        <v>2885</v>
      </c>
      <c r="E1423" s="2" t="str">
        <f>HYPERLINK("https://talan.bank.gov.ua/get-user-certificate/sec1eI5K8AyyD6Nh5Q1W","Завантажити сертифікат")</f>
        <v>Завантажити сертифікат</v>
      </c>
    </row>
    <row r="1424" spans="1:5" x14ac:dyDescent="0.3">
      <c r="A1424" s="2" t="s">
        <v>2918</v>
      </c>
      <c r="B1424" s="2" t="s">
        <v>5</v>
      </c>
      <c r="C1424" s="2" t="s">
        <v>2919</v>
      </c>
      <c r="D1424" s="2" t="s">
        <v>2885</v>
      </c>
      <c r="E1424" s="2" t="str">
        <f>HYPERLINK("https://talan.bank.gov.ua/get-user-certificate/sec1eDZ7nHxkVfVMpUG5","Завантажити сертифікат")</f>
        <v>Завантажити сертифікат</v>
      </c>
    </row>
    <row r="1425" spans="1:5" x14ac:dyDescent="0.3">
      <c r="A1425" s="2" t="s">
        <v>2920</v>
      </c>
      <c r="B1425" s="2" t="s">
        <v>5</v>
      </c>
      <c r="C1425" s="2" t="s">
        <v>2921</v>
      </c>
      <c r="D1425" s="2" t="s">
        <v>2885</v>
      </c>
      <c r="E1425" s="2" t="str">
        <f>HYPERLINK("https://talan.bank.gov.ua/get-user-certificate/sec1eDQaW2dDcTmvfN_g","Завантажити сертифікат")</f>
        <v>Завантажити сертифікат</v>
      </c>
    </row>
    <row r="1426" spans="1:5" x14ac:dyDescent="0.3">
      <c r="A1426" s="2" t="s">
        <v>2922</v>
      </c>
      <c r="B1426" s="2" t="s">
        <v>5</v>
      </c>
      <c r="C1426" s="2" t="s">
        <v>2923</v>
      </c>
      <c r="D1426" s="2" t="s">
        <v>2885</v>
      </c>
      <c r="E1426" s="2" t="str">
        <f>HYPERLINK("https://talan.bank.gov.ua/get-user-certificate/sec1ebsKKYmXnUiX8Gtw","Завантажити сертифікат")</f>
        <v>Завантажити сертифікат</v>
      </c>
    </row>
    <row r="1427" spans="1:5" x14ac:dyDescent="0.3">
      <c r="A1427" s="2" t="s">
        <v>2924</v>
      </c>
      <c r="B1427" s="2" t="s">
        <v>5</v>
      </c>
      <c r="C1427" s="2" t="s">
        <v>2925</v>
      </c>
      <c r="D1427" s="2" t="s">
        <v>2885</v>
      </c>
      <c r="E1427" s="2" t="str">
        <f>HYPERLINK("https://talan.bank.gov.ua/get-user-certificate/sec1eP8zv-16yF5gwZ7K","Завантажити сертифікат")</f>
        <v>Завантажити сертифікат</v>
      </c>
    </row>
    <row r="1428" spans="1:5" x14ac:dyDescent="0.3">
      <c r="A1428" s="2" t="s">
        <v>2926</v>
      </c>
      <c r="B1428" s="2" t="s">
        <v>5</v>
      </c>
      <c r="C1428" s="2" t="s">
        <v>2927</v>
      </c>
      <c r="D1428" s="2" t="s">
        <v>2885</v>
      </c>
      <c r="E1428" s="2" t="str">
        <f>HYPERLINK("https://talan.bank.gov.ua/get-user-certificate/sec1e30JqdEdHt5pV-7i","Завантажити сертифікат")</f>
        <v>Завантажити сертифікат</v>
      </c>
    </row>
    <row r="1429" spans="1:5" x14ac:dyDescent="0.3">
      <c r="A1429" s="2" t="s">
        <v>2928</v>
      </c>
      <c r="B1429" s="2" t="s">
        <v>5</v>
      </c>
      <c r="C1429" s="2" t="s">
        <v>2929</v>
      </c>
      <c r="D1429" s="2" t="s">
        <v>2885</v>
      </c>
      <c r="E1429" s="2" t="str">
        <f>HYPERLINK("https://talan.bank.gov.ua/get-user-certificate/sec1eqa5D7YBzaH3UtvN","Завантажити сертифікат")</f>
        <v>Завантажити сертифікат</v>
      </c>
    </row>
    <row r="1430" spans="1:5" x14ac:dyDescent="0.3">
      <c r="A1430" s="2" t="s">
        <v>2930</v>
      </c>
      <c r="B1430" s="2" t="s">
        <v>5</v>
      </c>
      <c r="C1430" s="2" t="s">
        <v>2931</v>
      </c>
      <c r="D1430" s="2" t="s">
        <v>2885</v>
      </c>
      <c r="E1430" s="2" t="str">
        <f>HYPERLINK("https://talan.bank.gov.ua/get-user-certificate/sec1eCI6KBViGW-vs2O7","Завантажити сертифікат")</f>
        <v>Завантажити сертифікат</v>
      </c>
    </row>
    <row r="1431" spans="1:5" x14ac:dyDescent="0.3">
      <c r="A1431" s="2" t="s">
        <v>2932</v>
      </c>
      <c r="B1431" s="2" t="s">
        <v>5</v>
      </c>
      <c r="C1431" s="2" t="s">
        <v>2933</v>
      </c>
      <c r="D1431" s="2" t="s">
        <v>2885</v>
      </c>
      <c r="E1431" s="2" t="str">
        <f>HYPERLINK("https://talan.bank.gov.ua/get-user-certificate/sec1ejrXWorK3Zd8yP64","Завантажити сертифікат")</f>
        <v>Завантажити сертифікат</v>
      </c>
    </row>
    <row r="1432" spans="1:5" x14ac:dyDescent="0.3">
      <c r="A1432" s="2" t="s">
        <v>2934</v>
      </c>
      <c r="B1432" s="2" t="s">
        <v>5</v>
      </c>
      <c r="C1432" s="2" t="s">
        <v>2935</v>
      </c>
      <c r="D1432" s="2" t="s">
        <v>2885</v>
      </c>
      <c r="E1432" s="2" t="str">
        <f>HYPERLINK("https://talan.bank.gov.ua/get-user-certificate/sec1eLrTQu7GyJ7gO0kE","Завантажити сертифікат")</f>
        <v>Завантажити сертифікат</v>
      </c>
    </row>
    <row r="1433" spans="1:5" x14ac:dyDescent="0.3">
      <c r="A1433" s="2" t="s">
        <v>2936</v>
      </c>
      <c r="B1433" s="2" t="s">
        <v>5</v>
      </c>
      <c r="C1433" s="2" t="s">
        <v>2937</v>
      </c>
      <c r="D1433" s="2" t="s">
        <v>2885</v>
      </c>
      <c r="E1433" s="2" t="str">
        <f>HYPERLINK("https://talan.bank.gov.ua/get-user-certificate/sec1eRRNsAOWN12tKaWM","Завантажити сертифікат")</f>
        <v>Завантажити сертифікат</v>
      </c>
    </row>
    <row r="1434" spans="1:5" x14ac:dyDescent="0.3">
      <c r="A1434" s="2" t="s">
        <v>2938</v>
      </c>
      <c r="B1434" s="2" t="s">
        <v>5</v>
      </c>
      <c r="C1434" s="2" t="s">
        <v>2939</v>
      </c>
      <c r="D1434" s="2" t="s">
        <v>2885</v>
      </c>
      <c r="E1434" s="2" t="str">
        <f>HYPERLINK("https://talan.bank.gov.ua/get-user-certificate/sec1e_Lri7jPNuE7WbkD","Завантажити сертифікат")</f>
        <v>Завантажити сертифікат</v>
      </c>
    </row>
    <row r="1435" spans="1:5" x14ac:dyDescent="0.3">
      <c r="A1435" s="2" t="s">
        <v>2940</v>
      </c>
      <c r="B1435" s="2" t="s">
        <v>5</v>
      </c>
      <c r="C1435" s="2" t="s">
        <v>2941</v>
      </c>
      <c r="D1435" s="2" t="s">
        <v>2885</v>
      </c>
      <c r="E1435" s="2" t="str">
        <f>HYPERLINK("https://talan.bank.gov.ua/get-user-certificate/sec1ebxoQCG_ESrMxiIn","Завантажити сертифікат")</f>
        <v>Завантажити сертифікат</v>
      </c>
    </row>
    <row r="1436" spans="1:5" x14ac:dyDescent="0.3">
      <c r="A1436" s="2" t="s">
        <v>2942</v>
      </c>
      <c r="B1436" s="2" t="s">
        <v>5</v>
      </c>
      <c r="C1436" s="2" t="s">
        <v>2943</v>
      </c>
      <c r="D1436" s="2" t="s">
        <v>2885</v>
      </c>
      <c r="E1436" s="2" t="str">
        <f>HYPERLINK("https://talan.bank.gov.ua/get-user-certificate/sec1egSd3am-irJ28sS6","Завантажити сертифікат")</f>
        <v>Завантажити сертифікат</v>
      </c>
    </row>
    <row r="1437" spans="1:5" x14ac:dyDescent="0.3">
      <c r="A1437" s="2" t="s">
        <v>2944</v>
      </c>
      <c r="B1437" s="2" t="s">
        <v>5</v>
      </c>
      <c r="C1437" s="2" t="s">
        <v>2945</v>
      </c>
      <c r="D1437" s="2" t="s">
        <v>2885</v>
      </c>
      <c r="E1437" s="2" t="str">
        <f>HYPERLINK("https://talan.bank.gov.ua/get-user-certificate/sec1ehD-VEF1i2SdWziF","Завантажити сертифікат")</f>
        <v>Завантажити сертифікат</v>
      </c>
    </row>
    <row r="1438" spans="1:5" x14ac:dyDescent="0.3">
      <c r="A1438" s="2" t="s">
        <v>2946</v>
      </c>
      <c r="B1438" s="2" t="s">
        <v>5</v>
      </c>
      <c r="C1438" s="2" t="s">
        <v>2947</v>
      </c>
      <c r="D1438" s="2" t="s">
        <v>2885</v>
      </c>
      <c r="E1438" s="2" t="str">
        <f>HYPERLINK("https://talan.bank.gov.ua/get-user-certificate/sec1eseJweE-OBQVaQb2","Завантажити сертифікат")</f>
        <v>Завантажити сертифікат</v>
      </c>
    </row>
    <row r="1439" spans="1:5" x14ac:dyDescent="0.3">
      <c r="A1439" s="2" t="s">
        <v>2948</v>
      </c>
      <c r="B1439" s="2" t="s">
        <v>5</v>
      </c>
      <c r="C1439" s="2" t="s">
        <v>2949</v>
      </c>
      <c r="D1439" s="2" t="s">
        <v>2885</v>
      </c>
      <c r="E1439" s="2" t="str">
        <f>HYPERLINK("https://talan.bank.gov.ua/get-user-certificate/sec1e8FHQZUHH72Gve3P","Завантажити сертифікат")</f>
        <v>Завантажити сертифікат</v>
      </c>
    </row>
    <row r="1440" spans="1:5" x14ac:dyDescent="0.3">
      <c r="A1440" s="2" t="s">
        <v>2950</v>
      </c>
      <c r="B1440" s="2" t="s">
        <v>5</v>
      </c>
      <c r="C1440" s="2" t="s">
        <v>2951</v>
      </c>
      <c r="D1440" s="2" t="s">
        <v>2885</v>
      </c>
      <c r="E1440" s="2" t="str">
        <f>HYPERLINK("https://talan.bank.gov.ua/get-user-certificate/sec1eZaAKJyGYIzthiu3","Завантажити сертифікат")</f>
        <v>Завантажити сертифікат</v>
      </c>
    </row>
    <row r="1441" spans="1:5" x14ac:dyDescent="0.3">
      <c r="A1441" s="2" t="s">
        <v>2952</v>
      </c>
      <c r="B1441" s="2" t="s">
        <v>5</v>
      </c>
      <c r="C1441" s="2" t="s">
        <v>2953</v>
      </c>
      <c r="D1441" s="2" t="s">
        <v>2885</v>
      </c>
      <c r="E1441" s="2" t="str">
        <f>HYPERLINK("https://talan.bank.gov.ua/get-user-certificate/sec1ePJl2Ld6oUBntDzg","Завантажити сертифікат")</f>
        <v>Завантажити сертифікат</v>
      </c>
    </row>
    <row r="1442" spans="1:5" x14ac:dyDescent="0.3">
      <c r="A1442" s="2" t="s">
        <v>2954</v>
      </c>
      <c r="B1442" s="2" t="s">
        <v>5</v>
      </c>
      <c r="C1442" s="2" t="s">
        <v>2955</v>
      </c>
      <c r="D1442" s="2" t="s">
        <v>2885</v>
      </c>
      <c r="E1442" s="2" t="str">
        <f>HYPERLINK("https://talan.bank.gov.ua/get-user-certificate/sec1eDgio_BO7rsX6LfJ","Завантажити сертифікат")</f>
        <v>Завантажити сертифікат</v>
      </c>
    </row>
    <row r="1443" spans="1:5" x14ac:dyDescent="0.3">
      <c r="A1443" s="2" t="s">
        <v>2956</v>
      </c>
      <c r="B1443" s="2" t="s">
        <v>5</v>
      </c>
      <c r="C1443" s="2" t="s">
        <v>2957</v>
      </c>
      <c r="D1443" s="2" t="s">
        <v>2885</v>
      </c>
      <c r="E1443" s="2" t="str">
        <f>HYPERLINK("https://talan.bank.gov.ua/get-user-certificate/sec1ePmpmufzjJAl-fdc","Завантажити сертифікат")</f>
        <v>Завантажити сертифікат</v>
      </c>
    </row>
    <row r="1444" spans="1:5" x14ac:dyDescent="0.3">
      <c r="A1444" s="2" t="s">
        <v>2958</v>
      </c>
      <c r="B1444" s="2" t="s">
        <v>5</v>
      </c>
      <c r="C1444" s="2" t="s">
        <v>2959</v>
      </c>
      <c r="D1444" s="2" t="s">
        <v>2885</v>
      </c>
      <c r="E1444" s="2" t="str">
        <f>HYPERLINK("https://talan.bank.gov.ua/get-user-certificate/sec1exMM5zV2kZixiO-1","Завантажити сертифікат")</f>
        <v>Завантажити сертифікат</v>
      </c>
    </row>
    <row r="1445" spans="1:5" x14ac:dyDescent="0.3">
      <c r="A1445" s="2" t="s">
        <v>2960</v>
      </c>
      <c r="B1445" s="2" t="s">
        <v>5</v>
      </c>
      <c r="C1445" s="2" t="s">
        <v>2961</v>
      </c>
      <c r="D1445" s="2" t="s">
        <v>2885</v>
      </c>
      <c r="E1445" s="2" t="str">
        <f>HYPERLINK("https://talan.bank.gov.ua/get-user-certificate/sec1eQAXinL04XckEX64","Завантажити сертифікат")</f>
        <v>Завантажити сертифікат</v>
      </c>
    </row>
    <row r="1446" spans="1:5" x14ac:dyDescent="0.3">
      <c r="A1446" s="2" t="s">
        <v>2962</v>
      </c>
      <c r="B1446" s="2" t="s">
        <v>5</v>
      </c>
      <c r="C1446" s="2" t="s">
        <v>2963</v>
      </c>
      <c r="D1446" s="2" t="s">
        <v>2885</v>
      </c>
      <c r="E1446" s="2" t="str">
        <f>HYPERLINK("https://talan.bank.gov.ua/get-user-certificate/sec1eByHdd4qu2S8qxWh","Завантажити сертифікат")</f>
        <v>Завантажити сертифікат</v>
      </c>
    </row>
    <row r="1447" spans="1:5" x14ac:dyDescent="0.3">
      <c r="A1447" s="2" t="s">
        <v>2964</v>
      </c>
      <c r="B1447" s="2" t="s">
        <v>5</v>
      </c>
      <c r="C1447" s="2" t="s">
        <v>2965</v>
      </c>
      <c r="D1447" s="2" t="s">
        <v>2885</v>
      </c>
      <c r="E1447" s="2" t="str">
        <f>HYPERLINK("https://talan.bank.gov.ua/get-user-certificate/sec1enInTnL2eKntw7Kj","Завантажити сертифікат")</f>
        <v>Завантажити сертифікат</v>
      </c>
    </row>
    <row r="1448" spans="1:5" x14ac:dyDescent="0.3">
      <c r="A1448" s="2" t="s">
        <v>2966</v>
      </c>
      <c r="B1448" s="2" t="s">
        <v>5</v>
      </c>
      <c r="C1448" s="2" t="s">
        <v>2967</v>
      </c>
      <c r="D1448" s="2" t="s">
        <v>2885</v>
      </c>
      <c r="E1448" s="2" t="str">
        <f>HYPERLINK("https://talan.bank.gov.ua/get-user-certificate/sec1eO7BfRwcJZy4B7Xt","Завантажити сертифікат")</f>
        <v>Завантажити сертифікат</v>
      </c>
    </row>
    <row r="1449" spans="1:5" x14ac:dyDescent="0.3">
      <c r="A1449" s="2" t="s">
        <v>2968</v>
      </c>
      <c r="B1449" s="2" t="s">
        <v>5</v>
      </c>
      <c r="C1449" s="2" t="s">
        <v>2969</v>
      </c>
      <c r="D1449" s="2" t="s">
        <v>2885</v>
      </c>
      <c r="E1449" s="2" t="str">
        <f>HYPERLINK("https://talan.bank.gov.ua/get-user-certificate/sec1eFjFOa0giWIkSZ-y","Завантажити сертифікат")</f>
        <v>Завантажити сертифікат</v>
      </c>
    </row>
    <row r="1450" spans="1:5" x14ac:dyDescent="0.3">
      <c r="A1450" s="2" t="s">
        <v>2970</v>
      </c>
      <c r="B1450" s="2" t="s">
        <v>5</v>
      </c>
      <c r="C1450" s="2" t="s">
        <v>2971</v>
      </c>
      <c r="D1450" s="2" t="s">
        <v>2885</v>
      </c>
      <c r="E1450" s="2" t="str">
        <f>HYPERLINK("https://talan.bank.gov.ua/get-user-certificate/sec1ep_8Mj6e_PEA4MMA","Завантажити сертифікат")</f>
        <v>Завантажити сертифікат</v>
      </c>
    </row>
    <row r="1451" spans="1:5" x14ac:dyDescent="0.3">
      <c r="A1451" s="2" t="s">
        <v>2972</v>
      </c>
      <c r="B1451" s="2" t="s">
        <v>5</v>
      </c>
      <c r="C1451" s="2" t="s">
        <v>2973</v>
      </c>
      <c r="D1451" s="2" t="s">
        <v>2885</v>
      </c>
      <c r="E1451" s="2" t="str">
        <f>HYPERLINK("https://talan.bank.gov.ua/get-user-certificate/sec1ea2-UUv_wStgpfL9","Завантажити сертифікат")</f>
        <v>Завантажити сертифікат</v>
      </c>
    </row>
    <row r="1452" spans="1:5" x14ac:dyDescent="0.3">
      <c r="A1452" s="2" t="s">
        <v>2974</v>
      </c>
      <c r="B1452" s="2" t="s">
        <v>5</v>
      </c>
      <c r="C1452" s="2" t="s">
        <v>2975</v>
      </c>
      <c r="D1452" s="2" t="s">
        <v>2885</v>
      </c>
      <c r="E1452" s="2" t="str">
        <f>HYPERLINK("https://talan.bank.gov.ua/get-user-certificate/sec1el8DqRoX8ciX_A3e","Завантажити сертифікат")</f>
        <v>Завантажити сертифікат</v>
      </c>
    </row>
    <row r="1453" spans="1:5" x14ac:dyDescent="0.3">
      <c r="A1453" s="2" t="s">
        <v>2976</v>
      </c>
      <c r="B1453" s="2" t="s">
        <v>5</v>
      </c>
      <c r="C1453" s="2" t="s">
        <v>2977</v>
      </c>
      <c r="D1453" s="2" t="s">
        <v>2885</v>
      </c>
      <c r="E1453" s="2" t="str">
        <f>HYPERLINK("https://talan.bank.gov.ua/get-user-certificate/sec1ehR72pU00GOvuA28","Завантажити сертифікат")</f>
        <v>Завантажити сертифікат</v>
      </c>
    </row>
    <row r="1454" spans="1:5" x14ac:dyDescent="0.3">
      <c r="A1454" s="2" t="s">
        <v>2978</v>
      </c>
      <c r="B1454" s="2" t="s">
        <v>5</v>
      </c>
      <c r="C1454" s="2" t="s">
        <v>2979</v>
      </c>
      <c r="D1454" s="2" t="s">
        <v>2885</v>
      </c>
      <c r="E1454" s="2" t="str">
        <f>HYPERLINK("https://talan.bank.gov.ua/get-user-certificate/sec1eRof-9dgiNbf-Rpj","Завантажити сертифікат")</f>
        <v>Завантажити сертифікат</v>
      </c>
    </row>
    <row r="1455" spans="1:5" x14ac:dyDescent="0.3">
      <c r="A1455" s="2" t="s">
        <v>2980</v>
      </c>
      <c r="B1455" s="2" t="s">
        <v>5</v>
      </c>
      <c r="C1455" s="2" t="s">
        <v>2981</v>
      </c>
      <c r="D1455" s="2" t="s">
        <v>2982</v>
      </c>
      <c r="E1455" s="2" t="str">
        <f>HYPERLINK("https://talan.bank.gov.ua/get-user-certificate/sec1exYDqhiMjJfjsj-Z","Завантажити сертифікат")</f>
        <v>Завантажити сертифікат</v>
      </c>
    </row>
    <row r="1456" spans="1:5" x14ac:dyDescent="0.3">
      <c r="A1456" s="2" t="s">
        <v>2983</v>
      </c>
      <c r="B1456" s="2" t="s">
        <v>5</v>
      </c>
      <c r="C1456" s="2" t="s">
        <v>2984</v>
      </c>
      <c r="D1456" s="2" t="s">
        <v>2982</v>
      </c>
      <c r="E1456" s="2" t="str">
        <f>HYPERLINK("https://talan.bank.gov.ua/get-user-certificate/sec1eMxnPJJSZYlHQOlG","Завантажити сертифікат")</f>
        <v>Завантажити сертифікат</v>
      </c>
    </row>
    <row r="1457" spans="1:5" x14ac:dyDescent="0.3">
      <c r="A1457" s="2" t="s">
        <v>2985</v>
      </c>
      <c r="B1457" s="2" t="s">
        <v>5</v>
      </c>
      <c r="C1457" s="2" t="s">
        <v>2986</v>
      </c>
      <c r="D1457" s="2" t="s">
        <v>2982</v>
      </c>
      <c r="E1457" s="2" t="str">
        <f>HYPERLINK("https://talan.bank.gov.ua/get-user-certificate/sec1eknt0UQ5nyUB25cP","Завантажити сертифікат")</f>
        <v>Завантажити сертифікат</v>
      </c>
    </row>
    <row r="1458" spans="1:5" x14ac:dyDescent="0.3">
      <c r="A1458" s="2" t="s">
        <v>2987</v>
      </c>
      <c r="B1458" s="2" t="s">
        <v>5</v>
      </c>
      <c r="C1458" s="2" t="s">
        <v>2988</v>
      </c>
      <c r="D1458" s="2" t="s">
        <v>2982</v>
      </c>
      <c r="E1458" s="2" t="str">
        <f>HYPERLINK("https://talan.bank.gov.ua/get-user-certificate/sec1eztc7qM4Sw7u1_8v","Завантажити сертифікат")</f>
        <v>Завантажити сертифікат</v>
      </c>
    </row>
    <row r="1459" spans="1:5" x14ac:dyDescent="0.3">
      <c r="A1459" s="2" t="s">
        <v>2989</v>
      </c>
      <c r="B1459" s="2" t="s">
        <v>5</v>
      </c>
      <c r="C1459" s="2" t="s">
        <v>2990</v>
      </c>
      <c r="D1459" s="2" t="s">
        <v>2991</v>
      </c>
      <c r="E1459" s="2" t="str">
        <f>HYPERLINK("https://talan.bank.gov.ua/get-user-certificate/sec1eeKxMmyWCatAaKYJ","Завантажити сертифікат")</f>
        <v>Завантажити сертифікат</v>
      </c>
    </row>
    <row r="1460" spans="1:5" x14ac:dyDescent="0.3">
      <c r="A1460" s="2" t="s">
        <v>2992</v>
      </c>
      <c r="B1460" s="2" t="s">
        <v>5</v>
      </c>
      <c r="C1460" s="2" t="s">
        <v>2993</v>
      </c>
      <c r="D1460" s="2" t="s">
        <v>2991</v>
      </c>
      <c r="E1460" s="2" t="str">
        <f>HYPERLINK("https://talan.bank.gov.ua/get-user-certificate/sec1eFykWSZs_b8nBm2D","Завантажити сертифікат")</f>
        <v>Завантажити сертифікат</v>
      </c>
    </row>
    <row r="1461" spans="1:5" x14ac:dyDescent="0.3">
      <c r="A1461" s="2" t="s">
        <v>2994</v>
      </c>
      <c r="B1461" s="2" t="s">
        <v>5</v>
      </c>
      <c r="C1461" s="2" t="s">
        <v>2995</v>
      </c>
      <c r="D1461" s="2" t="s">
        <v>2991</v>
      </c>
      <c r="E1461" s="2" t="str">
        <f>HYPERLINK("https://talan.bank.gov.ua/get-user-certificate/sec1e8npu6RuIucQIRRb","Завантажити сертифікат")</f>
        <v>Завантажити сертифікат</v>
      </c>
    </row>
    <row r="1462" spans="1:5" x14ac:dyDescent="0.3">
      <c r="A1462" s="2" t="s">
        <v>2996</v>
      </c>
      <c r="B1462" s="2" t="s">
        <v>5</v>
      </c>
      <c r="C1462" s="2" t="s">
        <v>2997</v>
      </c>
      <c r="D1462" s="2" t="s">
        <v>2991</v>
      </c>
      <c r="E1462" s="2" t="str">
        <f>HYPERLINK("https://talan.bank.gov.ua/get-user-certificate/sec1exfKK1mlCOW8FQ5h","Завантажити сертифікат")</f>
        <v>Завантажити сертифікат</v>
      </c>
    </row>
    <row r="1463" spans="1:5" x14ac:dyDescent="0.3">
      <c r="A1463" s="2" t="s">
        <v>2998</v>
      </c>
      <c r="B1463" s="2" t="s">
        <v>5</v>
      </c>
      <c r="C1463" s="2" t="s">
        <v>2999</v>
      </c>
      <c r="D1463" s="2" t="s">
        <v>2991</v>
      </c>
      <c r="E1463" s="2" t="str">
        <f>HYPERLINK("https://talan.bank.gov.ua/get-user-certificate/sec1eAwjyK9_nJVdpxe_","Завантажити сертифікат")</f>
        <v>Завантажити сертифікат</v>
      </c>
    </row>
    <row r="1464" spans="1:5" x14ac:dyDescent="0.3">
      <c r="A1464" s="2" t="s">
        <v>3000</v>
      </c>
      <c r="B1464" s="2" t="s">
        <v>5</v>
      </c>
      <c r="C1464" s="2" t="s">
        <v>3001</v>
      </c>
      <c r="D1464" s="2" t="s">
        <v>2991</v>
      </c>
      <c r="E1464" s="2" t="str">
        <f>HYPERLINK("https://talan.bank.gov.ua/get-user-certificate/sec1eAlVg-9DDubOircA","Завантажити сертифікат")</f>
        <v>Завантажити сертифікат</v>
      </c>
    </row>
    <row r="1465" spans="1:5" x14ac:dyDescent="0.3">
      <c r="A1465" s="2" t="s">
        <v>3002</v>
      </c>
      <c r="B1465" s="2" t="s">
        <v>5</v>
      </c>
      <c r="C1465" s="2" t="s">
        <v>3003</v>
      </c>
      <c r="D1465" s="2" t="s">
        <v>2991</v>
      </c>
      <c r="E1465" s="2" t="str">
        <f>HYPERLINK("https://talan.bank.gov.ua/get-user-certificate/sec1eFYYvg0smbIE7mGH","Завантажити сертифікат")</f>
        <v>Завантажити сертифікат</v>
      </c>
    </row>
    <row r="1466" spans="1:5" x14ac:dyDescent="0.3">
      <c r="A1466" s="2" t="s">
        <v>3004</v>
      </c>
      <c r="B1466" s="2" t="s">
        <v>5</v>
      </c>
      <c r="C1466" s="2" t="s">
        <v>3005</v>
      </c>
      <c r="D1466" s="2" t="s">
        <v>2991</v>
      </c>
      <c r="E1466" s="2" t="str">
        <f>HYPERLINK("https://talan.bank.gov.ua/get-user-certificate/sec1eFib2OS_7Du3qOS4","Завантажити сертифікат")</f>
        <v>Завантажити сертифікат</v>
      </c>
    </row>
    <row r="1467" spans="1:5" x14ac:dyDescent="0.3">
      <c r="A1467" s="2" t="s">
        <v>3006</v>
      </c>
      <c r="B1467" s="2" t="s">
        <v>5</v>
      </c>
      <c r="C1467" s="2" t="s">
        <v>3007</v>
      </c>
      <c r="D1467" s="2" t="s">
        <v>2991</v>
      </c>
      <c r="E1467" s="2" t="str">
        <f>HYPERLINK("https://talan.bank.gov.ua/get-user-certificate/sec1eXGKDhq9-m9lM-KU","Завантажити сертифікат")</f>
        <v>Завантажити сертифікат</v>
      </c>
    </row>
    <row r="1468" spans="1:5" x14ac:dyDescent="0.3">
      <c r="A1468" s="2" t="s">
        <v>3008</v>
      </c>
      <c r="B1468" s="2" t="s">
        <v>5</v>
      </c>
      <c r="C1468" s="2" t="s">
        <v>3009</v>
      </c>
      <c r="D1468" s="2" t="s">
        <v>2991</v>
      </c>
      <c r="E1468" s="2" t="str">
        <f>HYPERLINK("https://talan.bank.gov.ua/get-user-certificate/sec1e3_ainR_1ZWfmISn","Завантажити сертифікат")</f>
        <v>Завантажити сертифікат</v>
      </c>
    </row>
    <row r="1469" spans="1:5" x14ac:dyDescent="0.3">
      <c r="A1469" s="2" t="s">
        <v>3010</v>
      </c>
      <c r="B1469" s="2" t="s">
        <v>5</v>
      </c>
      <c r="C1469" s="2" t="s">
        <v>3011</v>
      </c>
      <c r="D1469" s="2" t="s">
        <v>2991</v>
      </c>
      <c r="E1469" s="2" t="str">
        <f>HYPERLINK("https://talan.bank.gov.ua/get-user-certificate/sec1eQ4Ux597oDNJUxHc","Завантажити сертифікат")</f>
        <v>Завантажити сертифікат</v>
      </c>
    </row>
    <row r="1470" spans="1:5" x14ac:dyDescent="0.3">
      <c r="A1470" s="2" t="s">
        <v>3012</v>
      </c>
      <c r="B1470" s="2" t="s">
        <v>5</v>
      </c>
      <c r="C1470" s="2" t="s">
        <v>3013</v>
      </c>
      <c r="D1470" s="2" t="s">
        <v>2991</v>
      </c>
      <c r="E1470" s="2" t="str">
        <f>HYPERLINK("https://talan.bank.gov.ua/get-user-certificate/sec1e7voig8jq-K-O-Rk","Завантажити сертифікат")</f>
        <v>Завантажити сертифікат</v>
      </c>
    </row>
    <row r="1471" spans="1:5" x14ac:dyDescent="0.3">
      <c r="A1471" s="2" t="s">
        <v>3014</v>
      </c>
      <c r="B1471" s="2" t="s">
        <v>5</v>
      </c>
      <c r="C1471" s="2" t="s">
        <v>3015</v>
      </c>
      <c r="D1471" s="2" t="s">
        <v>2991</v>
      </c>
      <c r="E1471" s="2" t="str">
        <f>HYPERLINK("https://talan.bank.gov.ua/get-user-certificate/sec1e0gRkNaDJFJG_iAu","Завантажити сертифікат")</f>
        <v>Завантажити сертифікат</v>
      </c>
    </row>
    <row r="1472" spans="1:5" x14ac:dyDescent="0.3">
      <c r="A1472" s="2" t="s">
        <v>3016</v>
      </c>
      <c r="B1472" s="2" t="s">
        <v>5</v>
      </c>
      <c r="C1472" s="2" t="s">
        <v>3017</v>
      </c>
      <c r="D1472" s="2" t="s">
        <v>2991</v>
      </c>
      <c r="E1472" s="2" t="str">
        <f>HYPERLINK("https://talan.bank.gov.ua/get-user-certificate/sec1emlO_W28yFJBVjc-","Завантажити сертифікат")</f>
        <v>Завантажити сертифікат</v>
      </c>
    </row>
    <row r="1473" spans="1:5" x14ac:dyDescent="0.3">
      <c r="A1473" s="2" t="s">
        <v>3018</v>
      </c>
      <c r="B1473" s="2" t="s">
        <v>5</v>
      </c>
      <c r="C1473" s="2" t="s">
        <v>3019</v>
      </c>
      <c r="D1473" s="2" t="s">
        <v>2991</v>
      </c>
      <c r="E1473" s="2" t="str">
        <f>HYPERLINK("https://talan.bank.gov.ua/get-user-certificate/sec1e6Ydrahco3iURGBS","Завантажити сертифікат")</f>
        <v>Завантажити сертифікат</v>
      </c>
    </row>
    <row r="1474" spans="1:5" x14ac:dyDescent="0.3">
      <c r="A1474" s="2" t="s">
        <v>3020</v>
      </c>
      <c r="B1474" s="2" t="s">
        <v>5</v>
      </c>
      <c r="C1474" s="2" t="s">
        <v>3021</v>
      </c>
      <c r="D1474" s="2" t="s">
        <v>2991</v>
      </c>
      <c r="E1474" s="2" t="str">
        <f>HYPERLINK("https://talan.bank.gov.ua/get-user-certificate/sec1edp9TFXJf1RNI_8V","Завантажити сертифікат")</f>
        <v>Завантажити сертифікат</v>
      </c>
    </row>
    <row r="1475" spans="1:5" x14ac:dyDescent="0.3">
      <c r="A1475" s="2" t="s">
        <v>3022</v>
      </c>
      <c r="B1475" s="2" t="s">
        <v>5</v>
      </c>
      <c r="C1475" s="2" t="s">
        <v>3023</v>
      </c>
      <c r="D1475" s="2" t="s">
        <v>2991</v>
      </c>
      <c r="E1475" s="2" t="str">
        <f>HYPERLINK("https://talan.bank.gov.ua/get-user-certificate/sec1eib9hO7GF5tI_joW","Завантажити сертифікат")</f>
        <v>Завантажити сертифікат</v>
      </c>
    </row>
    <row r="1476" spans="1:5" x14ac:dyDescent="0.3">
      <c r="A1476" s="2" t="s">
        <v>3024</v>
      </c>
      <c r="B1476" s="2" t="s">
        <v>5</v>
      </c>
      <c r="C1476" s="2" t="s">
        <v>3025</v>
      </c>
      <c r="D1476" s="2" t="s">
        <v>2991</v>
      </c>
      <c r="E1476" s="2" t="str">
        <f>HYPERLINK("https://talan.bank.gov.ua/get-user-certificate/sec1ei-J6NADfTowt53g","Завантажити сертифікат")</f>
        <v>Завантажити сертифікат</v>
      </c>
    </row>
    <row r="1477" spans="1:5" x14ac:dyDescent="0.3">
      <c r="A1477" s="2" t="s">
        <v>3026</v>
      </c>
      <c r="B1477" s="2" t="s">
        <v>5</v>
      </c>
      <c r="C1477" s="2" t="s">
        <v>3027</v>
      </c>
      <c r="D1477" s="2" t="s">
        <v>2991</v>
      </c>
      <c r="E1477" s="2" t="str">
        <f>HYPERLINK("https://talan.bank.gov.ua/get-user-certificate/sec1esTpu2nGP6Kk81tl","Завантажити сертифікат")</f>
        <v>Завантажити сертифікат</v>
      </c>
    </row>
    <row r="1478" spans="1:5" x14ac:dyDescent="0.3">
      <c r="A1478" s="2" t="s">
        <v>3028</v>
      </c>
      <c r="B1478" s="2" t="s">
        <v>5</v>
      </c>
      <c r="C1478" s="2" t="s">
        <v>3029</v>
      </c>
      <c r="D1478" s="2" t="s">
        <v>2991</v>
      </c>
      <c r="E1478" s="2" t="str">
        <f>HYPERLINK("https://talan.bank.gov.ua/get-user-certificate/sec1epb4GymhrnYZAAUo","Завантажити сертифікат")</f>
        <v>Завантажити сертифікат</v>
      </c>
    </row>
    <row r="1479" spans="1:5" x14ac:dyDescent="0.3">
      <c r="A1479" s="2" t="s">
        <v>3030</v>
      </c>
      <c r="B1479" s="2" t="s">
        <v>5</v>
      </c>
      <c r="C1479" s="2" t="s">
        <v>3031</v>
      </c>
      <c r="D1479" s="2" t="s">
        <v>2991</v>
      </c>
      <c r="E1479" s="2" t="str">
        <f>HYPERLINK("https://talan.bank.gov.ua/get-user-certificate/sec1eWPr4iDzWvW28893","Завантажити сертифікат")</f>
        <v>Завантажити сертифікат</v>
      </c>
    </row>
    <row r="1480" spans="1:5" x14ac:dyDescent="0.3">
      <c r="A1480" s="2" t="s">
        <v>3032</v>
      </c>
      <c r="B1480" s="2" t="s">
        <v>5</v>
      </c>
      <c r="C1480" s="2" t="s">
        <v>3033</v>
      </c>
      <c r="D1480" s="2" t="s">
        <v>2991</v>
      </c>
      <c r="E1480" s="2" t="str">
        <f>HYPERLINK("https://talan.bank.gov.ua/get-user-certificate/sec1eqaTTMAGkG90skbv","Завантажити сертифікат")</f>
        <v>Завантажити сертифікат</v>
      </c>
    </row>
    <row r="1481" spans="1:5" x14ac:dyDescent="0.3">
      <c r="A1481" s="2" t="s">
        <v>3034</v>
      </c>
      <c r="B1481" s="2" t="s">
        <v>5</v>
      </c>
      <c r="C1481" s="2" t="s">
        <v>3035</v>
      </c>
      <c r="D1481" s="2" t="s">
        <v>2991</v>
      </c>
      <c r="E1481" s="2" t="str">
        <f>HYPERLINK("https://talan.bank.gov.ua/get-user-certificate/sec1e6aK57EbeqQZlmr0","Завантажити сертифікат")</f>
        <v>Завантажити сертифікат</v>
      </c>
    </row>
    <row r="1482" spans="1:5" x14ac:dyDescent="0.3">
      <c r="A1482" s="2" t="s">
        <v>3036</v>
      </c>
      <c r="B1482" s="2" t="s">
        <v>5</v>
      </c>
      <c r="C1482" s="2" t="s">
        <v>3037</v>
      </c>
      <c r="D1482" s="2" t="s">
        <v>3038</v>
      </c>
      <c r="E1482" s="2" t="str">
        <f>HYPERLINK("https://talan.bank.gov.ua/get-user-certificate/sec1e3QpndrYItaukk7n","Завантажити сертифікат")</f>
        <v>Завантажити сертифікат</v>
      </c>
    </row>
    <row r="1483" spans="1:5" x14ac:dyDescent="0.3">
      <c r="A1483" s="2" t="s">
        <v>3039</v>
      </c>
      <c r="B1483" s="2" t="s">
        <v>5</v>
      </c>
      <c r="C1483" s="2" t="s">
        <v>3040</v>
      </c>
      <c r="D1483" s="2" t="s">
        <v>3038</v>
      </c>
      <c r="E1483" s="2" t="str">
        <f>HYPERLINK("https://talan.bank.gov.ua/get-user-certificate/sec1e9RW5-e5IOPTDycu","Завантажити сертифікат")</f>
        <v>Завантажити сертифікат</v>
      </c>
    </row>
    <row r="1484" spans="1:5" x14ac:dyDescent="0.3">
      <c r="A1484" s="2" t="s">
        <v>3041</v>
      </c>
      <c r="B1484" s="2" t="s">
        <v>5</v>
      </c>
      <c r="C1484" s="2" t="s">
        <v>3042</v>
      </c>
      <c r="D1484" s="2" t="s">
        <v>3038</v>
      </c>
      <c r="E1484" s="2" t="str">
        <f>HYPERLINK("https://talan.bank.gov.ua/get-user-certificate/sec1ejQ0hG2r2tBmxyIQ","Завантажити сертифікат")</f>
        <v>Завантажити сертифікат</v>
      </c>
    </row>
    <row r="1485" spans="1:5" x14ac:dyDescent="0.3">
      <c r="A1485" s="2" t="s">
        <v>3043</v>
      </c>
      <c r="B1485" s="2" t="s">
        <v>5</v>
      </c>
      <c r="C1485" s="2" t="s">
        <v>3044</v>
      </c>
      <c r="D1485" s="2" t="s">
        <v>3038</v>
      </c>
      <c r="E1485" s="2" t="str">
        <f>HYPERLINK("https://talan.bank.gov.ua/get-user-certificate/sec1eZinStcQwTk0Wj3c","Завантажити сертифікат")</f>
        <v>Завантажити сертифікат</v>
      </c>
    </row>
    <row r="1486" spans="1:5" x14ac:dyDescent="0.3">
      <c r="A1486" s="2" t="s">
        <v>3045</v>
      </c>
      <c r="B1486" s="2" t="s">
        <v>5</v>
      </c>
      <c r="C1486" s="2" t="s">
        <v>3046</v>
      </c>
      <c r="D1486" s="2" t="s">
        <v>3038</v>
      </c>
      <c r="E1486" s="2" t="str">
        <f>HYPERLINK("https://talan.bank.gov.ua/get-user-certificate/sec1eobgS6xuuM9hwNkg","Завантажити сертифікат")</f>
        <v>Завантажити сертифікат</v>
      </c>
    </row>
    <row r="1487" spans="1:5" x14ac:dyDescent="0.3">
      <c r="A1487" s="2" t="s">
        <v>3047</v>
      </c>
      <c r="B1487" s="2" t="s">
        <v>5</v>
      </c>
      <c r="C1487" s="2" t="s">
        <v>3048</v>
      </c>
      <c r="D1487" s="2" t="s">
        <v>3038</v>
      </c>
      <c r="E1487" s="2" t="str">
        <f>HYPERLINK("https://talan.bank.gov.ua/get-user-certificate/sec1eMIgzrXG6pMBWzyb","Завантажити сертифікат")</f>
        <v>Завантажити сертифікат</v>
      </c>
    </row>
    <row r="1488" spans="1:5" x14ac:dyDescent="0.3">
      <c r="A1488" s="2" t="s">
        <v>3049</v>
      </c>
      <c r="B1488" s="2" t="s">
        <v>5</v>
      </c>
      <c r="C1488" s="2" t="s">
        <v>3050</v>
      </c>
      <c r="D1488" s="2" t="s">
        <v>3038</v>
      </c>
      <c r="E1488" s="2" t="str">
        <f>HYPERLINK("https://talan.bank.gov.ua/get-user-certificate/sec1ejbCPW8RNZDL4zxH","Завантажити сертифікат")</f>
        <v>Завантажити сертифікат</v>
      </c>
    </row>
    <row r="1489" spans="1:5" x14ac:dyDescent="0.3">
      <c r="A1489" s="2" t="s">
        <v>3051</v>
      </c>
      <c r="B1489" s="2" t="s">
        <v>5</v>
      </c>
      <c r="C1489" s="2" t="s">
        <v>3052</v>
      </c>
      <c r="D1489" s="2" t="s">
        <v>3038</v>
      </c>
      <c r="E1489" s="2" t="str">
        <f>HYPERLINK("https://talan.bank.gov.ua/get-user-certificate/sec1e6C9kAE3yDKAPYLT","Завантажити сертифікат")</f>
        <v>Завантажити сертифікат</v>
      </c>
    </row>
    <row r="1490" spans="1:5" x14ac:dyDescent="0.3">
      <c r="A1490" s="2" t="s">
        <v>3053</v>
      </c>
      <c r="B1490" s="2" t="s">
        <v>5</v>
      </c>
      <c r="C1490" s="2" t="s">
        <v>3054</v>
      </c>
      <c r="D1490" s="2" t="s">
        <v>3038</v>
      </c>
      <c r="E1490" s="2" t="str">
        <f>HYPERLINK("https://talan.bank.gov.ua/get-user-certificate/sec1ewKaMlXCsY-ItxY5","Завантажити сертифікат")</f>
        <v>Завантажити сертифікат</v>
      </c>
    </row>
    <row r="1491" spans="1:5" x14ac:dyDescent="0.3">
      <c r="A1491" s="2" t="s">
        <v>3055</v>
      </c>
      <c r="B1491" s="2" t="s">
        <v>5</v>
      </c>
      <c r="C1491" s="2" t="s">
        <v>3056</v>
      </c>
      <c r="D1491" s="2" t="s">
        <v>3038</v>
      </c>
      <c r="E1491" s="2" t="str">
        <f>HYPERLINK("https://talan.bank.gov.ua/get-user-certificate/sec1eUpySTM-VWPM5YQz","Завантажити сертифікат")</f>
        <v>Завантажити сертифікат</v>
      </c>
    </row>
    <row r="1492" spans="1:5" x14ac:dyDescent="0.3">
      <c r="A1492" s="2" t="s">
        <v>3057</v>
      </c>
      <c r="B1492" s="2" t="s">
        <v>5</v>
      </c>
      <c r="C1492" s="2" t="s">
        <v>3058</v>
      </c>
      <c r="D1492" s="2" t="s">
        <v>3038</v>
      </c>
      <c r="E1492" s="2" t="str">
        <f>HYPERLINK("https://talan.bank.gov.ua/get-user-certificate/sec1ebNpSDfw3HA-Udn4","Завантажити сертифікат")</f>
        <v>Завантажити сертифікат</v>
      </c>
    </row>
    <row r="1493" spans="1:5" x14ac:dyDescent="0.3">
      <c r="A1493" s="2" t="s">
        <v>3059</v>
      </c>
      <c r="B1493" s="2" t="s">
        <v>5</v>
      </c>
      <c r="C1493" s="2" t="s">
        <v>3060</v>
      </c>
      <c r="D1493" s="2" t="s">
        <v>3038</v>
      </c>
      <c r="E1493" s="2" t="str">
        <f>HYPERLINK("https://talan.bank.gov.ua/get-user-certificate/sec1eUL9t9AyWobfkJsj","Завантажити сертифікат")</f>
        <v>Завантажити сертифікат</v>
      </c>
    </row>
    <row r="1494" spans="1:5" x14ac:dyDescent="0.3">
      <c r="A1494" s="2" t="s">
        <v>3061</v>
      </c>
      <c r="B1494" s="2" t="s">
        <v>5</v>
      </c>
      <c r="C1494" s="2" t="s">
        <v>3062</v>
      </c>
      <c r="D1494" s="2" t="s">
        <v>3038</v>
      </c>
      <c r="E1494" s="2" t="str">
        <f>HYPERLINK("https://talan.bank.gov.ua/get-user-certificate/sec1eCrJjP0nSRyNhI0d","Завантажити сертифікат")</f>
        <v>Завантажити сертифікат</v>
      </c>
    </row>
    <row r="1495" spans="1:5" x14ac:dyDescent="0.3">
      <c r="A1495" s="2" t="s">
        <v>3063</v>
      </c>
      <c r="B1495" s="2" t="s">
        <v>5</v>
      </c>
      <c r="C1495" s="2" t="s">
        <v>3064</v>
      </c>
      <c r="D1495" s="2" t="s">
        <v>3038</v>
      </c>
      <c r="E1495" s="2" t="str">
        <f>HYPERLINK("https://talan.bank.gov.ua/get-user-certificate/sec1eoVAO6TOtY5OCKKf","Завантажити сертифікат")</f>
        <v>Завантажити сертифікат</v>
      </c>
    </row>
    <row r="1496" spans="1:5" x14ac:dyDescent="0.3">
      <c r="A1496" s="2" t="s">
        <v>3065</v>
      </c>
      <c r="B1496" s="2" t="s">
        <v>5</v>
      </c>
      <c r="C1496" s="2" t="s">
        <v>3066</v>
      </c>
      <c r="D1496" s="2" t="s">
        <v>3038</v>
      </c>
      <c r="E1496" s="2" t="str">
        <f>HYPERLINK("https://talan.bank.gov.ua/get-user-certificate/sec1ejrcqdkFgOgRn0_x","Завантажити сертифікат")</f>
        <v>Завантажити сертифікат</v>
      </c>
    </row>
    <row r="1497" spans="1:5" x14ac:dyDescent="0.3">
      <c r="A1497" s="2" t="s">
        <v>3067</v>
      </c>
      <c r="B1497" s="2" t="s">
        <v>5</v>
      </c>
      <c r="C1497" s="2" t="s">
        <v>3068</v>
      </c>
      <c r="D1497" s="2" t="s">
        <v>3038</v>
      </c>
      <c r="E1497" s="2" t="str">
        <f>HYPERLINK("https://talan.bank.gov.ua/get-user-certificate/sec1eLlI6SAx7Z_BNZFA","Завантажити сертифікат")</f>
        <v>Завантажити сертифікат</v>
      </c>
    </row>
    <row r="1498" spans="1:5" x14ac:dyDescent="0.3">
      <c r="A1498" s="2" t="s">
        <v>3069</v>
      </c>
      <c r="B1498" s="2" t="s">
        <v>5</v>
      </c>
      <c r="C1498" s="2" t="s">
        <v>3070</v>
      </c>
      <c r="D1498" s="2" t="s">
        <v>3038</v>
      </c>
      <c r="E1498" s="2" t="str">
        <f>HYPERLINK("https://talan.bank.gov.ua/get-user-certificate/sec1ev_aHV_C5ujvzIXO","Завантажити сертифікат")</f>
        <v>Завантажити сертифікат</v>
      </c>
    </row>
    <row r="1499" spans="1:5" x14ac:dyDescent="0.3">
      <c r="A1499" s="2" t="s">
        <v>3071</v>
      </c>
      <c r="B1499" s="2" t="s">
        <v>5</v>
      </c>
      <c r="C1499" s="2" t="s">
        <v>3072</v>
      </c>
      <c r="D1499" s="2" t="s">
        <v>3038</v>
      </c>
      <c r="E1499" s="2" t="str">
        <f>HYPERLINK("https://talan.bank.gov.ua/get-user-certificate/sec1erUCmHZE0M5Wang-","Завантажити сертифікат")</f>
        <v>Завантажити сертифікат</v>
      </c>
    </row>
    <row r="1500" spans="1:5" x14ac:dyDescent="0.3">
      <c r="A1500" s="2" t="s">
        <v>3073</v>
      </c>
      <c r="B1500" s="2" t="s">
        <v>5</v>
      </c>
      <c r="C1500" s="2" t="s">
        <v>3074</v>
      </c>
      <c r="D1500" s="2" t="s">
        <v>3038</v>
      </c>
      <c r="E1500" s="2" t="str">
        <f>HYPERLINK("https://talan.bank.gov.ua/get-user-certificate/sec1elcAAmWv2Tala0o2","Завантажити сертифікат")</f>
        <v>Завантажити сертифікат</v>
      </c>
    </row>
    <row r="1501" spans="1:5" x14ac:dyDescent="0.3">
      <c r="A1501" s="2" t="s">
        <v>3075</v>
      </c>
      <c r="B1501" s="2" t="s">
        <v>5</v>
      </c>
      <c r="C1501" s="2" t="s">
        <v>3076</v>
      </c>
      <c r="D1501" s="2" t="s">
        <v>3038</v>
      </c>
      <c r="E1501" s="2" t="str">
        <f>HYPERLINK("https://talan.bank.gov.ua/get-user-certificate/sec1eEAH4EPweE766ANB","Завантажити сертифікат")</f>
        <v>Завантажити сертифікат</v>
      </c>
    </row>
    <row r="1502" spans="1:5" x14ac:dyDescent="0.3">
      <c r="A1502" s="2" t="s">
        <v>3077</v>
      </c>
      <c r="B1502" s="2" t="s">
        <v>5</v>
      </c>
      <c r="C1502" s="2" t="s">
        <v>3078</v>
      </c>
      <c r="D1502" s="2" t="s">
        <v>3079</v>
      </c>
      <c r="E1502" s="2" t="str">
        <f>HYPERLINK("https://talan.bank.gov.ua/get-user-certificate/sec1eFAZWF_kpJ9xITcV","Завантажити сертифікат")</f>
        <v>Завантажити сертифікат</v>
      </c>
    </row>
    <row r="1503" spans="1:5" x14ac:dyDescent="0.3">
      <c r="A1503" s="2" t="s">
        <v>3080</v>
      </c>
      <c r="B1503" s="2" t="s">
        <v>5</v>
      </c>
      <c r="C1503" s="2" t="s">
        <v>3081</v>
      </c>
      <c r="D1503" s="2" t="s">
        <v>3079</v>
      </c>
      <c r="E1503" s="2" t="str">
        <f>HYPERLINK("https://talan.bank.gov.ua/get-user-certificate/sec1ejTxGVcM45t5zKgT","Завантажити сертифікат")</f>
        <v>Завантажити сертифікат</v>
      </c>
    </row>
    <row r="1504" spans="1:5" x14ac:dyDescent="0.3">
      <c r="A1504" s="2" t="s">
        <v>3082</v>
      </c>
      <c r="B1504" s="2" t="s">
        <v>5</v>
      </c>
      <c r="C1504" s="2" t="s">
        <v>3083</v>
      </c>
      <c r="D1504" s="2" t="s">
        <v>3079</v>
      </c>
      <c r="E1504" s="2" t="str">
        <f>HYPERLINK("https://talan.bank.gov.ua/get-user-certificate/sec1e-5H8Gq6Rwjf_zDh","Завантажити сертифікат")</f>
        <v>Завантажити сертифікат</v>
      </c>
    </row>
    <row r="1505" spans="1:5" x14ac:dyDescent="0.3">
      <c r="A1505" s="2" t="s">
        <v>3084</v>
      </c>
      <c r="B1505" s="2" t="s">
        <v>5</v>
      </c>
      <c r="C1505" s="2" t="s">
        <v>3085</v>
      </c>
      <c r="D1505" s="2" t="s">
        <v>3079</v>
      </c>
      <c r="E1505" s="2" t="str">
        <f>HYPERLINK("https://talan.bank.gov.ua/get-user-certificate/sec1eOJmVVLX81R2Sx0E","Завантажити сертифікат")</f>
        <v>Завантажити сертифікат</v>
      </c>
    </row>
    <row r="1506" spans="1:5" x14ac:dyDescent="0.3">
      <c r="A1506" s="2" t="s">
        <v>3086</v>
      </c>
      <c r="B1506" s="2" t="s">
        <v>5</v>
      </c>
      <c r="C1506" s="2" t="s">
        <v>3087</v>
      </c>
      <c r="D1506" s="2" t="s">
        <v>3079</v>
      </c>
      <c r="E1506" s="2" t="str">
        <f>HYPERLINK("https://talan.bank.gov.ua/get-user-certificate/sec1ev4YKZK3OS7aZ7vi","Завантажити сертифікат")</f>
        <v>Завантажити сертифікат</v>
      </c>
    </row>
    <row r="1507" spans="1:5" x14ac:dyDescent="0.3">
      <c r="A1507" s="2" t="s">
        <v>3088</v>
      </c>
      <c r="B1507" s="2" t="s">
        <v>5</v>
      </c>
      <c r="C1507" s="2" t="s">
        <v>3089</v>
      </c>
      <c r="D1507" s="2" t="s">
        <v>3079</v>
      </c>
      <c r="E1507" s="2" t="str">
        <f>HYPERLINK("https://talan.bank.gov.ua/get-user-certificate/sec1e740c5-cmBrRR8Ae","Завантажити сертифікат")</f>
        <v>Завантажити сертифікат</v>
      </c>
    </row>
    <row r="1508" spans="1:5" x14ac:dyDescent="0.3">
      <c r="A1508" s="2" t="s">
        <v>3090</v>
      </c>
      <c r="B1508" s="2" t="s">
        <v>5</v>
      </c>
      <c r="C1508" s="2" t="s">
        <v>3091</v>
      </c>
      <c r="D1508" s="2" t="s">
        <v>3079</v>
      </c>
      <c r="E1508" s="2" t="str">
        <f>HYPERLINK("https://talan.bank.gov.ua/get-user-certificate/sec1eEfie-53zJYgFy6L","Завантажити сертифікат")</f>
        <v>Завантажити сертифікат</v>
      </c>
    </row>
    <row r="1509" spans="1:5" x14ac:dyDescent="0.3">
      <c r="A1509" s="2" t="s">
        <v>3092</v>
      </c>
      <c r="B1509" s="2" t="s">
        <v>5</v>
      </c>
      <c r="C1509" s="2" t="s">
        <v>3093</v>
      </c>
      <c r="D1509" s="2" t="s">
        <v>3079</v>
      </c>
      <c r="E1509" s="2" t="str">
        <f>HYPERLINK("https://talan.bank.gov.ua/get-user-certificate/sec1e69CerA_uOO0GPVo","Завантажити сертифікат")</f>
        <v>Завантажити сертифікат</v>
      </c>
    </row>
    <row r="1510" spans="1:5" x14ac:dyDescent="0.3">
      <c r="A1510" s="2" t="s">
        <v>3094</v>
      </c>
      <c r="B1510" s="2" t="s">
        <v>5</v>
      </c>
      <c r="C1510" s="2" t="s">
        <v>3095</v>
      </c>
      <c r="D1510" s="2" t="s">
        <v>3096</v>
      </c>
      <c r="E1510" s="2" t="str">
        <f>HYPERLINK("https://talan.bank.gov.ua/get-user-certificate/sec1evHKdP9xWmFJxCQ5","Завантажити сертифікат")</f>
        <v>Завантажити сертифікат</v>
      </c>
    </row>
    <row r="1511" spans="1:5" x14ac:dyDescent="0.3">
      <c r="A1511" s="2" t="s">
        <v>3097</v>
      </c>
      <c r="B1511" s="2" t="s">
        <v>5</v>
      </c>
      <c r="C1511" s="2" t="s">
        <v>3098</v>
      </c>
      <c r="D1511" s="2" t="s">
        <v>3096</v>
      </c>
      <c r="E1511" s="2" t="str">
        <f>HYPERLINK("https://talan.bank.gov.ua/get-user-certificate/sec1e0GgKTxltUpCye8m","Завантажити сертифікат")</f>
        <v>Завантажити сертифікат</v>
      </c>
    </row>
    <row r="1512" spans="1:5" x14ac:dyDescent="0.3">
      <c r="A1512" s="2" t="s">
        <v>3099</v>
      </c>
      <c r="B1512" s="2" t="s">
        <v>5</v>
      </c>
      <c r="C1512" s="2" t="s">
        <v>3100</v>
      </c>
      <c r="D1512" s="2" t="s">
        <v>3096</v>
      </c>
      <c r="E1512" s="2" t="str">
        <f>HYPERLINK("https://talan.bank.gov.ua/get-user-certificate/sec1ewL5Fy-xewOvyp5b","Завантажити сертифікат")</f>
        <v>Завантажити сертифікат</v>
      </c>
    </row>
    <row r="1513" spans="1:5" x14ac:dyDescent="0.3">
      <c r="A1513" s="2" t="s">
        <v>3101</v>
      </c>
      <c r="B1513" s="2" t="s">
        <v>5</v>
      </c>
      <c r="C1513" s="2" t="s">
        <v>3102</v>
      </c>
      <c r="D1513" s="2" t="s">
        <v>3096</v>
      </c>
      <c r="E1513" s="2" t="str">
        <f>HYPERLINK("https://talan.bank.gov.ua/get-user-certificate/sec1e254Gc_zdMMM3HDV","Завантажити сертифікат")</f>
        <v>Завантажити сертифікат</v>
      </c>
    </row>
    <row r="1514" spans="1:5" x14ac:dyDescent="0.3">
      <c r="A1514" s="2" t="s">
        <v>3103</v>
      </c>
      <c r="B1514" s="2" t="s">
        <v>5</v>
      </c>
      <c r="C1514" s="2" t="s">
        <v>3104</v>
      </c>
      <c r="D1514" s="2" t="s">
        <v>3096</v>
      </c>
      <c r="E1514" s="2" t="str">
        <f>HYPERLINK("https://talan.bank.gov.ua/get-user-certificate/sec1euzdD28iI9aCYr9E","Завантажити сертифікат")</f>
        <v>Завантажити сертифікат</v>
      </c>
    </row>
    <row r="1515" spans="1:5" x14ac:dyDescent="0.3">
      <c r="A1515" s="2" t="s">
        <v>3105</v>
      </c>
      <c r="B1515" s="2" t="s">
        <v>5</v>
      </c>
      <c r="C1515" s="2" t="s">
        <v>3106</v>
      </c>
      <c r="D1515" s="2" t="s">
        <v>3096</v>
      </c>
      <c r="E1515" s="2" t="str">
        <f>HYPERLINK("https://talan.bank.gov.ua/get-user-certificate/sec1eT549WmG4ub40cpZ","Завантажити сертифікат")</f>
        <v>Завантажити сертифікат</v>
      </c>
    </row>
    <row r="1516" spans="1:5" x14ac:dyDescent="0.3">
      <c r="A1516" s="2" t="s">
        <v>3107</v>
      </c>
      <c r="B1516" s="2" t="s">
        <v>5</v>
      </c>
      <c r="C1516" s="2" t="s">
        <v>3108</v>
      </c>
      <c r="D1516" s="2" t="s">
        <v>3096</v>
      </c>
      <c r="E1516" s="2" t="str">
        <f>HYPERLINK("https://talan.bank.gov.ua/get-user-certificate/sec1eTFhi4L2HZ1AX9Mf","Завантажити сертифікат")</f>
        <v>Завантажити сертифікат</v>
      </c>
    </row>
    <row r="1517" spans="1:5" x14ac:dyDescent="0.3">
      <c r="A1517" s="2" t="s">
        <v>3109</v>
      </c>
      <c r="B1517" s="2" t="s">
        <v>5</v>
      </c>
      <c r="C1517" s="2" t="s">
        <v>3110</v>
      </c>
      <c r="D1517" s="2" t="s">
        <v>3096</v>
      </c>
      <c r="E1517" s="2" t="str">
        <f>HYPERLINK("https://talan.bank.gov.ua/get-user-certificate/sec1eEPKjU4jZ9ZApjyB","Завантажити сертифікат")</f>
        <v>Завантажити сертифікат</v>
      </c>
    </row>
    <row r="1518" spans="1:5" x14ac:dyDescent="0.3">
      <c r="A1518" s="2" t="s">
        <v>3111</v>
      </c>
      <c r="B1518" s="2" t="s">
        <v>5</v>
      </c>
      <c r="C1518" s="2" t="s">
        <v>3112</v>
      </c>
      <c r="D1518" s="2" t="s">
        <v>3096</v>
      </c>
      <c r="E1518" s="2" t="str">
        <f>HYPERLINK("https://talan.bank.gov.ua/get-user-certificate/sec1ei6rcyfB35_PQ1Tu","Завантажити сертифікат")</f>
        <v>Завантажити сертифікат</v>
      </c>
    </row>
    <row r="1519" spans="1:5" x14ac:dyDescent="0.3">
      <c r="A1519" s="2" t="s">
        <v>3113</v>
      </c>
      <c r="B1519" s="2" t="s">
        <v>5</v>
      </c>
      <c r="C1519" s="2" t="s">
        <v>3114</v>
      </c>
      <c r="D1519" s="2" t="s">
        <v>3096</v>
      </c>
      <c r="E1519" s="2" t="str">
        <f>HYPERLINK("https://talan.bank.gov.ua/get-user-certificate/sec1etQkgXs9oJmqIfol","Завантажити сертифікат")</f>
        <v>Завантажити сертифікат</v>
      </c>
    </row>
    <row r="1520" spans="1:5" x14ac:dyDescent="0.3">
      <c r="A1520" s="2" t="s">
        <v>3115</v>
      </c>
      <c r="B1520" s="2" t="s">
        <v>5</v>
      </c>
      <c r="C1520" s="2" t="s">
        <v>3116</v>
      </c>
      <c r="D1520" s="2" t="s">
        <v>3096</v>
      </c>
      <c r="E1520" s="2" t="str">
        <f>HYPERLINK("https://talan.bank.gov.ua/get-user-certificate/sec1eDq99-M5Og6wYjqx","Завантажити сертифікат")</f>
        <v>Завантажити сертифікат</v>
      </c>
    </row>
    <row r="1521" spans="1:5" x14ac:dyDescent="0.3">
      <c r="A1521" s="2" t="s">
        <v>3117</v>
      </c>
      <c r="B1521" s="2" t="s">
        <v>5</v>
      </c>
      <c r="C1521" s="2" t="s">
        <v>3118</v>
      </c>
      <c r="D1521" s="2" t="s">
        <v>3096</v>
      </c>
      <c r="E1521" s="2" t="str">
        <f>HYPERLINK("https://talan.bank.gov.ua/get-user-certificate/sec1e-gCTHSYGX8RfKeb","Завантажити сертифікат")</f>
        <v>Завантажити сертифікат</v>
      </c>
    </row>
    <row r="1522" spans="1:5" x14ac:dyDescent="0.3">
      <c r="A1522" s="2" t="s">
        <v>3119</v>
      </c>
      <c r="B1522" s="2" t="s">
        <v>5</v>
      </c>
      <c r="C1522" s="2" t="s">
        <v>3120</v>
      </c>
      <c r="D1522" s="2" t="s">
        <v>3096</v>
      </c>
      <c r="E1522" s="2" t="str">
        <f>HYPERLINK("https://talan.bank.gov.ua/get-user-certificate/sec1elLM-26sHD5wskqp","Завантажити сертифікат")</f>
        <v>Завантажити сертифікат</v>
      </c>
    </row>
    <row r="1523" spans="1:5" x14ac:dyDescent="0.3">
      <c r="A1523" s="2" t="s">
        <v>3121</v>
      </c>
      <c r="B1523" s="2" t="s">
        <v>5</v>
      </c>
      <c r="C1523" s="2" t="s">
        <v>3122</v>
      </c>
      <c r="D1523" s="2" t="s">
        <v>3096</v>
      </c>
      <c r="E1523" s="2" t="str">
        <f>HYPERLINK("https://talan.bank.gov.ua/get-user-certificate/sec1ezZlLPR9v2Mxxhav","Завантажити сертифікат")</f>
        <v>Завантажити сертифікат</v>
      </c>
    </row>
    <row r="1524" spans="1:5" x14ac:dyDescent="0.3">
      <c r="A1524" s="2" t="s">
        <v>3123</v>
      </c>
      <c r="B1524" s="2" t="s">
        <v>5</v>
      </c>
      <c r="C1524" s="2" t="s">
        <v>3124</v>
      </c>
      <c r="D1524" s="2" t="s">
        <v>3096</v>
      </c>
      <c r="E1524" s="2" t="str">
        <f>HYPERLINK("https://talan.bank.gov.ua/get-user-certificate/sec1eChJk3oWCHxrOpX_","Завантажити сертифікат")</f>
        <v>Завантажити сертифікат</v>
      </c>
    </row>
    <row r="1525" spans="1:5" x14ac:dyDescent="0.3">
      <c r="A1525" s="2" t="s">
        <v>3125</v>
      </c>
      <c r="B1525" s="2" t="s">
        <v>5</v>
      </c>
      <c r="C1525" s="2" t="s">
        <v>3126</v>
      </c>
      <c r="D1525" s="2" t="s">
        <v>3096</v>
      </c>
      <c r="E1525" s="2" t="str">
        <f>HYPERLINK("https://talan.bank.gov.ua/get-user-certificate/sec1evKOwXd9RFz1_XOk","Завантажити сертифікат")</f>
        <v>Завантажити сертифікат</v>
      </c>
    </row>
    <row r="1526" spans="1:5" x14ac:dyDescent="0.3">
      <c r="A1526" s="2" t="s">
        <v>3127</v>
      </c>
      <c r="B1526" s="2" t="s">
        <v>5</v>
      </c>
      <c r="C1526" s="2" t="s">
        <v>3128</v>
      </c>
      <c r="D1526" s="2" t="s">
        <v>3096</v>
      </c>
      <c r="E1526" s="2" t="str">
        <f>HYPERLINK("https://talan.bank.gov.ua/get-user-certificate/sec1eUeOSKkWqvFJXnj8","Завантажити сертифікат")</f>
        <v>Завантажити сертифікат</v>
      </c>
    </row>
    <row r="1527" spans="1:5" x14ac:dyDescent="0.3">
      <c r="A1527" s="2" t="s">
        <v>3129</v>
      </c>
      <c r="B1527" s="2" t="s">
        <v>5</v>
      </c>
      <c r="C1527" s="2" t="s">
        <v>3130</v>
      </c>
      <c r="D1527" s="2" t="s">
        <v>3096</v>
      </c>
      <c r="E1527" s="2" t="str">
        <f>HYPERLINK("https://talan.bank.gov.ua/get-user-certificate/sec1e94KsmVf2_1H61El","Завантажити сертифікат")</f>
        <v>Завантажити сертифікат</v>
      </c>
    </row>
    <row r="1528" spans="1:5" x14ac:dyDescent="0.3">
      <c r="A1528" s="2" t="s">
        <v>3131</v>
      </c>
      <c r="B1528" s="2" t="s">
        <v>5</v>
      </c>
      <c r="C1528" s="2" t="s">
        <v>3132</v>
      </c>
      <c r="D1528" s="2" t="s">
        <v>3096</v>
      </c>
      <c r="E1528" s="2" t="str">
        <f>HYPERLINK("https://talan.bank.gov.ua/get-user-certificate/sec1es6sCxn7SMIhVY-s","Завантажити сертифікат")</f>
        <v>Завантажити сертифікат</v>
      </c>
    </row>
    <row r="1529" spans="1:5" x14ac:dyDescent="0.3">
      <c r="A1529" s="2" t="s">
        <v>3133</v>
      </c>
      <c r="B1529" s="2" t="s">
        <v>5</v>
      </c>
      <c r="C1529" s="2" t="s">
        <v>3134</v>
      </c>
      <c r="D1529" s="2" t="s">
        <v>3096</v>
      </c>
      <c r="E1529" s="2" t="str">
        <f>HYPERLINK("https://talan.bank.gov.ua/get-user-certificate/sec1ehcfCZ9ZozvZeUHG","Завантажити сертифікат")</f>
        <v>Завантажити сертифікат</v>
      </c>
    </row>
    <row r="1530" spans="1:5" x14ac:dyDescent="0.3">
      <c r="A1530" s="2" t="s">
        <v>3135</v>
      </c>
      <c r="B1530" s="2" t="s">
        <v>5</v>
      </c>
      <c r="C1530" s="2" t="s">
        <v>3136</v>
      </c>
      <c r="D1530" s="2" t="s">
        <v>3096</v>
      </c>
      <c r="E1530" s="2" t="str">
        <f>HYPERLINK("https://talan.bank.gov.ua/get-user-certificate/sec1eyiu5abOJUp98Acp","Завантажити сертифікат")</f>
        <v>Завантажити сертифікат</v>
      </c>
    </row>
    <row r="1531" spans="1:5" x14ac:dyDescent="0.3">
      <c r="A1531" s="2" t="s">
        <v>3137</v>
      </c>
      <c r="B1531" s="2" t="s">
        <v>5</v>
      </c>
      <c r="C1531" s="2" t="s">
        <v>3138</v>
      </c>
      <c r="D1531" s="2" t="s">
        <v>3096</v>
      </c>
      <c r="E1531" s="2" t="str">
        <f>HYPERLINK("https://talan.bank.gov.ua/get-user-certificate/sec1ekExcru-SR__Xkcc","Завантажити сертифікат")</f>
        <v>Завантажити сертифікат</v>
      </c>
    </row>
    <row r="1532" spans="1:5" x14ac:dyDescent="0.3">
      <c r="A1532" s="2" t="s">
        <v>3139</v>
      </c>
      <c r="B1532" s="2" t="s">
        <v>5</v>
      </c>
      <c r="C1532" s="2" t="s">
        <v>3140</v>
      </c>
      <c r="D1532" s="2" t="s">
        <v>3096</v>
      </c>
      <c r="E1532" s="2" t="str">
        <f>HYPERLINK("https://talan.bank.gov.ua/get-user-certificate/sec1eO3brSdqYSBx0hRB","Завантажити сертифікат")</f>
        <v>Завантажити сертифікат</v>
      </c>
    </row>
    <row r="1533" spans="1:5" x14ac:dyDescent="0.3">
      <c r="A1533" s="2" t="s">
        <v>3141</v>
      </c>
      <c r="B1533" s="2" t="s">
        <v>5</v>
      </c>
      <c r="C1533" s="2" t="s">
        <v>3142</v>
      </c>
      <c r="D1533" s="2" t="s">
        <v>3096</v>
      </c>
      <c r="E1533" s="2" t="str">
        <f>HYPERLINK("https://talan.bank.gov.ua/get-user-certificate/sec1e75ezjeSPn2MoFVs","Завантажити сертифікат")</f>
        <v>Завантажити сертифікат</v>
      </c>
    </row>
    <row r="1534" spans="1:5" x14ac:dyDescent="0.3">
      <c r="A1534" s="2" t="s">
        <v>3143</v>
      </c>
      <c r="B1534" s="2" t="s">
        <v>5</v>
      </c>
      <c r="C1534" s="2" t="s">
        <v>3144</v>
      </c>
      <c r="D1534" s="2" t="s">
        <v>3145</v>
      </c>
      <c r="E1534" s="2" t="str">
        <f>HYPERLINK("https://talan.bank.gov.ua/get-user-certificate/sec1e0NhGZd5zNeCImhV","Завантажити сертифікат")</f>
        <v>Завантажити сертифікат</v>
      </c>
    </row>
    <row r="1535" spans="1:5" x14ac:dyDescent="0.3">
      <c r="A1535" s="2" t="s">
        <v>3146</v>
      </c>
      <c r="B1535" s="2" t="s">
        <v>5</v>
      </c>
      <c r="C1535" s="2" t="s">
        <v>3147</v>
      </c>
      <c r="D1535" s="2" t="s">
        <v>3145</v>
      </c>
      <c r="E1535" s="2" t="str">
        <f>HYPERLINK("https://talan.bank.gov.ua/get-user-certificate/sec1eM7BQkjz4bmFr5Vj","Завантажити сертифікат")</f>
        <v>Завантажити сертифікат</v>
      </c>
    </row>
    <row r="1536" spans="1:5" x14ac:dyDescent="0.3">
      <c r="A1536" s="2" t="s">
        <v>3148</v>
      </c>
      <c r="B1536" s="2" t="s">
        <v>5</v>
      </c>
      <c r="C1536" s="2" t="s">
        <v>3149</v>
      </c>
      <c r="D1536" s="2" t="s">
        <v>3145</v>
      </c>
      <c r="E1536" s="2" t="str">
        <f>HYPERLINK("https://talan.bank.gov.ua/get-user-certificate/sec1eFLzrx61XM7wTyE7","Завантажити сертифікат")</f>
        <v>Завантажити сертифікат</v>
      </c>
    </row>
    <row r="1537" spans="1:5" x14ac:dyDescent="0.3">
      <c r="A1537" s="2" t="s">
        <v>3150</v>
      </c>
      <c r="B1537" s="2" t="s">
        <v>5</v>
      </c>
      <c r="C1537" s="2" t="s">
        <v>3151</v>
      </c>
      <c r="D1537" s="2" t="s">
        <v>3145</v>
      </c>
      <c r="E1537" s="2" t="str">
        <f>HYPERLINK("https://talan.bank.gov.ua/get-user-certificate/sec1elpD41h8IRLU_XR5","Завантажити сертифікат")</f>
        <v>Завантажити сертифікат</v>
      </c>
    </row>
    <row r="1538" spans="1:5" x14ac:dyDescent="0.3">
      <c r="A1538" s="2" t="s">
        <v>3152</v>
      </c>
      <c r="B1538" s="2" t="s">
        <v>5</v>
      </c>
      <c r="C1538" s="2" t="s">
        <v>3153</v>
      </c>
      <c r="D1538" s="2" t="s">
        <v>3145</v>
      </c>
      <c r="E1538" s="2" t="str">
        <f>HYPERLINK("https://talan.bank.gov.ua/get-user-certificate/sec1exb1acGqqkhcopJF","Завантажити сертифікат")</f>
        <v>Завантажити сертифікат</v>
      </c>
    </row>
    <row r="1539" spans="1:5" x14ac:dyDescent="0.3">
      <c r="A1539" s="2" t="s">
        <v>3154</v>
      </c>
      <c r="B1539" s="2" t="s">
        <v>5</v>
      </c>
      <c r="C1539" s="2" t="s">
        <v>3155</v>
      </c>
      <c r="D1539" s="2" t="s">
        <v>3145</v>
      </c>
      <c r="E1539" s="2" t="str">
        <f>HYPERLINK("https://talan.bank.gov.ua/get-user-certificate/sec1eH6UyAtsB9kPytYf","Завантажити сертифікат")</f>
        <v>Завантажити сертифікат</v>
      </c>
    </row>
    <row r="1540" spans="1:5" x14ac:dyDescent="0.3">
      <c r="A1540" s="2" t="s">
        <v>3156</v>
      </c>
      <c r="B1540" s="2" t="s">
        <v>5</v>
      </c>
      <c r="C1540" s="2" t="s">
        <v>3157</v>
      </c>
      <c r="D1540" s="2" t="s">
        <v>3145</v>
      </c>
      <c r="E1540" s="2" t="str">
        <f>HYPERLINK("https://talan.bank.gov.ua/get-user-certificate/sec1eUfC1lNMpxQ6FiVB","Завантажити сертифікат")</f>
        <v>Завантажити сертифікат</v>
      </c>
    </row>
    <row r="1541" spans="1:5" x14ac:dyDescent="0.3">
      <c r="A1541" s="2" t="s">
        <v>3158</v>
      </c>
      <c r="B1541" s="2" t="s">
        <v>5</v>
      </c>
      <c r="C1541" s="2" t="s">
        <v>3159</v>
      </c>
      <c r="D1541" s="2" t="s">
        <v>3145</v>
      </c>
      <c r="E1541" s="2" t="str">
        <f>HYPERLINK("https://talan.bank.gov.ua/get-user-certificate/sec1eTWYnRyMeku7ZtBd","Завантажити сертифікат")</f>
        <v>Завантажити сертифікат</v>
      </c>
    </row>
    <row r="1542" spans="1:5" x14ac:dyDescent="0.3">
      <c r="A1542" s="2" t="s">
        <v>3160</v>
      </c>
      <c r="B1542" s="2" t="s">
        <v>5</v>
      </c>
      <c r="C1542" s="2" t="s">
        <v>3161</v>
      </c>
      <c r="D1542" s="2" t="s">
        <v>3145</v>
      </c>
      <c r="E1542" s="2" t="str">
        <f>HYPERLINK("https://talan.bank.gov.ua/get-user-certificate/sec1eX2kb1Ke7oJqoru4","Завантажити сертифікат")</f>
        <v>Завантажити сертифікат</v>
      </c>
    </row>
    <row r="1543" spans="1:5" x14ac:dyDescent="0.3">
      <c r="A1543" s="2" t="s">
        <v>3162</v>
      </c>
      <c r="B1543" s="2" t="s">
        <v>5</v>
      </c>
      <c r="C1543" s="2" t="s">
        <v>3163</v>
      </c>
      <c r="D1543" s="2" t="s">
        <v>3145</v>
      </c>
      <c r="E1543" s="2" t="str">
        <f>HYPERLINK("https://talan.bank.gov.ua/get-user-certificate/sec1eaGNVwjX0PsezdfR","Завантажити сертифікат")</f>
        <v>Завантажити сертифікат</v>
      </c>
    </row>
    <row r="1544" spans="1:5" x14ac:dyDescent="0.3">
      <c r="A1544" s="2" t="s">
        <v>3164</v>
      </c>
      <c r="B1544" s="2" t="s">
        <v>5</v>
      </c>
      <c r="C1544" s="2" t="s">
        <v>3165</v>
      </c>
      <c r="D1544" s="2" t="s">
        <v>3145</v>
      </c>
      <c r="E1544" s="2" t="str">
        <f>HYPERLINK("https://talan.bank.gov.ua/get-user-certificate/sec1eEFrJo9SuQw-xiKq","Завантажити сертифікат")</f>
        <v>Завантажити сертифікат</v>
      </c>
    </row>
    <row r="1545" spans="1:5" x14ac:dyDescent="0.3">
      <c r="A1545" s="2" t="s">
        <v>3166</v>
      </c>
      <c r="B1545" s="2" t="s">
        <v>5</v>
      </c>
      <c r="C1545" s="2" t="s">
        <v>3167</v>
      </c>
      <c r="D1545" s="2" t="s">
        <v>3145</v>
      </c>
      <c r="E1545" s="2" t="str">
        <f>HYPERLINK("https://talan.bank.gov.ua/get-user-certificate/sec1eijaaIXZSzgIEwfk","Завантажити сертифікат")</f>
        <v>Завантажити сертифікат</v>
      </c>
    </row>
    <row r="1546" spans="1:5" x14ac:dyDescent="0.3">
      <c r="A1546" s="2" t="s">
        <v>3168</v>
      </c>
      <c r="B1546" s="2" t="s">
        <v>5</v>
      </c>
      <c r="C1546" s="2" t="s">
        <v>3169</v>
      </c>
      <c r="D1546" s="2" t="s">
        <v>3145</v>
      </c>
      <c r="E1546" s="2" t="str">
        <f>HYPERLINK("https://talan.bank.gov.ua/get-user-certificate/sec1eQKym8lPQaLYyW9S","Завантажити сертифікат")</f>
        <v>Завантажити сертифікат</v>
      </c>
    </row>
    <row r="1547" spans="1:5" x14ac:dyDescent="0.3">
      <c r="A1547" s="2" t="s">
        <v>3170</v>
      </c>
      <c r="B1547" s="2" t="s">
        <v>5</v>
      </c>
      <c r="C1547" s="2" t="s">
        <v>3171</v>
      </c>
      <c r="D1547" s="2" t="s">
        <v>3145</v>
      </c>
      <c r="E1547" s="2" t="str">
        <f>HYPERLINK("https://talan.bank.gov.ua/get-user-certificate/sec1eawoWpcfliBiiz5u","Завантажити сертифікат")</f>
        <v>Завантажити сертифікат</v>
      </c>
    </row>
    <row r="1548" spans="1:5" x14ac:dyDescent="0.3">
      <c r="A1548" s="2" t="s">
        <v>3172</v>
      </c>
      <c r="B1548" s="2" t="s">
        <v>5</v>
      </c>
      <c r="C1548" s="2" t="s">
        <v>3173</v>
      </c>
      <c r="D1548" s="2" t="s">
        <v>3145</v>
      </c>
      <c r="E1548" s="2" t="str">
        <f>HYPERLINK("https://talan.bank.gov.ua/get-user-certificate/sec1eLRh6w33i4sptAzB","Завантажити сертифікат")</f>
        <v>Завантажити сертифікат</v>
      </c>
    </row>
    <row r="1549" spans="1:5" x14ac:dyDescent="0.3">
      <c r="A1549" s="2" t="s">
        <v>3174</v>
      </c>
      <c r="B1549" s="2" t="s">
        <v>5</v>
      </c>
      <c r="C1549" s="2" t="s">
        <v>3175</v>
      </c>
      <c r="D1549" s="2" t="s">
        <v>3145</v>
      </c>
      <c r="E1549" s="2" t="str">
        <f>HYPERLINK("https://talan.bank.gov.ua/get-user-certificate/sec1eJXDNZUzKwkysZpS","Завантажити сертифікат")</f>
        <v>Завантажити сертифікат</v>
      </c>
    </row>
    <row r="1550" spans="1:5" x14ac:dyDescent="0.3">
      <c r="A1550" s="2" t="s">
        <v>3176</v>
      </c>
      <c r="B1550" s="2" t="s">
        <v>5</v>
      </c>
      <c r="C1550" s="2" t="s">
        <v>3177</v>
      </c>
      <c r="D1550" s="2" t="s">
        <v>3145</v>
      </c>
      <c r="E1550" s="2" t="str">
        <f>HYPERLINK("https://talan.bank.gov.ua/get-user-certificate/sec1eA43s8kr1j-_Y-mv","Завантажити сертифікат")</f>
        <v>Завантажити сертифікат</v>
      </c>
    </row>
    <row r="1551" spans="1:5" x14ac:dyDescent="0.3">
      <c r="A1551" s="2" t="s">
        <v>3178</v>
      </c>
      <c r="B1551" s="2" t="s">
        <v>5</v>
      </c>
      <c r="C1551" s="2" t="s">
        <v>3179</v>
      </c>
      <c r="D1551" s="2" t="s">
        <v>3145</v>
      </c>
      <c r="E1551" s="2" t="str">
        <f>HYPERLINK("https://talan.bank.gov.ua/get-user-certificate/sec1eEYGXHHGVRgPJagw","Завантажити сертифікат")</f>
        <v>Завантажити сертифікат</v>
      </c>
    </row>
    <row r="1552" spans="1:5" x14ac:dyDescent="0.3">
      <c r="A1552" s="2" t="s">
        <v>3180</v>
      </c>
      <c r="B1552" s="2" t="s">
        <v>5</v>
      </c>
      <c r="C1552" s="2" t="s">
        <v>3181</v>
      </c>
      <c r="D1552" s="2" t="s">
        <v>3145</v>
      </c>
      <c r="E1552" s="2" t="str">
        <f>HYPERLINK("https://talan.bank.gov.ua/get-user-certificate/sec1etuGriqzwa6hExtN","Завантажити сертифікат")</f>
        <v>Завантажити сертифікат</v>
      </c>
    </row>
    <row r="1553" spans="1:5" x14ac:dyDescent="0.3">
      <c r="A1553" s="2" t="s">
        <v>3182</v>
      </c>
      <c r="B1553" s="2" t="s">
        <v>5</v>
      </c>
      <c r="C1553" s="2" t="s">
        <v>3183</v>
      </c>
      <c r="D1553" s="2" t="s">
        <v>3145</v>
      </c>
      <c r="E1553" s="2" t="str">
        <f>HYPERLINK("https://talan.bank.gov.ua/get-user-certificate/sec1eQ9FCZlmQjYB4E-e","Завантажити сертифікат")</f>
        <v>Завантажити сертифікат</v>
      </c>
    </row>
    <row r="1554" spans="1:5" x14ac:dyDescent="0.3">
      <c r="A1554" s="2" t="s">
        <v>3184</v>
      </c>
      <c r="B1554" s="2" t="s">
        <v>5</v>
      </c>
      <c r="C1554" s="2" t="s">
        <v>3185</v>
      </c>
      <c r="D1554" s="2" t="s">
        <v>3145</v>
      </c>
      <c r="E1554" s="2" t="str">
        <f>HYPERLINK("https://talan.bank.gov.ua/get-user-certificate/sec1ejieKGQOlBsoEBlS","Завантажити сертифікат")</f>
        <v>Завантажити сертифікат</v>
      </c>
    </row>
    <row r="1555" spans="1:5" x14ac:dyDescent="0.3">
      <c r="A1555" s="2" t="s">
        <v>3186</v>
      </c>
      <c r="B1555" s="2" t="s">
        <v>5</v>
      </c>
      <c r="C1555" s="2" t="s">
        <v>3187</v>
      </c>
      <c r="D1555" s="2" t="s">
        <v>3145</v>
      </c>
      <c r="E1555" s="2" t="str">
        <f>HYPERLINK("https://talan.bank.gov.ua/get-user-certificate/sec1eumfwIisu_1tK1wt","Завантажити сертифікат")</f>
        <v>Завантажити сертифікат</v>
      </c>
    </row>
    <row r="1556" spans="1:5" x14ac:dyDescent="0.3">
      <c r="A1556" s="2" t="s">
        <v>3188</v>
      </c>
      <c r="B1556" s="2" t="s">
        <v>5</v>
      </c>
      <c r="C1556" s="2" t="s">
        <v>3189</v>
      </c>
      <c r="D1556" s="2" t="s">
        <v>3190</v>
      </c>
      <c r="E1556" s="2" t="str">
        <f>HYPERLINK("https://talan.bank.gov.ua/get-user-certificate/sec1ePxIrsU2Ny0t2Tf1","Завантажити сертифікат")</f>
        <v>Завантажити сертифікат</v>
      </c>
    </row>
    <row r="1557" spans="1:5" x14ac:dyDescent="0.3">
      <c r="A1557" s="2" t="s">
        <v>3191</v>
      </c>
      <c r="B1557" s="2" t="s">
        <v>5</v>
      </c>
      <c r="C1557" s="2" t="s">
        <v>3192</v>
      </c>
      <c r="D1557" s="2" t="s">
        <v>3190</v>
      </c>
      <c r="E1557" s="2" t="str">
        <f>HYPERLINK("https://talan.bank.gov.ua/get-user-certificate/sec1eF0ikp8LXuAR_9Rm","Завантажити сертифікат")</f>
        <v>Завантажити сертифікат</v>
      </c>
    </row>
    <row r="1558" spans="1:5" x14ac:dyDescent="0.3">
      <c r="A1558" s="2" t="s">
        <v>3193</v>
      </c>
      <c r="B1558" s="2" t="s">
        <v>5</v>
      </c>
      <c r="C1558" s="2" t="s">
        <v>3194</v>
      </c>
      <c r="D1558" s="2" t="s">
        <v>3190</v>
      </c>
      <c r="E1558" s="2" t="str">
        <f>HYPERLINK("https://talan.bank.gov.ua/get-user-certificate/sec1eLNLvPnCwCKTORU-","Завантажити сертифікат")</f>
        <v>Завантажити сертифікат</v>
      </c>
    </row>
    <row r="1559" spans="1:5" x14ac:dyDescent="0.3">
      <c r="A1559" s="2" t="s">
        <v>3195</v>
      </c>
      <c r="B1559" s="2" t="s">
        <v>5</v>
      </c>
      <c r="C1559" s="2" t="s">
        <v>3196</v>
      </c>
      <c r="D1559" s="2" t="s">
        <v>3190</v>
      </c>
      <c r="E1559" s="2" t="str">
        <f>HYPERLINK("https://talan.bank.gov.ua/get-user-certificate/sec1exyLeDviR89BUK-I","Завантажити сертифікат")</f>
        <v>Завантажити сертифікат</v>
      </c>
    </row>
    <row r="1560" spans="1:5" x14ac:dyDescent="0.3">
      <c r="A1560" s="2" t="s">
        <v>3197</v>
      </c>
      <c r="B1560" s="2" t="s">
        <v>5</v>
      </c>
      <c r="C1560" s="2" t="s">
        <v>3198</v>
      </c>
      <c r="D1560" s="2" t="s">
        <v>3190</v>
      </c>
      <c r="E1560" s="2" t="str">
        <f>HYPERLINK("https://talan.bank.gov.ua/get-user-certificate/sec1eDYdK78QT6oFrBpi","Завантажити сертифікат")</f>
        <v>Завантажити сертифікат</v>
      </c>
    </row>
    <row r="1561" spans="1:5" x14ac:dyDescent="0.3">
      <c r="A1561" s="2" t="s">
        <v>3199</v>
      </c>
      <c r="B1561" s="2" t="s">
        <v>5</v>
      </c>
      <c r="C1561" s="2" t="s">
        <v>3200</v>
      </c>
      <c r="D1561" s="2" t="s">
        <v>3190</v>
      </c>
      <c r="E1561" s="2" t="str">
        <f>HYPERLINK("https://talan.bank.gov.ua/get-user-certificate/sec1e6RQR5FQij9IeWMg","Завантажити сертифікат")</f>
        <v>Завантажити сертифікат</v>
      </c>
    </row>
    <row r="1562" spans="1:5" x14ac:dyDescent="0.3">
      <c r="A1562" s="2" t="s">
        <v>3201</v>
      </c>
      <c r="B1562" s="2" t="s">
        <v>5</v>
      </c>
      <c r="C1562" s="2" t="s">
        <v>3202</v>
      </c>
      <c r="D1562" s="2" t="s">
        <v>3190</v>
      </c>
      <c r="E1562" s="2" t="str">
        <f>HYPERLINK("https://talan.bank.gov.ua/get-user-certificate/sec1eGo3MjB1F6UOw8Ez","Завантажити сертифікат")</f>
        <v>Завантажити сертифікат</v>
      </c>
    </row>
    <row r="1563" spans="1:5" x14ac:dyDescent="0.3">
      <c r="A1563" s="2" t="s">
        <v>3203</v>
      </c>
      <c r="B1563" s="2" t="s">
        <v>5</v>
      </c>
      <c r="C1563" s="2" t="s">
        <v>3204</v>
      </c>
      <c r="D1563" s="2" t="s">
        <v>3190</v>
      </c>
      <c r="E1563" s="2" t="str">
        <f>HYPERLINK("https://talan.bank.gov.ua/get-user-certificate/sec1eqNiyBGNoX-ZIVtD","Завантажити сертифікат")</f>
        <v>Завантажити сертифікат</v>
      </c>
    </row>
    <row r="1564" spans="1:5" x14ac:dyDescent="0.3">
      <c r="A1564" s="2" t="s">
        <v>3205</v>
      </c>
      <c r="B1564" s="2" t="s">
        <v>5</v>
      </c>
      <c r="C1564" s="2" t="s">
        <v>3206</v>
      </c>
      <c r="D1564" s="2" t="s">
        <v>3190</v>
      </c>
      <c r="E1564" s="2" t="str">
        <f>HYPERLINK("https://talan.bank.gov.ua/get-user-certificate/sec1eEkoAFQhRAYzBVAl","Завантажити сертифікат")</f>
        <v>Завантажити сертифікат</v>
      </c>
    </row>
    <row r="1565" spans="1:5" x14ac:dyDescent="0.3">
      <c r="A1565" s="2" t="s">
        <v>3207</v>
      </c>
      <c r="B1565" s="2" t="s">
        <v>5</v>
      </c>
      <c r="C1565" s="2" t="s">
        <v>3208</v>
      </c>
      <c r="D1565" s="2" t="s">
        <v>3190</v>
      </c>
      <c r="E1565" s="2" t="str">
        <f>HYPERLINK("https://talan.bank.gov.ua/get-user-certificate/sec1eatTRa3d-9iVsu66","Завантажити сертифікат")</f>
        <v>Завантажити сертифікат</v>
      </c>
    </row>
    <row r="1566" spans="1:5" x14ac:dyDescent="0.3">
      <c r="A1566" s="2" t="s">
        <v>3209</v>
      </c>
      <c r="B1566" s="2" t="s">
        <v>5</v>
      </c>
      <c r="C1566" s="2" t="s">
        <v>3210</v>
      </c>
      <c r="D1566" s="2" t="s">
        <v>3190</v>
      </c>
      <c r="E1566" s="2" t="str">
        <f>HYPERLINK("https://talan.bank.gov.ua/get-user-certificate/sec1eXp3aaYBHN8OJs26","Завантажити сертифікат")</f>
        <v>Завантажити сертифікат</v>
      </c>
    </row>
    <row r="1567" spans="1:5" x14ac:dyDescent="0.3">
      <c r="A1567" s="2" t="s">
        <v>3211</v>
      </c>
      <c r="B1567" s="2" t="s">
        <v>5</v>
      </c>
      <c r="C1567" s="2" t="s">
        <v>3212</v>
      </c>
      <c r="D1567" s="2" t="s">
        <v>3190</v>
      </c>
      <c r="E1567" s="2" t="str">
        <f>HYPERLINK("https://talan.bank.gov.ua/get-user-certificate/sec1e5j4zxjo1tTN8Uwm","Завантажити сертифікат")</f>
        <v>Завантажити сертифікат</v>
      </c>
    </row>
    <row r="1568" spans="1:5" x14ac:dyDescent="0.3">
      <c r="A1568" s="2" t="s">
        <v>3213</v>
      </c>
      <c r="B1568" s="2" t="s">
        <v>5</v>
      </c>
      <c r="C1568" s="2" t="s">
        <v>3214</v>
      </c>
      <c r="D1568" s="2" t="s">
        <v>3190</v>
      </c>
      <c r="E1568" s="2" t="str">
        <f>HYPERLINK("https://talan.bank.gov.ua/get-user-certificate/sec1eNtur4BODe4malWU","Завантажити сертифікат")</f>
        <v>Завантажити сертифікат</v>
      </c>
    </row>
    <row r="1569" spans="1:5" x14ac:dyDescent="0.3">
      <c r="A1569" s="2" t="s">
        <v>3215</v>
      </c>
      <c r="B1569" s="2" t="s">
        <v>5</v>
      </c>
      <c r="C1569" s="2" t="s">
        <v>3216</v>
      </c>
      <c r="D1569" s="2" t="s">
        <v>3190</v>
      </c>
      <c r="E1569" s="2" t="str">
        <f>HYPERLINK("https://talan.bank.gov.ua/get-user-certificate/sec1eQWhk_mW9zSD8ph5","Завантажити сертифікат")</f>
        <v>Завантажити сертифікат</v>
      </c>
    </row>
    <row r="1570" spans="1:5" x14ac:dyDescent="0.3">
      <c r="A1570" s="2" t="s">
        <v>3217</v>
      </c>
      <c r="B1570" s="2" t="s">
        <v>5</v>
      </c>
      <c r="C1570" s="2" t="s">
        <v>977</v>
      </c>
      <c r="D1570" s="2" t="s">
        <v>3190</v>
      </c>
      <c r="E1570" s="2" t="str">
        <f>HYPERLINK("https://talan.bank.gov.ua/get-user-certificate/sec1eGb0e1VqpAZyPMrK","Завантажити сертифікат")</f>
        <v>Завантажити сертифікат</v>
      </c>
    </row>
    <row r="1571" spans="1:5" x14ac:dyDescent="0.3">
      <c r="A1571" s="2" t="s">
        <v>3218</v>
      </c>
      <c r="B1571" s="2" t="s">
        <v>5</v>
      </c>
      <c r="C1571" s="2" t="s">
        <v>3219</v>
      </c>
      <c r="D1571" s="2" t="s">
        <v>3220</v>
      </c>
      <c r="E1571" s="2" t="str">
        <f>HYPERLINK("https://talan.bank.gov.ua/get-user-certificate/sec1e2aEnuQEHLY_JQSw","Завантажити сертифікат")</f>
        <v>Завантажити сертифікат</v>
      </c>
    </row>
    <row r="1572" spans="1:5" x14ac:dyDescent="0.3">
      <c r="A1572" s="2" t="s">
        <v>3221</v>
      </c>
      <c r="B1572" s="2" t="s">
        <v>5</v>
      </c>
      <c r="C1572" s="2" t="s">
        <v>3222</v>
      </c>
      <c r="D1572" s="2" t="s">
        <v>3220</v>
      </c>
      <c r="E1572" s="2" t="str">
        <f>HYPERLINK("https://talan.bank.gov.ua/get-user-certificate/sec1eO74FSaUb-Ys3_2F","Завантажити сертифікат")</f>
        <v>Завантажити сертифікат</v>
      </c>
    </row>
    <row r="1573" spans="1:5" x14ac:dyDescent="0.3">
      <c r="A1573" s="2" t="s">
        <v>3223</v>
      </c>
      <c r="B1573" s="2" t="s">
        <v>5</v>
      </c>
      <c r="C1573" s="2" t="s">
        <v>3224</v>
      </c>
      <c r="D1573" s="2" t="s">
        <v>3220</v>
      </c>
      <c r="E1573" s="2" t="str">
        <f>HYPERLINK("https://talan.bank.gov.ua/get-user-certificate/sec1eqNn5dbflrtnVtK_","Завантажити сертифікат")</f>
        <v>Завантажити сертифікат</v>
      </c>
    </row>
    <row r="1574" spans="1:5" x14ac:dyDescent="0.3">
      <c r="A1574" s="2" t="s">
        <v>3225</v>
      </c>
      <c r="B1574" s="2" t="s">
        <v>5</v>
      </c>
      <c r="C1574" s="2" t="s">
        <v>3226</v>
      </c>
      <c r="D1574" s="2" t="s">
        <v>3220</v>
      </c>
      <c r="E1574" s="2" t="str">
        <f>HYPERLINK("https://talan.bank.gov.ua/get-user-certificate/sec1ezWcYrQnGW5ELvmm","Завантажити сертифікат")</f>
        <v>Завантажити сертифікат</v>
      </c>
    </row>
    <row r="1575" spans="1:5" x14ac:dyDescent="0.3">
      <c r="A1575" s="2" t="s">
        <v>3227</v>
      </c>
      <c r="B1575" s="2" t="s">
        <v>5</v>
      </c>
      <c r="C1575" s="2" t="s">
        <v>3228</v>
      </c>
      <c r="D1575" s="2" t="s">
        <v>3220</v>
      </c>
      <c r="E1575" s="2" t="str">
        <f>HYPERLINK("https://talan.bank.gov.ua/get-user-certificate/sec1ePANS0spEyHb4FCG","Завантажити сертифікат")</f>
        <v>Завантажити сертифікат</v>
      </c>
    </row>
    <row r="1576" spans="1:5" x14ac:dyDescent="0.3">
      <c r="A1576" s="2" t="s">
        <v>3229</v>
      </c>
      <c r="B1576" s="2" t="s">
        <v>5</v>
      </c>
      <c r="C1576" s="2" t="s">
        <v>3230</v>
      </c>
      <c r="D1576" s="2" t="s">
        <v>3220</v>
      </c>
      <c r="E1576" s="2" t="str">
        <f>HYPERLINK("https://talan.bank.gov.ua/get-user-certificate/sec1egDwnA8yioqYrvTP","Завантажити сертифікат")</f>
        <v>Завантажити сертифікат</v>
      </c>
    </row>
    <row r="1577" spans="1:5" x14ac:dyDescent="0.3">
      <c r="A1577" s="2" t="s">
        <v>3231</v>
      </c>
      <c r="B1577" s="2" t="s">
        <v>5</v>
      </c>
      <c r="C1577" s="2" t="s">
        <v>3232</v>
      </c>
      <c r="D1577" s="2" t="s">
        <v>3220</v>
      </c>
      <c r="E1577" s="2" t="str">
        <f>HYPERLINK("https://talan.bank.gov.ua/get-user-certificate/sec1esnDspdt7k5Ive6W","Завантажити сертифікат")</f>
        <v>Завантажити сертифікат</v>
      </c>
    </row>
    <row r="1578" spans="1:5" x14ac:dyDescent="0.3">
      <c r="A1578" s="2" t="s">
        <v>3233</v>
      </c>
      <c r="B1578" s="2" t="s">
        <v>5</v>
      </c>
      <c r="C1578" s="2" t="s">
        <v>3234</v>
      </c>
      <c r="D1578" s="2" t="s">
        <v>3220</v>
      </c>
      <c r="E1578" s="2" t="str">
        <f>HYPERLINK("https://talan.bank.gov.ua/get-user-certificate/sec1emppoWX6JtpMQaTj","Завантажити сертифікат")</f>
        <v>Завантажити сертифікат</v>
      </c>
    </row>
    <row r="1579" spans="1:5" x14ac:dyDescent="0.3">
      <c r="A1579" s="2" t="s">
        <v>3235</v>
      </c>
      <c r="B1579" s="2" t="s">
        <v>5</v>
      </c>
      <c r="C1579" s="2" t="s">
        <v>3236</v>
      </c>
      <c r="D1579" s="2" t="s">
        <v>3220</v>
      </c>
      <c r="E1579" s="2" t="str">
        <f>HYPERLINK("https://talan.bank.gov.ua/get-user-certificate/sec1eH-69umc4EaEiVof","Завантажити сертифікат")</f>
        <v>Завантажити сертифікат</v>
      </c>
    </row>
    <row r="1580" spans="1:5" x14ac:dyDescent="0.3">
      <c r="A1580" s="2" t="s">
        <v>3237</v>
      </c>
      <c r="B1580" s="2" t="s">
        <v>5</v>
      </c>
      <c r="C1580" s="2" t="s">
        <v>3238</v>
      </c>
      <c r="D1580" s="2" t="s">
        <v>3220</v>
      </c>
      <c r="E1580" s="2" t="str">
        <f>HYPERLINK("https://talan.bank.gov.ua/get-user-certificate/sec1ea8xF7hJfQMg0cFF","Завантажити сертифікат")</f>
        <v>Завантажити сертифікат</v>
      </c>
    </row>
    <row r="1581" spans="1:5" x14ac:dyDescent="0.3">
      <c r="A1581" s="2" t="s">
        <v>3239</v>
      </c>
      <c r="B1581" s="2" t="s">
        <v>5</v>
      </c>
      <c r="C1581" s="2" t="s">
        <v>3240</v>
      </c>
      <c r="D1581" s="2" t="s">
        <v>3220</v>
      </c>
      <c r="E1581" s="2" t="str">
        <f>HYPERLINK("https://talan.bank.gov.ua/get-user-certificate/sec1ey5Rsyr7RewdXh1i","Завантажити сертифікат")</f>
        <v>Завантажити сертифікат</v>
      </c>
    </row>
    <row r="1582" spans="1:5" x14ac:dyDescent="0.3">
      <c r="A1582" s="2" t="s">
        <v>3241</v>
      </c>
      <c r="B1582" s="2" t="s">
        <v>5</v>
      </c>
      <c r="C1582" s="2" t="s">
        <v>3242</v>
      </c>
      <c r="D1582" s="2" t="s">
        <v>3220</v>
      </c>
      <c r="E1582" s="2" t="str">
        <f>HYPERLINK("https://talan.bank.gov.ua/get-user-certificate/sec1eECEaZ9kP09DVQSB","Завантажити сертифікат")</f>
        <v>Завантажити сертифікат</v>
      </c>
    </row>
    <row r="1583" spans="1:5" x14ac:dyDescent="0.3">
      <c r="A1583" s="2" t="s">
        <v>3243</v>
      </c>
      <c r="B1583" s="2" t="s">
        <v>5</v>
      </c>
      <c r="C1583" s="2" t="s">
        <v>3244</v>
      </c>
      <c r="D1583" s="2" t="s">
        <v>3220</v>
      </c>
      <c r="E1583" s="2" t="str">
        <f>HYPERLINK("https://talan.bank.gov.ua/get-user-certificate/sec1enrpzzk1Y6H6Syan","Завантажити сертифікат")</f>
        <v>Завантажити сертифікат</v>
      </c>
    </row>
    <row r="1584" spans="1:5" x14ac:dyDescent="0.3">
      <c r="A1584" s="2" t="s">
        <v>3245</v>
      </c>
      <c r="B1584" s="2" t="s">
        <v>5</v>
      </c>
      <c r="C1584" s="2" t="s">
        <v>3246</v>
      </c>
      <c r="D1584" s="2" t="s">
        <v>3220</v>
      </c>
      <c r="E1584" s="2" t="str">
        <f>HYPERLINK("https://talan.bank.gov.ua/get-user-certificate/sec1eXtARE-M2Inp8ZYA","Завантажити сертифікат")</f>
        <v>Завантажити сертифікат</v>
      </c>
    </row>
    <row r="1585" spans="1:5" x14ac:dyDescent="0.3">
      <c r="A1585" s="2" t="s">
        <v>3247</v>
      </c>
      <c r="B1585" s="2" t="s">
        <v>5</v>
      </c>
      <c r="C1585" s="2" t="s">
        <v>3248</v>
      </c>
      <c r="D1585" s="2" t="s">
        <v>3220</v>
      </c>
      <c r="E1585" s="2" t="str">
        <f>HYPERLINK("https://talan.bank.gov.ua/get-user-certificate/sec1eO3USD1tAduAGTet","Завантажити сертифікат")</f>
        <v>Завантажити сертифікат</v>
      </c>
    </row>
    <row r="1586" spans="1:5" x14ac:dyDescent="0.3">
      <c r="A1586" s="2" t="s">
        <v>3249</v>
      </c>
      <c r="B1586" s="2" t="s">
        <v>5</v>
      </c>
      <c r="C1586" s="2" t="s">
        <v>3250</v>
      </c>
      <c r="D1586" s="2" t="s">
        <v>3220</v>
      </c>
      <c r="E1586" s="2" t="str">
        <f>HYPERLINK("https://talan.bank.gov.ua/get-user-certificate/sec1eDObGZkAPbQ2jDoO","Завантажити сертифікат")</f>
        <v>Завантажити сертифікат</v>
      </c>
    </row>
    <row r="1587" spans="1:5" x14ac:dyDescent="0.3">
      <c r="A1587" s="2" t="s">
        <v>3251</v>
      </c>
      <c r="B1587" s="2" t="s">
        <v>5</v>
      </c>
      <c r="C1587" s="2" t="s">
        <v>3252</v>
      </c>
      <c r="D1587" s="2" t="s">
        <v>3253</v>
      </c>
      <c r="E1587" s="2" t="str">
        <f>HYPERLINK("https://talan.bank.gov.ua/get-user-certificate/sec1eGEHStPaKNo3IW-K","Завантажити сертифікат")</f>
        <v>Завантажити сертифікат</v>
      </c>
    </row>
    <row r="1588" spans="1:5" x14ac:dyDescent="0.3">
      <c r="A1588" s="2" t="s">
        <v>3254</v>
      </c>
      <c r="B1588" s="2" t="s">
        <v>5</v>
      </c>
      <c r="C1588" s="2" t="s">
        <v>3255</v>
      </c>
      <c r="D1588" s="2" t="s">
        <v>3253</v>
      </c>
      <c r="E1588" s="2" t="str">
        <f>HYPERLINK("https://talan.bank.gov.ua/get-user-certificate/sec1eEyTu4lu7lmZPkP5","Завантажити сертифікат")</f>
        <v>Завантажити сертифікат</v>
      </c>
    </row>
    <row r="1589" spans="1:5" x14ac:dyDescent="0.3">
      <c r="A1589" s="2" t="s">
        <v>3256</v>
      </c>
      <c r="B1589" s="2" t="s">
        <v>5</v>
      </c>
      <c r="C1589" s="2" t="s">
        <v>3257</v>
      </c>
      <c r="D1589" s="2" t="s">
        <v>3253</v>
      </c>
      <c r="E1589" s="2" t="str">
        <f>HYPERLINK("https://talan.bank.gov.ua/get-user-certificate/sec1ekwLvRQKuPmXvvE5","Завантажити сертифікат")</f>
        <v>Завантажити сертифікат</v>
      </c>
    </row>
    <row r="1590" spans="1:5" x14ac:dyDescent="0.3">
      <c r="A1590" s="2" t="s">
        <v>3258</v>
      </c>
      <c r="B1590" s="2" t="s">
        <v>5</v>
      </c>
      <c r="C1590" s="2" t="s">
        <v>3259</v>
      </c>
      <c r="D1590" s="2" t="s">
        <v>3253</v>
      </c>
      <c r="E1590" s="2" t="str">
        <f>HYPERLINK("https://talan.bank.gov.ua/get-user-certificate/sec1eFsRJQqgfEzjBaBk","Завантажити сертифікат")</f>
        <v>Завантажити сертифікат</v>
      </c>
    </row>
    <row r="1591" spans="1:5" x14ac:dyDescent="0.3">
      <c r="A1591" s="2" t="s">
        <v>3260</v>
      </c>
      <c r="B1591" s="2" t="s">
        <v>5</v>
      </c>
      <c r="C1591" s="2" t="s">
        <v>3261</v>
      </c>
      <c r="D1591" s="2" t="s">
        <v>3253</v>
      </c>
      <c r="E1591" s="2" t="str">
        <f>HYPERLINK("https://talan.bank.gov.ua/get-user-certificate/sec1elffLuvbOqJ7TRc4","Завантажити сертифікат")</f>
        <v>Завантажити сертифікат</v>
      </c>
    </row>
    <row r="1592" spans="1:5" x14ac:dyDescent="0.3">
      <c r="A1592" s="2" t="s">
        <v>3262</v>
      </c>
      <c r="B1592" s="2" t="s">
        <v>5</v>
      </c>
      <c r="C1592" s="2" t="s">
        <v>3263</v>
      </c>
      <c r="D1592" s="2" t="s">
        <v>3253</v>
      </c>
      <c r="E1592" s="2" t="str">
        <f>HYPERLINK("https://talan.bank.gov.ua/get-user-certificate/sec1ethWqPXGFpGk9erJ","Завантажити сертифікат")</f>
        <v>Завантажити сертифікат</v>
      </c>
    </row>
    <row r="1593" spans="1:5" x14ac:dyDescent="0.3">
      <c r="A1593" s="2" t="s">
        <v>3264</v>
      </c>
      <c r="B1593" s="2" t="s">
        <v>5</v>
      </c>
      <c r="C1593" s="2" t="s">
        <v>3265</v>
      </c>
      <c r="D1593" s="2" t="s">
        <v>3253</v>
      </c>
      <c r="E1593" s="2" t="str">
        <f>HYPERLINK("https://talan.bank.gov.ua/get-user-certificate/sec1ejYQ7AqJgm9CIFWM","Завантажити сертифікат")</f>
        <v>Завантажити сертифікат</v>
      </c>
    </row>
    <row r="1594" spans="1:5" x14ac:dyDescent="0.3">
      <c r="A1594" s="2" t="s">
        <v>3266</v>
      </c>
      <c r="B1594" s="2" t="s">
        <v>5</v>
      </c>
      <c r="C1594" s="2" t="s">
        <v>3267</v>
      </c>
      <c r="D1594" s="2" t="s">
        <v>3253</v>
      </c>
      <c r="E1594" s="2" t="str">
        <f>HYPERLINK("https://talan.bank.gov.ua/get-user-certificate/sec1e51nUPq55vZKXqEO","Завантажити сертифікат")</f>
        <v>Завантажити сертифікат</v>
      </c>
    </row>
    <row r="1595" spans="1:5" x14ac:dyDescent="0.3">
      <c r="A1595" s="2" t="s">
        <v>3268</v>
      </c>
      <c r="B1595" s="2" t="s">
        <v>5</v>
      </c>
      <c r="C1595" s="2" t="s">
        <v>3269</v>
      </c>
      <c r="D1595" s="2" t="s">
        <v>3253</v>
      </c>
      <c r="E1595" s="2" t="str">
        <f>HYPERLINK("https://talan.bank.gov.ua/get-user-certificate/sec1efXpCbUMLk8kNhHV","Завантажити сертифікат")</f>
        <v>Завантажити сертифікат</v>
      </c>
    </row>
    <row r="1596" spans="1:5" x14ac:dyDescent="0.3">
      <c r="A1596" s="2" t="s">
        <v>3270</v>
      </c>
      <c r="B1596" s="2" t="s">
        <v>5</v>
      </c>
      <c r="C1596" s="2" t="s">
        <v>3271</v>
      </c>
      <c r="D1596" s="2" t="s">
        <v>3253</v>
      </c>
      <c r="E1596" s="2" t="str">
        <f>HYPERLINK("https://talan.bank.gov.ua/get-user-certificate/sec1ex3b4ANngkledOlO","Завантажити сертифікат")</f>
        <v>Завантажити сертифікат</v>
      </c>
    </row>
    <row r="1597" spans="1:5" x14ac:dyDescent="0.3">
      <c r="A1597" s="2" t="s">
        <v>3272</v>
      </c>
      <c r="B1597" s="2" t="s">
        <v>5</v>
      </c>
      <c r="C1597" s="2" t="s">
        <v>3273</v>
      </c>
      <c r="D1597" s="2" t="s">
        <v>3253</v>
      </c>
      <c r="E1597" s="2" t="str">
        <f>HYPERLINK("https://talan.bank.gov.ua/get-user-certificate/sec1eHMuTQdPAUyP6MFG","Завантажити сертифікат")</f>
        <v>Завантажити сертифікат</v>
      </c>
    </row>
    <row r="1598" spans="1:5" x14ac:dyDescent="0.3">
      <c r="A1598" s="2" t="s">
        <v>3274</v>
      </c>
      <c r="B1598" s="2" t="s">
        <v>5</v>
      </c>
      <c r="C1598" s="2" t="s">
        <v>3275</v>
      </c>
      <c r="D1598" s="2" t="s">
        <v>3253</v>
      </c>
      <c r="E1598" s="2" t="str">
        <f>HYPERLINK("https://talan.bank.gov.ua/get-user-certificate/sec1etnwdO9heh5U8Ti7","Завантажити сертифікат")</f>
        <v>Завантажити сертифікат</v>
      </c>
    </row>
    <row r="1599" spans="1:5" x14ac:dyDescent="0.3">
      <c r="A1599" s="2" t="s">
        <v>3276</v>
      </c>
      <c r="B1599" s="2" t="s">
        <v>5</v>
      </c>
      <c r="C1599" s="2" t="s">
        <v>3277</v>
      </c>
      <c r="D1599" s="2" t="s">
        <v>3253</v>
      </c>
      <c r="E1599" s="2" t="str">
        <f>HYPERLINK("https://talan.bank.gov.ua/get-user-certificate/sec1eY_NUa82VdqpjgV_","Завантажити сертифікат")</f>
        <v>Завантажити сертифікат</v>
      </c>
    </row>
    <row r="1600" spans="1:5" x14ac:dyDescent="0.3">
      <c r="A1600" s="2" t="s">
        <v>3278</v>
      </c>
      <c r="B1600" s="2" t="s">
        <v>5</v>
      </c>
      <c r="C1600" s="2" t="s">
        <v>3279</v>
      </c>
      <c r="D1600" s="2" t="s">
        <v>3253</v>
      </c>
      <c r="E1600" s="2" t="str">
        <f>HYPERLINK("https://talan.bank.gov.ua/get-user-certificate/sec1etaKea7rGTHA3V-F","Завантажити сертифікат")</f>
        <v>Завантажити сертифікат</v>
      </c>
    </row>
    <row r="1601" spans="1:5" x14ac:dyDescent="0.3">
      <c r="A1601" s="2" t="s">
        <v>3280</v>
      </c>
      <c r="B1601" s="2" t="s">
        <v>5</v>
      </c>
      <c r="C1601" s="2" t="s">
        <v>3281</v>
      </c>
      <c r="D1601" s="2" t="s">
        <v>3253</v>
      </c>
      <c r="E1601" s="2" t="str">
        <f>HYPERLINK("https://talan.bank.gov.ua/get-user-certificate/sec1e94OGTWX8V__fKsj","Завантажити сертифікат")</f>
        <v>Завантажити сертифікат</v>
      </c>
    </row>
    <row r="1602" spans="1:5" x14ac:dyDescent="0.3">
      <c r="A1602" s="2" t="s">
        <v>3282</v>
      </c>
      <c r="B1602" s="2" t="s">
        <v>5</v>
      </c>
      <c r="C1602" s="2" t="s">
        <v>3283</v>
      </c>
      <c r="D1602" s="2" t="s">
        <v>3253</v>
      </c>
      <c r="E1602" s="2" t="str">
        <f>HYPERLINK("https://talan.bank.gov.ua/get-user-certificate/sec1eCoXr3aPVLDDCePd","Завантажити сертифікат")</f>
        <v>Завантажити сертифікат</v>
      </c>
    </row>
    <row r="1603" spans="1:5" x14ac:dyDescent="0.3">
      <c r="A1603" s="2" t="s">
        <v>3284</v>
      </c>
      <c r="B1603" s="2" t="s">
        <v>5</v>
      </c>
      <c r="C1603" s="2" t="s">
        <v>3285</v>
      </c>
      <c r="D1603" s="2" t="s">
        <v>3253</v>
      </c>
      <c r="E1603" s="2" t="str">
        <f>HYPERLINK("https://talan.bank.gov.ua/get-user-certificate/sec1enCuYRGW09Bcmy3F","Завантажити сертифікат")</f>
        <v>Завантажити сертифікат</v>
      </c>
    </row>
    <row r="1604" spans="1:5" x14ac:dyDescent="0.3">
      <c r="A1604" s="2" t="s">
        <v>3286</v>
      </c>
      <c r="B1604" s="2" t="s">
        <v>5</v>
      </c>
      <c r="C1604" s="2" t="s">
        <v>3287</v>
      </c>
      <c r="D1604" s="2" t="s">
        <v>3253</v>
      </c>
      <c r="E1604" s="2" t="str">
        <f>HYPERLINK("https://talan.bank.gov.ua/get-user-certificate/sec1ey4kSL3l2MJFAweF","Завантажити сертифікат")</f>
        <v>Завантажити сертифікат</v>
      </c>
    </row>
    <row r="1605" spans="1:5" x14ac:dyDescent="0.3">
      <c r="A1605" s="2" t="s">
        <v>3288</v>
      </c>
      <c r="B1605" s="2" t="s">
        <v>5</v>
      </c>
      <c r="C1605" s="2" t="s">
        <v>3289</v>
      </c>
      <c r="D1605" s="2" t="s">
        <v>3253</v>
      </c>
      <c r="E1605" s="2" t="str">
        <f>HYPERLINK("https://talan.bank.gov.ua/get-user-certificate/sec1e9mCGhiuBYXDf6PP","Завантажити сертифікат")</f>
        <v>Завантажити сертифікат</v>
      </c>
    </row>
    <row r="1606" spans="1:5" x14ac:dyDescent="0.3">
      <c r="A1606" s="2" t="s">
        <v>3290</v>
      </c>
      <c r="B1606" s="2" t="s">
        <v>5</v>
      </c>
      <c r="C1606" s="2" t="s">
        <v>3291</v>
      </c>
      <c r="D1606" s="2" t="s">
        <v>3253</v>
      </c>
      <c r="E1606" s="2" t="str">
        <f>HYPERLINK("https://talan.bank.gov.ua/get-user-certificate/sec1ehVts3a84x5h9Mlz","Завантажити сертифікат")</f>
        <v>Завантажити сертифікат</v>
      </c>
    </row>
    <row r="1607" spans="1:5" x14ac:dyDescent="0.3">
      <c r="A1607" s="2" t="s">
        <v>3292</v>
      </c>
      <c r="B1607" s="2" t="s">
        <v>5</v>
      </c>
      <c r="C1607" s="2" t="s">
        <v>3293</v>
      </c>
      <c r="D1607" s="2" t="s">
        <v>3294</v>
      </c>
      <c r="E1607" s="2" t="str">
        <f>HYPERLINK("https://talan.bank.gov.ua/get-user-certificate/sec1eACNt20LELb6CHfs","Завантажити сертифікат")</f>
        <v>Завантажити сертифікат</v>
      </c>
    </row>
    <row r="1608" spans="1:5" x14ac:dyDescent="0.3">
      <c r="A1608" s="2" t="s">
        <v>3295</v>
      </c>
      <c r="B1608" s="2" t="s">
        <v>5</v>
      </c>
      <c r="C1608" s="2" t="s">
        <v>3296</v>
      </c>
      <c r="D1608" s="2" t="s">
        <v>3294</v>
      </c>
      <c r="E1608" s="2" t="str">
        <f>HYPERLINK("https://talan.bank.gov.ua/get-user-certificate/sec1e33JCxWMUc5WwCb9","Завантажити сертифікат")</f>
        <v>Завантажити сертифікат</v>
      </c>
    </row>
    <row r="1609" spans="1:5" x14ac:dyDescent="0.3">
      <c r="A1609" s="2" t="s">
        <v>3297</v>
      </c>
      <c r="B1609" s="2" t="s">
        <v>5</v>
      </c>
      <c r="C1609" s="2" t="s">
        <v>3298</v>
      </c>
      <c r="D1609" s="2" t="s">
        <v>3294</v>
      </c>
      <c r="E1609" s="2" t="str">
        <f>HYPERLINK("https://talan.bank.gov.ua/get-user-certificate/sec1eFL4EYPZZabk9a9x","Завантажити сертифікат")</f>
        <v>Завантажити сертифікат</v>
      </c>
    </row>
    <row r="1610" spans="1:5" x14ac:dyDescent="0.3">
      <c r="A1610" s="2" t="s">
        <v>3299</v>
      </c>
      <c r="B1610" s="2" t="s">
        <v>5</v>
      </c>
      <c r="C1610" s="2" t="s">
        <v>3300</v>
      </c>
      <c r="D1610" s="2" t="s">
        <v>3294</v>
      </c>
      <c r="E1610" s="2" t="str">
        <f>HYPERLINK("https://talan.bank.gov.ua/get-user-certificate/sec1eFoiVhAIG0JTH-53","Завантажити сертифікат")</f>
        <v>Завантажити сертифікат</v>
      </c>
    </row>
    <row r="1611" spans="1:5" x14ac:dyDescent="0.3">
      <c r="A1611" s="2" t="s">
        <v>3301</v>
      </c>
      <c r="B1611" s="2" t="s">
        <v>5</v>
      </c>
      <c r="C1611" s="2" t="s">
        <v>3302</v>
      </c>
      <c r="D1611" s="2" t="s">
        <v>3294</v>
      </c>
      <c r="E1611" s="2" t="str">
        <f>HYPERLINK("https://talan.bank.gov.ua/get-user-certificate/sec1ei_-0yv0slylbVA8","Завантажити сертифікат")</f>
        <v>Завантажити сертифікат</v>
      </c>
    </row>
    <row r="1612" spans="1:5" x14ac:dyDescent="0.3">
      <c r="A1612" s="2" t="s">
        <v>3303</v>
      </c>
      <c r="B1612" s="2" t="s">
        <v>5</v>
      </c>
      <c r="C1612" s="2" t="s">
        <v>3304</v>
      </c>
      <c r="D1612" s="2" t="s">
        <v>3305</v>
      </c>
      <c r="E1612" s="2" t="str">
        <f>HYPERLINK("https://talan.bank.gov.ua/get-user-certificate/sec1ejWIiUAqtz4fesD0","Завантажити сертифікат")</f>
        <v>Завантажити сертифікат</v>
      </c>
    </row>
    <row r="1613" spans="1:5" x14ac:dyDescent="0.3">
      <c r="A1613" s="2" t="s">
        <v>3306</v>
      </c>
      <c r="B1613" s="2" t="s">
        <v>5</v>
      </c>
      <c r="C1613" s="2" t="s">
        <v>3307</v>
      </c>
      <c r="D1613" s="2" t="s">
        <v>3305</v>
      </c>
      <c r="E1613" s="2" t="str">
        <f>HYPERLINK("https://talan.bank.gov.ua/get-user-certificate/sec1eJucDPKOtwrJt424","Завантажити сертифікат")</f>
        <v>Завантажити сертифікат</v>
      </c>
    </row>
    <row r="1614" spans="1:5" x14ac:dyDescent="0.3">
      <c r="A1614" s="2" t="s">
        <v>3308</v>
      </c>
      <c r="B1614" s="2" t="s">
        <v>5</v>
      </c>
      <c r="C1614" s="2" t="s">
        <v>3309</v>
      </c>
      <c r="D1614" s="2" t="s">
        <v>3305</v>
      </c>
      <c r="E1614" s="2" t="str">
        <f>HYPERLINK("https://talan.bank.gov.ua/get-user-certificate/sec1eYnoi8npeCvGA-p4","Завантажити сертифікат")</f>
        <v>Завантажити сертифікат</v>
      </c>
    </row>
    <row r="1615" spans="1:5" x14ac:dyDescent="0.3">
      <c r="A1615" s="2" t="s">
        <v>3310</v>
      </c>
      <c r="B1615" s="2" t="s">
        <v>5</v>
      </c>
      <c r="C1615" s="2" t="s">
        <v>3311</v>
      </c>
      <c r="D1615" s="2" t="s">
        <v>3305</v>
      </c>
      <c r="E1615" s="2" t="str">
        <f>HYPERLINK("https://talan.bank.gov.ua/get-user-certificate/sec1eQPN8Glv_yHp0jhe","Завантажити сертифікат")</f>
        <v>Завантажити сертифікат</v>
      </c>
    </row>
    <row r="1616" spans="1:5" x14ac:dyDescent="0.3">
      <c r="A1616" s="2" t="s">
        <v>3312</v>
      </c>
      <c r="B1616" s="2" t="s">
        <v>5</v>
      </c>
      <c r="C1616" s="2" t="s">
        <v>3313</v>
      </c>
      <c r="D1616" s="2" t="s">
        <v>3294</v>
      </c>
      <c r="E1616" s="2" t="str">
        <f>HYPERLINK("https://talan.bank.gov.ua/get-user-certificate/sec1exG2TbYvZH4zqhjS","Завантажити сертифікат")</f>
        <v>Завантажити сертифікат</v>
      </c>
    </row>
    <row r="1617" spans="1:5" x14ac:dyDescent="0.3">
      <c r="A1617" s="2" t="s">
        <v>3314</v>
      </c>
      <c r="B1617" s="2" t="s">
        <v>5</v>
      </c>
      <c r="C1617" s="2" t="s">
        <v>3315</v>
      </c>
      <c r="D1617" s="2" t="s">
        <v>3294</v>
      </c>
      <c r="E1617" s="2" t="str">
        <f>HYPERLINK("https://talan.bank.gov.ua/get-user-certificate/sec1ePC3un1fs8mDCGg7","Завантажити сертифікат")</f>
        <v>Завантажити сертифікат</v>
      </c>
    </row>
    <row r="1618" spans="1:5" x14ac:dyDescent="0.3">
      <c r="A1618" s="2" t="s">
        <v>3316</v>
      </c>
      <c r="B1618" s="2" t="s">
        <v>5</v>
      </c>
      <c r="C1618" s="2" t="s">
        <v>3317</v>
      </c>
      <c r="D1618" s="2" t="s">
        <v>3294</v>
      </c>
      <c r="E1618" s="2" t="str">
        <f>HYPERLINK("https://talan.bank.gov.ua/get-user-certificate/sec1eCnOh8HiYCY0PVg0","Завантажити сертифікат")</f>
        <v>Завантажити сертифікат</v>
      </c>
    </row>
    <row r="1619" spans="1:5" x14ac:dyDescent="0.3">
      <c r="A1619" s="2" t="s">
        <v>3318</v>
      </c>
      <c r="B1619" s="2" t="s">
        <v>5</v>
      </c>
      <c r="C1619" s="2" t="s">
        <v>3319</v>
      </c>
      <c r="D1619" s="2" t="s">
        <v>3294</v>
      </c>
      <c r="E1619" s="2" t="str">
        <f>HYPERLINK("https://talan.bank.gov.ua/get-user-certificate/sec1exg96v895v3j1wuL","Завантажити сертифікат")</f>
        <v>Завантажити сертифікат</v>
      </c>
    </row>
    <row r="1620" spans="1:5" x14ac:dyDescent="0.3">
      <c r="A1620" s="2" t="s">
        <v>3320</v>
      </c>
      <c r="B1620" s="2" t="s">
        <v>5</v>
      </c>
      <c r="C1620" s="2" t="s">
        <v>3321</v>
      </c>
      <c r="D1620" s="2" t="s">
        <v>3322</v>
      </c>
      <c r="E1620" s="2" t="str">
        <f>HYPERLINK("https://talan.bank.gov.ua/get-user-certificate/sec1emqsKE2bvZ2mrWMk","Завантажити сертифікат")</f>
        <v>Завантажити сертифікат</v>
      </c>
    </row>
    <row r="1621" spans="1:5" x14ac:dyDescent="0.3">
      <c r="A1621" s="2" t="s">
        <v>3323</v>
      </c>
      <c r="B1621" s="2" t="s">
        <v>5</v>
      </c>
      <c r="C1621" s="2" t="s">
        <v>3324</v>
      </c>
      <c r="D1621" s="2" t="s">
        <v>3322</v>
      </c>
      <c r="E1621" s="2" t="str">
        <f>HYPERLINK("https://talan.bank.gov.ua/get-user-certificate/sec1edyZEq0BQqE5S6HJ","Завантажити сертифікат")</f>
        <v>Завантажити сертифікат</v>
      </c>
    </row>
    <row r="1622" spans="1:5" x14ac:dyDescent="0.3">
      <c r="A1622" s="2" t="s">
        <v>3325</v>
      </c>
      <c r="B1622" s="2" t="s">
        <v>5</v>
      </c>
      <c r="C1622" s="2" t="s">
        <v>3326</v>
      </c>
      <c r="D1622" s="2" t="s">
        <v>3322</v>
      </c>
      <c r="E1622" s="2" t="str">
        <f>HYPERLINK("https://talan.bank.gov.ua/get-user-certificate/sec1eQQcMwNjD-Dwmm79","Завантажити сертифікат")</f>
        <v>Завантажити сертифікат</v>
      </c>
    </row>
    <row r="1623" spans="1:5" x14ac:dyDescent="0.3">
      <c r="A1623" s="2" t="s">
        <v>3327</v>
      </c>
      <c r="B1623" s="2" t="s">
        <v>5</v>
      </c>
      <c r="C1623" s="2" t="s">
        <v>3328</v>
      </c>
      <c r="D1623" s="2" t="s">
        <v>3322</v>
      </c>
      <c r="E1623" s="2" t="str">
        <f>HYPERLINK("https://talan.bank.gov.ua/get-user-certificate/sec1e56sjQOWP-luywPl","Завантажити сертифікат")</f>
        <v>Завантажити сертифікат</v>
      </c>
    </row>
    <row r="1624" spans="1:5" x14ac:dyDescent="0.3">
      <c r="A1624" s="2" t="s">
        <v>3329</v>
      </c>
      <c r="B1624" s="2" t="s">
        <v>5</v>
      </c>
      <c r="C1624" s="2" t="s">
        <v>3330</v>
      </c>
      <c r="D1624" s="2" t="s">
        <v>3322</v>
      </c>
      <c r="E1624" s="2" t="str">
        <f>HYPERLINK("https://talan.bank.gov.ua/get-user-certificate/sec1eh_KBB3w_KmqGgXK","Завантажити сертифікат")</f>
        <v>Завантажити сертифікат</v>
      </c>
    </row>
    <row r="1625" spans="1:5" x14ac:dyDescent="0.3">
      <c r="A1625" s="2" t="s">
        <v>3331</v>
      </c>
      <c r="B1625" s="2" t="s">
        <v>5</v>
      </c>
      <c r="C1625" s="2" t="s">
        <v>3332</v>
      </c>
      <c r="D1625" s="2" t="s">
        <v>3322</v>
      </c>
      <c r="E1625" s="2" t="str">
        <f>HYPERLINK("https://talan.bank.gov.ua/get-user-certificate/sec1e9vJWMislQTRWOgP","Завантажити сертифікат")</f>
        <v>Завантажити сертифікат</v>
      </c>
    </row>
    <row r="1626" spans="1:5" x14ac:dyDescent="0.3">
      <c r="A1626" s="2" t="s">
        <v>3333</v>
      </c>
      <c r="B1626" s="2" t="s">
        <v>5</v>
      </c>
      <c r="C1626" s="2" t="s">
        <v>3334</v>
      </c>
      <c r="D1626" s="2" t="s">
        <v>3322</v>
      </c>
      <c r="E1626" s="2" t="str">
        <f>HYPERLINK("https://talan.bank.gov.ua/get-user-certificate/sec1eKADm1JHr8_NIDNG","Завантажити сертифікат")</f>
        <v>Завантажити сертифікат</v>
      </c>
    </row>
    <row r="1627" spans="1:5" x14ac:dyDescent="0.3">
      <c r="A1627" s="2" t="s">
        <v>3335</v>
      </c>
      <c r="B1627" s="2" t="s">
        <v>5</v>
      </c>
      <c r="C1627" s="2" t="s">
        <v>3336</v>
      </c>
      <c r="D1627" s="2" t="s">
        <v>3322</v>
      </c>
      <c r="E1627" s="2" t="str">
        <f>HYPERLINK("https://talan.bank.gov.ua/get-user-certificate/sec1eOplizRvBmK_Qk8-","Завантажити сертифікат")</f>
        <v>Завантажити сертифікат</v>
      </c>
    </row>
    <row r="1628" spans="1:5" x14ac:dyDescent="0.3">
      <c r="A1628" s="2" t="s">
        <v>3337</v>
      </c>
      <c r="B1628" s="2" t="s">
        <v>5</v>
      </c>
      <c r="C1628" s="2" t="s">
        <v>3338</v>
      </c>
      <c r="D1628" s="2" t="s">
        <v>3322</v>
      </c>
      <c r="E1628" s="2" t="str">
        <f>HYPERLINK("https://talan.bank.gov.ua/get-user-certificate/sec1eOMZAUP379FO_-Lf","Завантажити сертифікат")</f>
        <v>Завантажити сертифікат</v>
      </c>
    </row>
    <row r="1629" spans="1:5" x14ac:dyDescent="0.3">
      <c r="A1629" s="2" t="s">
        <v>3339</v>
      </c>
      <c r="B1629" s="2" t="s">
        <v>5</v>
      </c>
      <c r="C1629" s="2" t="s">
        <v>3340</v>
      </c>
      <c r="D1629" s="2" t="s">
        <v>3322</v>
      </c>
      <c r="E1629" s="2" t="str">
        <f>HYPERLINK("https://talan.bank.gov.ua/get-user-certificate/sec1egH113olxsN4qVWF","Завантажити сертифікат")</f>
        <v>Завантажити сертифікат</v>
      </c>
    </row>
    <row r="1630" spans="1:5" x14ac:dyDescent="0.3">
      <c r="A1630" s="2" t="s">
        <v>3341</v>
      </c>
      <c r="B1630" s="2" t="s">
        <v>5</v>
      </c>
      <c r="C1630" s="2" t="s">
        <v>3342</v>
      </c>
      <c r="D1630" s="2" t="s">
        <v>3322</v>
      </c>
      <c r="E1630" s="2" t="str">
        <f>HYPERLINK("https://talan.bank.gov.ua/get-user-certificate/sec1ecnGlI5MLnV3pzJp","Завантажити сертифікат")</f>
        <v>Завантажити сертифікат</v>
      </c>
    </row>
    <row r="1631" spans="1:5" x14ac:dyDescent="0.3">
      <c r="A1631" s="2" t="s">
        <v>3343</v>
      </c>
      <c r="B1631" s="2" t="s">
        <v>5</v>
      </c>
      <c r="C1631" s="2" t="s">
        <v>3344</v>
      </c>
      <c r="D1631" s="2" t="s">
        <v>3345</v>
      </c>
      <c r="E1631" s="2" t="str">
        <f>HYPERLINK("https://talan.bank.gov.ua/get-user-certificate/sec1eZgNd6qZaJEbtZu7","Завантажити сертифікат")</f>
        <v>Завантажити сертифікат</v>
      </c>
    </row>
    <row r="1632" spans="1:5" x14ac:dyDescent="0.3">
      <c r="A1632" s="2" t="s">
        <v>3346</v>
      </c>
      <c r="B1632" s="2" t="s">
        <v>5</v>
      </c>
      <c r="C1632" s="2" t="s">
        <v>3347</v>
      </c>
      <c r="D1632" s="2" t="s">
        <v>3345</v>
      </c>
      <c r="E1632" s="2" t="str">
        <f>HYPERLINK("https://talan.bank.gov.ua/get-user-certificate/sec1e7x9m9VdxHs1kb5F","Завантажити сертифікат")</f>
        <v>Завантажити сертифікат</v>
      </c>
    </row>
    <row r="1633" spans="1:5" x14ac:dyDescent="0.3">
      <c r="A1633" s="2" t="s">
        <v>3348</v>
      </c>
      <c r="B1633" s="2" t="s">
        <v>5</v>
      </c>
      <c r="C1633" s="2" t="s">
        <v>3349</v>
      </c>
      <c r="D1633" s="2" t="s">
        <v>3345</v>
      </c>
      <c r="E1633" s="2" t="str">
        <f>HYPERLINK("https://talan.bank.gov.ua/get-user-certificate/sec1ePRNOYrveitodSYJ","Завантажити сертифікат")</f>
        <v>Завантажити сертифікат</v>
      </c>
    </row>
    <row r="1634" spans="1:5" x14ac:dyDescent="0.3">
      <c r="A1634" s="2" t="s">
        <v>3350</v>
      </c>
      <c r="B1634" s="2" t="s">
        <v>5</v>
      </c>
      <c r="C1634" s="2" t="s">
        <v>3351</v>
      </c>
      <c r="D1634" s="2" t="s">
        <v>3345</v>
      </c>
      <c r="E1634" s="2" t="str">
        <f>HYPERLINK("https://talan.bank.gov.ua/get-user-certificate/sec1eClg7SYP-WrCjI7n","Завантажити сертифікат")</f>
        <v>Завантажити сертифікат</v>
      </c>
    </row>
    <row r="1635" spans="1:5" x14ac:dyDescent="0.3">
      <c r="A1635" s="2" t="s">
        <v>3352</v>
      </c>
      <c r="B1635" s="2" t="s">
        <v>5</v>
      </c>
      <c r="C1635" s="2" t="s">
        <v>3353</v>
      </c>
      <c r="D1635" s="2" t="s">
        <v>3345</v>
      </c>
      <c r="E1635" s="2" t="str">
        <f>HYPERLINK("https://talan.bank.gov.ua/get-user-certificate/sec1eaEM33p6PHVZoJDx","Завантажити сертифікат")</f>
        <v>Завантажити сертифікат</v>
      </c>
    </row>
    <row r="1636" spans="1:5" x14ac:dyDescent="0.3">
      <c r="A1636" s="2" t="s">
        <v>3354</v>
      </c>
      <c r="B1636" s="2" t="s">
        <v>5</v>
      </c>
      <c r="C1636" s="2" t="s">
        <v>3355</v>
      </c>
      <c r="D1636" s="2" t="s">
        <v>3345</v>
      </c>
      <c r="E1636" s="2" t="str">
        <f>HYPERLINK("https://talan.bank.gov.ua/get-user-certificate/sec1eyGnbHGRTpNSrVms","Завантажити сертифікат")</f>
        <v>Завантажити сертифікат</v>
      </c>
    </row>
    <row r="1637" spans="1:5" x14ac:dyDescent="0.3">
      <c r="A1637" s="2" t="s">
        <v>3356</v>
      </c>
      <c r="B1637" s="2" t="s">
        <v>5</v>
      </c>
      <c r="C1637" s="2" t="s">
        <v>3357</v>
      </c>
      <c r="D1637" s="2" t="s">
        <v>3345</v>
      </c>
      <c r="E1637" s="2" t="str">
        <f>HYPERLINK("https://talan.bank.gov.ua/get-user-certificate/sec1eL07GwO0hxbE40Uu","Завантажити сертифікат")</f>
        <v>Завантажити сертифікат</v>
      </c>
    </row>
    <row r="1638" spans="1:5" x14ac:dyDescent="0.3">
      <c r="A1638" s="2" t="s">
        <v>3358</v>
      </c>
      <c r="B1638" s="2" t="s">
        <v>5</v>
      </c>
      <c r="C1638" s="2" t="s">
        <v>3359</v>
      </c>
      <c r="D1638" s="2" t="s">
        <v>3360</v>
      </c>
      <c r="E1638" s="2" t="str">
        <f>HYPERLINK("https://talan.bank.gov.ua/get-user-certificate/sec1eKk2CCJfw24GiuBa","Завантажити сертифікат")</f>
        <v>Завантажити сертифікат</v>
      </c>
    </row>
    <row r="1639" spans="1:5" x14ac:dyDescent="0.3">
      <c r="A1639" s="2" t="s">
        <v>3361</v>
      </c>
      <c r="B1639" s="2" t="s">
        <v>5</v>
      </c>
      <c r="C1639" s="2" t="s">
        <v>3362</v>
      </c>
      <c r="D1639" s="2" t="s">
        <v>3360</v>
      </c>
      <c r="E1639" s="2" t="str">
        <f>HYPERLINK("https://talan.bank.gov.ua/get-user-certificate/sec1es4gd7vb1hbxRqJ_","Завантажити сертифікат")</f>
        <v>Завантажити сертифікат</v>
      </c>
    </row>
    <row r="1640" spans="1:5" x14ac:dyDescent="0.3">
      <c r="A1640" s="2" t="s">
        <v>3363</v>
      </c>
      <c r="B1640" s="2" t="s">
        <v>5</v>
      </c>
      <c r="C1640" s="2" t="s">
        <v>3364</v>
      </c>
      <c r="D1640" s="2" t="s">
        <v>3360</v>
      </c>
      <c r="E1640" s="2" t="str">
        <f>HYPERLINK("https://talan.bank.gov.ua/get-user-certificate/sec1ezNrUQQIFnmFOieh","Завантажити сертифікат")</f>
        <v>Завантажити сертифікат</v>
      </c>
    </row>
    <row r="1641" spans="1:5" x14ac:dyDescent="0.3">
      <c r="A1641" s="2" t="s">
        <v>3365</v>
      </c>
      <c r="B1641" s="2" t="s">
        <v>5</v>
      </c>
      <c r="C1641" s="2" t="s">
        <v>3366</v>
      </c>
      <c r="D1641" s="2" t="s">
        <v>3360</v>
      </c>
      <c r="E1641" s="2" t="str">
        <f>HYPERLINK("https://talan.bank.gov.ua/get-user-certificate/sec1eF4joZykeTnwqDpG","Завантажити сертифікат")</f>
        <v>Завантажити сертифікат</v>
      </c>
    </row>
    <row r="1642" spans="1:5" x14ac:dyDescent="0.3">
      <c r="A1642" s="2" t="s">
        <v>3367</v>
      </c>
      <c r="B1642" s="2" t="s">
        <v>5</v>
      </c>
      <c r="C1642" s="2" t="s">
        <v>3368</v>
      </c>
      <c r="D1642" s="2" t="s">
        <v>3360</v>
      </c>
      <c r="E1642" s="2" t="str">
        <f>HYPERLINK("https://talan.bank.gov.ua/get-user-certificate/sec1eBIvowvM-RG-Hv0X","Завантажити сертифікат")</f>
        <v>Завантажити сертифікат</v>
      </c>
    </row>
    <row r="1643" spans="1:5" x14ac:dyDescent="0.3">
      <c r="A1643" s="2" t="s">
        <v>3369</v>
      </c>
      <c r="B1643" s="2" t="s">
        <v>5</v>
      </c>
      <c r="C1643" s="2" t="s">
        <v>3370</v>
      </c>
      <c r="D1643" s="2" t="s">
        <v>3360</v>
      </c>
      <c r="E1643" s="2" t="str">
        <f>HYPERLINK("https://talan.bank.gov.ua/get-user-certificate/sec1e1QJNiF63nc59qhB","Завантажити сертифікат")</f>
        <v>Завантажити сертифікат</v>
      </c>
    </row>
    <row r="1644" spans="1:5" x14ac:dyDescent="0.3">
      <c r="A1644" s="2" t="s">
        <v>3371</v>
      </c>
      <c r="B1644" s="2" t="s">
        <v>5</v>
      </c>
      <c r="C1644" s="2" t="s">
        <v>3372</v>
      </c>
      <c r="D1644" s="2" t="s">
        <v>3360</v>
      </c>
      <c r="E1644" s="2" t="str">
        <f>HYPERLINK("https://talan.bank.gov.ua/get-user-certificate/sec1e33OSzvMLKDaM8nf","Завантажити сертифікат")</f>
        <v>Завантажити сертифікат</v>
      </c>
    </row>
    <row r="1645" spans="1:5" x14ac:dyDescent="0.3">
      <c r="A1645" s="2" t="s">
        <v>3373</v>
      </c>
      <c r="B1645" s="2" t="s">
        <v>5</v>
      </c>
      <c r="C1645" s="2" t="s">
        <v>3374</v>
      </c>
      <c r="D1645" s="2" t="s">
        <v>3360</v>
      </c>
      <c r="E1645" s="2" t="str">
        <f>HYPERLINK("https://talan.bank.gov.ua/get-user-certificate/sec1eCOE2O2I4zMzPQRz","Завантажити сертифікат")</f>
        <v>Завантажити сертифікат</v>
      </c>
    </row>
    <row r="1646" spans="1:5" x14ac:dyDescent="0.3">
      <c r="A1646" s="2" t="s">
        <v>3375</v>
      </c>
      <c r="B1646" s="2" t="s">
        <v>5</v>
      </c>
      <c r="C1646" s="2" t="s">
        <v>3376</v>
      </c>
      <c r="D1646" s="2" t="s">
        <v>3360</v>
      </c>
      <c r="E1646" s="2" t="str">
        <f>HYPERLINK("https://talan.bank.gov.ua/get-user-certificate/sec1eln58L9-3GrhI1tp","Завантажити сертифікат")</f>
        <v>Завантажити сертифікат</v>
      </c>
    </row>
    <row r="1647" spans="1:5" x14ac:dyDescent="0.3">
      <c r="A1647" s="2" t="s">
        <v>3377</v>
      </c>
      <c r="B1647" s="2" t="s">
        <v>5</v>
      </c>
      <c r="C1647" s="2" t="s">
        <v>3378</v>
      </c>
      <c r="D1647" s="2" t="s">
        <v>3360</v>
      </c>
      <c r="E1647" s="2" t="str">
        <f>HYPERLINK("https://talan.bank.gov.ua/get-user-certificate/sec1ed8MOGqtZoRE5g5-","Завантажити сертифікат")</f>
        <v>Завантажити сертифікат</v>
      </c>
    </row>
    <row r="1648" spans="1:5" x14ac:dyDescent="0.3">
      <c r="A1648" s="2" t="s">
        <v>3379</v>
      </c>
      <c r="B1648" s="2" t="s">
        <v>5</v>
      </c>
      <c r="C1648" s="2" t="s">
        <v>3380</v>
      </c>
      <c r="D1648" s="2" t="s">
        <v>3360</v>
      </c>
      <c r="E1648" s="2" t="str">
        <f>HYPERLINK("https://talan.bank.gov.ua/get-user-certificate/sec1egJGUi-a57rjJsa8","Завантажити сертифікат")</f>
        <v>Завантажити сертифікат</v>
      </c>
    </row>
    <row r="1649" spans="1:5" x14ac:dyDescent="0.3">
      <c r="A1649" s="2" t="s">
        <v>3381</v>
      </c>
      <c r="B1649" s="2" t="s">
        <v>5</v>
      </c>
      <c r="C1649" s="2" t="s">
        <v>3382</v>
      </c>
      <c r="D1649" s="2" t="s">
        <v>3360</v>
      </c>
      <c r="E1649" s="2" t="str">
        <f>HYPERLINK("https://talan.bank.gov.ua/get-user-certificate/sec1eDn-m4qRSmrIMBgS","Завантажити сертифікат")</f>
        <v>Завантажити сертифікат</v>
      </c>
    </row>
    <row r="1650" spans="1:5" x14ac:dyDescent="0.3">
      <c r="A1650" s="2" t="s">
        <v>3383</v>
      </c>
      <c r="B1650" s="2" t="s">
        <v>5</v>
      </c>
      <c r="C1650" s="2" t="s">
        <v>3384</v>
      </c>
      <c r="D1650" s="2" t="s">
        <v>3360</v>
      </c>
      <c r="E1650" s="2" t="str">
        <f>HYPERLINK("https://talan.bank.gov.ua/get-user-certificate/sec1ek8GzdWUk_GW4cOg","Завантажити сертифікат")</f>
        <v>Завантажити сертифікат</v>
      </c>
    </row>
    <row r="1651" spans="1:5" x14ac:dyDescent="0.3">
      <c r="A1651" s="2" t="s">
        <v>3385</v>
      </c>
      <c r="B1651" s="2" t="s">
        <v>5</v>
      </c>
      <c r="C1651" s="2" t="s">
        <v>3386</v>
      </c>
      <c r="D1651" s="2" t="s">
        <v>3360</v>
      </c>
      <c r="E1651" s="2" t="str">
        <f>HYPERLINK("https://talan.bank.gov.ua/get-user-certificate/sec1eew9evob96lFdJxO","Завантажити сертифікат")</f>
        <v>Завантажити сертифікат</v>
      </c>
    </row>
    <row r="1652" spans="1:5" x14ac:dyDescent="0.3">
      <c r="A1652" s="2" t="s">
        <v>3387</v>
      </c>
      <c r="B1652" s="2" t="s">
        <v>5</v>
      </c>
      <c r="C1652" s="2" t="s">
        <v>3388</v>
      </c>
      <c r="D1652" s="2" t="s">
        <v>3389</v>
      </c>
      <c r="E1652" s="2" t="str">
        <f>HYPERLINK("https://talan.bank.gov.ua/get-user-certificate/sec1eDsbG-qa9p5s_V61","Завантажити сертифікат")</f>
        <v>Завантажити сертифікат</v>
      </c>
    </row>
    <row r="1653" spans="1:5" x14ac:dyDescent="0.3">
      <c r="A1653" s="2" t="s">
        <v>3390</v>
      </c>
      <c r="B1653" s="2" t="s">
        <v>5</v>
      </c>
      <c r="C1653" s="2" t="s">
        <v>3391</v>
      </c>
      <c r="D1653" s="2" t="s">
        <v>3389</v>
      </c>
      <c r="E1653" s="2" t="str">
        <f>HYPERLINK("https://talan.bank.gov.ua/get-user-certificate/sec1eLMaoWq5UGzOvJFj","Завантажити сертифікат")</f>
        <v>Завантажити сертифікат</v>
      </c>
    </row>
    <row r="1654" spans="1:5" x14ac:dyDescent="0.3">
      <c r="A1654" s="2" t="s">
        <v>3392</v>
      </c>
      <c r="B1654" s="2" t="s">
        <v>5</v>
      </c>
      <c r="C1654" s="2" t="s">
        <v>3393</v>
      </c>
      <c r="D1654" s="2" t="s">
        <v>3389</v>
      </c>
      <c r="E1654" s="2" t="str">
        <f>HYPERLINK("https://talan.bank.gov.ua/get-user-certificate/sec1eB6eE6SxpveMekvy","Завантажити сертифікат")</f>
        <v>Завантажити сертифікат</v>
      </c>
    </row>
    <row r="1655" spans="1:5" x14ac:dyDescent="0.3">
      <c r="A1655" s="2" t="s">
        <v>3394</v>
      </c>
      <c r="B1655" s="2" t="s">
        <v>5</v>
      </c>
      <c r="C1655" s="2" t="s">
        <v>3395</v>
      </c>
      <c r="D1655" s="2" t="s">
        <v>3389</v>
      </c>
      <c r="E1655" s="2" t="str">
        <f>HYPERLINK("https://talan.bank.gov.ua/get-user-certificate/sec1eEb_y1KGRX8Ckjm8","Завантажити сертифікат")</f>
        <v>Завантажити сертифікат</v>
      </c>
    </row>
    <row r="1656" spans="1:5" x14ac:dyDescent="0.3">
      <c r="A1656" s="2" t="s">
        <v>3396</v>
      </c>
      <c r="B1656" s="2" t="s">
        <v>5</v>
      </c>
      <c r="C1656" s="2" t="s">
        <v>3397</v>
      </c>
      <c r="D1656" s="2" t="s">
        <v>3389</v>
      </c>
      <c r="E1656" s="2" t="str">
        <f>HYPERLINK("https://talan.bank.gov.ua/get-user-certificate/sec1eUSDJ22dngVNXTG-","Завантажити сертифікат")</f>
        <v>Завантажити сертифікат</v>
      </c>
    </row>
    <row r="1657" spans="1:5" x14ac:dyDescent="0.3">
      <c r="A1657" s="2" t="s">
        <v>3398</v>
      </c>
      <c r="B1657" s="2" t="s">
        <v>5</v>
      </c>
      <c r="C1657" s="2" t="s">
        <v>3399</v>
      </c>
      <c r="D1657" s="2" t="s">
        <v>3389</v>
      </c>
      <c r="E1657" s="2" t="str">
        <f>HYPERLINK("https://talan.bank.gov.ua/get-user-certificate/sec1e-1gaFhUua2Fd4dg","Завантажити сертифікат")</f>
        <v>Завантажити сертифікат</v>
      </c>
    </row>
    <row r="1658" spans="1:5" x14ac:dyDescent="0.3">
      <c r="A1658" s="2" t="s">
        <v>3400</v>
      </c>
      <c r="B1658" s="2" t="s">
        <v>5</v>
      </c>
      <c r="C1658" s="2" t="s">
        <v>3401</v>
      </c>
      <c r="D1658" s="2" t="s">
        <v>3389</v>
      </c>
      <c r="E1658" s="2" t="str">
        <f>HYPERLINK("https://talan.bank.gov.ua/get-user-certificate/sec1exr0DM4y-xiWABEZ","Завантажити сертифікат")</f>
        <v>Завантажити сертифікат</v>
      </c>
    </row>
    <row r="1659" spans="1:5" x14ac:dyDescent="0.3">
      <c r="A1659" s="2" t="s">
        <v>3402</v>
      </c>
      <c r="B1659" s="2" t="s">
        <v>5</v>
      </c>
      <c r="C1659" s="2" t="s">
        <v>3403</v>
      </c>
      <c r="D1659" s="2" t="s">
        <v>3389</v>
      </c>
      <c r="E1659" s="2" t="str">
        <f>HYPERLINK("https://talan.bank.gov.ua/get-user-certificate/sec1ehhSmLj57Whu_NEY","Завантажити сертифікат")</f>
        <v>Завантажити сертифікат</v>
      </c>
    </row>
    <row r="1660" spans="1:5" x14ac:dyDescent="0.3">
      <c r="A1660" s="2" t="s">
        <v>3404</v>
      </c>
      <c r="B1660" s="2" t="s">
        <v>5</v>
      </c>
      <c r="C1660" s="2" t="s">
        <v>3405</v>
      </c>
      <c r="D1660" s="2" t="s">
        <v>3389</v>
      </c>
      <c r="E1660" s="2" t="str">
        <f>HYPERLINK("https://talan.bank.gov.ua/get-user-certificate/sec1eIBXXGdyklRYLznf","Завантажити сертифікат")</f>
        <v>Завантажити сертифікат</v>
      </c>
    </row>
    <row r="1661" spans="1:5" x14ac:dyDescent="0.3">
      <c r="A1661" s="2" t="s">
        <v>3406</v>
      </c>
      <c r="B1661" s="2" t="s">
        <v>5</v>
      </c>
      <c r="C1661" s="2" t="s">
        <v>3407</v>
      </c>
      <c r="D1661" s="2" t="s">
        <v>3389</v>
      </c>
      <c r="E1661" s="2" t="str">
        <f>HYPERLINK("https://talan.bank.gov.ua/get-user-certificate/sec1e4t6doqbpqI5kiyq","Завантажити сертифікат")</f>
        <v>Завантажити сертифікат</v>
      </c>
    </row>
    <row r="1662" spans="1:5" x14ac:dyDescent="0.3">
      <c r="A1662" s="2" t="s">
        <v>3408</v>
      </c>
      <c r="B1662" s="2" t="s">
        <v>5</v>
      </c>
      <c r="C1662" s="2" t="s">
        <v>3409</v>
      </c>
      <c r="D1662" s="2" t="s">
        <v>3389</v>
      </c>
      <c r="E1662" s="2" t="str">
        <f>HYPERLINK("https://talan.bank.gov.ua/get-user-certificate/sec1ebafW_nRWQ4AXIkS","Завантажити сертифікат")</f>
        <v>Завантажити сертифікат</v>
      </c>
    </row>
    <row r="1663" spans="1:5" x14ac:dyDescent="0.3">
      <c r="A1663" s="2" t="s">
        <v>3410</v>
      </c>
      <c r="B1663" s="2" t="s">
        <v>5</v>
      </c>
      <c r="C1663" s="2" t="s">
        <v>3411</v>
      </c>
      <c r="D1663" s="2" t="s">
        <v>3389</v>
      </c>
      <c r="E1663" s="2" t="str">
        <f>HYPERLINK("https://talan.bank.gov.ua/get-user-certificate/sec1eBKngkuMAOimu13q","Завантажити сертифікат")</f>
        <v>Завантажити сертифікат</v>
      </c>
    </row>
    <row r="1664" spans="1:5" x14ac:dyDescent="0.3">
      <c r="A1664" s="2" t="s">
        <v>3412</v>
      </c>
      <c r="B1664" s="2" t="s">
        <v>5</v>
      </c>
      <c r="C1664" s="2" t="s">
        <v>3413</v>
      </c>
      <c r="D1664" s="2" t="s">
        <v>3389</v>
      </c>
      <c r="E1664" s="2" t="str">
        <f>HYPERLINK("https://talan.bank.gov.ua/get-user-certificate/sec1eNi8wdkjEZgcMgRT","Завантажити сертифікат")</f>
        <v>Завантажити сертифікат</v>
      </c>
    </row>
    <row r="1665" spans="1:5" x14ac:dyDescent="0.3">
      <c r="A1665" s="2" t="s">
        <v>3414</v>
      </c>
      <c r="B1665" s="2" t="s">
        <v>5</v>
      </c>
      <c r="C1665" s="2" t="s">
        <v>3415</v>
      </c>
      <c r="D1665" s="2" t="s">
        <v>3389</v>
      </c>
      <c r="E1665" s="2" t="str">
        <f>HYPERLINK("https://talan.bank.gov.ua/get-user-certificate/sec1eU4Kw2CrsHn7VgZf","Завантажити сертифікат")</f>
        <v>Завантажити сертифікат</v>
      </c>
    </row>
    <row r="1666" spans="1:5" x14ac:dyDescent="0.3">
      <c r="A1666" s="2" t="s">
        <v>3416</v>
      </c>
      <c r="B1666" s="2" t="s">
        <v>5</v>
      </c>
      <c r="C1666" s="2" t="s">
        <v>3417</v>
      </c>
      <c r="D1666" s="2" t="s">
        <v>3389</v>
      </c>
      <c r="E1666" s="2" t="str">
        <f>HYPERLINK("https://talan.bank.gov.ua/get-user-certificate/sec1e2YWKxGutSr1SlzL","Завантажити сертифікат")</f>
        <v>Завантажити сертифікат</v>
      </c>
    </row>
    <row r="1667" spans="1:5" x14ac:dyDescent="0.3">
      <c r="A1667" s="2" t="s">
        <v>3418</v>
      </c>
      <c r="B1667" s="2" t="s">
        <v>5</v>
      </c>
      <c r="C1667" s="2" t="s">
        <v>3419</v>
      </c>
      <c r="D1667" s="2" t="s">
        <v>3389</v>
      </c>
      <c r="E1667" s="2" t="str">
        <f>HYPERLINK("https://talan.bank.gov.ua/get-user-certificate/sec1egVZgXHGUGqNVpV2","Завантажити сертифікат")</f>
        <v>Завантажити сертифікат</v>
      </c>
    </row>
    <row r="1668" spans="1:5" x14ac:dyDescent="0.3">
      <c r="A1668" s="2" t="s">
        <v>3420</v>
      </c>
      <c r="B1668" s="2" t="s">
        <v>5</v>
      </c>
      <c r="C1668" s="2" t="s">
        <v>3421</v>
      </c>
      <c r="D1668" s="2" t="s">
        <v>3389</v>
      </c>
      <c r="E1668" s="2" t="str">
        <f>HYPERLINK("https://talan.bank.gov.ua/get-user-certificate/sec1e37Lm-ocJg21qwWs","Завантажити сертифікат")</f>
        <v>Завантажити сертифікат</v>
      </c>
    </row>
    <row r="1669" spans="1:5" x14ac:dyDescent="0.3">
      <c r="A1669" s="2" t="s">
        <v>3422</v>
      </c>
      <c r="B1669" s="2" t="s">
        <v>5</v>
      </c>
      <c r="C1669" s="2" t="s">
        <v>3423</v>
      </c>
      <c r="D1669" s="2" t="s">
        <v>3389</v>
      </c>
      <c r="E1669" s="2" t="str">
        <f>HYPERLINK("https://talan.bank.gov.ua/get-user-certificate/sec1ek4st-UHU_rfU-UX","Завантажити сертифікат")</f>
        <v>Завантажити сертифікат</v>
      </c>
    </row>
    <row r="1670" spans="1:5" x14ac:dyDescent="0.3">
      <c r="A1670" s="2" t="s">
        <v>3424</v>
      </c>
      <c r="B1670" s="2" t="s">
        <v>5</v>
      </c>
      <c r="C1670" s="2" t="s">
        <v>3425</v>
      </c>
      <c r="D1670" s="2" t="s">
        <v>3389</v>
      </c>
      <c r="E1670" s="2" t="str">
        <f>HYPERLINK("https://talan.bank.gov.ua/get-user-certificate/sec1ePLxqaDAQDC-NrsP","Завантажити сертифікат")</f>
        <v>Завантажити сертифікат</v>
      </c>
    </row>
    <row r="1671" spans="1:5" x14ac:dyDescent="0.3">
      <c r="A1671" s="2" t="s">
        <v>3426</v>
      </c>
      <c r="B1671" s="2" t="s">
        <v>5</v>
      </c>
      <c r="C1671" s="2" t="s">
        <v>3427</v>
      </c>
      <c r="D1671" s="2" t="s">
        <v>3389</v>
      </c>
      <c r="E1671" s="2" t="str">
        <f>HYPERLINK("https://talan.bank.gov.ua/get-user-certificate/sec1eMJzKgeaEL5z6ynu","Завантажити сертифікат")</f>
        <v>Завантажити сертифікат</v>
      </c>
    </row>
    <row r="1672" spans="1:5" x14ac:dyDescent="0.3">
      <c r="A1672" s="2" t="s">
        <v>3428</v>
      </c>
      <c r="B1672" s="2" t="s">
        <v>5</v>
      </c>
      <c r="C1672" s="2" t="s">
        <v>3429</v>
      </c>
      <c r="D1672" s="2" t="s">
        <v>3389</v>
      </c>
      <c r="E1672" s="2" t="str">
        <f>HYPERLINK("https://talan.bank.gov.ua/get-user-certificate/sec1eNhoC0D697TmiSgI","Завантажити сертифікат")</f>
        <v>Завантажити сертифікат</v>
      </c>
    </row>
    <row r="1673" spans="1:5" x14ac:dyDescent="0.3">
      <c r="A1673" s="2" t="s">
        <v>3430</v>
      </c>
      <c r="B1673" s="2" t="s">
        <v>5</v>
      </c>
      <c r="C1673" s="2" t="s">
        <v>3431</v>
      </c>
      <c r="D1673" s="2" t="s">
        <v>3389</v>
      </c>
      <c r="E1673" s="2" t="str">
        <f>HYPERLINK("https://talan.bank.gov.ua/get-user-certificate/sec1exEVe_d63jdyp7aM","Завантажити сертифікат")</f>
        <v>Завантажити сертифікат</v>
      </c>
    </row>
    <row r="1674" spans="1:5" x14ac:dyDescent="0.3">
      <c r="A1674" s="2" t="s">
        <v>3432</v>
      </c>
      <c r="B1674" s="2" t="s">
        <v>5</v>
      </c>
      <c r="C1674" s="2" t="s">
        <v>3433</v>
      </c>
      <c r="D1674" s="2" t="s">
        <v>3389</v>
      </c>
      <c r="E1674" s="2" t="str">
        <f>HYPERLINK("https://talan.bank.gov.ua/get-user-certificate/sec1esUpgadigDlPX8xQ","Завантажити сертифікат")</f>
        <v>Завантажити сертифікат</v>
      </c>
    </row>
    <row r="1675" spans="1:5" x14ac:dyDescent="0.3">
      <c r="A1675" s="2" t="s">
        <v>3434</v>
      </c>
      <c r="B1675" s="2" t="s">
        <v>5</v>
      </c>
      <c r="C1675" s="2" t="s">
        <v>3435</v>
      </c>
      <c r="D1675" s="2" t="s">
        <v>3389</v>
      </c>
      <c r="E1675" s="2" t="str">
        <f>HYPERLINK("https://talan.bank.gov.ua/get-user-certificate/sec1e8PzH47UWqaN3ODW","Завантажити сертифікат")</f>
        <v>Завантажити сертифікат</v>
      </c>
    </row>
    <row r="1676" spans="1:5" x14ac:dyDescent="0.3">
      <c r="A1676" s="2" t="s">
        <v>3436</v>
      </c>
      <c r="B1676" s="2" t="s">
        <v>5</v>
      </c>
      <c r="C1676" s="2" t="s">
        <v>3437</v>
      </c>
      <c r="D1676" s="2" t="s">
        <v>3389</v>
      </c>
      <c r="E1676" s="2" t="str">
        <f>HYPERLINK("https://talan.bank.gov.ua/get-user-certificate/sec1ekfVtrzl8VA3DUJg","Завантажити сертифікат")</f>
        <v>Завантажити сертифікат</v>
      </c>
    </row>
    <row r="1677" spans="1:5" x14ac:dyDescent="0.3">
      <c r="A1677" s="2" t="s">
        <v>3438</v>
      </c>
      <c r="B1677" s="2" t="s">
        <v>5</v>
      </c>
      <c r="C1677" s="2" t="s">
        <v>3439</v>
      </c>
      <c r="D1677" s="2" t="s">
        <v>3440</v>
      </c>
      <c r="E1677" s="2" t="str">
        <f>HYPERLINK("https://talan.bank.gov.ua/get-user-certificate/sec1enRft67mUWwfK4zC","Завантажити сертифікат")</f>
        <v>Завантажити сертифікат</v>
      </c>
    </row>
    <row r="1678" spans="1:5" x14ac:dyDescent="0.3">
      <c r="A1678" s="2" t="s">
        <v>3441</v>
      </c>
      <c r="B1678" s="2" t="s">
        <v>5</v>
      </c>
      <c r="C1678" s="2" t="s">
        <v>3442</v>
      </c>
      <c r="D1678" s="2" t="s">
        <v>3440</v>
      </c>
      <c r="E1678" s="2" t="str">
        <f>HYPERLINK("https://talan.bank.gov.ua/get-user-certificate/sec1eaNrNA_3SVm8dE8Q","Завантажити сертифікат")</f>
        <v>Завантажити сертифікат</v>
      </c>
    </row>
    <row r="1679" spans="1:5" x14ac:dyDescent="0.3">
      <c r="A1679" s="2" t="s">
        <v>3443</v>
      </c>
      <c r="B1679" s="2" t="s">
        <v>5</v>
      </c>
      <c r="C1679" s="2" t="s">
        <v>3444</v>
      </c>
      <c r="D1679" s="2" t="s">
        <v>3440</v>
      </c>
      <c r="E1679" s="2" t="str">
        <f>HYPERLINK("https://talan.bank.gov.ua/get-user-certificate/sec1e951mFAmjTb1QcbF","Завантажити сертифікат")</f>
        <v>Завантажити сертифікат</v>
      </c>
    </row>
    <row r="1680" spans="1:5" x14ac:dyDescent="0.3">
      <c r="A1680" s="2" t="s">
        <v>3445</v>
      </c>
      <c r="B1680" s="2" t="s">
        <v>5</v>
      </c>
      <c r="C1680" s="2" t="s">
        <v>3446</v>
      </c>
      <c r="D1680" s="2" t="s">
        <v>3440</v>
      </c>
      <c r="E1680" s="2" t="str">
        <f>HYPERLINK("https://talan.bank.gov.ua/get-user-certificate/sec1eL8GAbwXSv28R_Gq","Завантажити сертифікат")</f>
        <v>Завантажити сертифікат</v>
      </c>
    </row>
    <row r="1681" spans="1:5" x14ac:dyDescent="0.3">
      <c r="A1681" s="2" t="s">
        <v>3447</v>
      </c>
      <c r="B1681" s="2" t="s">
        <v>5</v>
      </c>
      <c r="C1681" s="2" t="s">
        <v>3448</v>
      </c>
      <c r="D1681" s="2" t="s">
        <v>3440</v>
      </c>
      <c r="E1681" s="2" t="str">
        <f>HYPERLINK("https://talan.bank.gov.ua/get-user-certificate/sec1eb1ftfkwCgewdvlv","Завантажити сертифікат")</f>
        <v>Завантажити сертифікат</v>
      </c>
    </row>
    <row r="1682" spans="1:5" x14ac:dyDescent="0.3">
      <c r="A1682" s="2" t="s">
        <v>3449</v>
      </c>
      <c r="B1682" s="2" t="s">
        <v>5</v>
      </c>
      <c r="C1682" s="2" t="s">
        <v>3450</v>
      </c>
      <c r="D1682" s="2" t="s">
        <v>3440</v>
      </c>
      <c r="E1682" s="2" t="str">
        <f>HYPERLINK("https://talan.bank.gov.ua/get-user-certificate/sec1eUGD2drwMYFd8fVk","Завантажити сертифікат")</f>
        <v>Завантажити сертифікат</v>
      </c>
    </row>
    <row r="1683" spans="1:5" x14ac:dyDescent="0.3">
      <c r="A1683" s="2" t="s">
        <v>3451</v>
      </c>
      <c r="B1683" s="2" t="s">
        <v>5</v>
      </c>
      <c r="C1683" s="2" t="s">
        <v>3452</v>
      </c>
      <c r="D1683" s="2" t="s">
        <v>3440</v>
      </c>
      <c r="E1683" s="2" t="str">
        <f>HYPERLINK("https://talan.bank.gov.ua/get-user-certificate/sec1eKpFdswmcdGXECi-","Завантажити сертифікат")</f>
        <v>Завантажити сертифікат</v>
      </c>
    </row>
    <row r="1684" spans="1:5" x14ac:dyDescent="0.3">
      <c r="A1684" s="2" t="s">
        <v>3453</v>
      </c>
      <c r="B1684" s="2" t="s">
        <v>5</v>
      </c>
      <c r="C1684" s="2" t="s">
        <v>3454</v>
      </c>
      <c r="D1684" s="2" t="s">
        <v>3440</v>
      </c>
      <c r="E1684" s="2" t="str">
        <f>HYPERLINK("https://talan.bank.gov.ua/get-user-certificate/sec1eOKiMDT5sFh5jVCT","Завантажити сертифікат")</f>
        <v>Завантажити сертифікат</v>
      </c>
    </row>
    <row r="1685" spans="1:5" x14ac:dyDescent="0.3">
      <c r="A1685" s="2" t="s">
        <v>3455</v>
      </c>
      <c r="B1685" s="2" t="s">
        <v>5</v>
      </c>
      <c r="C1685" s="2" t="s">
        <v>3456</v>
      </c>
      <c r="D1685" s="2" t="s">
        <v>3440</v>
      </c>
      <c r="E1685" s="2" t="str">
        <f>HYPERLINK("https://talan.bank.gov.ua/get-user-certificate/sec1e5IOQKWcMB1P7tsQ","Завантажити сертифікат")</f>
        <v>Завантажити сертифікат</v>
      </c>
    </row>
    <row r="1686" spans="1:5" x14ac:dyDescent="0.3">
      <c r="A1686" s="2" t="s">
        <v>3457</v>
      </c>
      <c r="B1686" s="2" t="s">
        <v>5</v>
      </c>
      <c r="C1686" s="2" t="s">
        <v>3458</v>
      </c>
      <c r="D1686" s="2" t="s">
        <v>3440</v>
      </c>
      <c r="E1686" s="2" t="str">
        <f>HYPERLINK("https://talan.bank.gov.ua/get-user-certificate/sec1eFMLPXSiiG3cbSM0","Завантажити сертифікат")</f>
        <v>Завантажити сертифікат</v>
      </c>
    </row>
    <row r="1687" spans="1:5" x14ac:dyDescent="0.3">
      <c r="A1687" s="2" t="s">
        <v>3459</v>
      </c>
      <c r="B1687" s="2" t="s">
        <v>5</v>
      </c>
      <c r="C1687" s="2" t="s">
        <v>3460</v>
      </c>
      <c r="D1687" s="2" t="s">
        <v>3440</v>
      </c>
      <c r="E1687" s="2" t="str">
        <f>HYPERLINK("https://talan.bank.gov.ua/get-user-certificate/sec1eJkQZaC61cyY5Unf","Завантажити сертифікат")</f>
        <v>Завантажити сертифікат</v>
      </c>
    </row>
    <row r="1688" spans="1:5" x14ac:dyDescent="0.3">
      <c r="A1688" s="2" t="s">
        <v>3461</v>
      </c>
      <c r="B1688" s="2" t="s">
        <v>5</v>
      </c>
      <c r="C1688" s="2" t="s">
        <v>3462</v>
      </c>
      <c r="D1688" s="2" t="s">
        <v>3440</v>
      </c>
      <c r="E1688" s="2" t="str">
        <f>HYPERLINK("https://talan.bank.gov.ua/get-user-certificate/sec1enCc1UFSUeapn4cL","Завантажити сертифікат")</f>
        <v>Завантажити сертифікат</v>
      </c>
    </row>
    <row r="1689" spans="1:5" x14ac:dyDescent="0.3">
      <c r="A1689" s="2" t="s">
        <v>3463</v>
      </c>
      <c r="B1689" s="2" t="s">
        <v>5</v>
      </c>
      <c r="C1689" s="2" t="s">
        <v>3464</v>
      </c>
      <c r="D1689" s="2" t="s">
        <v>3440</v>
      </c>
      <c r="E1689" s="2" t="str">
        <f>HYPERLINK("https://talan.bank.gov.ua/get-user-certificate/sec1eVXycoxWI6amtuTh","Завантажити сертифікат")</f>
        <v>Завантажити сертифікат</v>
      </c>
    </row>
    <row r="1690" spans="1:5" x14ac:dyDescent="0.3">
      <c r="A1690" s="2" t="s">
        <v>3465</v>
      </c>
      <c r="B1690" s="2" t="s">
        <v>5</v>
      </c>
      <c r="C1690" s="2" t="s">
        <v>3466</v>
      </c>
      <c r="D1690" s="2" t="s">
        <v>3440</v>
      </c>
      <c r="E1690" s="2" t="str">
        <f>HYPERLINK("https://talan.bank.gov.ua/get-user-certificate/sec1e7pzsErUDdZqr_UB","Завантажити сертифікат")</f>
        <v>Завантажити сертифікат</v>
      </c>
    </row>
    <row r="1691" spans="1:5" x14ac:dyDescent="0.3">
      <c r="A1691" s="2" t="s">
        <v>3467</v>
      </c>
      <c r="B1691" s="2" t="s">
        <v>5</v>
      </c>
      <c r="C1691" s="2" t="s">
        <v>3468</v>
      </c>
      <c r="D1691" s="2" t="s">
        <v>3440</v>
      </c>
      <c r="E1691" s="2" t="str">
        <f>HYPERLINK("https://talan.bank.gov.ua/get-user-certificate/sec1eTclZugpt0aS_yJK","Завантажити сертифікат")</f>
        <v>Завантажити сертифікат</v>
      </c>
    </row>
    <row r="1692" spans="1:5" x14ac:dyDescent="0.3">
      <c r="A1692" s="2" t="s">
        <v>3469</v>
      </c>
      <c r="B1692" s="2" t="s">
        <v>5</v>
      </c>
      <c r="C1692" s="2" t="s">
        <v>3470</v>
      </c>
      <c r="D1692" s="2" t="s">
        <v>3440</v>
      </c>
      <c r="E1692" s="2" t="str">
        <f>HYPERLINK("https://talan.bank.gov.ua/get-user-certificate/sec1ekoEwoq6TwhIEaOL","Завантажити сертифікат")</f>
        <v>Завантажити сертифікат</v>
      </c>
    </row>
    <row r="1693" spans="1:5" x14ac:dyDescent="0.3">
      <c r="A1693" s="2" t="s">
        <v>3471</v>
      </c>
      <c r="B1693" s="2" t="s">
        <v>5</v>
      </c>
      <c r="C1693" s="2" t="s">
        <v>3472</v>
      </c>
      <c r="D1693" s="2" t="s">
        <v>3440</v>
      </c>
      <c r="E1693" s="2" t="str">
        <f>HYPERLINK("https://talan.bank.gov.ua/get-user-certificate/sec1ewWsZmrmb7pGUFel","Завантажити сертифікат")</f>
        <v>Завантажити сертифікат</v>
      </c>
    </row>
    <row r="1694" spans="1:5" x14ac:dyDescent="0.3">
      <c r="A1694" s="2" t="s">
        <v>3473</v>
      </c>
      <c r="B1694" s="2" t="s">
        <v>5</v>
      </c>
      <c r="C1694" s="2" t="s">
        <v>3474</v>
      </c>
      <c r="D1694" s="2" t="s">
        <v>3440</v>
      </c>
      <c r="E1694" s="2" t="str">
        <f>HYPERLINK("https://talan.bank.gov.ua/get-user-certificate/sec1eM7NazlYJiWZoGOV","Завантажити сертифікат")</f>
        <v>Завантажити сертифікат</v>
      </c>
    </row>
    <row r="1695" spans="1:5" x14ac:dyDescent="0.3">
      <c r="A1695" s="2" t="s">
        <v>3475</v>
      </c>
      <c r="B1695" s="2" t="s">
        <v>5</v>
      </c>
      <c r="C1695" s="2" t="s">
        <v>3476</v>
      </c>
      <c r="D1695" s="2" t="s">
        <v>3440</v>
      </c>
      <c r="E1695" s="2" t="str">
        <f>HYPERLINK("https://talan.bank.gov.ua/get-user-certificate/sec1eF8ptcm5axkGKHuQ","Завантажити сертифікат")</f>
        <v>Завантажити сертифікат</v>
      </c>
    </row>
    <row r="1696" spans="1:5" x14ac:dyDescent="0.3">
      <c r="A1696" s="2" t="s">
        <v>3477</v>
      </c>
      <c r="B1696" s="2" t="s">
        <v>5</v>
      </c>
      <c r="C1696" s="2" t="s">
        <v>3478</v>
      </c>
      <c r="D1696" s="2" t="s">
        <v>3440</v>
      </c>
      <c r="E1696" s="2" t="str">
        <f>HYPERLINK("https://talan.bank.gov.ua/get-user-certificate/sec1ewUiwE5DZvewtQGE","Завантажити сертифікат")</f>
        <v>Завантажити сертифікат</v>
      </c>
    </row>
    <row r="1697" spans="1:5" x14ac:dyDescent="0.3">
      <c r="A1697" s="2" t="s">
        <v>3479</v>
      </c>
      <c r="B1697" s="2" t="s">
        <v>5</v>
      </c>
      <c r="C1697" s="2" t="s">
        <v>3480</v>
      </c>
      <c r="D1697" s="2" t="s">
        <v>3440</v>
      </c>
      <c r="E1697" s="2" t="str">
        <f>HYPERLINK("https://talan.bank.gov.ua/get-user-certificate/sec1eCosZs0v_oQvntDs","Завантажити сертифікат")</f>
        <v>Завантажити сертифікат</v>
      </c>
    </row>
    <row r="1698" spans="1:5" x14ac:dyDescent="0.3">
      <c r="A1698" s="2" t="s">
        <v>3481</v>
      </c>
      <c r="B1698" s="2" t="s">
        <v>5</v>
      </c>
      <c r="C1698" s="2" t="s">
        <v>3482</v>
      </c>
      <c r="D1698" s="2" t="s">
        <v>3440</v>
      </c>
      <c r="E1698" s="2" t="str">
        <f>HYPERLINK("https://talan.bank.gov.ua/get-user-certificate/sec1eAJHkh9kWvQQDGhL","Завантажити сертифікат")</f>
        <v>Завантажити сертифікат</v>
      </c>
    </row>
    <row r="1699" spans="1:5" x14ac:dyDescent="0.3">
      <c r="A1699" s="2" t="s">
        <v>3483</v>
      </c>
      <c r="B1699" s="2" t="s">
        <v>5</v>
      </c>
      <c r="C1699" s="2" t="s">
        <v>3484</v>
      </c>
      <c r="D1699" s="2" t="s">
        <v>3440</v>
      </c>
      <c r="E1699" s="2" t="str">
        <f>HYPERLINK("https://talan.bank.gov.ua/get-user-certificate/sec1eq-uKc4G3jmI2jP3","Завантажити сертифікат")</f>
        <v>Завантажити сертифікат</v>
      </c>
    </row>
    <row r="1700" spans="1:5" x14ac:dyDescent="0.3">
      <c r="A1700" s="2" t="s">
        <v>3485</v>
      </c>
      <c r="B1700" s="2" t="s">
        <v>5</v>
      </c>
      <c r="C1700" s="2" t="s">
        <v>3486</v>
      </c>
      <c r="D1700" s="2" t="s">
        <v>3440</v>
      </c>
      <c r="E1700" s="2" t="str">
        <f>HYPERLINK("https://talan.bank.gov.ua/get-user-certificate/sec1ejVD4wjzBpA3SAdS","Завантажити сертифікат")</f>
        <v>Завантажити сертифікат</v>
      </c>
    </row>
    <row r="1701" spans="1:5" x14ac:dyDescent="0.3">
      <c r="A1701" s="2" t="s">
        <v>3487</v>
      </c>
      <c r="B1701" s="2" t="s">
        <v>5</v>
      </c>
      <c r="C1701" s="2" t="s">
        <v>3488</v>
      </c>
      <c r="D1701" s="2" t="s">
        <v>3345</v>
      </c>
      <c r="E1701" s="2" t="str">
        <f>HYPERLINK("https://talan.bank.gov.ua/get-user-certificate/sec1eOaIWI0eYv_oTPqU","Завантажити сертифікат")</f>
        <v>Завантажити сертифікат</v>
      </c>
    </row>
    <row r="1702" spans="1:5" x14ac:dyDescent="0.3">
      <c r="A1702" s="2" t="s">
        <v>3489</v>
      </c>
      <c r="B1702" s="2" t="s">
        <v>5</v>
      </c>
      <c r="C1702" s="2" t="s">
        <v>3490</v>
      </c>
      <c r="D1702" s="2" t="s">
        <v>3345</v>
      </c>
      <c r="E1702" s="2" t="str">
        <f>HYPERLINK("https://talan.bank.gov.ua/get-user-certificate/sec1eYE8V72mHni_a-NI","Завантажити сертифікат")</f>
        <v>Завантажити сертифікат</v>
      </c>
    </row>
    <row r="1703" spans="1:5" x14ac:dyDescent="0.3">
      <c r="A1703" s="2" t="s">
        <v>3491</v>
      </c>
      <c r="B1703" s="2" t="s">
        <v>5</v>
      </c>
      <c r="C1703" s="2" t="s">
        <v>3492</v>
      </c>
      <c r="D1703" s="2" t="s">
        <v>3345</v>
      </c>
      <c r="E1703" s="2" t="str">
        <f>HYPERLINK("https://talan.bank.gov.ua/get-user-certificate/sec1eSRJpevPon1v0axA","Завантажити сертифікат")</f>
        <v>Завантажити сертифікат</v>
      </c>
    </row>
    <row r="1704" spans="1:5" x14ac:dyDescent="0.3">
      <c r="A1704" s="2" t="s">
        <v>3493</v>
      </c>
      <c r="B1704" s="2" t="s">
        <v>5</v>
      </c>
      <c r="C1704" s="2" t="s">
        <v>3494</v>
      </c>
      <c r="D1704" s="2" t="s">
        <v>3345</v>
      </c>
      <c r="E1704" s="2" t="str">
        <f>HYPERLINK("https://talan.bank.gov.ua/get-user-certificate/sec1eVW187i7XH3rmqqK","Завантажити сертифікат")</f>
        <v>Завантажити сертифікат</v>
      </c>
    </row>
    <row r="1705" spans="1:5" x14ac:dyDescent="0.3">
      <c r="A1705" s="2" t="s">
        <v>3495</v>
      </c>
      <c r="B1705" s="2" t="s">
        <v>5</v>
      </c>
      <c r="C1705" s="2" t="s">
        <v>3496</v>
      </c>
      <c r="D1705" s="2" t="s">
        <v>3345</v>
      </c>
      <c r="E1705" s="2" t="str">
        <f>HYPERLINK("https://talan.bank.gov.ua/get-user-certificate/sec1esGCmTMuQ1_yT66G","Завантажити сертифікат")</f>
        <v>Завантажити сертифікат</v>
      </c>
    </row>
    <row r="1706" spans="1:5" x14ac:dyDescent="0.3">
      <c r="A1706" s="2" t="s">
        <v>3497</v>
      </c>
      <c r="B1706" s="2" t="s">
        <v>5</v>
      </c>
      <c r="C1706" s="2" t="s">
        <v>3498</v>
      </c>
      <c r="D1706" s="2" t="s">
        <v>3345</v>
      </c>
      <c r="E1706" s="2" t="str">
        <f>HYPERLINK("https://talan.bank.gov.ua/get-user-certificate/sec1eo7-wTItoSjYBKr1","Завантажити сертифікат")</f>
        <v>Завантажити сертифікат</v>
      </c>
    </row>
    <row r="1707" spans="1:5" x14ac:dyDescent="0.3">
      <c r="A1707" s="2" t="s">
        <v>3499</v>
      </c>
      <c r="B1707" s="2" t="s">
        <v>5</v>
      </c>
      <c r="C1707" s="2" t="s">
        <v>3500</v>
      </c>
      <c r="D1707" s="2" t="s">
        <v>3345</v>
      </c>
      <c r="E1707" s="2" t="str">
        <f>HYPERLINK("https://talan.bank.gov.ua/get-user-certificate/sec1efOoQWZ4hxEvQRu5","Завантажити сертифікат")</f>
        <v>Завантажити сертифікат</v>
      </c>
    </row>
    <row r="1708" spans="1:5" x14ac:dyDescent="0.3">
      <c r="A1708" s="2" t="s">
        <v>3501</v>
      </c>
      <c r="B1708" s="2" t="s">
        <v>5</v>
      </c>
      <c r="C1708" s="2" t="s">
        <v>3502</v>
      </c>
      <c r="D1708" s="2" t="s">
        <v>3345</v>
      </c>
      <c r="E1708" s="2" t="str">
        <f>HYPERLINK("https://talan.bank.gov.ua/get-user-certificate/sec1er32M_o_RQZ5qlh5","Завантажити сертифікат")</f>
        <v>Завантажити сертифікат</v>
      </c>
    </row>
    <row r="1709" spans="1:5" x14ac:dyDescent="0.3">
      <c r="A1709" s="2" t="s">
        <v>3503</v>
      </c>
      <c r="B1709" s="2" t="s">
        <v>5</v>
      </c>
      <c r="C1709" s="2" t="s">
        <v>3504</v>
      </c>
      <c r="D1709" s="2" t="s">
        <v>3345</v>
      </c>
      <c r="E1709" s="2" t="str">
        <f>HYPERLINK("https://talan.bank.gov.ua/get-user-certificate/sec1erAruZ639ybkaOzP","Завантажити сертифікат")</f>
        <v>Завантажити сертифікат</v>
      </c>
    </row>
    <row r="1710" spans="1:5" x14ac:dyDescent="0.3">
      <c r="A1710" s="2" t="s">
        <v>3505</v>
      </c>
      <c r="B1710" s="2" t="s">
        <v>5</v>
      </c>
      <c r="C1710" s="2" t="s">
        <v>3506</v>
      </c>
      <c r="D1710" s="2" t="s">
        <v>3345</v>
      </c>
      <c r="E1710" s="2" t="str">
        <f>HYPERLINK("https://talan.bank.gov.ua/get-user-certificate/sec1ed22aiGIxoQK-8Sd","Завантажити сертифікат")</f>
        <v>Завантажити сертифікат</v>
      </c>
    </row>
    <row r="1711" spans="1:5" x14ac:dyDescent="0.3">
      <c r="A1711" s="2" t="s">
        <v>3507</v>
      </c>
      <c r="B1711" s="2" t="s">
        <v>5</v>
      </c>
      <c r="C1711" s="2" t="s">
        <v>3508</v>
      </c>
      <c r="D1711" s="2" t="s">
        <v>3345</v>
      </c>
      <c r="E1711" s="2" t="str">
        <f>HYPERLINK("https://talan.bank.gov.ua/get-user-certificate/sec1eT5Q4ok7WQr01gmC","Завантажити сертифікат")</f>
        <v>Завантажити сертифікат</v>
      </c>
    </row>
    <row r="1712" spans="1:5" x14ac:dyDescent="0.3">
      <c r="A1712" s="2" t="s">
        <v>3509</v>
      </c>
      <c r="B1712" s="2" t="s">
        <v>5</v>
      </c>
      <c r="C1712" s="2" t="s">
        <v>3510</v>
      </c>
      <c r="D1712" s="2" t="s">
        <v>3345</v>
      </c>
      <c r="E1712" s="2" t="str">
        <f>HYPERLINK("https://talan.bank.gov.ua/get-user-certificate/sec1eGU8z0gdC3xf6PqC","Завантажити сертифікат")</f>
        <v>Завантажити сертифікат</v>
      </c>
    </row>
    <row r="1713" spans="1:5" x14ac:dyDescent="0.3">
      <c r="A1713" s="2" t="s">
        <v>3511</v>
      </c>
      <c r="B1713" s="2" t="s">
        <v>5</v>
      </c>
      <c r="C1713" s="2" t="s">
        <v>3512</v>
      </c>
      <c r="D1713" s="2" t="s">
        <v>3513</v>
      </c>
      <c r="E1713" s="2" t="str">
        <f>HYPERLINK("https://talan.bank.gov.ua/get-user-certificate/sec1eaOVvByNWdxuuFGj","Завантажити сертифікат")</f>
        <v>Завантажити сертифікат</v>
      </c>
    </row>
    <row r="1714" spans="1:5" x14ac:dyDescent="0.3">
      <c r="A1714" s="2" t="s">
        <v>3514</v>
      </c>
      <c r="B1714" s="2" t="s">
        <v>5</v>
      </c>
      <c r="C1714" s="2" t="s">
        <v>3515</v>
      </c>
      <c r="D1714" s="2" t="s">
        <v>3513</v>
      </c>
      <c r="E1714" s="2" t="str">
        <f>HYPERLINK("https://talan.bank.gov.ua/get-user-certificate/sec1eyq-iyegdR9mbu0u","Завантажити сертифікат")</f>
        <v>Завантажити сертифікат</v>
      </c>
    </row>
    <row r="1715" spans="1:5" x14ac:dyDescent="0.3">
      <c r="A1715" s="2" t="s">
        <v>3516</v>
      </c>
      <c r="B1715" s="2" t="s">
        <v>5</v>
      </c>
      <c r="C1715" s="2" t="s">
        <v>3517</v>
      </c>
      <c r="D1715" s="2" t="s">
        <v>3513</v>
      </c>
      <c r="E1715" s="2" t="str">
        <f>HYPERLINK("https://talan.bank.gov.ua/get-user-certificate/sec1eD2oexqu-Uw0BGyW","Завантажити сертифікат")</f>
        <v>Завантажити сертифікат</v>
      </c>
    </row>
    <row r="1716" spans="1:5" x14ac:dyDescent="0.3">
      <c r="A1716" s="2" t="s">
        <v>3518</v>
      </c>
      <c r="B1716" s="2" t="s">
        <v>5</v>
      </c>
      <c r="C1716" s="2" t="s">
        <v>3519</v>
      </c>
      <c r="D1716" s="2" t="s">
        <v>3513</v>
      </c>
      <c r="E1716" s="2" t="str">
        <f>HYPERLINK("https://talan.bank.gov.ua/get-user-certificate/sec1eN7UWVepwTYsz4x2","Завантажити сертифікат")</f>
        <v>Завантажити сертифікат</v>
      </c>
    </row>
    <row r="1717" spans="1:5" x14ac:dyDescent="0.3">
      <c r="A1717" s="2" t="s">
        <v>3520</v>
      </c>
      <c r="B1717" s="2" t="s">
        <v>5</v>
      </c>
      <c r="C1717" s="2" t="s">
        <v>3521</v>
      </c>
      <c r="D1717" s="2" t="s">
        <v>3513</v>
      </c>
      <c r="E1717" s="2" t="str">
        <f>HYPERLINK("https://talan.bank.gov.ua/get-user-certificate/sec1e-3w5avB-M-Kl3yd","Завантажити сертифікат")</f>
        <v>Завантажити сертифікат</v>
      </c>
    </row>
    <row r="1718" spans="1:5" x14ac:dyDescent="0.3">
      <c r="A1718" s="2" t="s">
        <v>3522</v>
      </c>
      <c r="B1718" s="2" t="s">
        <v>5</v>
      </c>
      <c r="C1718" s="2" t="s">
        <v>3523</v>
      </c>
      <c r="D1718" s="2" t="s">
        <v>3513</v>
      </c>
      <c r="E1718" s="2" t="str">
        <f>HYPERLINK("https://talan.bank.gov.ua/get-user-certificate/sec1e5oj20O6qnIlq4Dg","Завантажити сертифікат")</f>
        <v>Завантажити сертифікат</v>
      </c>
    </row>
    <row r="1719" spans="1:5" x14ac:dyDescent="0.3">
      <c r="A1719" s="2" t="s">
        <v>3524</v>
      </c>
      <c r="B1719" s="2" t="s">
        <v>5</v>
      </c>
      <c r="C1719" s="2" t="s">
        <v>3525</v>
      </c>
      <c r="D1719" s="2" t="s">
        <v>3513</v>
      </c>
      <c r="E1719" s="2" t="str">
        <f>HYPERLINK("https://talan.bank.gov.ua/get-user-certificate/sec1e_N2O9YbTukrMEdN","Завантажити сертифікат")</f>
        <v>Завантажити сертифікат</v>
      </c>
    </row>
    <row r="1720" spans="1:5" x14ac:dyDescent="0.3">
      <c r="A1720" s="2" t="s">
        <v>3526</v>
      </c>
      <c r="B1720" s="2" t="s">
        <v>5</v>
      </c>
      <c r="C1720" s="2" t="s">
        <v>3527</v>
      </c>
      <c r="D1720" s="2" t="s">
        <v>3513</v>
      </c>
      <c r="E1720" s="2" t="str">
        <f>HYPERLINK("https://talan.bank.gov.ua/get-user-certificate/sec1eaj9_or-TA063h-1","Завантажити сертифікат")</f>
        <v>Завантажити сертифікат</v>
      </c>
    </row>
    <row r="1721" spans="1:5" x14ac:dyDescent="0.3">
      <c r="A1721" s="2" t="s">
        <v>3528</v>
      </c>
      <c r="B1721" s="2" t="s">
        <v>5</v>
      </c>
      <c r="C1721" s="2" t="s">
        <v>3529</v>
      </c>
      <c r="D1721" s="2" t="s">
        <v>3513</v>
      </c>
      <c r="E1721" s="2" t="str">
        <f>HYPERLINK("https://talan.bank.gov.ua/get-user-certificate/sec1e62eAfKQfW2nqQyc","Завантажити сертифікат")</f>
        <v>Завантажити сертифікат</v>
      </c>
    </row>
    <row r="1722" spans="1:5" x14ac:dyDescent="0.3">
      <c r="A1722" s="2" t="s">
        <v>3530</v>
      </c>
      <c r="B1722" s="2" t="s">
        <v>5</v>
      </c>
      <c r="C1722" s="2" t="s">
        <v>3531</v>
      </c>
      <c r="D1722" s="2" t="s">
        <v>3513</v>
      </c>
      <c r="E1722" s="2" t="str">
        <f>HYPERLINK("https://talan.bank.gov.ua/get-user-certificate/sec1eblvt6MKqvzXYuEP","Завантажити сертифікат")</f>
        <v>Завантажити сертифікат</v>
      </c>
    </row>
    <row r="1723" spans="1:5" x14ac:dyDescent="0.3">
      <c r="A1723" s="2" t="s">
        <v>3532</v>
      </c>
      <c r="B1723" s="2" t="s">
        <v>5</v>
      </c>
      <c r="C1723" s="2" t="s">
        <v>3533</v>
      </c>
      <c r="D1723" s="2" t="s">
        <v>3513</v>
      </c>
      <c r="E1723" s="2" t="str">
        <f>HYPERLINK("https://talan.bank.gov.ua/get-user-certificate/sec1exu8NIIyizMFtcHm","Завантажити сертифікат")</f>
        <v>Завантажити сертифікат</v>
      </c>
    </row>
    <row r="1724" spans="1:5" x14ac:dyDescent="0.3">
      <c r="A1724" s="2" t="s">
        <v>3534</v>
      </c>
      <c r="B1724" s="2" t="s">
        <v>5</v>
      </c>
      <c r="C1724" s="2" t="s">
        <v>3535</v>
      </c>
      <c r="D1724" s="2" t="s">
        <v>3513</v>
      </c>
      <c r="E1724" s="2" t="str">
        <f>HYPERLINK("https://talan.bank.gov.ua/get-user-certificate/sec1eE5AU4o7As4CvXCB","Завантажити сертифікат")</f>
        <v>Завантажити сертифікат</v>
      </c>
    </row>
    <row r="1725" spans="1:5" x14ac:dyDescent="0.3">
      <c r="A1725" s="2" t="s">
        <v>3536</v>
      </c>
      <c r="B1725" s="2" t="s">
        <v>5</v>
      </c>
      <c r="C1725" s="2" t="s">
        <v>3537</v>
      </c>
      <c r="D1725" s="2" t="s">
        <v>3513</v>
      </c>
      <c r="E1725" s="2" t="str">
        <f>HYPERLINK("https://talan.bank.gov.ua/get-user-certificate/sec1eW2VoTA69ZGCSLdG","Завантажити сертифікат")</f>
        <v>Завантажити сертифікат</v>
      </c>
    </row>
    <row r="1726" spans="1:5" x14ac:dyDescent="0.3">
      <c r="A1726" s="2" t="s">
        <v>3538</v>
      </c>
      <c r="B1726" s="2" t="s">
        <v>5</v>
      </c>
      <c r="C1726" s="2" t="s">
        <v>3539</v>
      </c>
      <c r="D1726" s="2" t="s">
        <v>3513</v>
      </c>
      <c r="E1726" s="2" t="str">
        <f>HYPERLINK("https://talan.bank.gov.ua/get-user-certificate/sec1ejKcmiOuVcNRUPOM","Завантажити сертифікат")</f>
        <v>Завантажити сертифікат</v>
      </c>
    </row>
    <row r="1727" spans="1:5" x14ac:dyDescent="0.3">
      <c r="A1727" s="2" t="s">
        <v>3540</v>
      </c>
      <c r="B1727" s="2" t="s">
        <v>5</v>
      </c>
      <c r="C1727" s="2" t="s">
        <v>3541</v>
      </c>
      <c r="D1727" s="2" t="s">
        <v>3513</v>
      </c>
      <c r="E1727" s="2" t="str">
        <f>HYPERLINK("https://talan.bank.gov.ua/get-user-certificate/sec1ehJDR94mD6HPZ6ju","Завантажити сертифікат")</f>
        <v>Завантажити сертифікат</v>
      </c>
    </row>
    <row r="1728" spans="1:5" x14ac:dyDescent="0.3">
      <c r="A1728" s="2" t="s">
        <v>3542</v>
      </c>
      <c r="B1728" s="2" t="s">
        <v>5</v>
      </c>
      <c r="C1728" s="2" t="s">
        <v>3543</v>
      </c>
      <c r="D1728" s="2" t="s">
        <v>3513</v>
      </c>
      <c r="E1728" s="2" t="str">
        <f>HYPERLINK("https://talan.bank.gov.ua/get-user-certificate/sec1eNj8oN1nsVZFC2YI","Завантажити сертифікат")</f>
        <v>Завантажити сертифікат</v>
      </c>
    </row>
    <row r="1729" spans="1:5" x14ac:dyDescent="0.3">
      <c r="A1729" s="2" t="s">
        <v>3544</v>
      </c>
      <c r="B1729" s="2" t="s">
        <v>5</v>
      </c>
      <c r="C1729" s="2" t="s">
        <v>3545</v>
      </c>
      <c r="D1729" s="2" t="s">
        <v>3513</v>
      </c>
      <c r="E1729" s="2" t="str">
        <f>HYPERLINK("https://talan.bank.gov.ua/get-user-certificate/sec1eWYT7OedAgmXn07H","Завантажити сертифікат")</f>
        <v>Завантажити сертифікат</v>
      </c>
    </row>
    <row r="1730" spans="1:5" x14ac:dyDescent="0.3">
      <c r="A1730" s="2" t="s">
        <v>3546</v>
      </c>
      <c r="B1730" s="2" t="s">
        <v>5</v>
      </c>
      <c r="C1730" s="2" t="s">
        <v>3547</v>
      </c>
      <c r="D1730" s="2" t="s">
        <v>3513</v>
      </c>
      <c r="E1730" s="2" t="str">
        <f>HYPERLINK("https://talan.bank.gov.ua/get-user-certificate/sec1eQrVE3piBHXg2ArK","Завантажити сертифікат")</f>
        <v>Завантажити сертифікат</v>
      </c>
    </row>
    <row r="1731" spans="1:5" x14ac:dyDescent="0.3">
      <c r="A1731" s="2" t="s">
        <v>3548</v>
      </c>
      <c r="B1731" s="2" t="s">
        <v>5</v>
      </c>
      <c r="C1731" s="2" t="s">
        <v>3549</v>
      </c>
      <c r="D1731" s="2" t="s">
        <v>3513</v>
      </c>
      <c r="E1731" s="2" t="str">
        <f>HYPERLINK("https://talan.bank.gov.ua/get-user-certificate/sec1enwrGaQ1whcK1dzk","Завантажити сертифікат")</f>
        <v>Завантажити сертифікат</v>
      </c>
    </row>
    <row r="1732" spans="1:5" x14ac:dyDescent="0.3">
      <c r="A1732" s="2" t="s">
        <v>3550</v>
      </c>
      <c r="B1732" s="2" t="s">
        <v>5</v>
      </c>
      <c r="C1732" s="2" t="s">
        <v>3551</v>
      </c>
      <c r="D1732" s="2" t="s">
        <v>3513</v>
      </c>
      <c r="E1732" s="2" t="str">
        <f>HYPERLINK("https://talan.bank.gov.ua/get-user-certificate/sec1efmbhlhEeajjp0F9","Завантажити сертифікат")</f>
        <v>Завантажити сертифікат</v>
      </c>
    </row>
    <row r="1733" spans="1:5" x14ac:dyDescent="0.3">
      <c r="A1733" s="2" t="s">
        <v>3552</v>
      </c>
      <c r="B1733" s="2" t="s">
        <v>5</v>
      </c>
      <c r="C1733" s="2" t="s">
        <v>3553</v>
      </c>
      <c r="D1733" s="2" t="s">
        <v>3513</v>
      </c>
      <c r="E1733" s="2" t="str">
        <f>HYPERLINK("https://talan.bank.gov.ua/get-user-certificate/sec1epHAqejIayctHD1T","Завантажити сертифікат")</f>
        <v>Завантажити сертифікат</v>
      </c>
    </row>
    <row r="1734" spans="1:5" x14ac:dyDescent="0.3">
      <c r="A1734" s="2" t="s">
        <v>3554</v>
      </c>
      <c r="B1734" s="2" t="s">
        <v>5</v>
      </c>
      <c r="C1734" s="2" t="s">
        <v>3555</v>
      </c>
      <c r="D1734" s="2" t="s">
        <v>3513</v>
      </c>
      <c r="E1734" s="2" t="str">
        <f>HYPERLINK("https://talan.bank.gov.ua/get-user-certificate/sec1emEBp6QbJ72M2kC4","Завантажити сертифікат")</f>
        <v>Завантажити сертифікат</v>
      </c>
    </row>
    <row r="1735" spans="1:5" x14ac:dyDescent="0.3">
      <c r="A1735" s="2" t="s">
        <v>3556</v>
      </c>
      <c r="B1735" s="2" t="s">
        <v>5</v>
      </c>
      <c r="C1735" s="2" t="s">
        <v>3557</v>
      </c>
      <c r="D1735" s="2" t="s">
        <v>3513</v>
      </c>
      <c r="E1735" s="2" t="str">
        <f>HYPERLINK("https://talan.bank.gov.ua/get-user-certificate/sec1eZwyQIT05Kj4Z2f6","Завантажити сертифікат")</f>
        <v>Завантажити сертифікат</v>
      </c>
    </row>
    <row r="1736" spans="1:5" x14ac:dyDescent="0.3">
      <c r="A1736" s="2" t="s">
        <v>3558</v>
      </c>
      <c r="B1736" s="2" t="s">
        <v>5</v>
      </c>
      <c r="C1736" s="2" t="s">
        <v>3559</v>
      </c>
      <c r="D1736" s="2" t="s">
        <v>3513</v>
      </c>
      <c r="E1736" s="2" t="str">
        <f>HYPERLINK("https://talan.bank.gov.ua/get-user-certificate/sec1ejPa2lxJMr6BWCPG","Завантажити сертифікат")</f>
        <v>Завантажити сертифікат</v>
      </c>
    </row>
    <row r="1737" spans="1:5" x14ac:dyDescent="0.3">
      <c r="A1737" s="2" t="s">
        <v>3560</v>
      </c>
      <c r="B1737" s="2" t="s">
        <v>5</v>
      </c>
      <c r="C1737" s="2" t="s">
        <v>3561</v>
      </c>
      <c r="D1737" s="2" t="s">
        <v>3513</v>
      </c>
      <c r="E1737" s="2" t="str">
        <f>HYPERLINK("https://talan.bank.gov.ua/get-user-certificate/sec1ePA3mO8OEVMqgQiM","Завантажити сертифікат")</f>
        <v>Завантажити сертифікат</v>
      </c>
    </row>
    <row r="1738" spans="1:5" x14ac:dyDescent="0.3">
      <c r="A1738" s="2" t="s">
        <v>3562</v>
      </c>
      <c r="B1738" s="2" t="s">
        <v>5</v>
      </c>
      <c r="C1738" s="2" t="s">
        <v>3563</v>
      </c>
      <c r="D1738" s="2" t="s">
        <v>3513</v>
      </c>
      <c r="E1738" s="2" t="str">
        <f>HYPERLINK("https://talan.bank.gov.ua/get-user-certificate/sec1eT8Dx-N1SNx1OIQD","Завантажити сертифікат")</f>
        <v>Завантажити сертифікат</v>
      </c>
    </row>
    <row r="1739" spans="1:5" x14ac:dyDescent="0.3">
      <c r="A1739" s="2" t="s">
        <v>3564</v>
      </c>
      <c r="B1739" s="2" t="s">
        <v>5</v>
      </c>
      <c r="C1739" s="2" t="s">
        <v>3565</v>
      </c>
      <c r="D1739" s="2" t="s">
        <v>3513</v>
      </c>
      <c r="E1739" s="2" t="str">
        <f>HYPERLINK("https://talan.bank.gov.ua/get-user-certificate/sec1e_RZcB6tXKH6MMjz","Завантажити сертифікат")</f>
        <v>Завантажити сертифікат</v>
      </c>
    </row>
    <row r="1740" spans="1:5" x14ac:dyDescent="0.3">
      <c r="A1740" s="2" t="s">
        <v>3566</v>
      </c>
      <c r="B1740" s="2" t="s">
        <v>5</v>
      </c>
      <c r="C1740" s="2" t="s">
        <v>3567</v>
      </c>
      <c r="D1740" s="2" t="s">
        <v>3513</v>
      </c>
      <c r="E1740" s="2" t="str">
        <f>HYPERLINK("https://talan.bank.gov.ua/get-user-certificate/sec1epbahq48WyoZRy9R","Завантажити сертифікат")</f>
        <v>Завантажити сертифікат</v>
      </c>
    </row>
    <row r="1741" spans="1:5" x14ac:dyDescent="0.3">
      <c r="A1741" s="2" t="s">
        <v>3568</v>
      </c>
      <c r="B1741" s="2" t="s">
        <v>5</v>
      </c>
      <c r="C1741" s="2" t="s">
        <v>3569</v>
      </c>
      <c r="D1741" s="2" t="s">
        <v>3513</v>
      </c>
      <c r="E1741" s="2" t="str">
        <f>HYPERLINK("https://talan.bank.gov.ua/get-user-certificate/sec1e2qNysK0rJE6JcUi","Завантажити сертифікат")</f>
        <v>Завантажити сертифікат</v>
      </c>
    </row>
    <row r="1742" spans="1:5" x14ac:dyDescent="0.3">
      <c r="A1742" s="2" t="s">
        <v>3570</v>
      </c>
      <c r="B1742" s="2" t="s">
        <v>5</v>
      </c>
      <c r="C1742" s="2" t="s">
        <v>3571</v>
      </c>
      <c r="D1742" s="2" t="s">
        <v>3513</v>
      </c>
      <c r="E1742" s="2" t="str">
        <f>HYPERLINK("https://talan.bank.gov.ua/get-user-certificate/sec1eP8mn6MTAzeLXbLp","Завантажити сертифікат")</f>
        <v>Завантажити сертифікат</v>
      </c>
    </row>
    <row r="1743" spans="1:5" x14ac:dyDescent="0.3">
      <c r="A1743" s="2" t="s">
        <v>3572</v>
      </c>
      <c r="B1743" s="2" t="s">
        <v>5</v>
      </c>
      <c r="C1743" s="2" t="s">
        <v>3573</v>
      </c>
      <c r="D1743" s="2" t="s">
        <v>3513</v>
      </c>
      <c r="E1743" s="2" t="str">
        <f>HYPERLINK("https://talan.bank.gov.ua/get-user-certificate/sec1eKxEdDMxTXvF1Mkr","Завантажити сертифікат")</f>
        <v>Завантажити сертифікат</v>
      </c>
    </row>
    <row r="1744" spans="1:5" x14ac:dyDescent="0.3">
      <c r="A1744" s="2" t="s">
        <v>3574</v>
      </c>
      <c r="B1744" s="2" t="s">
        <v>5</v>
      </c>
      <c r="C1744" s="2" t="s">
        <v>3575</v>
      </c>
      <c r="D1744" s="2" t="s">
        <v>3513</v>
      </c>
      <c r="E1744" s="2" t="str">
        <f>HYPERLINK("https://talan.bank.gov.ua/get-user-certificate/sec1ejS3MecPoA5rFOP9","Завантажити сертифікат")</f>
        <v>Завантажити сертифікат</v>
      </c>
    </row>
    <row r="1745" spans="1:5" x14ac:dyDescent="0.3">
      <c r="A1745" s="2" t="s">
        <v>3576</v>
      </c>
      <c r="B1745" s="2" t="s">
        <v>5</v>
      </c>
      <c r="C1745" s="2" t="s">
        <v>3577</v>
      </c>
      <c r="D1745" s="2" t="s">
        <v>3513</v>
      </c>
      <c r="E1745" s="2" t="str">
        <f>HYPERLINK("https://talan.bank.gov.ua/get-user-certificate/sec1eiX-YlfQT28OEAdB","Завантажити сертифікат")</f>
        <v>Завантажити сертифікат</v>
      </c>
    </row>
    <row r="1746" spans="1:5" x14ac:dyDescent="0.3">
      <c r="A1746" s="2" t="s">
        <v>3578</v>
      </c>
      <c r="B1746" s="2" t="s">
        <v>5</v>
      </c>
      <c r="C1746" s="2" t="s">
        <v>3579</v>
      </c>
      <c r="D1746" s="2" t="s">
        <v>3513</v>
      </c>
      <c r="E1746" s="2" t="str">
        <f>HYPERLINK("https://talan.bank.gov.ua/get-user-certificate/sec1eqidfGgKeLsnU2mr","Завантажити сертифікат")</f>
        <v>Завантажити сертифікат</v>
      </c>
    </row>
    <row r="1747" spans="1:5" x14ac:dyDescent="0.3">
      <c r="A1747" s="2" t="s">
        <v>3580</v>
      </c>
      <c r="B1747" s="2" t="s">
        <v>5</v>
      </c>
      <c r="C1747" s="2" t="s">
        <v>3581</v>
      </c>
      <c r="D1747" s="2" t="s">
        <v>3513</v>
      </c>
      <c r="E1747" s="2" t="str">
        <f>HYPERLINK("https://talan.bank.gov.ua/get-user-certificate/sec1eh8lq3_gwQUdsqv1","Завантажити сертифікат")</f>
        <v>Завантажити сертифікат</v>
      </c>
    </row>
    <row r="1748" spans="1:5" x14ac:dyDescent="0.3">
      <c r="A1748" s="2" t="s">
        <v>3582</v>
      </c>
      <c r="B1748" s="2" t="s">
        <v>5</v>
      </c>
      <c r="C1748" s="2" t="s">
        <v>3583</v>
      </c>
      <c r="D1748" s="2" t="s">
        <v>3513</v>
      </c>
      <c r="E1748" s="2" t="str">
        <f>HYPERLINK("https://talan.bank.gov.ua/get-user-certificate/sec1eY8msEC0RKTlzj3b","Завантажити сертифікат")</f>
        <v>Завантажити сертифікат</v>
      </c>
    </row>
    <row r="1749" spans="1:5" x14ac:dyDescent="0.3">
      <c r="A1749" s="2" t="s">
        <v>3584</v>
      </c>
      <c r="B1749" s="2" t="s">
        <v>5</v>
      </c>
      <c r="C1749" s="2" t="s">
        <v>3585</v>
      </c>
      <c r="D1749" s="2" t="s">
        <v>3513</v>
      </c>
      <c r="E1749" s="2" t="str">
        <f>HYPERLINK("https://talan.bank.gov.ua/get-user-certificate/sec1eExZl81E8n5h7kg1","Завантажити сертифікат")</f>
        <v>Завантажити сертифікат</v>
      </c>
    </row>
    <row r="1750" spans="1:5" x14ac:dyDescent="0.3">
      <c r="A1750" s="2" t="s">
        <v>3586</v>
      </c>
      <c r="B1750" s="2" t="s">
        <v>5</v>
      </c>
      <c r="C1750" s="2" t="s">
        <v>3587</v>
      </c>
      <c r="D1750" s="2" t="s">
        <v>3513</v>
      </c>
      <c r="E1750" s="2" t="str">
        <f>HYPERLINK("https://talan.bank.gov.ua/get-user-certificate/sec1e4g0noqJ9nmCXHpF","Завантажити сертифікат")</f>
        <v>Завантажити сертифікат</v>
      </c>
    </row>
    <row r="1751" spans="1:5" x14ac:dyDescent="0.3">
      <c r="A1751" s="2" t="s">
        <v>3588</v>
      </c>
      <c r="B1751" s="2" t="s">
        <v>5</v>
      </c>
      <c r="C1751" s="2" t="s">
        <v>3589</v>
      </c>
      <c r="D1751" s="2" t="s">
        <v>3513</v>
      </c>
      <c r="E1751" s="2" t="str">
        <f>HYPERLINK("https://talan.bank.gov.ua/get-user-certificate/sec1eRuPbqT86Xdc0IVT","Завантажити сертифікат")</f>
        <v>Завантажити сертифікат</v>
      </c>
    </row>
    <row r="1752" spans="1:5" x14ac:dyDescent="0.3">
      <c r="A1752" s="2" t="s">
        <v>3590</v>
      </c>
      <c r="B1752" s="2" t="s">
        <v>5</v>
      </c>
      <c r="C1752" s="2" t="s">
        <v>3591</v>
      </c>
      <c r="D1752" s="2" t="s">
        <v>3513</v>
      </c>
      <c r="E1752" s="2" t="str">
        <f>HYPERLINK("https://talan.bank.gov.ua/get-user-certificate/sec1e0Bvs-23gbJkgHfU","Завантажити сертифікат")</f>
        <v>Завантажити сертифікат</v>
      </c>
    </row>
    <row r="1753" spans="1:5" x14ac:dyDescent="0.3">
      <c r="A1753" s="2" t="s">
        <v>3592</v>
      </c>
      <c r="B1753" s="2" t="s">
        <v>5</v>
      </c>
      <c r="C1753" s="2" t="s">
        <v>3593</v>
      </c>
      <c r="D1753" s="2" t="s">
        <v>3513</v>
      </c>
      <c r="E1753" s="2" t="str">
        <f>HYPERLINK("https://talan.bank.gov.ua/get-user-certificate/sec1esrezkgVKUYJTnFo","Завантажити сертифікат")</f>
        <v>Завантажити сертифікат</v>
      </c>
    </row>
    <row r="1754" spans="1:5" x14ac:dyDescent="0.3">
      <c r="A1754" s="2" t="s">
        <v>3594</v>
      </c>
      <c r="B1754" s="2" t="s">
        <v>5</v>
      </c>
      <c r="C1754" s="2" t="s">
        <v>3595</v>
      </c>
      <c r="D1754" s="2" t="s">
        <v>3513</v>
      </c>
      <c r="E1754" s="2" t="str">
        <f>HYPERLINK("https://talan.bank.gov.ua/get-user-certificate/sec1e6VUto7L55hRXkLl","Завантажити сертифікат")</f>
        <v>Завантажити сертифікат</v>
      </c>
    </row>
    <row r="1755" spans="1:5" x14ac:dyDescent="0.3">
      <c r="A1755" s="2" t="s">
        <v>3596</v>
      </c>
      <c r="B1755" s="2" t="s">
        <v>5</v>
      </c>
      <c r="C1755" s="2" t="s">
        <v>3597</v>
      </c>
      <c r="D1755" s="2" t="s">
        <v>3513</v>
      </c>
      <c r="E1755" s="2" t="str">
        <f>HYPERLINK("https://talan.bank.gov.ua/get-user-certificate/sec1ejBleHG2wHcEJ5Pc","Завантажити сертифікат")</f>
        <v>Завантажити сертифікат</v>
      </c>
    </row>
    <row r="1756" spans="1:5" x14ac:dyDescent="0.3">
      <c r="A1756" s="2" t="s">
        <v>3598</v>
      </c>
      <c r="B1756" s="2" t="s">
        <v>5</v>
      </c>
      <c r="C1756" s="2" t="s">
        <v>3599</v>
      </c>
      <c r="D1756" s="2" t="s">
        <v>3513</v>
      </c>
      <c r="E1756" s="2" t="str">
        <f>HYPERLINK("https://talan.bank.gov.ua/get-user-certificate/sec1eD6BMCSA1NXQ6rnW","Завантажити сертифікат")</f>
        <v>Завантажити сертифікат</v>
      </c>
    </row>
    <row r="1757" spans="1:5" x14ac:dyDescent="0.3">
      <c r="A1757" s="2" t="s">
        <v>3600</v>
      </c>
      <c r="B1757" s="2" t="s">
        <v>5</v>
      </c>
      <c r="C1757" s="2" t="s">
        <v>3601</v>
      </c>
      <c r="D1757" s="2" t="s">
        <v>3513</v>
      </c>
      <c r="E1757" s="2" t="str">
        <f>HYPERLINK("https://talan.bank.gov.ua/get-user-certificate/sec1eSGiqAZErYlJPS-k","Завантажити сертифікат")</f>
        <v>Завантажити сертифікат</v>
      </c>
    </row>
    <row r="1758" spans="1:5" x14ac:dyDescent="0.3">
      <c r="A1758" s="2" t="s">
        <v>3602</v>
      </c>
      <c r="B1758" s="2" t="s">
        <v>5</v>
      </c>
      <c r="C1758" s="2" t="s">
        <v>3603</v>
      </c>
      <c r="D1758" s="2" t="s">
        <v>3513</v>
      </c>
      <c r="E1758" s="2" t="str">
        <f>HYPERLINK("https://talan.bank.gov.ua/get-user-certificate/sec1eAVwVWyjlnZH8cyR","Завантажити сертифікат")</f>
        <v>Завантажити сертифікат</v>
      </c>
    </row>
    <row r="1759" spans="1:5" x14ac:dyDescent="0.3">
      <c r="A1759" s="2" t="s">
        <v>3604</v>
      </c>
      <c r="B1759" s="2" t="s">
        <v>5</v>
      </c>
      <c r="C1759" s="2" t="s">
        <v>3605</v>
      </c>
      <c r="D1759" s="2" t="s">
        <v>3513</v>
      </c>
      <c r="E1759" s="2" t="str">
        <f>HYPERLINK("https://talan.bank.gov.ua/get-user-certificate/sec1eNZw3mSAqzoAbDnb","Завантажити сертифікат")</f>
        <v>Завантажити сертифікат</v>
      </c>
    </row>
    <row r="1760" spans="1:5" x14ac:dyDescent="0.3">
      <c r="A1760" s="2" t="s">
        <v>3606</v>
      </c>
      <c r="B1760" s="2" t="s">
        <v>5</v>
      </c>
      <c r="C1760" s="2" t="s">
        <v>3607</v>
      </c>
      <c r="D1760" s="2" t="s">
        <v>3513</v>
      </c>
      <c r="E1760" s="2" t="str">
        <f>HYPERLINK("https://talan.bank.gov.ua/get-user-certificate/sec1e_vrZmPlu80Ao-Cy","Завантажити сертифікат")</f>
        <v>Завантажити сертифікат</v>
      </c>
    </row>
    <row r="1761" spans="1:5" x14ac:dyDescent="0.3">
      <c r="A1761" s="2" t="s">
        <v>3608</v>
      </c>
      <c r="B1761" s="2" t="s">
        <v>5</v>
      </c>
      <c r="C1761" s="2" t="s">
        <v>3609</v>
      </c>
      <c r="D1761" s="2" t="s">
        <v>3513</v>
      </c>
      <c r="E1761" s="2" t="str">
        <f>HYPERLINK("https://talan.bank.gov.ua/get-user-certificate/sec1e_67PpwT3GL0DFoC","Завантажити сертифікат")</f>
        <v>Завантажити сертифікат</v>
      </c>
    </row>
    <row r="1762" spans="1:5" x14ac:dyDescent="0.3">
      <c r="A1762" s="2" t="s">
        <v>3610</v>
      </c>
      <c r="B1762" s="2" t="s">
        <v>5</v>
      </c>
      <c r="C1762" s="2" t="s">
        <v>3611</v>
      </c>
      <c r="D1762" s="2" t="s">
        <v>3513</v>
      </c>
      <c r="E1762" s="2" t="str">
        <f>HYPERLINK("https://talan.bank.gov.ua/get-user-certificate/sec1e9r3t6RsL9gYAfuv","Завантажити сертифікат")</f>
        <v>Завантажити сертифікат</v>
      </c>
    </row>
    <row r="1763" spans="1:5" x14ac:dyDescent="0.3">
      <c r="A1763" s="2" t="s">
        <v>3612</v>
      </c>
      <c r="B1763" s="2" t="s">
        <v>5</v>
      </c>
      <c r="C1763" s="2" t="s">
        <v>3613</v>
      </c>
      <c r="D1763" s="2" t="s">
        <v>3513</v>
      </c>
      <c r="E1763" s="2" t="str">
        <f>HYPERLINK("https://talan.bank.gov.ua/get-user-certificate/sec1e3Xw11HQzY6ZVLbE","Завантажити сертифікат")</f>
        <v>Завантажити сертифікат</v>
      </c>
    </row>
    <row r="1764" spans="1:5" x14ac:dyDescent="0.3">
      <c r="A1764" s="2" t="s">
        <v>3614</v>
      </c>
      <c r="B1764" s="2" t="s">
        <v>5</v>
      </c>
      <c r="C1764" s="2" t="s">
        <v>3615</v>
      </c>
      <c r="D1764" s="2" t="s">
        <v>3513</v>
      </c>
      <c r="E1764" s="2" t="str">
        <f>HYPERLINK("https://talan.bank.gov.ua/get-user-certificate/sec1eBnJSgp_zgJIvIC4","Завантажити сертифікат")</f>
        <v>Завантажити сертифікат</v>
      </c>
    </row>
    <row r="1765" spans="1:5" x14ac:dyDescent="0.3">
      <c r="A1765" s="2" t="s">
        <v>3616</v>
      </c>
      <c r="B1765" s="2" t="s">
        <v>5</v>
      </c>
      <c r="C1765" s="2" t="s">
        <v>3617</v>
      </c>
      <c r="D1765" s="2" t="s">
        <v>3513</v>
      </c>
      <c r="E1765" s="2" t="str">
        <f>HYPERLINK("https://talan.bank.gov.ua/get-user-certificate/sec1eB-N00d8IokSuRY0","Завантажити сертифікат")</f>
        <v>Завантажити сертифікат</v>
      </c>
    </row>
    <row r="1766" spans="1:5" x14ac:dyDescent="0.3">
      <c r="A1766" s="2" t="s">
        <v>3618</v>
      </c>
      <c r="B1766" s="2" t="s">
        <v>5</v>
      </c>
      <c r="C1766" s="2" t="s">
        <v>3619</v>
      </c>
      <c r="D1766" s="2" t="s">
        <v>3513</v>
      </c>
      <c r="E1766" s="2" t="str">
        <f>HYPERLINK("https://talan.bank.gov.ua/get-user-certificate/sec1eajjCssPcc9vML6F","Завантажити сертифікат")</f>
        <v>Завантажити сертифікат</v>
      </c>
    </row>
    <row r="1767" spans="1:5" x14ac:dyDescent="0.3">
      <c r="A1767" s="2" t="s">
        <v>3620</v>
      </c>
      <c r="B1767" s="2" t="s">
        <v>5</v>
      </c>
      <c r="C1767" s="2" t="s">
        <v>3621</v>
      </c>
      <c r="D1767" s="2" t="s">
        <v>3513</v>
      </c>
      <c r="E1767" s="2" t="str">
        <f>HYPERLINK("https://talan.bank.gov.ua/get-user-certificate/sec1eooOhTRmEEmQEWBf","Завантажити сертифікат")</f>
        <v>Завантажити сертифікат</v>
      </c>
    </row>
    <row r="1768" spans="1:5" x14ac:dyDescent="0.3">
      <c r="A1768" s="2" t="s">
        <v>3622</v>
      </c>
      <c r="B1768" s="2" t="s">
        <v>5</v>
      </c>
      <c r="C1768" s="2" t="s">
        <v>3623</v>
      </c>
      <c r="D1768" s="2" t="s">
        <v>3513</v>
      </c>
      <c r="E1768" s="2" t="str">
        <f>HYPERLINK("https://talan.bank.gov.ua/get-user-certificate/sec1ekypPlROLuH7i1pP","Завантажити сертифікат")</f>
        <v>Завантажити сертифікат</v>
      </c>
    </row>
    <row r="1769" spans="1:5" x14ac:dyDescent="0.3">
      <c r="A1769" s="2" t="s">
        <v>3624</v>
      </c>
      <c r="B1769" s="2" t="s">
        <v>5</v>
      </c>
      <c r="C1769" s="2" t="s">
        <v>3625</v>
      </c>
      <c r="D1769" s="2" t="s">
        <v>3513</v>
      </c>
      <c r="E1769" s="2" t="str">
        <f>HYPERLINK("https://talan.bank.gov.ua/get-user-certificate/sec1ezMQQwaEQkX2S0S-","Завантажити сертифікат")</f>
        <v>Завантажити сертифікат</v>
      </c>
    </row>
    <row r="1770" spans="1:5" x14ac:dyDescent="0.3">
      <c r="A1770" s="2" t="s">
        <v>3626</v>
      </c>
      <c r="B1770" s="2" t="s">
        <v>5</v>
      </c>
      <c r="C1770" s="2" t="s">
        <v>3627</v>
      </c>
      <c r="D1770" s="2" t="s">
        <v>3513</v>
      </c>
      <c r="E1770" s="2" t="str">
        <f>HYPERLINK("https://talan.bank.gov.ua/get-user-certificate/sec1e7uylJH5UJ0q-GNz","Завантажити сертифікат")</f>
        <v>Завантажити сертифікат</v>
      </c>
    </row>
    <row r="1771" spans="1:5" x14ac:dyDescent="0.3">
      <c r="A1771" s="2" t="s">
        <v>3628</v>
      </c>
      <c r="B1771" s="2" t="s">
        <v>5</v>
      </c>
      <c r="C1771" s="2" t="s">
        <v>3629</v>
      </c>
      <c r="D1771" s="2" t="s">
        <v>3513</v>
      </c>
      <c r="E1771" s="2" t="str">
        <f>HYPERLINK("https://talan.bank.gov.ua/get-user-certificate/sec1e2QEylt9FxXWM7zC","Завантажити сертифікат")</f>
        <v>Завантажити сертифікат</v>
      </c>
    </row>
    <row r="1772" spans="1:5" x14ac:dyDescent="0.3">
      <c r="A1772" s="2" t="s">
        <v>3630</v>
      </c>
      <c r="B1772" s="2" t="s">
        <v>5</v>
      </c>
      <c r="C1772" s="2" t="s">
        <v>3631</v>
      </c>
      <c r="D1772" s="2" t="s">
        <v>3513</v>
      </c>
      <c r="E1772" s="2" t="str">
        <f>HYPERLINK("https://talan.bank.gov.ua/get-user-certificate/sec1eSkoUXiMM5AMQzQh","Завантажити сертифікат")</f>
        <v>Завантажити сертифікат</v>
      </c>
    </row>
    <row r="1773" spans="1:5" x14ac:dyDescent="0.3">
      <c r="A1773" s="2" t="s">
        <v>3632</v>
      </c>
      <c r="B1773" s="2" t="s">
        <v>5</v>
      </c>
      <c r="C1773" s="2" t="s">
        <v>3633</v>
      </c>
      <c r="D1773" s="2" t="s">
        <v>3513</v>
      </c>
      <c r="E1773" s="2" t="str">
        <f>HYPERLINK("https://talan.bank.gov.ua/get-user-certificate/sec1eSHrJGtivYAaiVJ4","Завантажити сертифікат")</f>
        <v>Завантажити сертифікат</v>
      </c>
    </row>
    <row r="1774" spans="1:5" x14ac:dyDescent="0.3">
      <c r="A1774" s="2" t="s">
        <v>3634</v>
      </c>
      <c r="B1774" s="2" t="s">
        <v>5</v>
      </c>
      <c r="C1774" s="2" t="s">
        <v>3635</v>
      </c>
      <c r="D1774" s="2" t="s">
        <v>3636</v>
      </c>
      <c r="E1774" s="2" t="str">
        <f>HYPERLINK("https://talan.bank.gov.ua/get-user-certificate/sec1ePbHb3BZDIQKrKa1","Завантажити сертифікат")</f>
        <v>Завантажити сертифікат</v>
      </c>
    </row>
    <row r="1775" spans="1:5" x14ac:dyDescent="0.3">
      <c r="A1775" s="2" t="s">
        <v>3637</v>
      </c>
      <c r="B1775" s="2" t="s">
        <v>5</v>
      </c>
      <c r="C1775" s="2" t="s">
        <v>3638</v>
      </c>
      <c r="D1775" s="2" t="s">
        <v>3636</v>
      </c>
      <c r="E1775" s="2" t="str">
        <f>HYPERLINK("https://talan.bank.gov.ua/get-user-certificate/sec1ejKsrAM9P3-c6lMH","Завантажити сертифікат")</f>
        <v>Завантажити сертифікат</v>
      </c>
    </row>
    <row r="1776" spans="1:5" x14ac:dyDescent="0.3">
      <c r="A1776" s="2" t="s">
        <v>3639</v>
      </c>
      <c r="B1776" s="2" t="s">
        <v>5</v>
      </c>
      <c r="C1776" s="2" t="s">
        <v>3640</v>
      </c>
      <c r="D1776" s="2" t="s">
        <v>3636</v>
      </c>
      <c r="E1776" s="2" t="str">
        <f>HYPERLINK("https://talan.bank.gov.ua/get-user-certificate/sec1eelmQr_-80mbJ7tP","Завантажити сертифікат")</f>
        <v>Завантажити сертифікат</v>
      </c>
    </row>
    <row r="1777" spans="1:5" x14ac:dyDescent="0.3">
      <c r="A1777" s="2" t="s">
        <v>3641</v>
      </c>
      <c r="B1777" s="2" t="s">
        <v>5</v>
      </c>
      <c r="C1777" s="2" t="s">
        <v>3642</v>
      </c>
      <c r="D1777" s="2" t="s">
        <v>3636</v>
      </c>
      <c r="E1777" s="2" t="str">
        <f>HYPERLINK("https://talan.bank.gov.ua/get-user-certificate/sec1eJhccshmWXEN01OB","Завантажити сертифікат")</f>
        <v>Завантажити сертифікат</v>
      </c>
    </row>
    <row r="1778" spans="1:5" x14ac:dyDescent="0.3">
      <c r="A1778" s="2" t="s">
        <v>3643</v>
      </c>
      <c r="B1778" s="2" t="s">
        <v>5</v>
      </c>
      <c r="C1778" s="2" t="s">
        <v>3644</v>
      </c>
      <c r="D1778" s="2" t="s">
        <v>3636</v>
      </c>
      <c r="E1778" s="2" t="str">
        <f>HYPERLINK("https://talan.bank.gov.ua/get-user-certificate/sec1eB9KGuRu2XhkztcF","Завантажити сертифікат")</f>
        <v>Завантажити сертифікат</v>
      </c>
    </row>
    <row r="1779" spans="1:5" x14ac:dyDescent="0.3">
      <c r="A1779" s="2" t="s">
        <v>3645</v>
      </c>
      <c r="B1779" s="2" t="s">
        <v>5</v>
      </c>
      <c r="C1779" s="2" t="s">
        <v>3646</v>
      </c>
      <c r="D1779" s="2" t="s">
        <v>3636</v>
      </c>
      <c r="E1779" s="2" t="str">
        <f>HYPERLINK("https://talan.bank.gov.ua/get-user-certificate/sec1eGinTDW73QYsSkV_","Завантажити сертифікат")</f>
        <v>Завантажити сертифікат</v>
      </c>
    </row>
    <row r="1780" spans="1:5" x14ac:dyDescent="0.3">
      <c r="A1780" s="2" t="s">
        <v>3647</v>
      </c>
      <c r="B1780" s="2" t="s">
        <v>5</v>
      </c>
      <c r="C1780" s="2" t="s">
        <v>3648</v>
      </c>
      <c r="D1780" s="2" t="s">
        <v>3636</v>
      </c>
      <c r="E1780" s="2" t="str">
        <f>HYPERLINK("https://talan.bank.gov.ua/get-user-certificate/sec1eKrdGbq2MnVii1Ei","Завантажити сертифікат")</f>
        <v>Завантажити сертифікат</v>
      </c>
    </row>
    <row r="1781" spans="1:5" x14ac:dyDescent="0.3">
      <c r="A1781" s="2" t="s">
        <v>3649</v>
      </c>
      <c r="B1781" s="2" t="s">
        <v>5</v>
      </c>
      <c r="C1781" s="2" t="s">
        <v>3650</v>
      </c>
      <c r="D1781" s="2" t="s">
        <v>3636</v>
      </c>
      <c r="E1781" s="2" t="str">
        <f>HYPERLINK("https://talan.bank.gov.ua/get-user-certificate/sec1eDU5PCp9sSzh_2By","Завантажити сертифікат")</f>
        <v>Завантажити сертифікат</v>
      </c>
    </row>
    <row r="1782" spans="1:5" x14ac:dyDescent="0.3">
      <c r="A1782" s="2" t="s">
        <v>3651</v>
      </c>
      <c r="B1782" s="2" t="s">
        <v>5</v>
      </c>
      <c r="C1782" s="2" t="s">
        <v>3652</v>
      </c>
      <c r="D1782" s="2" t="s">
        <v>3636</v>
      </c>
      <c r="E1782" s="2" t="str">
        <f>HYPERLINK("https://talan.bank.gov.ua/get-user-certificate/sec1e-4V7WGnDn8Oo4Xt","Завантажити сертифікат")</f>
        <v>Завантажити сертифікат</v>
      </c>
    </row>
    <row r="1783" spans="1:5" x14ac:dyDescent="0.3">
      <c r="A1783" s="2" t="s">
        <v>3653</v>
      </c>
      <c r="B1783" s="2" t="s">
        <v>5</v>
      </c>
      <c r="C1783" s="2" t="s">
        <v>3654</v>
      </c>
      <c r="D1783" s="2" t="s">
        <v>3636</v>
      </c>
      <c r="E1783" s="2" t="str">
        <f>HYPERLINK("https://talan.bank.gov.ua/get-user-certificate/sec1eZFa78oqZYz2VxPy","Завантажити сертифікат")</f>
        <v>Завантажити сертифікат</v>
      </c>
    </row>
    <row r="1784" spans="1:5" x14ac:dyDescent="0.3">
      <c r="A1784" s="2" t="s">
        <v>3655</v>
      </c>
      <c r="B1784" s="2" t="s">
        <v>5</v>
      </c>
      <c r="C1784" s="2" t="s">
        <v>3656</v>
      </c>
      <c r="D1784" s="2" t="s">
        <v>3636</v>
      </c>
      <c r="E1784" s="2" t="str">
        <f>HYPERLINK("https://talan.bank.gov.ua/get-user-certificate/sec1ev2V3XQ5AVuYcrWN","Завантажити сертифікат")</f>
        <v>Завантажити сертифікат</v>
      </c>
    </row>
    <row r="1785" spans="1:5" x14ac:dyDescent="0.3">
      <c r="A1785" s="2" t="s">
        <v>3657</v>
      </c>
      <c r="B1785" s="2" t="s">
        <v>5</v>
      </c>
      <c r="C1785" s="2" t="s">
        <v>3658</v>
      </c>
      <c r="D1785" s="2" t="s">
        <v>3636</v>
      </c>
      <c r="E1785" s="2" t="str">
        <f>HYPERLINK("https://talan.bank.gov.ua/get-user-certificate/sec1ex7wczY53jtNsyoy","Завантажити сертифікат")</f>
        <v>Завантажити сертифікат</v>
      </c>
    </row>
    <row r="1786" spans="1:5" x14ac:dyDescent="0.3">
      <c r="A1786" s="2" t="s">
        <v>3659</v>
      </c>
      <c r="B1786" s="2" t="s">
        <v>5</v>
      </c>
      <c r="C1786" s="2" t="s">
        <v>3660</v>
      </c>
      <c r="D1786" s="2" t="s">
        <v>3636</v>
      </c>
      <c r="E1786" s="2" t="str">
        <f>HYPERLINK("https://talan.bank.gov.ua/get-user-certificate/sec1eFeT80-GXhI_L2Rw","Завантажити сертифікат")</f>
        <v>Завантажити сертифікат</v>
      </c>
    </row>
    <row r="1787" spans="1:5" x14ac:dyDescent="0.3">
      <c r="A1787" s="2" t="s">
        <v>3661</v>
      </c>
      <c r="B1787" s="2" t="s">
        <v>5</v>
      </c>
      <c r="C1787" s="2" t="s">
        <v>1172</v>
      </c>
      <c r="D1787" s="2" t="s">
        <v>3636</v>
      </c>
      <c r="E1787" s="2" t="str">
        <f>HYPERLINK("https://talan.bank.gov.ua/get-user-certificate/sec1eQfId_CNwBpxn6Me","Завантажити сертифікат")</f>
        <v>Завантажити сертифікат</v>
      </c>
    </row>
    <row r="1788" spans="1:5" x14ac:dyDescent="0.3">
      <c r="A1788" s="2" t="s">
        <v>3662</v>
      </c>
      <c r="B1788" s="2" t="s">
        <v>5</v>
      </c>
      <c r="C1788" s="2" t="s">
        <v>3663</v>
      </c>
      <c r="D1788" s="2" t="s">
        <v>3636</v>
      </c>
      <c r="E1788" s="2" t="str">
        <f>HYPERLINK("https://talan.bank.gov.ua/get-user-certificate/sec1e99iKPu7YkoRayJh","Завантажити сертифікат")</f>
        <v>Завантажити сертифікат</v>
      </c>
    </row>
    <row r="1789" spans="1:5" x14ac:dyDescent="0.3">
      <c r="A1789" s="2" t="s">
        <v>3664</v>
      </c>
      <c r="B1789" s="2" t="s">
        <v>5</v>
      </c>
      <c r="C1789" s="2" t="s">
        <v>3665</v>
      </c>
      <c r="D1789" s="2" t="s">
        <v>3636</v>
      </c>
      <c r="E1789" s="2" t="str">
        <f>HYPERLINK("https://talan.bank.gov.ua/get-user-certificate/sec1ejhDjQ112o5nUJMz","Завантажити сертифікат")</f>
        <v>Завантажити сертифікат</v>
      </c>
    </row>
    <row r="1790" spans="1:5" x14ac:dyDescent="0.3">
      <c r="A1790" s="2" t="s">
        <v>3666</v>
      </c>
      <c r="B1790" s="2" t="s">
        <v>5</v>
      </c>
      <c r="C1790" s="2" t="s">
        <v>3667</v>
      </c>
      <c r="D1790" s="2" t="s">
        <v>3636</v>
      </c>
      <c r="E1790" s="2" t="str">
        <f>HYPERLINK("https://talan.bank.gov.ua/get-user-certificate/sec1e-tNOnNZDQCs7y-N","Завантажити сертифікат")</f>
        <v>Завантажити сертифікат</v>
      </c>
    </row>
    <row r="1791" spans="1:5" x14ac:dyDescent="0.3">
      <c r="A1791" s="2" t="s">
        <v>3668</v>
      </c>
      <c r="B1791" s="2" t="s">
        <v>5</v>
      </c>
      <c r="C1791" s="2" t="s">
        <v>3669</v>
      </c>
      <c r="D1791" s="2" t="s">
        <v>3636</v>
      </c>
      <c r="E1791" s="2" t="str">
        <f>HYPERLINK("https://talan.bank.gov.ua/get-user-certificate/sec1eJFuQJ5mbji0msCz","Завантажити сертифікат")</f>
        <v>Завантажити сертифікат</v>
      </c>
    </row>
    <row r="1792" spans="1:5" x14ac:dyDescent="0.3">
      <c r="A1792" s="2" t="s">
        <v>3670</v>
      </c>
      <c r="B1792" s="2" t="s">
        <v>5</v>
      </c>
      <c r="C1792" s="2" t="s">
        <v>3671</v>
      </c>
      <c r="D1792" s="2" t="s">
        <v>3636</v>
      </c>
      <c r="E1792" s="2" t="str">
        <f>HYPERLINK("https://talan.bank.gov.ua/get-user-certificate/sec1eeVB7VzKzi_1F0SE","Завантажити сертифікат")</f>
        <v>Завантажити сертифікат</v>
      </c>
    </row>
    <row r="1793" spans="1:5" x14ac:dyDescent="0.3">
      <c r="A1793" s="2" t="s">
        <v>3672</v>
      </c>
      <c r="B1793" s="2" t="s">
        <v>5</v>
      </c>
      <c r="C1793" s="2" t="s">
        <v>3673</v>
      </c>
      <c r="D1793" s="2" t="s">
        <v>3636</v>
      </c>
      <c r="E1793" s="2" t="str">
        <f>HYPERLINK("https://talan.bank.gov.ua/get-user-certificate/sec1euSCSHaeGIIG13Ex","Завантажити сертифікат")</f>
        <v>Завантажити сертифікат</v>
      </c>
    </row>
    <row r="1794" spans="1:5" x14ac:dyDescent="0.3">
      <c r="A1794" s="2" t="s">
        <v>3674</v>
      </c>
      <c r="B1794" s="2" t="s">
        <v>5</v>
      </c>
      <c r="C1794" s="2" t="s">
        <v>3675</v>
      </c>
      <c r="D1794" s="2" t="s">
        <v>3636</v>
      </c>
      <c r="E1794" s="2" t="str">
        <f>HYPERLINK("https://talan.bank.gov.ua/get-user-certificate/sec1ehxhBhr-tgTzT2aG","Завантажити сертифікат")</f>
        <v>Завантажити сертифікат</v>
      </c>
    </row>
    <row r="1795" spans="1:5" x14ac:dyDescent="0.3">
      <c r="A1795" s="2" t="s">
        <v>3676</v>
      </c>
      <c r="B1795" s="2" t="s">
        <v>5</v>
      </c>
      <c r="C1795" s="2" t="s">
        <v>3677</v>
      </c>
      <c r="D1795" s="2" t="s">
        <v>3636</v>
      </c>
      <c r="E1795" s="2" t="str">
        <f>HYPERLINK("https://talan.bank.gov.ua/get-user-certificate/sec1e4M0Pg7plfHawRq7","Завантажити сертифікат")</f>
        <v>Завантажити сертифікат</v>
      </c>
    </row>
    <row r="1796" spans="1:5" x14ac:dyDescent="0.3">
      <c r="A1796" s="2" t="s">
        <v>3678</v>
      </c>
      <c r="B1796" s="2" t="s">
        <v>5</v>
      </c>
      <c r="C1796" s="2" t="s">
        <v>3679</v>
      </c>
      <c r="D1796" s="2" t="s">
        <v>3636</v>
      </c>
      <c r="E1796" s="2" t="str">
        <f>HYPERLINK("https://talan.bank.gov.ua/get-user-certificate/sec1ekz2-I-BfcKrGcg8","Завантажити сертифікат")</f>
        <v>Завантажити сертифікат</v>
      </c>
    </row>
    <row r="1797" spans="1:5" x14ac:dyDescent="0.3">
      <c r="A1797" s="2" t="s">
        <v>3680</v>
      </c>
      <c r="B1797" s="2" t="s">
        <v>5</v>
      </c>
      <c r="C1797" s="2" t="s">
        <v>3681</v>
      </c>
      <c r="D1797" s="2" t="s">
        <v>3636</v>
      </c>
      <c r="E1797" s="2" t="str">
        <f>HYPERLINK("https://talan.bank.gov.ua/get-user-certificate/sec1e69AUbgeixY7x6Zm","Завантажити сертифікат")</f>
        <v>Завантажити сертифікат</v>
      </c>
    </row>
    <row r="1798" spans="1:5" x14ac:dyDescent="0.3">
      <c r="A1798" s="2" t="s">
        <v>3682</v>
      </c>
      <c r="B1798" s="2" t="s">
        <v>5</v>
      </c>
      <c r="C1798" s="2" t="s">
        <v>3683</v>
      </c>
      <c r="D1798" s="2" t="s">
        <v>3636</v>
      </c>
      <c r="E1798" s="2" t="str">
        <f>HYPERLINK("https://talan.bank.gov.ua/get-user-certificate/sec1eK6fLTeF2Lf0OUYA","Завантажити сертифікат")</f>
        <v>Завантажити сертифікат</v>
      </c>
    </row>
    <row r="1799" spans="1:5" x14ac:dyDescent="0.3">
      <c r="A1799" s="2" t="s">
        <v>3684</v>
      </c>
      <c r="B1799" s="2" t="s">
        <v>5</v>
      </c>
      <c r="C1799" s="2" t="s">
        <v>3685</v>
      </c>
      <c r="D1799" s="2" t="s">
        <v>3636</v>
      </c>
      <c r="E1799" s="2" t="str">
        <f>HYPERLINK("https://talan.bank.gov.ua/get-user-certificate/sec1eXUcwu8-tvXT5TvI","Завантажити сертифікат")</f>
        <v>Завантажити сертифікат</v>
      </c>
    </row>
    <row r="1800" spans="1:5" x14ac:dyDescent="0.3">
      <c r="A1800" s="2" t="s">
        <v>3686</v>
      </c>
      <c r="B1800" s="2" t="s">
        <v>5</v>
      </c>
      <c r="C1800" s="2" t="s">
        <v>3687</v>
      </c>
      <c r="D1800" s="2" t="s">
        <v>3636</v>
      </c>
      <c r="E1800" s="2" t="str">
        <f>HYPERLINK("https://talan.bank.gov.ua/get-user-certificate/sec1ekX5cGlityMlbbYF","Завантажити сертифікат")</f>
        <v>Завантажити сертифікат</v>
      </c>
    </row>
    <row r="1801" spans="1:5" x14ac:dyDescent="0.3">
      <c r="A1801" s="2" t="s">
        <v>3688</v>
      </c>
      <c r="B1801" s="2" t="s">
        <v>5</v>
      </c>
      <c r="C1801" s="2" t="s">
        <v>3689</v>
      </c>
      <c r="D1801" s="2" t="s">
        <v>3636</v>
      </c>
      <c r="E1801" s="2" t="str">
        <f>HYPERLINK("https://talan.bank.gov.ua/get-user-certificate/sec1e1w3tbTLyyAMO-9n","Завантажити сертифікат")</f>
        <v>Завантажити сертифікат</v>
      </c>
    </row>
    <row r="1802" spans="1:5" x14ac:dyDescent="0.3">
      <c r="A1802" s="2" t="s">
        <v>3690</v>
      </c>
      <c r="B1802" s="2" t="s">
        <v>5</v>
      </c>
      <c r="C1802" s="2" t="s">
        <v>3691</v>
      </c>
      <c r="D1802" s="2" t="s">
        <v>3636</v>
      </c>
      <c r="E1802" s="2" t="str">
        <f>HYPERLINK("https://talan.bank.gov.ua/get-user-certificate/sec1eH_7Bk3FYXyHVALH","Завантажити сертифікат")</f>
        <v>Завантажити сертифікат</v>
      </c>
    </row>
    <row r="1803" spans="1:5" x14ac:dyDescent="0.3">
      <c r="A1803" s="2" t="s">
        <v>3692</v>
      </c>
      <c r="B1803" s="2" t="s">
        <v>5</v>
      </c>
      <c r="C1803" s="2" t="s">
        <v>3693</v>
      </c>
      <c r="D1803" s="2" t="s">
        <v>3636</v>
      </c>
      <c r="E1803" s="2" t="str">
        <f>HYPERLINK("https://talan.bank.gov.ua/get-user-certificate/sec1ewTm7mZGizhaYCT4","Завантажити сертифікат")</f>
        <v>Завантажити сертифікат</v>
      </c>
    </row>
    <row r="1804" spans="1:5" x14ac:dyDescent="0.3">
      <c r="A1804" s="2" t="s">
        <v>3694</v>
      </c>
      <c r="B1804" s="2" t="s">
        <v>5</v>
      </c>
      <c r="C1804" s="2" t="s">
        <v>3695</v>
      </c>
      <c r="D1804" s="2" t="s">
        <v>3636</v>
      </c>
      <c r="E1804" s="2" t="str">
        <f>HYPERLINK("https://talan.bank.gov.ua/get-user-certificate/sec1erY9WU4Pu_kCXt5P","Завантажити сертифікат")</f>
        <v>Завантажити сертифікат</v>
      </c>
    </row>
    <row r="1805" spans="1:5" x14ac:dyDescent="0.3">
      <c r="A1805" s="2" t="s">
        <v>3696</v>
      </c>
      <c r="B1805" s="2" t="s">
        <v>5</v>
      </c>
      <c r="C1805" s="2" t="s">
        <v>3697</v>
      </c>
      <c r="D1805" s="2" t="s">
        <v>3636</v>
      </c>
      <c r="E1805" s="2" t="str">
        <f>HYPERLINK("https://talan.bank.gov.ua/get-user-certificate/sec1e9Mz7I7J9JyJ6jE9","Завантажити сертифікат")</f>
        <v>Завантажити сертифікат</v>
      </c>
    </row>
    <row r="1806" spans="1:5" x14ac:dyDescent="0.3">
      <c r="A1806" s="2" t="s">
        <v>3698</v>
      </c>
      <c r="B1806" s="2" t="s">
        <v>5</v>
      </c>
      <c r="C1806" s="2" t="s">
        <v>3699</v>
      </c>
      <c r="D1806" s="2" t="s">
        <v>3636</v>
      </c>
      <c r="E1806" s="2" t="str">
        <f>HYPERLINK("https://talan.bank.gov.ua/get-user-certificate/sec1e66GbJiElfYdOjq0","Завантажити сертифікат")</f>
        <v>Завантажити сертифікат</v>
      </c>
    </row>
    <row r="1807" spans="1:5" x14ac:dyDescent="0.3">
      <c r="A1807" s="2" t="s">
        <v>3700</v>
      </c>
      <c r="B1807" s="2" t="s">
        <v>5</v>
      </c>
      <c r="C1807" s="2" t="s">
        <v>3701</v>
      </c>
      <c r="D1807" s="2" t="s">
        <v>3636</v>
      </c>
      <c r="E1807" s="2" t="str">
        <f>HYPERLINK("https://talan.bank.gov.ua/get-user-certificate/sec1eugp5719cB9t1_Og","Завантажити сертифікат")</f>
        <v>Завантажити сертифікат</v>
      </c>
    </row>
    <row r="1808" spans="1:5" x14ac:dyDescent="0.3">
      <c r="A1808" s="2" t="s">
        <v>3702</v>
      </c>
      <c r="B1808" s="2" t="s">
        <v>5</v>
      </c>
      <c r="C1808" s="2" t="s">
        <v>3703</v>
      </c>
      <c r="D1808" s="2" t="s">
        <v>3704</v>
      </c>
      <c r="E1808" s="2" t="str">
        <f>HYPERLINK("https://talan.bank.gov.ua/get-user-certificate/sec1eoQQ13GrnTZ2STTP","Завантажити сертифікат")</f>
        <v>Завантажити сертифікат</v>
      </c>
    </row>
    <row r="1809" spans="1:5" x14ac:dyDescent="0.3">
      <c r="A1809" s="2" t="s">
        <v>3705</v>
      </c>
      <c r="B1809" s="2" t="s">
        <v>5</v>
      </c>
      <c r="C1809" s="2" t="s">
        <v>3706</v>
      </c>
      <c r="D1809" s="2" t="s">
        <v>3704</v>
      </c>
      <c r="E1809" s="2" t="str">
        <f>HYPERLINK("https://talan.bank.gov.ua/get-user-certificate/sec1eyj_YH6j44pld-my","Завантажити сертифікат")</f>
        <v>Завантажити сертифікат</v>
      </c>
    </row>
    <row r="1810" spans="1:5" x14ac:dyDescent="0.3">
      <c r="A1810" s="2" t="s">
        <v>3707</v>
      </c>
      <c r="B1810" s="2" t="s">
        <v>5</v>
      </c>
      <c r="C1810" s="2" t="s">
        <v>3708</v>
      </c>
      <c r="D1810" s="2" t="s">
        <v>3704</v>
      </c>
      <c r="E1810" s="2" t="str">
        <f>HYPERLINK("https://talan.bank.gov.ua/get-user-certificate/sec1ePM2edTMXjw1HppG","Завантажити сертифікат")</f>
        <v>Завантажити сертифікат</v>
      </c>
    </row>
    <row r="1811" spans="1:5" x14ac:dyDescent="0.3">
      <c r="A1811" s="2" t="s">
        <v>3709</v>
      </c>
      <c r="B1811" s="2" t="s">
        <v>5</v>
      </c>
      <c r="C1811" s="2" t="s">
        <v>3710</v>
      </c>
      <c r="D1811" s="2" t="s">
        <v>3704</v>
      </c>
      <c r="E1811" s="2" t="str">
        <f>HYPERLINK("https://talan.bank.gov.ua/get-user-certificate/sec1e08OfzjTMB4INAOM","Завантажити сертифікат")</f>
        <v>Завантажити сертифікат</v>
      </c>
    </row>
    <row r="1812" spans="1:5" x14ac:dyDescent="0.3">
      <c r="A1812" s="2" t="s">
        <v>3711</v>
      </c>
      <c r="B1812" s="2" t="s">
        <v>5</v>
      </c>
      <c r="C1812" s="2" t="s">
        <v>3712</v>
      </c>
      <c r="D1812" s="2" t="s">
        <v>3704</v>
      </c>
      <c r="E1812" s="2" t="str">
        <f>HYPERLINK("https://talan.bank.gov.ua/get-user-certificate/sec1efkAH4dMcXd84X2J","Завантажити сертифікат")</f>
        <v>Завантажити сертифікат</v>
      </c>
    </row>
    <row r="1813" spans="1:5" x14ac:dyDescent="0.3">
      <c r="A1813" s="2" t="s">
        <v>3713</v>
      </c>
      <c r="B1813" s="2" t="s">
        <v>5</v>
      </c>
      <c r="C1813" s="2" t="s">
        <v>3714</v>
      </c>
      <c r="D1813" s="2" t="s">
        <v>3704</v>
      </c>
      <c r="E1813" s="2" t="str">
        <f>HYPERLINK("https://talan.bank.gov.ua/get-user-certificate/sec1e2daieQ_OjrI_2_m","Завантажити сертифікат")</f>
        <v>Завантажити сертифікат</v>
      </c>
    </row>
    <row r="1814" spans="1:5" x14ac:dyDescent="0.3">
      <c r="A1814" s="2" t="s">
        <v>3715</v>
      </c>
      <c r="B1814" s="2" t="s">
        <v>5</v>
      </c>
      <c r="C1814" s="2" t="s">
        <v>3716</v>
      </c>
      <c r="D1814" s="2" t="s">
        <v>3704</v>
      </c>
      <c r="E1814" s="2" t="str">
        <f>HYPERLINK("https://talan.bank.gov.ua/get-user-certificate/sec1euvxfuYheGkUqxQ4","Завантажити сертифікат")</f>
        <v>Завантажити сертифікат</v>
      </c>
    </row>
    <row r="1815" spans="1:5" x14ac:dyDescent="0.3">
      <c r="A1815" s="2" t="s">
        <v>3717</v>
      </c>
      <c r="B1815" s="2" t="s">
        <v>5</v>
      </c>
      <c r="C1815" s="2" t="s">
        <v>3718</v>
      </c>
      <c r="D1815" s="2" t="s">
        <v>3704</v>
      </c>
      <c r="E1815" s="2" t="str">
        <f>HYPERLINK("https://talan.bank.gov.ua/get-user-certificate/sec1eDEL-MBH_nizDeFf","Завантажити сертифікат")</f>
        <v>Завантажити сертифікат</v>
      </c>
    </row>
    <row r="1816" spans="1:5" x14ac:dyDescent="0.3">
      <c r="A1816" s="2" t="s">
        <v>3719</v>
      </c>
      <c r="B1816" s="2" t="s">
        <v>5</v>
      </c>
      <c r="C1816" s="2" t="s">
        <v>3720</v>
      </c>
      <c r="D1816" s="2" t="s">
        <v>3704</v>
      </c>
      <c r="E1816" s="2" t="str">
        <f>HYPERLINK("https://talan.bank.gov.ua/get-user-certificate/sec1erowz5tK_G_4fVzn","Завантажити сертифікат")</f>
        <v>Завантажити сертифікат</v>
      </c>
    </row>
    <row r="1817" spans="1:5" x14ac:dyDescent="0.3">
      <c r="A1817" s="2" t="s">
        <v>3721</v>
      </c>
      <c r="B1817" s="2" t="s">
        <v>5</v>
      </c>
      <c r="C1817" s="2" t="s">
        <v>3722</v>
      </c>
      <c r="D1817" s="2" t="s">
        <v>3704</v>
      </c>
      <c r="E1817" s="2" t="str">
        <f>HYPERLINK("https://talan.bank.gov.ua/get-user-certificate/sec1eeE5uOrp_kxP_eKG","Завантажити сертифікат")</f>
        <v>Завантажити сертифікат</v>
      </c>
    </row>
    <row r="1818" spans="1:5" x14ac:dyDescent="0.3">
      <c r="A1818" s="2" t="s">
        <v>3723</v>
      </c>
      <c r="B1818" s="2" t="s">
        <v>5</v>
      </c>
      <c r="C1818" s="2" t="s">
        <v>3724</v>
      </c>
      <c r="D1818" s="2" t="s">
        <v>3704</v>
      </c>
      <c r="E1818" s="2" t="str">
        <f>HYPERLINK("https://talan.bank.gov.ua/get-user-certificate/sec1eruVxQkmj44NVJU-","Завантажити сертифікат")</f>
        <v>Завантажити сертифікат</v>
      </c>
    </row>
    <row r="1819" spans="1:5" x14ac:dyDescent="0.3">
      <c r="A1819" s="2" t="s">
        <v>3725</v>
      </c>
      <c r="B1819" s="2" t="s">
        <v>5</v>
      </c>
      <c r="C1819" s="2" t="s">
        <v>3726</v>
      </c>
      <c r="D1819" s="2" t="s">
        <v>3704</v>
      </c>
      <c r="E1819" s="2" t="str">
        <f>HYPERLINK("https://talan.bank.gov.ua/get-user-certificate/sec1e4S7peXZ2SyxpOb1","Завантажити сертифікат")</f>
        <v>Завантажити сертифікат</v>
      </c>
    </row>
    <row r="1820" spans="1:5" x14ac:dyDescent="0.3">
      <c r="A1820" s="2" t="s">
        <v>3727</v>
      </c>
      <c r="B1820" s="2" t="s">
        <v>5</v>
      </c>
      <c r="C1820" s="2" t="s">
        <v>3728</v>
      </c>
      <c r="D1820" s="2" t="s">
        <v>3704</v>
      </c>
      <c r="E1820" s="2" t="str">
        <f>HYPERLINK("https://talan.bank.gov.ua/get-user-certificate/sec1eUVAJADFtsMOGkAt","Завантажити сертифікат")</f>
        <v>Завантажити сертифікат</v>
      </c>
    </row>
    <row r="1821" spans="1:5" x14ac:dyDescent="0.3">
      <c r="A1821" s="2" t="s">
        <v>3729</v>
      </c>
      <c r="B1821" s="2" t="s">
        <v>5</v>
      </c>
      <c r="C1821" s="2" t="s">
        <v>3730</v>
      </c>
      <c r="D1821" s="2" t="s">
        <v>3731</v>
      </c>
      <c r="E1821" s="2" t="str">
        <f>HYPERLINK("https://talan.bank.gov.ua/get-user-certificate/sec1e5J7JPiIpJIUY2ID","Завантажити сертифікат")</f>
        <v>Завантажити сертифікат</v>
      </c>
    </row>
    <row r="1822" spans="1:5" x14ac:dyDescent="0.3">
      <c r="A1822" s="2" t="s">
        <v>3732</v>
      </c>
      <c r="B1822" s="2" t="s">
        <v>5</v>
      </c>
      <c r="C1822" s="2" t="s">
        <v>3733</v>
      </c>
      <c r="D1822" s="2" t="s">
        <v>3731</v>
      </c>
      <c r="E1822" s="2" t="str">
        <f>HYPERLINK("https://talan.bank.gov.ua/get-user-certificate/sec1esP7ZOEYpR2Oztvq","Завантажити сертифікат")</f>
        <v>Завантажити сертифікат</v>
      </c>
    </row>
    <row r="1823" spans="1:5" x14ac:dyDescent="0.3">
      <c r="A1823" s="2" t="s">
        <v>3734</v>
      </c>
      <c r="B1823" s="2" t="s">
        <v>5</v>
      </c>
      <c r="C1823" s="2" t="s">
        <v>3735</v>
      </c>
      <c r="D1823" s="2" t="s">
        <v>3731</v>
      </c>
      <c r="E1823" s="2" t="str">
        <f>HYPERLINK("https://talan.bank.gov.ua/get-user-certificate/sec1eIuVWywQK-_BCyL3","Завантажити сертифікат")</f>
        <v>Завантажити сертифікат</v>
      </c>
    </row>
    <row r="1824" spans="1:5" x14ac:dyDescent="0.3">
      <c r="A1824" s="2" t="s">
        <v>3736</v>
      </c>
      <c r="B1824" s="2" t="s">
        <v>5</v>
      </c>
      <c r="C1824" s="2" t="s">
        <v>3737</v>
      </c>
      <c r="D1824" s="2" t="s">
        <v>3731</v>
      </c>
      <c r="E1824" s="2" t="str">
        <f>HYPERLINK("https://talan.bank.gov.ua/get-user-certificate/sec1eQk-mSvaS2Cv4qe1","Завантажити сертифікат")</f>
        <v>Завантажити сертифікат</v>
      </c>
    </row>
    <row r="1825" spans="1:5" x14ac:dyDescent="0.3">
      <c r="A1825" s="2" t="s">
        <v>3738</v>
      </c>
      <c r="B1825" s="2" t="s">
        <v>5</v>
      </c>
      <c r="C1825" s="2" t="s">
        <v>3739</v>
      </c>
      <c r="D1825" s="2" t="s">
        <v>3731</v>
      </c>
      <c r="E1825" s="2" t="str">
        <f>HYPERLINK("https://talan.bank.gov.ua/get-user-certificate/sec1eKVrEYVL-UNuhIVK","Завантажити сертифікат")</f>
        <v>Завантажити сертифікат</v>
      </c>
    </row>
    <row r="1826" spans="1:5" x14ac:dyDescent="0.3">
      <c r="A1826" s="2" t="s">
        <v>3740</v>
      </c>
      <c r="B1826" s="2" t="s">
        <v>5</v>
      </c>
      <c r="C1826" s="2" t="s">
        <v>3741</v>
      </c>
      <c r="D1826" s="2" t="s">
        <v>3731</v>
      </c>
      <c r="E1826" s="2" t="str">
        <f>HYPERLINK("https://talan.bank.gov.ua/get-user-certificate/sec1eeo8Ft6Tn2RvoFrw","Завантажити сертифікат")</f>
        <v>Завантажити сертифікат</v>
      </c>
    </row>
    <row r="1827" spans="1:5" x14ac:dyDescent="0.3">
      <c r="A1827" s="2" t="s">
        <v>3742</v>
      </c>
      <c r="B1827" s="2" t="s">
        <v>5</v>
      </c>
      <c r="C1827" s="2" t="s">
        <v>3743</v>
      </c>
      <c r="D1827" s="2" t="s">
        <v>3731</v>
      </c>
      <c r="E1827" s="2" t="str">
        <f>HYPERLINK("https://talan.bank.gov.ua/get-user-certificate/sec1e4REs6cHyieRLazf","Завантажити сертифікат")</f>
        <v>Завантажити сертифікат</v>
      </c>
    </row>
    <row r="1828" spans="1:5" x14ac:dyDescent="0.3">
      <c r="A1828" s="2" t="s">
        <v>3744</v>
      </c>
      <c r="B1828" s="2" t="s">
        <v>5</v>
      </c>
      <c r="C1828" s="2" t="s">
        <v>3745</v>
      </c>
      <c r="D1828" s="2" t="s">
        <v>3731</v>
      </c>
      <c r="E1828" s="2" t="str">
        <f>HYPERLINK("https://talan.bank.gov.ua/get-user-certificate/sec1e8oBJAFVichNjlk7","Завантажити сертифікат")</f>
        <v>Завантажити сертифікат</v>
      </c>
    </row>
    <row r="1829" spans="1:5" x14ac:dyDescent="0.3">
      <c r="A1829" s="2" t="s">
        <v>3746</v>
      </c>
      <c r="B1829" s="2" t="s">
        <v>5</v>
      </c>
      <c r="C1829" s="2" t="s">
        <v>3747</v>
      </c>
      <c r="D1829" s="2" t="s">
        <v>3731</v>
      </c>
      <c r="E1829" s="2" t="str">
        <f>HYPERLINK("https://talan.bank.gov.ua/get-user-certificate/sec1eIE0pS37PjRStdBz","Завантажити сертифікат")</f>
        <v>Завантажити сертифікат</v>
      </c>
    </row>
    <row r="1830" spans="1:5" x14ac:dyDescent="0.3">
      <c r="A1830" s="2" t="s">
        <v>3748</v>
      </c>
      <c r="B1830" s="2" t="s">
        <v>5</v>
      </c>
      <c r="C1830" s="2" t="s">
        <v>3749</v>
      </c>
      <c r="D1830" s="2" t="s">
        <v>3731</v>
      </c>
      <c r="E1830" s="2" t="str">
        <f>HYPERLINK("https://talan.bank.gov.ua/get-user-certificate/sec1eJzbvFusEt0mBpte","Завантажити сертифікат")</f>
        <v>Завантажити сертифікат</v>
      </c>
    </row>
    <row r="1831" spans="1:5" x14ac:dyDescent="0.3">
      <c r="A1831" s="2" t="s">
        <v>3750</v>
      </c>
      <c r="B1831" s="2" t="s">
        <v>5</v>
      </c>
      <c r="C1831" s="2" t="s">
        <v>3751</v>
      </c>
      <c r="D1831" s="2" t="s">
        <v>3731</v>
      </c>
      <c r="E1831" s="2" t="str">
        <f>HYPERLINK("https://talan.bank.gov.ua/get-user-certificate/sec1ecxHYHwR5kdzGjbc","Завантажити сертифікат")</f>
        <v>Завантажити сертифікат</v>
      </c>
    </row>
    <row r="1832" spans="1:5" x14ac:dyDescent="0.3">
      <c r="A1832" s="2" t="s">
        <v>3752</v>
      </c>
      <c r="B1832" s="2" t="s">
        <v>5</v>
      </c>
      <c r="C1832" s="2" t="s">
        <v>3753</v>
      </c>
      <c r="D1832" s="2" t="s">
        <v>3731</v>
      </c>
      <c r="E1832" s="2" t="str">
        <f>HYPERLINK("https://talan.bank.gov.ua/get-user-certificate/sec1eKXCMMsCSwbEqxCE","Завантажити сертифікат")</f>
        <v>Завантажити сертифікат</v>
      </c>
    </row>
    <row r="1833" spans="1:5" x14ac:dyDescent="0.3">
      <c r="A1833" s="2" t="s">
        <v>3754</v>
      </c>
      <c r="B1833" s="2" t="s">
        <v>5</v>
      </c>
      <c r="C1833" s="2" t="s">
        <v>3755</v>
      </c>
      <c r="D1833" s="2" t="s">
        <v>3731</v>
      </c>
      <c r="E1833" s="2" t="str">
        <f>HYPERLINK("https://talan.bank.gov.ua/get-user-certificate/sec1eXXzQsU-gDuKaQQW","Завантажити сертифікат")</f>
        <v>Завантажити сертифікат</v>
      </c>
    </row>
    <row r="1834" spans="1:5" x14ac:dyDescent="0.3">
      <c r="A1834" s="2" t="s">
        <v>3756</v>
      </c>
      <c r="B1834" s="2" t="s">
        <v>5</v>
      </c>
      <c r="C1834" s="2" t="s">
        <v>3757</v>
      </c>
      <c r="D1834" s="2" t="s">
        <v>3731</v>
      </c>
      <c r="E1834" s="2" t="str">
        <f>HYPERLINK("https://talan.bank.gov.ua/get-user-certificate/sec1ecYaMQ63DvxObQWJ","Завантажити сертифікат")</f>
        <v>Завантажити сертифікат</v>
      </c>
    </row>
    <row r="1835" spans="1:5" x14ac:dyDescent="0.3">
      <c r="A1835" s="2" t="s">
        <v>3758</v>
      </c>
      <c r="B1835" s="2" t="s">
        <v>5</v>
      </c>
      <c r="C1835" s="2" t="s">
        <v>3759</v>
      </c>
      <c r="D1835" s="2" t="s">
        <v>3731</v>
      </c>
      <c r="E1835" s="2" t="str">
        <f>HYPERLINK("https://talan.bank.gov.ua/get-user-certificate/sec1enxiEv9__p4Sjgt9","Завантажити сертифікат")</f>
        <v>Завантажити сертифікат</v>
      </c>
    </row>
    <row r="1836" spans="1:5" x14ac:dyDescent="0.3">
      <c r="A1836" s="2" t="s">
        <v>3760</v>
      </c>
      <c r="B1836" s="2" t="s">
        <v>5</v>
      </c>
      <c r="C1836" s="2" t="s">
        <v>3761</v>
      </c>
      <c r="D1836" s="2" t="s">
        <v>3731</v>
      </c>
      <c r="E1836" s="2" t="str">
        <f>HYPERLINK("https://talan.bank.gov.ua/get-user-certificate/sec1eO0xqZak3Zrvztes","Завантажити сертифікат")</f>
        <v>Завантажити сертифікат</v>
      </c>
    </row>
    <row r="1837" spans="1:5" x14ac:dyDescent="0.3">
      <c r="A1837" s="2" t="s">
        <v>3762</v>
      </c>
      <c r="B1837" s="2" t="s">
        <v>5</v>
      </c>
      <c r="C1837" s="2" t="s">
        <v>3763</v>
      </c>
      <c r="D1837" s="2" t="s">
        <v>3731</v>
      </c>
      <c r="E1837" s="2" t="str">
        <f>HYPERLINK("https://talan.bank.gov.ua/get-user-certificate/sec1eAJ3Lg0dH76dRLlX","Завантажити сертифікат")</f>
        <v>Завантажити сертифікат</v>
      </c>
    </row>
    <row r="1838" spans="1:5" x14ac:dyDescent="0.3">
      <c r="A1838" s="2" t="s">
        <v>3764</v>
      </c>
      <c r="B1838" s="2" t="s">
        <v>5</v>
      </c>
      <c r="C1838" s="2" t="s">
        <v>3765</v>
      </c>
      <c r="D1838" s="2" t="s">
        <v>3731</v>
      </c>
      <c r="E1838" s="2" t="str">
        <f>HYPERLINK("https://talan.bank.gov.ua/get-user-certificate/sec1eF5efrzIoMBy-jbF","Завантажити сертифікат")</f>
        <v>Завантажити сертифікат</v>
      </c>
    </row>
    <row r="1839" spans="1:5" x14ac:dyDescent="0.3">
      <c r="A1839" s="2" t="s">
        <v>3766</v>
      </c>
      <c r="B1839" s="2" t="s">
        <v>5</v>
      </c>
      <c r="C1839" s="2" t="s">
        <v>3767</v>
      </c>
      <c r="D1839" s="2" t="s">
        <v>3731</v>
      </c>
      <c r="E1839" s="2" t="str">
        <f>HYPERLINK("https://talan.bank.gov.ua/get-user-certificate/sec1eYHoQUvmXQKTjq1G","Завантажити сертифікат")</f>
        <v>Завантажити сертифікат</v>
      </c>
    </row>
    <row r="1840" spans="1:5" x14ac:dyDescent="0.3">
      <c r="A1840" s="2" t="s">
        <v>3768</v>
      </c>
      <c r="B1840" s="2" t="s">
        <v>5</v>
      </c>
      <c r="C1840" s="2" t="s">
        <v>3769</v>
      </c>
      <c r="D1840" s="2" t="s">
        <v>3731</v>
      </c>
      <c r="E1840" s="2" t="str">
        <f>HYPERLINK("https://talan.bank.gov.ua/get-user-certificate/sec1eNlGpIs98v02oYnm","Завантажити сертифікат")</f>
        <v>Завантажити сертифікат</v>
      </c>
    </row>
    <row r="1841" spans="1:5" x14ac:dyDescent="0.3">
      <c r="A1841" s="2" t="s">
        <v>3770</v>
      </c>
      <c r="B1841" s="2" t="s">
        <v>5</v>
      </c>
      <c r="C1841" s="2" t="s">
        <v>3771</v>
      </c>
      <c r="D1841" s="2" t="s">
        <v>3731</v>
      </c>
      <c r="E1841" s="2" t="str">
        <f>HYPERLINK("https://talan.bank.gov.ua/get-user-certificate/sec1eOD9yUv7Gu4Pqm5C","Завантажити сертифікат")</f>
        <v>Завантажити сертифікат</v>
      </c>
    </row>
    <row r="1842" spans="1:5" x14ac:dyDescent="0.3">
      <c r="A1842" s="2" t="s">
        <v>3772</v>
      </c>
      <c r="B1842" s="2" t="s">
        <v>5</v>
      </c>
      <c r="C1842" s="2" t="s">
        <v>3773</v>
      </c>
      <c r="D1842" s="2" t="s">
        <v>3731</v>
      </c>
      <c r="E1842" s="2" t="str">
        <f>HYPERLINK("https://talan.bank.gov.ua/get-user-certificate/sec1eIE2Sg6ZhV2yuYAG","Завантажити сертифікат")</f>
        <v>Завантажити сертифікат</v>
      </c>
    </row>
    <row r="1843" spans="1:5" x14ac:dyDescent="0.3">
      <c r="A1843" s="2" t="s">
        <v>3774</v>
      </c>
      <c r="B1843" s="2" t="s">
        <v>5</v>
      </c>
      <c r="C1843" s="2" t="s">
        <v>3775</v>
      </c>
      <c r="D1843" s="2" t="s">
        <v>3731</v>
      </c>
      <c r="E1843" s="2" t="str">
        <f>HYPERLINK("https://talan.bank.gov.ua/get-user-certificate/sec1eNvNBGYBBUTYSv2B","Завантажити сертифікат")</f>
        <v>Завантажити сертифікат</v>
      </c>
    </row>
    <row r="1844" spans="1:5" x14ac:dyDescent="0.3">
      <c r="A1844" s="2" t="s">
        <v>3776</v>
      </c>
      <c r="B1844" s="2" t="s">
        <v>5</v>
      </c>
      <c r="C1844" s="2" t="s">
        <v>3777</v>
      </c>
      <c r="D1844" s="2" t="s">
        <v>3731</v>
      </c>
      <c r="E1844" s="2" t="str">
        <f>HYPERLINK("https://talan.bank.gov.ua/get-user-certificate/sec1eP7Ue30NBdS-QKuX","Завантажити сертифікат")</f>
        <v>Завантажити сертифікат</v>
      </c>
    </row>
    <row r="1845" spans="1:5" x14ac:dyDescent="0.3">
      <c r="A1845" s="2" t="s">
        <v>3778</v>
      </c>
      <c r="B1845" s="2" t="s">
        <v>5</v>
      </c>
      <c r="C1845" s="2" t="s">
        <v>3779</v>
      </c>
      <c r="D1845" s="2" t="s">
        <v>3731</v>
      </c>
      <c r="E1845" s="2" t="str">
        <f>HYPERLINK("https://talan.bank.gov.ua/get-user-certificate/sec1eUxte9duBqgpgqz7","Завантажити сертифікат")</f>
        <v>Завантажити сертифікат</v>
      </c>
    </row>
    <row r="1846" spans="1:5" x14ac:dyDescent="0.3">
      <c r="A1846" s="2" t="s">
        <v>3780</v>
      </c>
      <c r="B1846" s="2" t="s">
        <v>5</v>
      </c>
      <c r="C1846" s="2" t="s">
        <v>3781</v>
      </c>
      <c r="D1846" s="2" t="s">
        <v>3731</v>
      </c>
      <c r="E1846" s="2" t="str">
        <f>HYPERLINK("https://talan.bank.gov.ua/get-user-certificate/sec1eiOlLntRcXcVr7EO","Завантажити сертифікат")</f>
        <v>Завантажити сертифікат</v>
      </c>
    </row>
    <row r="1847" spans="1:5" x14ac:dyDescent="0.3">
      <c r="A1847" s="2" t="s">
        <v>3782</v>
      </c>
      <c r="B1847" s="2" t="s">
        <v>5</v>
      </c>
      <c r="C1847" s="2" t="s">
        <v>3783</v>
      </c>
      <c r="D1847" s="2" t="s">
        <v>3784</v>
      </c>
      <c r="E1847" s="2" t="str">
        <f>HYPERLINK("https://talan.bank.gov.ua/get-user-certificate/sec1eizwdgSw1lvIdeAY","Завантажити сертифікат")</f>
        <v>Завантажити сертифікат</v>
      </c>
    </row>
    <row r="1848" spans="1:5" x14ac:dyDescent="0.3">
      <c r="A1848" s="2" t="s">
        <v>3785</v>
      </c>
      <c r="B1848" s="2" t="s">
        <v>5</v>
      </c>
      <c r="C1848" s="2" t="s">
        <v>3786</v>
      </c>
      <c r="D1848" s="2" t="s">
        <v>3784</v>
      </c>
      <c r="E1848" s="2" t="str">
        <f>HYPERLINK("https://talan.bank.gov.ua/get-user-certificate/sec1eAN1vW4HNYL5PfVk","Завантажити сертифікат")</f>
        <v>Завантажити сертифікат</v>
      </c>
    </row>
    <row r="1849" spans="1:5" x14ac:dyDescent="0.3">
      <c r="A1849" s="2" t="s">
        <v>3787</v>
      </c>
      <c r="B1849" s="2" t="s">
        <v>5</v>
      </c>
      <c r="C1849" s="2" t="s">
        <v>3788</v>
      </c>
      <c r="D1849" s="2" t="s">
        <v>3784</v>
      </c>
      <c r="E1849" s="2" t="str">
        <f>HYPERLINK("https://talan.bank.gov.ua/get-user-certificate/sec1e_E_2RsgZcAwYcYi","Завантажити сертифікат")</f>
        <v>Завантажити сертифікат</v>
      </c>
    </row>
    <row r="1850" spans="1:5" x14ac:dyDescent="0.3">
      <c r="A1850" s="2" t="s">
        <v>3789</v>
      </c>
      <c r="B1850" s="2" t="s">
        <v>5</v>
      </c>
      <c r="C1850" s="2" t="s">
        <v>3790</v>
      </c>
      <c r="D1850" s="2" t="s">
        <v>3784</v>
      </c>
      <c r="E1850" s="2" t="str">
        <f>HYPERLINK("https://talan.bank.gov.ua/get-user-certificate/sec1eKiJUDCmN2ACDjN8","Завантажити сертифікат")</f>
        <v>Завантажити сертифікат</v>
      </c>
    </row>
    <row r="1851" spans="1:5" x14ac:dyDescent="0.3">
      <c r="A1851" s="2" t="s">
        <v>3791</v>
      </c>
      <c r="B1851" s="2" t="s">
        <v>5</v>
      </c>
      <c r="C1851" s="2" t="s">
        <v>3792</v>
      </c>
      <c r="D1851" s="2" t="s">
        <v>3784</v>
      </c>
      <c r="E1851" s="2" t="str">
        <f>HYPERLINK("https://talan.bank.gov.ua/get-user-certificate/sec1eA2H2gbwGpbCixLF","Завантажити сертифікат")</f>
        <v>Завантажити сертифікат</v>
      </c>
    </row>
    <row r="1852" spans="1:5" x14ac:dyDescent="0.3">
      <c r="A1852" s="2" t="s">
        <v>3793</v>
      </c>
      <c r="B1852" s="2" t="s">
        <v>5</v>
      </c>
      <c r="C1852" s="2" t="s">
        <v>3794</v>
      </c>
      <c r="D1852" s="2" t="s">
        <v>3784</v>
      </c>
      <c r="E1852" s="2" t="str">
        <f>HYPERLINK("https://talan.bank.gov.ua/get-user-certificate/sec1enJzP4grA_yq8xXs","Завантажити сертифікат")</f>
        <v>Завантажити сертифікат</v>
      </c>
    </row>
    <row r="1853" spans="1:5" x14ac:dyDescent="0.3">
      <c r="A1853" s="2" t="s">
        <v>3795</v>
      </c>
      <c r="B1853" s="2" t="s">
        <v>5</v>
      </c>
      <c r="C1853" s="2" t="s">
        <v>3796</v>
      </c>
      <c r="D1853" s="2" t="s">
        <v>3784</v>
      </c>
      <c r="E1853" s="2" t="str">
        <f>HYPERLINK("https://talan.bank.gov.ua/get-user-certificate/sec1ebfoYjTi2ywKeTni","Завантажити сертифікат")</f>
        <v>Завантажити сертифікат</v>
      </c>
    </row>
    <row r="1854" spans="1:5" x14ac:dyDescent="0.3">
      <c r="A1854" s="2" t="s">
        <v>3797</v>
      </c>
      <c r="B1854" s="2" t="s">
        <v>5</v>
      </c>
      <c r="C1854" s="2" t="s">
        <v>3798</v>
      </c>
      <c r="D1854" s="2" t="s">
        <v>3784</v>
      </c>
      <c r="E1854" s="2" t="str">
        <f>HYPERLINK("https://talan.bank.gov.ua/get-user-certificate/sec1eENiIzbkkHELC164","Завантажити сертифікат")</f>
        <v>Завантажити сертифікат</v>
      </c>
    </row>
    <row r="1855" spans="1:5" x14ac:dyDescent="0.3">
      <c r="A1855" s="2" t="s">
        <v>3799</v>
      </c>
      <c r="B1855" s="2" t="s">
        <v>5</v>
      </c>
      <c r="C1855" s="2" t="s">
        <v>3800</v>
      </c>
      <c r="D1855" s="2" t="s">
        <v>3784</v>
      </c>
      <c r="E1855" s="2" t="str">
        <f>HYPERLINK("https://talan.bank.gov.ua/get-user-certificate/sec1espmywjcn1_4RFA7","Завантажити сертифікат")</f>
        <v>Завантажити сертифікат</v>
      </c>
    </row>
    <row r="1856" spans="1:5" x14ac:dyDescent="0.3">
      <c r="A1856" s="2" t="s">
        <v>3801</v>
      </c>
      <c r="B1856" s="2" t="s">
        <v>5</v>
      </c>
      <c r="C1856" s="2" t="s">
        <v>3802</v>
      </c>
      <c r="D1856" s="2" t="s">
        <v>3784</v>
      </c>
      <c r="E1856" s="2" t="str">
        <f>HYPERLINK("https://talan.bank.gov.ua/get-user-certificate/sec1eUDvbJ26_LUWuzZg","Завантажити сертифікат")</f>
        <v>Завантажити сертифікат</v>
      </c>
    </row>
    <row r="1857" spans="1:5" x14ac:dyDescent="0.3">
      <c r="A1857" s="2" t="s">
        <v>3803</v>
      </c>
      <c r="B1857" s="2" t="s">
        <v>5</v>
      </c>
      <c r="C1857" s="2" t="s">
        <v>3804</v>
      </c>
      <c r="D1857" s="2" t="s">
        <v>3784</v>
      </c>
      <c r="E1857" s="2" t="str">
        <f>HYPERLINK("https://talan.bank.gov.ua/get-user-certificate/sec1em5VKA7VWubzr3Tj","Завантажити сертифікат")</f>
        <v>Завантажити сертифікат</v>
      </c>
    </row>
    <row r="1858" spans="1:5" x14ac:dyDescent="0.3">
      <c r="A1858" s="2" t="s">
        <v>3805</v>
      </c>
      <c r="B1858" s="2" t="s">
        <v>5</v>
      </c>
      <c r="C1858" s="2" t="s">
        <v>3806</v>
      </c>
      <c r="D1858" s="2" t="s">
        <v>3807</v>
      </c>
      <c r="E1858" s="2" t="str">
        <f>HYPERLINK("https://talan.bank.gov.ua/get-user-certificate/sec1eJBOKmqZv52-uddg","Завантажити сертифікат")</f>
        <v>Завантажити сертифікат</v>
      </c>
    </row>
    <row r="1859" spans="1:5" x14ac:dyDescent="0.3">
      <c r="A1859" s="2" t="s">
        <v>3808</v>
      </c>
      <c r="B1859" s="2" t="s">
        <v>5</v>
      </c>
      <c r="C1859" s="2" t="s">
        <v>3809</v>
      </c>
      <c r="D1859" s="2" t="s">
        <v>3810</v>
      </c>
      <c r="E1859" s="2" t="str">
        <f>HYPERLINK("https://talan.bank.gov.ua/get-user-certificate/sec1eCTFlzNDyInxmuO6","Завантажити сертифікат")</f>
        <v>Завантажити сертифікат</v>
      </c>
    </row>
    <row r="1860" spans="1:5" x14ac:dyDescent="0.3">
      <c r="A1860" s="2" t="s">
        <v>3811</v>
      </c>
      <c r="B1860" s="2" t="s">
        <v>5</v>
      </c>
      <c r="C1860" s="2" t="s">
        <v>3812</v>
      </c>
      <c r="D1860" s="2" t="s">
        <v>3810</v>
      </c>
      <c r="E1860" s="2" t="str">
        <f>HYPERLINK("https://talan.bank.gov.ua/get-user-certificate/sec1ehwQIGjsgOtoTG0K","Завантажити сертифікат")</f>
        <v>Завантажити сертифікат</v>
      </c>
    </row>
    <row r="1861" spans="1:5" x14ac:dyDescent="0.3">
      <c r="A1861" s="2" t="s">
        <v>3813</v>
      </c>
      <c r="B1861" s="2" t="s">
        <v>5</v>
      </c>
      <c r="C1861" s="2" t="s">
        <v>3814</v>
      </c>
      <c r="D1861" s="2" t="s">
        <v>3810</v>
      </c>
      <c r="E1861" s="2" t="str">
        <f>HYPERLINK("https://talan.bank.gov.ua/get-user-certificate/sec1e-uTXC7K_M6wjrlH","Завантажити сертифікат")</f>
        <v>Завантажити сертифікат</v>
      </c>
    </row>
    <row r="1862" spans="1:5" x14ac:dyDescent="0.3">
      <c r="A1862" s="2" t="s">
        <v>3815</v>
      </c>
      <c r="B1862" s="2" t="s">
        <v>5</v>
      </c>
      <c r="C1862" s="2" t="s">
        <v>3816</v>
      </c>
      <c r="D1862" s="2" t="s">
        <v>3810</v>
      </c>
      <c r="E1862" s="2" t="str">
        <f>HYPERLINK("https://talan.bank.gov.ua/get-user-certificate/sec1eJjtS0fkh9uOXUC4","Завантажити сертифікат")</f>
        <v>Завантажити сертифікат</v>
      </c>
    </row>
    <row r="1863" spans="1:5" x14ac:dyDescent="0.3">
      <c r="A1863" s="2" t="s">
        <v>3817</v>
      </c>
      <c r="B1863" s="2" t="s">
        <v>5</v>
      </c>
      <c r="C1863" s="2" t="s">
        <v>3818</v>
      </c>
      <c r="D1863" s="2" t="s">
        <v>3810</v>
      </c>
      <c r="E1863" s="2" t="str">
        <f>HYPERLINK("https://talan.bank.gov.ua/get-user-certificate/sec1edG8kfyR9rnjq28T","Завантажити сертифікат")</f>
        <v>Завантажити сертифікат</v>
      </c>
    </row>
    <row r="1864" spans="1:5" x14ac:dyDescent="0.3">
      <c r="A1864" s="2" t="s">
        <v>3819</v>
      </c>
      <c r="B1864" s="2" t="s">
        <v>5</v>
      </c>
      <c r="C1864" s="2" t="s">
        <v>3820</v>
      </c>
      <c r="D1864" s="2" t="s">
        <v>3810</v>
      </c>
      <c r="E1864" s="2" t="str">
        <f>HYPERLINK("https://talan.bank.gov.ua/get-user-certificate/sec1ejMPf9ftfJAOqKBK","Завантажити сертифікат")</f>
        <v>Завантажити сертифікат</v>
      </c>
    </row>
    <row r="1865" spans="1:5" x14ac:dyDescent="0.3">
      <c r="A1865" s="2" t="s">
        <v>3821</v>
      </c>
      <c r="B1865" s="2" t="s">
        <v>5</v>
      </c>
      <c r="C1865" s="2" t="s">
        <v>3822</v>
      </c>
      <c r="D1865" s="2" t="s">
        <v>3810</v>
      </c>
      <c r="E1865" s="2" t="str">
        <f>HYPERLINK("https://talan.bank.gov.ua/get-user-certificate/sec1eMGPQH3b37g3D4Yd","Завантажити сертифікат")</f>
        <v>Завантажити сертифікат</v>
      </c>
    </row>
    <row r="1866" spans="1:5" x14ac:dyDescent="0.3">
      <c r="A1866" s="2" t="s">
        <v>3823</v>
      </c>
      <c r="B1866" s="2" t="s">
        <v>5</v>
      </c>
      <c r="C1866" s="2" t="s">
        <v>3824</v>
      </c>
      <c r="D1866" s="2" t="s">
        <v>3810</v>
      </c>
      <c r="E1866" s="2" t="str">
        <f>HYPERLINK("https://talan.bank.gov.ua/get-user-certificate/sec1eozJw_5n_3ki2pxR","Завантажити сертифікат")</f>
        <v>Завантажити сертифікат</v>
      </c>
    </row>
    <row r="1867" spans="1:5" x14ac:dyDescent="0.3">
      <c r="A1867" s="2" t="s">
        <v>3825</v>
      </c>
      <c r="B1867" s="2" t="s">
        <v>5</v>
      </c>
      <c r="C1867" s="2" t="s">
        <v>3826</v>
      </c>
      <c r="D1867" s="2" t="s">
        <v>3810</v>
      </c>
      <c r="E1867" s="2" t="str">
        <f>HYPERLINK("https://talan.bank.gov.ua/get-user-certificate/sec1eSzHT8riJQ5AJlBg","Завантажити сертифікат")</f>
        <v>Завантажити сертифікат</v>
      </c>
    </row>
    <row r="1868" spans="1:5" x14ac:dyDescent="0.3">
      <c r="A1868" s="2" t="s">
        <v>3827</v>
      </c>
      <c r="B1868" s="2" t="s">
        <v>5</v>
      </c>
      <c r="C1868" s="2" t="s">
        <v>3828</v>
      </c>
      <c r="D1868" s="2" t="s">
        <v>3810</v>
      </c>
      <c r="E1868" s="2" t="str">
        <f>HYPERLINK("https://talan.bank.gov.ua/get-user-certificate/sec1eeJQ4I52SqNl9tVO","Завантажити сертифікат")</f>
        <v>Завантажити сертифікат</v>
      </c>
    </row>
    <row r="1869" spans="1:5" x14ac:dyDescent="0.3">
      <c r="A1869" s="2" t="s">
        <v>3829</v>
      </c>
      <c r="B1869" s="2" t="s">
        <v>5</v>
      </c>
      <c r="C1869" s="2" t="s">
        <v>3830</v>
      </c>
      <c r="D1869" s="2" t="s">
        <v>3810</v>
      </c>
      <c r="E1869" s="2" t="str">
        <f>HYPERLINK("https://talan.bank.gov.ua/get-user-certificate/sec1eGDSdJEuwFCCtV3k","Завантажити сертифікат")</f>
        <v>Завантажити сертифікат</v>
      </c>
    </row>
    <row r="1870" spans="1:5" x14ac:dyDescent="0.3">
      <c r="A1870" s="2" t="s">
        <v>3831</v>
      </c>
      <c r="B1870" s="2" t="s">
        <v>5</v>
      </c>
      <c r="C1870" s="2" t="s">
        <v>3832</v>
      </c>
      <c r="D1870" s="2" t="s">
        <v>3810</v>
      </c>
      <c r="E1870" s="2" t="str">
        <f>HYPERLINK("https://talan.bank.gov.ua/get-user-certificate/sec1emaNzb136oMmV1ql","Завантажити сертифікат")</f>
        <v>Завантажити сертифікат</v>
      </c>
    </row>
    <row r="1871" spans="1:5" x14ac:dyDescent="0.3">
      <c r="A1871" s="2" t="s">
        <v>3833</v>
      </c>
      <c r="B1871" s="2" t="s">
        <v>5</v>
      </c>
      <c r="C1871" s="2" t="s">
        <v>3834</v>
      </c>
      <c r="D1871" s="2" t="s">
        <v>3810</v>
      </c>
      <c r="E1871" s="2" t="str">
        <f>HYPERLINK("https://talan.bank.gov.ua/get-user-certificate/sec1eCbbr9DvuPLKtvvA","Завантажити сертифікат")</f>
        <v>Завантажити сертифікат</v>
      </c>
    </row>
    <row r="1872" spans="1:5" x14ac:dyDescent="0.3">
      <c r="A1872" s="2" t="s">
        <v>3835</v>
      </c>
      <c r="B1872" s="2" t="s">
        <v>5</v>
      </c>
      <c r="C1872" s="2" t="s">
        <v>3836</v>
      </c>
      <c r="D1872" s="2" t="s">
        <v>3810</v>
      </c>
      <c r="E1872" s="2" t="str">
        <f>HYPERLINK("https://talan.bank.gov.ua/get-user-certificate/sec1ee8nvwilx8ObVd38","Завантажити сертифікат")</f>
        <v>Завантажити сертифікат</v>
      </c>
    </row>
    <row r="1873" spans="1:5" x14ac:dyDescent="0.3">
      <c r="A1873" s="2" t="s">
        <v>3837</v>
      </c>
      <c r="B1873" s="2" t="s">
        <v>5</v>
      </c>
      <c r="C1873" s="2" t="s">
        <v>3838</v>
      </c>
      <c r="D1873" s="2" t="s">
        <v>3810</v>
      </c>
      <c r="E1873" s="2" t="str">
        <f>HYPERLINK("https://talan.bank.gov.ua/get-user-certificate/sec1eyPJEQZbrEk-1tro","Завантажити сертифікат")</f>
        <v>Завантажити сертифікат</v>
      </c>
    </row>
    <row r="1874" spans="1:5" x14ac:dyDescent="0.3">
      <c r="A1874" s="2" t="s">
        <v>3839</v>
      </c>
      <c r="B1874" s="2" t="s">
        <v>5</v>
      </c>
      <c r="C1874" s="2" t="s">
        <v>3840</v>
      </c>
      <c r="D1874" s="2" t="s">
        <v>3810</v>
      </c>
      <c r="E1874" s="2" t="str">
        <f>HYPERLINK("https://talan.bank.gov.ua/get-user-certificate/sec1eEwIHRt5Vnh6bAOu","Завантажити сертифікат")</f>
        <v>Завантажити сертифікат</v>
      </c>
    </row>
    <row r="1875" spans="1:5" x14ac:dyDescent="0.3">
      <c r="A1875" s="2" t="s">
        <v>3841</v>
      </c>
      <c r="B1875" s="2" t="s">
        <v>5</v>
      </c>
      <c r="C1875" s="2" t="s">
        <v>3842</v>
      </c>
      <c r="D1875" s="2" t="s">
        <v>3810</v>
      </c>
      <c r="E1875" s="2" t="str">
        <f>HYPERLINK("https://talan.bank.gov.ua/get-user-certificate/sec1eUlX7O1zwtLvmZH8","Завантажити сертифікат")</f>
        <v>Завантажити сертифікат</v>
      </c>
    </row>
    <row r="1876" spans="1:5" x14ac:dyDescent="0.3">
      <c r="A1876" s="2" t="s">
        <v>3843</v>
      </c>
      <c r="B1876" s="2" t="s">
        <v>5</v>
      </c>
      <c r="C1876" s="2" t="s">
        <v>3844</v>
      </c>
      <c r="D1876" s="2" t="s">
        <v>3810</v>
      </c>
      <c r="E1876" s="2" t="str">
        <f>HYPERLINK("https://talan.bank.gov.ua/get-user-certificate/sec1e1Zb0H5QyKPz6A44","Завантажити сертифікат")</f>
        <v>Завантажити сертифікат</v>
      </c>
    </row>
    <row r="1877" spans="1:5" x14ac:dyDescent="0.3">
      <c r="A1877" s="2" t="s">
        <v>3845</v>
      </c>
      <c r="B1877" s="2" t="s">
        <v>5</v>
      </c>
      <c r="C1877" s="2" t="s">
        <v>3846</v>
      </c>
      <c r="D1877" s="2" t="s">
        <v>3810</v>
      </c>
      <c r="E1877" s="2" t="str">
        <f>HYPERLINK("https://talan.bank.gov.ua/get-user-certificate/sec1e-zBQ-oxnMhsz1V-","Завантажити сертифікат")</f>
        <v>Завантажити сертифікат</v>
      </c>
    </row>
    <row r="1878" spans="1:5" x14ac:dyDescent="0.3">
      <c r="A1878" s="2" t="s">
        <v>3847</v>
      </c>
      <c r="B1878" s="2" t="s">
        <v>5</v>
      </c>
      <c r="C1878" s="2" t="s">
        <v>3848</v>
      </c>
      <c r="D1878" s="2" t="s">
        <v>3810</v>
      </c>
      <c r="E1878" s="2" t="str">
        <f>HYPERLINK("https://talan.bank.gov.ua/get-user-certificate/sec1ed_aMC9kjKVcwG8S","Завантажити сертифікат")</f>
        <v>Завантажити сертифікат</v>
      </c>
    </row>
    <row r="1879" spans="1:5" x14ac:dyDescent="0.3">
      <c r="A1879" s="2" t="s">
        <v>3849</v>
      </c>
      <c r="B1879" s="2" t="s">
        <v>5</v>
      </c>
      <c r="C1879" s="2" t="s">
        <v>3850</v>
      </c>
      <c r="D1879" s="2" t="s">
        <v>3810</v>
      </c>
      <c r="E1879" s="2" t="str">
        <f>HYPERLINK("https://talan.bank.gov.ua/get-user-certificate/sec1eWMJfs_mYHCpLgkR","Завантажити сертифікат")</f>
        <v>Завантажити сертифікат</v>
      </c>
    </row>
    <row r="1880" spans="1:5" x14ac:dyDescent="0.3">
      <c r="A1880" s="2" t="s">
        <v>3851</v>
      </c>
      <c r="B1880" s="2" t="s">
        <v>5</v>
      </c>
      <c r="C1880" s="2" t="s">
        <v>3852</v>
      </c>
      <c r="D1880" s="2" t="s">
        <v>3810</v>
      </c>
      <c r="E1880" s="2" t="str">
        <f>HYPERLINK("https://talan.bank.gov.ua/get-user-certificate/sec1ejCRoncf-KCdcEbJ","Завантажити сертифікат")</f>
        <v>Завантажити сертифікат</v>
      </c>
    </row>
    <row r="1881" spans="1:5" x14ac:dyDescent="0.3">
      <c r="A1881" s="2" t="s">
        <v>3853</v>
      </c>
      <c r="B1881" s="2" t="s">
        <v>5</v>
      </c>
      <c r="C1881" s="2" t="s">
        <v>3854</v>
      </c>
      <c r="D1881" s="2" t="s">
        <v>3810</v>
      </c>
      <c r="E1881" s="2" t="str">
        <f>HYPERLINK("https://talan.bank.gov.ua/get-user-certificate/sec1eGlVafLfpiyYNR6C","Завантажити сертифікат")</f>
        <v>Завантажити сертифікат</v>
      </c>
    </row>
    <row r="1882" spans="1:5" x14ac:dyDescent="0.3">
      <c r="A1882" s="2" t="s">
        <v>3855</v>
      </c>
      <c r="B1882" s="2" t="s">
        <v>5</v>
      </c>
      <c r="C1882" s="2" t="s">
        <v>3856</v>
      </c>
      <c r="D1882" s="2" t="s">
        <v>3810</v>
      </c>
      <c r="E1882" s="2" t="str">
        <f>HYPERLINK("https://talan.bank.gov.ua/get-user-certificate/sec1eLj8fSDWRs70-rBi","Завантажити сертифікат")</f>
        <v>Завантажити сертифікат</v>
      </c>
    </row>
    <row r="1883" spans="1:5" x14ac:dyDescent="0.3">
      <c r="A1883" s="2" t="s">
        <v>3857</v>
      </c>
      <c r="B1883" s="2" t="s">
        <v>5</v>
      </c>
      <c r="C1883" s="2" t="s">
        <v>3858</v>
      </c>
      <c r="D1883" s="2" t="s">
        <v>3810</v>
      </c>
      <c r="E1883" s="2" t="str">
        <f>HYPERLINK("https://talan.bank.gov.ua/get-user-certificate/sec1eqPPUCwrRgoveaVx","Завантажити сертифікат")</f>
        <v>Завантажити сертифікат</v>
      </c>
    </row>
    <row r="1884" spans="1:5" x14ac:dyDescent="0.3">
      <c r="A1884" s="2" t="s">
        <v>3859</v>
      </c>
      <c r="B1884" s="2" t="s">
        <v>5</v>
      </c>
      <c r="C1884" s="2" t="s">
        <v>3860</v>
      </c>
      <c r="D1884" s="2" t="s">
        <v>3810</v>
      </c>
      <c r="E1884" s="2" t="str">
        <f>HYPERLINK("https://talan.bank.gov.ua/get-user-certificate/sec1eiyIl4SlKZzJGRfx","Завантажити сертифікат")</f>
        <v>Завантажити сертифікат</v>
      </c>
    </row>
    <row r="1885" spans="1:5" x14ac:dyDescent="0.3">
      <c r="A1885" s="2" t="s">
        <v>3861</v>
      </c>
      <c r="B1885" s="2" t="s">
        <v>5</v>
      </c>
      <c r="C1885" s="2" t="s">
        <v>3862</v>
      </c>
      <c r="D1885" s="2" t="s">
        <v>3810</v>
      </c>
      <c r="E1885" s="2" t="str">
        <f>HYPERLINK("https://talan.bank.gov.ua/get-user-certificate/sec1eCJ_7uaVoCD57TzO","Завантажити сертифікат")</f>
        <v>Завантажити сертифікат</v>
      </c>
    </row>
    <row r="1886" spans="1:5" x14ac:dyDescent="0.3">
      <c r="A1886" s="2" t="s">
        <v>3863</v>
      </c>
      <c r="B1886" s="2" t="s">
        <v>5</v>
      </c>
      <c r="C1886" s="2" t="s">
        <v>3864</v>
      </c>
      <c r="D1886" s="2" t="s">
        <v>3810</v>
      </c>
      <c r="E1886" s="2" t="str">
        <f>HYPERLINK("https://talan.bank.gov.ua/get-user-certificate/sec1eqeesoQhoW_7PSDJ","Завантажити сертифікат")</f>
        <v>Завантажити сертифікат</v>
      </c>
    </row>
    <row r="1887" spans="1:5" x14ac:dyDescent="0.3">
      <c r="A1887" s="2" t="s">
        <v>3865</v>
      </c>
      <c r="B1887" s="2" t="s">
        <v>5</v>
      </c>
      <c r="C1887" s="2" t="s">
        <v>3866</v>
      </c>
      <c r="D1887" s="2" t="s">
        <v>3810</v>
      </c>
      <c r="E1887" s="2" t="str">
        <f>HYPERLINK("https://talan.bank.gov.ua/get-user-certificate/sec1e_AOEfzNqC9TZdP9","Завантажити сертифікат")</f>
        <v>Завантажити сертифікат</v>
      </c>
    </row>
    <row r="1888" spans="1:5" x14ac:dyDescent="0.3">
      <c r="A1888" s="2" t="s">
        <v>3867</v>
      </c>
      <c r="B1888" s="2" t="s">
        <v>5</v>
      </c>
      <c r="C1888" s="2" t="s">
        <v>3868</v>
      </c>
      <c r="D1888" s="2" t="s">
        <v>3810</v>
      </c>
      <c r="E1888" s="2" t="str">
        <f>HYPERLINK("https://talan.bank.gov.ua/get-user-certificate/sec1ehkAgSuV3B-W0sxB","Завантажити сертифікат")</f>
        <v>Завантажити сертифікат</v>
      </c>
    </row>
    <row r="1889" spans="1:5" x14ac:dyDescent="0.3">
      <c r="A1889" s="2" t="s">
        <v>3869</v>
      </c>
      <c r="B1889" s="2" t="s">
        <v>5</v>
      </c>
      <c r="C1889" s="2" t="s">
        <v>3870</v>
      </c>
      <c r="D1889" s="2" t="s">
        <v>3810</v>
      </c>
      <c r="E1889" s="2" t="str">
        <f>HYPERLINK("https://talan.bank.gov.ua/get-user-certificate/sec1eZsc12t7i7GmAId2","Завантажити сертифікат")</f>
        <v>Завантажити сертифікат</v>
      </c>
    </row>
    <row r="1890" spans="1:5" x14ac:dyDescent="0.3">
      <c r="A1890" s="2" t="s">
        <v>3871</v>
      </c>
      <c r="B1890" s="2" t="s">
        <v>5</v>
      </c>
      <c r="C1890" s="2" t="s">
        <v>3872</v>
      </c>
      <c r="D1890" s="2" t="s">
        <v>3810</v>
      </c>
      <c r="E1890" s="2" t="str">
        <f>HYPERLINK("https://talan.bank.gov.ua/get-user-certificate/sec1envUVjCED-rP-7Lj","Завантажити сертифікат")</f>
        <v>Завантажити сертифікат</v>
      </c>
    </row>
    <row r="1891" spans="1:5" x14ac:dyDescent="0.3">
      <c r="A1891" s="2" t="s">
        <v>3873</v>
      </c>
      <c r="B1891" s="2" t="s">
        <v>5</v>
      </c>
      <c r="C1891" s="2" t="s">
        <v>3874</v>
      </c>
      <c r="D1891" s="2" t="s">
        <v>3875</v>
      </c>
      <c r="E1891" s="2" t="str">
        <f>HYPERLINK("https://talan.bank.gov.ua/get-user-certificate/sec1eADKvgYLZPEoXeI-","Завантажити сертифікат")</f>
        <v>Завантажити сертифікат</v>
      </c>
    </row>
    <row r="1892" spans="1:5" x14ac:dyDescent="0.3">
      <c r="A1892" s="2" t="s">
        <v>3876</v>
      </c>
      <c r="B1892" s="2" t="s">
        <v>5</v>
      </c>
      <c r="C1892" s="2" t="s">
        <v>3877</v>
      </c>
      <c r="D1892" s="2" t="s">
        <v>3875</v>
      </c>
      <c r="E1892" s="2" t="str">
        <f>HYPERLINK("https://talan.bank.gov.ua/get-user-certificate/sec1eFZSIhDCx6F2Vk48","Завантажити сертифікат")</f>
        <v>Завантажити сертифікат</v>
      </c>
    </row>
    <row r="1893" spans="1:5" x14ac:dyDescent="0.3">
      <c r="A1893" s="2" t="s">
        <v>3878</v>
      </c>
      <c r="B1893" s="2" t="s">
        <v>5</v>
      </c>
      <c r="C1893" s="2" t="s">
        <v>3879</v>
      </c>
      <c r="D1893" s="2" t="s">
        <v>3875</v>
      </c>
      <c r="E1893" s="2" t="str">
        <f>HYPERLINK("https://talan.bank.gov.ua/get-user-certificate/sec1exDjUbrx5eI2HHge","Завантажити сертифікат")</f>
        <v>Завантажити сертифікат</v>
      </c>
    </row>
    <row r="1894" spans="1:5" x14ac:dyDescent="0.3">
      <c r="A1894" s="2" t="s">
        <v>3880</v>
      </c>
      <c r="B1894" s="2" t="s">
        <v>5</v>
      </c>
      <c r="C1894" s="2" t="s">
        <v>3881</v>
      </c>
      <c r="D1894" s="2" t="s">
        <v>3875</v>
      </c>
      <c r="E1894" s="2" t="str">
        <f>HYPERLINK("https://talan.bank.gov.ua/get-user-certificate/sec1ecKB0QFDlW7eCg98","Завантажити сертифікат")</f>
        <v>Завантажити сертифікат</v>
      </c>
    </row>
    <row r="1895" spans="1:5" x14ac:dyDescent="0.3">
      <c r="A1895" s="2" t="s">
        <v>3882</v>
      </c>
      <c r="B1895" s="2" t="s">
        <v>5</v>
      </c>
      <c r="C1895" s="2" t="s">
        <v>3883</v>
      </c>
      <c r="D1895" s="2" t="s">
        <v>3875</v>
      </c>
      <c r="E1895" s="2" t="str">
        <f>HYPERLINK("https://talan.bank.gov.ua/get-user-certificate/sec1ejxtPyQNOfjIVGQD","Завантажити сертифікат")</f>
        <v>Завантажити сертифікат</v>
      </c>
    </row>
    <row r="1896" spans="1:5" x14ac:dyDescent="0.3">
      <c r="A1896" s="2" t="s">
        <v>3884</v>
      </c>
      <c r="B1896" s="2" t="s">
        <v>5</v>
      </c>
      <c r="C1896" s="2" t="s">
        <v>3885</v>
      </c>
      <c r="D1896" s="2" t="s">
        <v>3875</v>
      </c>
      <c r="E1896" s="2" t="str">
        <f>HYPERLINK("https://talan.bank.gov.ua/get-user-certificate/sec1eicraN5_4OhK_fZ1","Завантажити сертифікат")</f>
        <v>Завантажити сертифікат</v>
      </c>
    </row>
    <row r="1897" spans="1:5" x14ac:dyDescent="0.3">
      <c r="A1897" s="2" t="s">
        <v>3886</v>
      </c>
      <c r="B1897" s="2" t="s">
        <v>5</v>
      </c>
      <c r="C1897" s="2" t="s">
        <v>3887</v>
      </c>
      <c r="D1897" s="2" t="s">
        <v>3875</v>
      </c>
      <c r="E1897" s="2" t="str">
        <f>HYPERLINK("https://talan.bank.gov.ua/get-user-certificate/sec1eBkXzZCo0eysTawn","Завантажити сертифікат")</f>
        <v>Завантажити сертифікат</v>
      </c>
    </row>
    <row r="1898" spans="1:5" x14ac:dyDescent="0.3">
      <c r="A1898" s="2" t="s">
        <v>3888</v>
      </c>
      <c r="B1898" s="2" t="s">
        <v>5</v>
      </c>
      <c r="C1898" s="2" t="s">
        <v>3889</v>
      </c>
      <c r="D1898" s="2" t="s">
        <v>3875</v>
      </c>
      <c r="E1898" s="2" t="str">
        <f>HYPERLINK("https://talan.bank.gov.ua/get-user-certificate/sec1eV-cB-UP-AWiGdak","Завантажити сертифікат")</f>
        <v>Завантажити сертифікат</v>
      </c>
    </row>
    <row r="1899" spans="1:5" x14ac:dyDescent="0.3">
      <c r="A1899" s="2" t="s">
        <v>3890</v>
      </c>
      <c r="B1899" s="2" t="s">
        <v>5</v>
      </c>
      <c r="C1899" s="2" t="s">
        <v>3891</v>
      </c>
      <c r="D1899" s="2" t="s">
        <v>3875</v>
      </c>
      <c r="E1899" s="2" t="str">
        <f>HYPERLINK("https://talan.bank.gov.ua/get-user-certificate/sec1e78WRzA9ohIo-Hv9","Завантажити сертифікат")</f>
        <v>Завантажити сертифікат</v>
      </c>
    </row>
    <row r="1900" spans="1:5" x14ac:dyDescent="0.3">
      <c r="A1900" s="2" t="s">
        <v>3892</v>
      </c>
      <c r="B1900" s="2" t="s">
        <v>5</v>
      </c>
      <c r="C1900" s="2" t="s">
        <v>3893</v>
      </c>
      <c r="D1900" s="2" t="s">
        <v>3875</v>
      </c>
      <c r="E1900" s="2" t="str">
        <f>HYPERLINK("https://talan.bank.gov.ua/get-user-certificate/sec1esCzC3TJO3tMnnHw","Завантажити сертифікат")</f>
        <v>Завантажити сертифікат</v>
      </c>
    </row>
    <row r="1901" spans="1:5" x14ac:dyDescent="0.3">
      <c r="A1901" s="2" t="s">
        <v>3894</v>
      </c>
      <c r="B1901" s="2" t="s">
        <v>5</v>
      </c>
      <c r="C1901" s="2" t="s">
        <v>3895</v>
      </c>
      <c r="D1901" s="2" t="s">
        <v>3875</v>
      </c>
      <c r="E1901" s="2" t="str">
        <f>HYPERLINK("https://talan.bank.gov.ua/get-user-certificate/sec1eZS8HHaPACNnKy1H","Завантажити сертифікат")</f>
        <v>Завантажити сертифікат</v>
      </c>
    </row>
    <row r="1902" spans="1:5" x14ac:dyDescent="0.3">
      <c r="A1902" s="2" t="s">
        <v>3896</v>
      </c>
      <c r="B1902" s="2" t="s">
        <v>5</v>
      </c>
      <c r="C1902" s="2" t="s">
        <v>3897</v>
      </c>
      <c r="D1902" s="2" t="s">
        <v>3875</v>
      </c>
      <c r="E1902" s="2" t="str">
        <f>HYPERLINK("https://talan.bank.gov.ua/get-user-certificate/sec1e7ywDSAAPb8TxGj8","Завантажити сертифікат")</f>
        <v>Завантажити сертифікат</v>
      </c>
    </row>
    <row r="1903" spans="1:5" x14ac:dyDescent="0.3">
      <c r="A1903" s="2" t="s">
        <v>3898</v>
      </c>
      <c r="B1903" s="2" t="s">
        <v>5</v>
      </c>
      <c r="C1903" s="2" t="s">
        <v>3899</v>
      </c>
      <c r="D1903" s="2" t="s">
        <v>3875</v>
      </c>
      <c r="E1903" s="2" t="str">
        <f>HYPERLINK("https://talan.bank.gov.ua/get-user-certificate/sec1eCNNmeajgktB48if","Завантажити сертифікат")</f>
        <v>Завантажити сертифікат</v>
      </c>
    </row>
    <row r="1904" spans="1:5" x14ac:dyDescent="0.3">
      <c r="A1904" s="2" t="s">
        <v>3900</v>
      </c>
      <c r="B1904" s="2" t="s">
        <v>5</v>
      </c>
      <c r="C1904" s="2" t="s">
        <v>3901</v>
      </c>
      <c r="D1904" s="2" t="s">
        <v>3875</v>
      </c>
      <c r="E1904" s="2" t="str">
        <f>HYPERLINK("https://talan.bank.gov.ua/get-user-certificate/sec1eJX08ji2UFLMWg6N","Завантажити сертифікат")</f>
        <v>Завантажити сертифікат</v>
      </c>
    </row>
    <row r="1905" spans="1:5" x14ac:dyDescent="0.3">
      <c r="A1905" s="2" t="s">
        <v>3902</v>
      </c>
      <c r="B1905" s="2" t="s">
        <v>5</v>
      </c>
      <c r="C1905" s="2" t="s">
        <v>3903</v>
      </c>
      <c r="D1905" s="2" t="s">
        <v>3875</v>
      </c>
      <c r="E1905" s="2" t="str">
        <f>HYPERLINK("https://talan.bank.gov.ua/get-user-certificate/sec1ebtljnIRN9Cwb620","Завантажити сертифікат")</f>
        <v>Завантажити сертифікат</v>
      </c>
    </row>
    <row r="1906" spans="1:5" x14ac:dyDescent="0.3">
      <c r="A1906" s="2" t="s">
        <v>3904</v>
      </c>
      <c r="B1906" s="2" t="s">
        <v>5</v>
      </c>
      <c r="C1906" s="2" t="s">
        <v>3905</v>
      </c>
      <c r="D1906" s="2" t="s">
        <v>3875</v>
      </c>
      <c r="E1906" s="2" t="str">
        <f>HYPERLINK("https://talan.bank.gov.ua/get-user-certificate/sec1eYZjucs_X401Xosz","Завантажити сертифікат")</f>
        <v>Завантажити сертифікат</v>
      </c>
    </row>
    <row r="1907" spans="1:5" x14ac:dyDescent="0.3">
      <c r="A1907" s="2" t="s">
        <v>3906</v>
      </c>
      <c r="B1907" s="2" t="s">
        <v>5</v>
      </c>
      <c r="C1907" s="2" t="s">
        <v>3907</v>
      </c>
      <c r="D1907" s="2" t="s">
        <v>3875</v>
      </c>
      <c r="E1907" s="2" t="str">
        <f>HYPERLINK("https://talan.bank.gov.ua/get-user-certificate/sec1eXfM3bSnPVMJbWWc","Завантажити сертифікат")</f>
        <v>Завантажити сертифікат</v>
      </c>
    </row>
    <row r="1908" spans="1:5" x14ac:dyDescent="0.3">
      <c r="A1908" s="2" t="s">
        <v>3908</v>
      </c>
      <c r="B1908" s="2" t="s">
        <v>5</v>
      </c>
      <c r="C1908" s="2" t="s">
        <v>3909</v>
      </c>
      <c r="D1908" s="2" t="s">
        <v>3875</v>
      </c>
      <c r="E1908" s="2" t="str">
        <f>HYPERLINK("https://talan.bank.gov.ua/get-user-certificate/sec1eTqp-HroNvRqJz_Q","Завантажити сертифікат")</f>
        <v>Завантажити сертифікат</v>
      </c>
    </row>
    <row r="1909" spans="1:5" x14ac:dyDescent="0.3">
      <c r="A1909" s="2" t="s">
        <v>3910</v>
      </c>
      <c r="B1909" s="2" t="s">
        <v>5</v>
      </c>
      <c r="C1909" s="2" t="s">
        <v>3911</v>
      </c>
      <c r="D1909" s="2" t="s">
        <v>3875</v>
      </c>
      <c r="E1909" s="2" t="str">
        <f>HYPERLINK("https://talan.bank.gov.ua/get-user-certificate/sec1euT2VOeKCNYcqvhg","Завантажити сертифікат")</f>
        <v>Завантажити сертифікат</v>
      </c>
    </row>
    <row r="1910" spans="1:5" x14ac:dyDescent="0.3">
      <c r="A1910" s="2" t="s">
        <v>3912</v>
      </c>
      <c r="B1910" s="2" t="s">
        <v>5</v>
      </c>
      <c r="C1910" s="2" t="s">
        <v>3913</v>
      </c>
      <c r="D1910" s="2" t="s">
        <v>3875</v>
      </c>
      <c r="E1910" s="2" t="str">
        <f>HYPERLINK("https://talan.bank.gov.ua/get-user-certificate/sec1ezMnvHtjnGxUvKcx","Завантажити сертифікат")</f>
        <v>Завантажити сертифікат</v>
      </c>
    </row>
    <row r="1911" spans="1:5" x14ac:dyDescent="0.3">
      <c r="A1911" s="2" t="s">
        <v>3914</v>
      </c>
      <c r="B1911" s="2" t="s">
        <v>5</v>
      </c>
      <c r="C1911" s="2" t="s">
        <v>3915</v>
      </c>
      <c r="D1911" s="2" t="s">
        <v>3875</v>
      </c>
      <c r="E1911" s="2" t="str">
        <f>HYPERLINK("https://talan.bank.gov.ua/get-user-certificate/sec1ev144tCfowfMhZZ-","Завантажити сертифікат")</f>
        <v>Завантажити сертифікат</v>
      </c>
    </row>
    <row r="1912" spans="1:5" x14ac:dyDescent="0.3">
      <c r="A1912" s="2" t="s">
        <v>3916</v>
      </c>
      <c r="B1912" s="2" t="s">
        <v>5</v>
      </c>
      <c r="C1912" s="2" t="s">
        <v>3917</v>
      </c>
      <c r="D1912" s="2" t="s">
        <v>3875</v>
      </c>
      <c r="E1912" s="2" t="str">
        <f>HYPERLINK("https://talan.bank.gov.ua/get-user-certificate/sec1eXaguwrUamHxSDrg","Завантажити сертифікат")</f>
        <v>Завантажити сертифікат</v>
      </c>
    </row>
    <row r="1913" spans="1:5" x14ac:dyDescent="0.3">
      <c r="A1913" s="2" t="s">
        <v>3918</v>
      </c>
      <c r="B1913" s="2" t="s">
        <v>5</v>
      </c>
      <c r="C1913" s="2" t="s">
        <v>3919</v>
      </c>
      <c r="D1913" s="2" t="s">
        <v>3875</v>
      </c>
      <c r="E1913" s="2" t="str">
        <f>HYPERLINK("https://talan.bank.gov.ua/get-user-certificate/sec1ebA4waaE-_C1249q","Завантажити сертифікат")</f>
        <v>Завантажити сертифікат</v>
      </c>
    </row>
    <row r="1914" spans="1:5" x14ac:dyDescent="0.3">
      <c r="A1914" s="2" t="s">
        <v>3920</v>
      </c>
      <c r="B1914" s="2" t="s">
        <v>5</v>
      </c>
      <c r="C1914" s="2" t="s">
        <v>3921</v>
      </c>
      <c r="D1914" s="2" t="s">
        <v>3875</v>
      </c>
      <c r="E1914" s="2" t="str">
        <f>HYPERLINK("https://talan.bank.gov.ua/get-user-certificate/sec1enyv7PkZyz72tzg2","Завантажити сертифікат")</f>
        <v>Завантажити сертифікат</v>
      </c>
    </row>
    <row r="1915" spans="1:5" x14ac:dyDescent="0.3">
      <c r="A1915" s="2" t="s">
        <v>3922</v>
      </c>
      <c r="B1915" s="2" t="s">
        <v>5</v>
      </c>
      <c r="C1915" s="2" t="s">
        <v>3923</v>
      </c>
      <c r="D1915" s="2" t="s">
        <v>3875</v>
      </c>
      <c r="E1915" s="2" t="str">
        <f>HYPERLINK("https://talan.bank.gov.ua/get-user-certificate/sec1eQyBCgEinQ7NPohF","Завантажити сертифікат")</f>
        <v>Завантажити сертифікат</v>
      </c>
    </row>
    <row r="1916" spans="1:5" x14ac:dyDescent="0.3">
      <c r="A1916" s="2" t="s">
        <v>3924</v>
      </c>
      <c r="B1916" s="2" t="s">
        <v>5</v>
      </c>
      <c r="C1916" s="2" t="s">
        <v>3925</v>
      </c>
      <c r="D1916" s="2" t="s">
        <v>3875</v>
      </c>
      <c r="E1916" s="2" t="str">
        <f>HYPERLINK("https://talan.bank.gov.ua/get-user-certificate/sec1eI7klnGDs8xuwC69","Завантажити сертифікат")</f>
        <v>Завантажити сертифікат</v>
      </c>
    </row>
    <row r="1917" spans="1:5" x14ac:dyDescent="0.3">
      <c r="A1917" s="2" t="s">
        <v>3926</v>
      </c>
      <c r="B1917" s="2" t="s">
        <v>5</v>
      </c>
      <c r="C1917" s="2" t="s">
        <v>3927</v>
      </c>
      <c r="D1917" s="2" t="s">
        <v>3875</v>
      </c>
      <c r="E1917" s="2" t="str">
        <f>HYPERLINK("https://talan.bank.gov.ua/get-user-certificate/sec1eFYHfn3RZZBIkKHU","Завантажити сертифікат")</f>
        <v>Завантажити сертифікат</v>
      </c>
    </row>
    <row r="1918" spans="1:5" x14ac:dyDescent="0.3">
      <c r="A1918" s="2" t="s">
        <v>3928</v>
      </c>
      <c r="B1918" s="2" t="s">
        <v>5</v>
      </c>
      <c r="C1918" s="2" t="s">
        <v>3929</v>
      </c>
      <c r="D1918" s="2" t="s">
        <v>3875</v>
      </c>
      <c r="E1918" s="2" t="str">
        <f>HYPERLINK("https://talan.bank.gov.ua/get-user-certificate/sec1e-8CgdtgvBXv0W4c","Завантажити сертифікат")</f>
        <v>Завантажити сертифікат</v>
      </c>
    </row>
    <row r="1919" spans="1:5" x14ac:dyDescent="0.3">
      <c r="A1919" s="2" t="s">
        <v>3930</v>
      </c>
      <c r="B1919" s="2" t="s">
        <v>5</v>
      </c>
      <c r="C1919" s="2" t="s">
        <v>3931</v>
      </c>
      <c r="D1919" s="2" t="s">
        <v>3875</v>
      </c>
      <c r="E1919" s="2" t="str">
        <f>HYPERLINK("https://talan.bank.gov.ua/get-user-certificate/sec1eJF_P23_5rI_Pgps","Завантажити сертифікат")</f>
        <v>Завантажити сертифікат</v>
      </c>
    </row>
    <row r="1920" spans="1:5" x14ac:dyDescent="0.3">
      <c r="A1920" s="2" t="s">
        <v>3932</v>
      </c>
      <c r="B1920" s="2" t="s">
        <v>5</v>
      </c>
      <c r="C1920" s="2" t="s">
        <v>3933</v>
      </c>
      <c r="D1920" s="2" t="s">
        <v>3875</v>
      </c>
      <c r="E1920" s="2" t="str">
        <f>HYPERLINK("https://talan.bank.gov.ua/get-user-certificate/sec1eF2Y-71AiXCiD1Id","Завантажити сертифікат")</f>
        <v>Завантажити сертифікат</v>
      </c>
    </row>
    <row r="1921" spans="1:5" x14ac:dyDescent="0.3">
      <c r="A1921" s="2" t="s">
        <v>3934</v>
      </c>
      <c r="B1921" s="2" t="s">
        <v>5</v>
      </c>
      <c r="C1921" s="2" t="s">
        <v>3935</v>
      </c>
      <c r="D1921" s="2" t="s">
        <v>3875</v>
      </c>
      <c r="E1921" s="2" t="str">
        <f>HYPERLINK("https://talan.bank.gov.ua/get-user-certificate/sec1eTgPt0CA1TEomaQl","Завантажити сертифікат")</f>
        <v>Завантажити сертифікат</v>
      </c>
    </row>
    <row r="1922" spans="1:5" x14ac:dyDescent="0.3">
      <c r="A1922" s="2" t="s">
        <v>3936</v>
      </c>
      <c r="B1922" s="2" t="s">
        <v>5</v>
      </c>
      <c r="C1922" s="2" t="s">
        <v>3937</v>
      </c>
      <c r="D1922" s="2" t="s">
        <v>3875</v>
      </c>
      <c r="E1922" s="2" t="str">
        <f>HYPERLINK("https://talan.bank.gov.ua/get-user-certificate/sec1eDtgSpkQjtpDFkgx","Завантажити сертифікат")</f>
        <v>Завантажити сертифікат</v>
      </c>
    </row>
    <row r="1923" spans="1:5" x14ac:dyDescent="0.3">
      <c r="A1923" s="2" t="s">
        <v>3938</v>
      </c>
      <c r="B1923" s="2" t="s">
        <v>5</v>
      </c>
      <c r="C1923" s="2" t="s">
        <v>3939</v>
      </c>
      <c r="D1923" s="2" t="s">
        <v>3875</v>
      </c>
      <c r="E1923" s="2" t="str">
        <f>HYPERLINK("https://talan.bank.gov.ua/get-user-certificate/sec1e7SxXUIrxkIA9K72","Завантажити сертифікат")</f>
        <v>Завантажити сертифікат</v>
      </c>
    </row>
    <row r="1924" spans="1:5" x14ac:dyDescent="0.3">
      <c r="A1924" s="2" t="s">
        <v>3940</v>
      </c>
      <c r="B1924" s="2" t="s">
        <v>5</v>
      </c>
      <c r="C1924" s="2" t="s">
        <v>3941</v>
      </c>
      <c r="D1924" s="2" t="s">
        <v>3875</v>
      </c>
      <c r="E1924" s="2" t="str">
        <f>HYPERLINK("https://talan.bank.gov.ua/get-user-certificate/sec1et8wuLn_tknq5olW","Завантажити сертифікат")</f>
        <v>Завантажити сертифікат</v>
      </c>
    </row>
    <row r="1925" spans="1:5" x14ac:dyDescent="0.3">
      <c r="A1925" s="2" t="s">
        <v>3942</v>
      </c>
      <c r="B1925" s="2" t="s">
        <v>5</v>
      </c>
      <c r="C1925" s="2" t="s">
        <v>3943</v>
      </c>
      <c r="D1925" s="2" t="s">
        <v>3875</v>
      </c>
      <c r="E1925" s="2" t="str">
        <f>HYPERLINK("https://talan.bank.gov.ua/get-user-certificate/sec1eMVtHr9U7rXT69gB","Завантажити сертифікат")</f>
        <v>Завантажити сертифікат</v>
      </c>
    </row>
    <row r="1926" spans="1:5" x14ac:dyDescent="0.3">
      <c r="A1926" s="2" t="s">
        <v>3944</v>
      </c>
      <c r="B1926" s="2" t="s">
        <v>5</v>
      </c>
      <c r="C1926" s="2" t="s">
        <v>3945</v>
      </c>
      <c r="D1926" s="2" t="s">
        <v>3875</v>
      </c>
      <c r="E1926" s="2" t="str">
        <f>HYPERLINK("https://talan.bank.gov.ua/get-user-certificate/sec1eNlkVvANNKch3zu9","Завантажити сертифікат")</f>
        <v>Завантажити сертифікат</v>
      </c>
    </row>
    <row r="1927" spans="1:5" x14ac:dyDescent="0.3">
      <c r="A1927" s="2" t="s">
        <v>3946</v>
      </c>
      <c r="B1927" s="2" t="s">
        <v>5</v>
      </c>
      <c r="C1927" s="2" t="s">
        <v>3947</v>
      </c>
      <c r="D1927" s="2" t="s">
        <v>3875</v>
      </c>
      <c r="E1927" s="2" t="str">
        <f>HYPERLINK("https://talan.bank.gov.ua/get-user-certificate/sec1eKImx27uJ1gZ0BPf","Завантажити сертифікат")</f>
        <v>Завантажити сертифікат</v>
      </c>
    </row>
    <row r="1928" spans="1:5" x14ac:dyDescent="0.3">
      <c r="A1928" s="2" t="s">
        <v>3948</v>
      </c>
      <c r="B1928" s="2" t="s">
        <v>5</v>
      </c>
      <c r="C1928" s="2" t="s">
        <v>3949</v>
      </c>
      <c r="D1928" s="2" t="s">
        <v>3875</v>
      </c>
      <c r="E1928" s="2" t="str">
        <f>HYPERLINK("https://talan.bank.gov.ua/get-user-certificate/sec1exj97m0YkPVJW84j","Завантажити сертифікат")</f>
        <v>Завантажити сертифікат</v>
      </c>
    </row>
    <row r="1929" spans="1:5" x14ac:dyDescent="0.3">
      <c r="A1929" s="2" t="s">
        <v>3950</v>
      </c>
      <c r="B1929" s="2" t="s">
        <v>5</v>
      </c>
      <c r="C1929" s="2" t="s">
        <v>3951</v>
      </c>
      <c r="D1929" s="2" t="s">
        <v>3875</v>
      </c>
      <c r="E1929" s="2" t="str">
        <f>HYPERLINK("https://talan.bank.gov.ua/get-user-certificate/sec1e2YhLH0pmjTFZPqu","Завантажити сертифікат")</f>
        <v>Завантажити сертифікат</v>
      </c>
    </row>
    <row r="1930" spans="1:5" x14ac:dyDescent="0.3">
      <c r="A1930" s="2" t="s">
        <v>3952</v>
      </c>
      <c r="B1930" s="2" t="s">
        <v>5</v>
      </c>
      <c r="C1930" s="2" t="s">
        <v>3953</v>
      </c>
      <c r="D1930" s="2" t="s">
        <v>3875</v>
      </c>
      <c r="E1930" s="2" t="str">
        <f>HYPERLINK("https://talan.bank.gov.ua/get-user-certificate/sec1eClCErVcYEO1qYyj","Завантажити сертифікат")</f>
        <v>Завантажити сертифікат</v>
      </c>
    </row>
    <row r="1931" spans="1:5" x14ac:dyDescent="0.3">
      <c r="A1931" s="2" t="s">
        <v>3954</v>
      </c>
      <c r="B1931" s="2" t="s">
        <v>5</v>
      </c>
      <c r="C1931" s="2" t="s">
        <v>3955</v>
      </c>
      <c r="D1931" s="2" t="s">
        <v>3875</v>
      </c>
      <c r="E1931" s="2" t="str">
        <f>HYPERLINK("https://talan.bank.gov.ua/get-user-certificate/sec1eVJz3PQWc_V2WCMM","Завантажити сертифікат")</f>
        <v>Завантажити сертифікат</v>
      </c>
    </row>
    <row r="1932" spans="1:5" x14ac:dyDescent="0.3">
      <c r="A1932" s="2" t="s">
        <v>3956</v>
      </c>
      <c r="B1932" s="2" t="s">
        <v>5</v>
      </c>
      <c r="C1932" s="2" t="s">
        <v>3957</v>
      </c>
      <c r="D1932" s="2" t="s">
        <v>3875</v>
      </c>
      <c r="E1932" s="2" t="str">
        <f>HYPERLINK("https://talan.bank.gov.ua/get-user-certificate/sec1eTv1xuOwCUi_hzN9","Завантажити сертифікат")</f>
        <v>Завантажити сертифікат</v>
      </c>
    </row>
    <row r="1933" spans="1:5" x14ac:dyDescent="0.3">
      <c r="A1933" s="2" t="s">
        <v>3958</v>
      </c>
      <c r="B1933" s="2" t="s">
        <v>5</v>
      </c>
      <c r="C1933" s="2" t="s">
        <v>3959</v>
      </c>
      <c r="D1933" s="2" t="s">
        <v>3875</v>
      </c>
      <c r="E1933" s="2" t="str">
        <f>HYPERLINK("https://talan.bank.gov.ua/get-user-certificate/sec1eyMw9kCdwMY3TyUn","Завантажити сертифікат")</f>
        <v>Завантажити сертифікат</v>
      </c>
    </row>
    <row r="1934" spans="1:5" x14ac:dyDescent="0.3">
      <c r="A1934" s="2" t="s">
        <v>3960</v>
      </c>
      <c r="B1934" s="2" t="s">
        <v>5</v>
      </c>
      <c r="C1934" s="2" t="s">
        <v>3961</v>
      </c>
      <c r="D1934" s="2" t="s">
        <v>3875</v>
      </c>
      <c r="E1934" s="2" t="str">
        <f>HYPERLINK("https://talan.bank.gov.ua/get-user-certificate/sec1e_XW5zbQDM-JpIh0","Завантажити сертифікат")</f>
        <v>Завантажити сертифікат</v>
      </c>
    </row>
    <row r="1935" spans="1:5" x14ac:dyDescent="0.3">
      <c r="A1935" s="2" t="s">
        <v>3962</v>
      </c>
      <c r="B1935" s="2" t="s">
        <v>5</v>
      </c>
      <c r="C1935" s="2" t="s">
        <v>3963</v>
      </c>
      <c r="D1935" s="2" t="s">
        <v>3875</v>
      </c>
      <c r="E1935" s="2" t="str">
        <f>HYPERLINK("https://talan.bank.gov.ua/get-user-certificate/sec1eVsLW-n4ITDBToGD","Завантажити сертифікат")</f>
        <v>Завантажити сертифікат</v>
      </c>
    </row>
    <row r="1936" spans="1:5" x14ac:dyDescent="0.3">
      <c r="A1936" s="2" t="s">
        <v>3964</v>
      </c>
      <c r="B1936" s="2" t="s">
        <v>5</v>
      </c>
      <c r="C1936" s="2" t="s">
        <v>3965</v>
      </c>
      <c r="D1936" s="2" t="s">
        <v>3875</v>
      </c>
      <c r="E1936" s="2" t="str">
        <f>HYPERLINK("https://talan.bank.gov.ua/get-user-certificate/sec1eyc7-96ukgzr7eWJ","Завантажити сертифікат")</f>
        <v>Завантажити сертифікат</v>
      </c>
    </row>
    <row r="1937" spans="1:5" x14ac:dyDescent="0.3">
      <c r="A1937" s="2" t="s">
        <v>3966</v>
      </c>
      <c r="B1937" s="2" t="s">
        <v>5</v>
      </c>
      <c r="C1937" s="2" t="s">
        <v>1796</v>
      </c>
      <c r="D1937" s="2" t="s">
        <v>3875</v>
      </c>
      <c r="E1937" s="2" t="str">
        <f>HYPERLINK("https://talan.bank.gov.ua/get-user-certificate/sec1eBXFHzfg2g6sSY0h","Завантажити сертифікат")</f>
        <v>Завантажити сертифікат</v>
      </c>
    </row>
    <row r="1938" spans="1:5" x14ac:dyDescent="0.3">
      <c r="A1938" s="2" t="s">
        <v>3967</v>
      </c>
      <c r="B1938" s="2" t="s">
        <v>5</v>
      </c>
      <c r="C1938" s="2" t="s">
        <v>3968</v>
      </c>
      <c r="D1938" s="2" t="s">
        <v>3875</v>
      </c>
      <c r="E1938" s="2" t="str">
        <f>HYPERLINK("https://talan.bank.gov.ua/get-user-certificate/sec1e2UboXW8SvdaoIac","Завантажити сертифікат")</f>
        <v>Завантажити сертифікат</v>
      </c>
    </row>
    <row r="1939" spans="1:5" x14ac:dyDescent="0.3">
      <c r="A1939" s="2" t="s">
        <v>3969</v>
      </c>
      <c r="B1939" s="2" t="s">
        <v>5</v>
      </c>
      <c r="C1939" s="2" t="s">
        <v>3970</v>
      </c>
      <c r="D1939" s="2" t="s">
        <v>3875</v>
      </c>
      <c r="E1939" s="2" t="str">
        <f>HYPERLINK("https://talan.bank.gov.ua/get-user-certificate/sec1e6Ah3mYJQPj8ruj7","Завантажити сертифікат")</f>
        <v>Завантажити сертифікат</v>
      </c>
    </row>
    <row r="1940" spans="1:5" x14ac:dyDescent="0.3">
      <c r="A1940" s="2" t="s">
        <v>3971</v>
      </c>
      <c r="B1940" s="2" t="s">
        <v>5</v>
      </c>
      <c r="C1940" s="2" t="s">
        <v>3972</v>
      </c>
      <c r="D1940" s="2" t="s">
        <v>3875</v>
      </c>
      <c r="E1940" s="2" t="str">
        <f>HYPERLINK("https://talan.bank.gov.ua/get-user-certificate/sec1e9EAM2m2k_WD9DtK","Завантажити сертифікат")</f>
        <v>Завантажити сертифікат</v>
      </c>
    </row>
    <row r="1941" spans="1:5" x14ac:dyDescent="0.3">
      <c r="A1941" s="2" t="s">
        <v>3973</v>
      </c>
      <c r="B1941" s="2" t="s">
        <v>5</v>
      </c>
      <c r="C1941" s="2" t="s">
        <v>3974</v>
      </c>
      <c r="D1941" s="2" t="s">
        <v>3875</v>
      </c>
      <c r="E1941" s="2" t="str">
        <f>HYPERLINK("https://talan.bank.gov.ua/get-user-certificate/sec1e2Xue37jInMF_r_w","Завантажити сертифікат")</f>
        <v>Завантажити сертифікат</v>
      </c>
    </row>
    <row r="1942" spans="1:5" x14ac:dyDescent="0.3">
      <c r="A1942" s="2" t="s">
        <v>3975</v>
      </c>
      <c r="B1942" s="2" t="s">
        <v>5</v>
      </c>
      <c r="C1942" s="2" t="s">
        <v>3976</v>
      </c>
      <c r="D1942" s="2" t="s">
        <v>3875</v>
      </c>
      <c r="E1942" s="2" t="str">
        <f>HYPERLINK("https://talan.bank.gov.ua/get-user-certificate/sec1e7vSkA8VELqLbrL7","Завантажити сертифікат")</f>
        <v>Завантажити сертифікат</v>
      </c>
    </row>
    <row r="1943" spans="1:5" x14ac:dyDescent="0.3">
      <c r="A1943" s="2" t="s">
        <v>3977</v>
      </c>
      <c r="B1943" s="2" t="s">
        <v>5</v>
      </c>
      <c r="C1943" s="2" t="s">
        <v>3978</v>
      </c>
      <c r="D1943" s="2" t="s">
        <v>3875</v>
      </c>
      <c r="E1943" s="2" t="str">
        <f>HYPERLINK("https://talan.bank.gov.ua/get-user-certificate/sec1eMFDFAg86V7LT-Q0","Завантажити сертифікат")</f>
        <v>Завантажити сертифікат</v>
      </c>
    </row>
    <row r="1944" spans="1:5" x14ac:dyDescent="0.3">
      <c r="A1944" s="2" t="s">
        <v>3979</v>
      </c>
      <c r="B1944" s="2" t="s">
        <v>5</v>
      </c>
      <c r="C1944" s="2" t="s">
        <v>3980</v>
      </c>
      <c r="D1944" s="2" t="s">
        <v>3875</v>
      </c>
      <c r="E1944" s="2" t="str">
        <f>HYPERLINK("https://talan.bank.gov.ua/get-user-certificate/sec1ezgIGqotWJQa5cNU","Завантажити сертифікат")</f>
        <v>Завантажити сертифікат</v>
      </c>
    </row>
    <row r="1945" spans="1:5" x14ac:dyDescent="0.3">
      <c r="A1945" s="2" t="s">
        <v>3981</v>
      </c>
      <c r="B1945" s="2" t="s">
        <v>5</v>
      </c>
      <c r="C1945" s="2" t="s">
        <v>3982</v>
      </c>
      <c r="D1945" s="2" t="s">
        <v>3983</v>
      </c>
      <c r="E1945" s="2" t="str">
        <f>HYPERLINK("https://talan.bank.gov.ua/get-user-certificate/sec1e5FZHovTa4uzrbdS","Завантажити сертифікат")</f>
        <v>Завантажити сертифікат</v>
      </c>
    </row>
    <row r="1946" spans="1:5" x14ac:dyDescent="0.3">
      <c r="A1946" s="2" t="s">
        <v>3984</v>
      </c>
      <c r="B1946" s="2" t="s">
        <v>5</v>
      </c>
      <c r="C1946" s="2" t="s">
        <v>3985</v>
      </c>
      <c r="D1946" s="2" t="s">
        <v>3983</v>
      </c>
      <c r="E1946" s="2" t="str">
        <f>HYPERLINK("https://talan.bank.gov.ua/get-user-certificate/sec1emHbB1GN5aobNP20","Завантажити сертифікат")</f>
        <v>Завантажити сертифікат</v>
      </c>
    </row>
    <row r="1947" spans="1:5" x14ac:dyDescent="0.3">
      <c r="A1947" s="2" t="s">
        <v>3986</v>
      </c>
      <c r="B1947" s="2" t="s">
        <v>5</v>
      </c>
      <c r="C1947" s="2" t="s">
        <v>3987</v>
      </c>
      <c r="D1947" s="2" t="s">
        <v>3983</v>
      </c>
      <c r="E1947" s="2" t="str">
        <f>HYPERLINK("https://talan.bank.gov.ua/get-user-certificate/sec1e9HagW4Pg9vUmxVS","Завантажити сертифікат")</f>
        <v>Завантажити сертифікат</v>
      </c>
    </row>
    <row r="1948" spans="1:5" x14ac:dyDescent="0.3">
      <c r="A1948" s="2" t="s">
        <v>3988</v>
      </c>
      <c r="B1948" s="2" t="s">
        <v>5</v>
      </c>
      <c r="C1948" s="2" t="s">
        <v>3989</v>
      </c>
      <c r="D1948" s="2" t="s">
        <v>3983</v>
      </c>
      <c r="E1948" s="2" t="str">
        <f>HYPERLINK("https://talan.bank.gov.ua/get-user-certificate/sec1eVMg9pfjlBaCJMN5","Завантажити сертифікат")</f>
        <v>Завантажити сертифікат</v>
      </c>
    </row>
    <row r="1949" spans="1:5" x14ac:dyDescent="0.3">
      <c r="A1949" s="2" t="s">
        <v>3990</v>
      </c>
      <c r="B1949" s="2" t="s">
        <v>5</v>
      </c>
      <c r="C1949" s="2" t="s">
        <v>3991</v>
      </c>
      <c r="D1949" s="2" t="s">
        <v>3983</v>
      </c>
      <c r="E1949" s="2" t="str">
        <f>HYPERLINK("https://talan.bank.gov.ua/get-user-certificate/sec1exacHCOcc61f8mfx","Завантажити сертифікат")</f>
        <v>Завантажити сертифікат</v>
      </c>
    </row>
    <row r="1950" spans="1:5" x14ac:dyDescent="0.3">
      <c r="A1950" s="2" t="s">
        <v>3992</v>
      </c>
      <c r="B1950" s="2" t="s">
        <v>5</v>
      </c>
      <c r="C1950" s="2" t="s">
        <v>3993</v>
      </c>
      <c r="D1950" s="2" t="s">
        <v>3983</v>
      </c>
      <c r="E1950" s="2" t="str">
        <f>HYPERLINK("https://talan.bank.gov.ua/get-user-certificate/sec1ehXGBrPCeON2oe6y","Завантажити сертифікат")</f>
        <v>Завантажити сертифікат</v>
      </c>
    </row>
    <row r="1951" spans="1:5" x14ac:dyDescent="0.3">
      <c r="A1951" s="2" t="s">
        <v>3994</v>
      </c>
      <c r="B1951" s="2" t="s">
        <v>5</v>
      </c>
      <c r="C1951" s="2" t="s">
        <v>3995</v>
      </c>
      <c r="D1951" s="2" t="s">
        <v>3983</v>
      </c>
      <c r="E1951" s="2" t="str">
        <f>HYPERLINK("https://talan.bank.gov.ua/get-user-certificate/sec1eckRQiz-vnnLmuNr","Завантажити сертифікат")</f>
        <v>Завантажити сертифікат</v>
      </c>
    </row>
    <row r="1952" spans="1:5" x14ac:dyDescent="0.3">
      <c r="A1952" s="2" t="s">
        <v>3996</v>
      </c>
      <c r="B1952" s="2" t="s">
        <v>5</v>
      </c>
      <c r="C1952" s="2" t="s">
        <v>3997</v>
      </c>
      <c r="D1952" s="2" t="s">
        <v>3983</v>
      </c>
      <c r="E1952" s="2" t="str">
        <f>HYPERLINK("https://talan.bank.gov.ua/get-user-certificate/sec1eRK9SshQo8Uoerfw","Завантажити сертифікат")</f>
        <v>Завантажити сертифікат</v>
      </c>
    </row>
    <row r="1953" spans="1:5" x14ac:dyDescent="0.3">
      <c r="A1953" s="2" t="s">
        <v>3998</v>
      </c>
      <c r="B1953" s="2" t="s">
        <v>5</v>
      </c>
      <c r="C1953" s="2" t="s">
        <v>3999</v>
      </c>
      <c r="D1953" s="2" t="s">
        <v>3983</v>
      </c>
      <c r="E1953" s="2" t="str">
        <f>HYPERLINK("https://talan.bank.gov.ua/get-user-certificate/sec1eYPXiq-Pb7aaUHH5","Завантажити сертифікат")</f>
        <v>Завантажити сертифікат</v>
      </c>
    </row>
    <row r="1954" spans="1:5" x14ac:dyDescent="0.3">
      <c r="A1954" s="2" t="s">
        <v>4000</v>
      </c>
      <c r="B1954" s="2" t="s">
        <v>5</v>
      </c>
      <c r="C1954" s="2" t="s">
        <v>4001</v>
      </c>
      <c r="D1954" s="2" t="s">
        <v>3983</v>
      </c>
      <c r="E1954" s="2" t="str">
        <f>HYPERLINK("https://talan.bank.gov.ua/get-user-certificate/sec1eTEBK68aDMj3CO-0","Завантажити сертифікат")</f>
        <v>Завантажити сертифікат</v>
      </c>
    </row>
    <row r="1955" spans="1:5" x14ac:dyDescent="0.3">
      <c r="A1955" s="2" t="s">
        <v>4002</v>
      </c>
      <c r="B1955" s="2" t="s">
        <v>5</v>
      </c>
      <c r="C1955" s="2" t="s">
        <v>4003</v>
      </c>
      <c r="D1955" s="2" t="s">
        <v>3983</v>
      </c>
      <c r="E1955" s="2" t="str">
        <f>HYPERLINK("https://talan.bank.gov.ua/get-user-certificate/sec1eRx0i1M1OsAyanjn","Завантажити сертифікат")</f>
        <v>Завантажити сертифікат</v>
      </c>
    </row>
    <row r="1956" spans="1:5" x14ac:dyDescent="0.3">
      <c r="A1956" s="2" t="s">
        <v>4004</v>
      </c>
      <c r="B1956" s="2" t="s">
        <v>5</v>
      </c>
      <c r="C1956" s="2" t="s">
        <v>4005</v>
      </c>
      <c r="D1956" s="2" t="s">
        <v>3983</v>
      </c>
      <c r="E1956" s="2" t="str">
        <f>HYPERLINK("https://talan.bank.gov.ua/get-user-certificate/sec1ea7cLX4w8A17kUI_","Завантажити сертифікат")</f>
        <v>Завантажити сертифікат</v>
      </c>
    </row>
    <row r="1957" spans="1:5" x14ac:dyDescent="0.3">
      <c r="A1957" s="2" t="s">
        <v>4006</v>
      </c>
      <c r="B1957" s="2" t="s">
        <v>5</v>
      </c>
      <c r="C1957" s="2" t="s">
        <v>4007</v>
      </c>
      <c r="D1957" s="2" t="s">
        <v>3983</v>
      </c>
      <c r="E1957" s="2" t="str">
        <f>HYPERLINK("https://talan.bank.gov.ua/get-user-certificate/sec1e55P5HBWSTXdsFeb","Завантажити сертифікат")</f>
        <v>Завантажити сертифікат</v>
      </c>
    </row>
    <row r="1958" spans="1:5" x14ac:dyDescent="0.3">
      <c r="A1958" s="2" t="s">
        <v>4008</v>
      </c>
      <c r="B1958" s="2" t="s">
        <v>5</v>
      </c>
      <c r="C1958" s="2" t="s">
        <v>4009</v>
      </c>
      <c r="D1958" s="2" t="s">
        <v>3983</v>
      </c>
      <c r="E1958" s="2" t="str">
        <f>HYPERLINK("https://talan.bank.gov.ua/get-user-certificate/sec1eOP0WtxIOFACHi4w","Завантажити сертифікат")</f>
        <v>Завантажити сертифікат</v>
      </c>
    </row>
    <row r="1959" spans="1:5" x14ac:dyDescent="0.3">
      <c r="A1959" s="2" t="s">
        <v>4010</v>
      </c>
      <c r="B1959" s="2" t="s">
        <v>5</v>
      </c>
      <c r="C1959" s="2" t="s">
        <v>4011</v>
      </c>
      <c r="D1959" s="2" t="s">
        <v>3983</v>
      </c>
      <c r="E1959" s="2" t="str">
        <f>HYPERLINK("https://talan.bank.gov.ua/get-user-certificate/sec1ekEamdKbix6GZSPl","Завантажити сертифікат")</f>
        <v>Завантажити сертифікат</v>
      </c>
    </row>
    <row r="1960" spans="1:5" x14ac:dyDescent="0.3">
      <c r="A1960" s="2" t="s">
        <v>4012</v>
      </c>
      <c r="B1960" s="2" t="s">
        <v>5</v>
      </c>
      <c r="C1960" s="2" t="s">
        <v>4013</v>
      </c>
      <c r="D1960" s="2" t="s">
        <v>3983</v>
      </c>
      <c r="E1960" s="2" t="str">
        <f>HYPERLINK("https://talan.bank.gov.ua/get-user-certificate/sec1eeoAU2JMLg-zhjjr","Завантажити сертифікат")</f>
        <v>Завантажити сертифікат</v>
      </c>
    </row>
    <row r="1961" spans="1:5" x14ac:dyDescent="0.3">
      <c r="A1961" s="2" t="s">
        <v>4014</v>
      </c>
      <c r="B1961" s="2" t="s">
        <v>5</v>
      </c>
      <c r="C1961" s="2" t="s">
        <v>4015</v>
      </c>
      <c r="D1961" s="2" t="s">
        <v>3983</v>
      </c>
      <c r="E1961" s="2" t="str">
        <f>HYPERLINK("https://talan.bank.gov.ua/get-user-certificate/sec1eC3zKgPUY7-dXmkd","Завантажити сертифікат")</f>
        <v>Завантажити сертифікат</v>
      </c>
    </row>
    <row r="1962" spans="1:5" x14ac:dyDescent="0.3">
      <c r="A1962" s="2" t="s">
        <v>4016</v>
      </c>
      <c r="B1962" s="2" t="s">
        <v>5</v>
      </c>
      <c r="C1962" s="2" t="s">
        <v>4017</v>
      </c>
      <c r="D1962" s="2" t="s">
        <v>3983</v>
      </c>
      <c r="E1962" s="2" t="str">
        <f>HYPERLINK("https://talan.bank.gov.ua/get-user-certificate/sec1eRcb4_-wx0TpZQQp","Завантажити сертифікат")</f>
        <v>Завантажити сертифікат</v>
      </c>
    </row>
    <row r="1963" spans="1:5" x14ac:dyDescent="0.3">
      <c r="A1963" s="2" t="s">
        <v>4018</v>
      </c>
      <c r="B1963" s="2" t="s">
        <v>5</v>
      </c>
      <c r="C1963" s="2" t="s">
        <v>4019</v>
      </c>
      <c r="D1963" s="2" t="s">
        <v>3983</v>
      </c>
      <c r="E1963" s="2" t="str">
        <f>HYPERLINK("https://talan.bank.gov.ua/get-user-certificate/sec1eVz2ZkHNT5NBfg4X","Завантажити сертифікат")</f>
        <v>Завантажити сертифікат</v>
      </c>
    </row>
    <row r="1964" spans="1:5" x14ac:dyDescent="0.3">
      <c r="A1964" s="2" t="s">
        <v>4020</v>
      </c>
      <c r="B1964" s="2" t="s">
        <v>5</v>
      </c>
      <c r="C1964" s="2" t="s">
        <v>4021</v>
      </c>
      <c r="D1964" s="2" t="s">
        <v>3983</v>
      </c>
      <c r="E1964" s="2" t="str">
        <f>HYPERLINK("https://talan.bank.gov.ua/get-user-certificate/sec1e5jm2xuIHgfAkizG","Завантажити сертифікат")</f>
        <v>Завантажити сертифікат</v>
      </c>
    </row>
    <row r="1965" spans="1:5" x14ac:dyDescent="0.3">
      <c r="A1965" s="2" t="s">
        <v>4022</v>
      </c>
      <c r="B1965" s="2" t="s">
        <v>5</v>
      </c>
      <c r="C1965" s="2" t="s">
        <v>4023</v>
      </c>
      <c r="D1965" s="2" t="s">
        <v>3983</v>
      </c>
      <c r="E1965" s="2" t="str">
        <f>HYPERLINK("https://talan.bank.gov.ua/get-user-certificate/sec1eRQYaqbepU0rEKKY","Завантажити сертифікат")</f>
        <v>Завантажити сертифікат</v>
      </c>
    </row>
    <row r="1966" spans="1:5" x14ac:dyDescent="0.3">
      <c r="A1966" s="2" t="s">
        <v>4024</v>
      </c>
      <c r="B1966" s="2" t="s">
        <v>5</v>
      </c>
      <c r="C1966" s="2" t="s">
        <v>4025</v>
      </c>
      <c r="D1966" s="2" t="s">
        <v>3983</v>
      </c>
      <c r="E1966" s="2" t="str">
        <f>HYPERLINK("https://talan.bank.gov.ua/get-user-certificate/sec1ePcMC5a1WVi7ZnS-","Завантажити сертифікат")</f>
        <v>Завантажити сертифікат</v>
      </c>
    </row>
    <row r="1967" spans="1:5" x14ac:dyDescent="0.3">
      <c r="A1967" s="2" t="s">
        <v>4026</v>
      </c>
      <c r="B1967" s="2" t="s">
        <v>5</v>
      </c>
      <c r="C1967" s="2" t="s">
        <v>4027</v>
      </c>
      <c r="D1967" s="2" t="s">
        <v>3983</v>
      </c>
      <c r="E1967" s="2" t="str">
        <f>HYPERLINK("https://talan.bank.gov.ua/get-user-certificate/sec1eUjnZoTfwCsrCLg0","Завантажити сертифікат")</f>
        <v>Завантажити сертифікат</v>
      </c>
    </row>
    <row r="1968" spans="1:5" x14ac:dyDescent="0.3">
      <c r="A1968" s="2" t="s">
        <v>4028</v>
      </c>
      <c r="B1968" s="2" t="s">
        <v>5</v>
      </c>
      <c r="C1968" s="2" t="s">
        <v>4029</v>
      </c>
      <c r="D1968" s="2" t="s">
        <v>3983</v>
      </c>
      <c r="E1968" s="2" t="str">
        <f>HYPERLINK("https://talan.bank.gov.ua/get-user-certificate/sec1eY6AG3OI6nwJqPKl","Завантажити сертифікат")</f>
        <v>Завантажити сертифікат</v>
      </c>
    </row>
    <row r="1969" spans="1:5" x14ac:dyDescent="0.3">
      <c r="A1969" s="2" t="s">
        <v>4030</v>
      </c>
      <c r="B1969" s="2" t="s">
        <v>5</v>
      </c>
      <c r="C1969" s="2" t="s">
        <v>4031</v>
      </c>
      <c r="D1969" s="2" t="s">
        <v>3983</v>
      </c>
      <c r="E1969" s="2" t="str">
        <f>HYPERLINK("https://talan.bank.gov.ua/get-user-certificate/sec1elMissvjspGZ8xO9","Завантажити сертифікат")</f>
        <v>Завантажити сертифікат</v>
      </c>
    </row>
    <row r="1970" spans="1:5" x14ac:dyDescent="0.3">
      <c r="A1970" s="2" t="s">
        <v>4032</v>
      </c>
      <c r="B1970" s="2" t="s">
        <v>5</v>
      </c>
      <c r="C1970" s="2" t="s">
        <v>4033</v>
      </c>
      <c r="D1970" s="2" t="s">
        <v>3983</v>
      </c>
      <c r="E1970" s="2" t="str">
        <f>HYPERLINK("https://talan.bank.gov.ua/get-user-certificate/sec1e0vnYS68yhpwVpv7","Завантажити сертифікат")</f>
        <v>Завантажити сертифікат</v>
      </c>
    </row>
    <row r="1971" spans="1:5" x14ac:dyDescent="0.3">
      <c r="A1971" s="2" t="s">
        <v>4034</v>
      </c>
      <c r="B1971" s="2" t="s">
        <v>5</v>
      </c>
      <c r="C1971" s="2" t="s">
        <v>4035</v>
      </c>
      <c r="D1971" s="2" t="s">
        <v>3983</v>
      </c>
      <c r="E1971" s="2" t="str">
        <f>HYPERLINK("https://talan.bank.gov.ua/get-user-certificate/sec1eFK0noB8UfUQeyFi","Завантажити сертифікат")</f>
        <v>Завантажити сертифікат</v>
      </c>
    </row>
    <row r="1972" spans="1:5" x14ac:dyDescent="0.3">
      <c r="A1972" s="2" t="s">
        <v>4036</v>
      </c>
      <c r="B1972" s="2" t="s">
        <v>5</v>
      </c>
      <c r="C1972" s="2" t="s">
        <v>4037</v>
      </c>
      <c r="D1972" s="2" t="s">
        <v>3983</v>
      </c>
      <c r="E1972" s="2" t="str">
        <f>HYPERLINK("https://talan.bank.gov.ua/get-user-certificate/sec1edlI0cyZZN-Z-XWi","Завантажити сертифікат")</f>
        <v>Завантажити сертифікат</v>
      </c>
    </row>
    <row r="1973" spans="1:5" x14ac:dyDescent="0.3">
      <c r="A1973" s="2" t="s">
        <v>4038</v>
      </c>
      <c r="B1973" s="2" t="s">
        <v>5</v>
      </c>
      <c r="C1973" s="2" t="s">
        <v>4039</v>
      </c>
      <c r="D1973" s="2" t="s">
        <v>3983</v>
      </c>
      <c r="E1973" s="2" t="str">
        <f>HYPERLINK("https://talan.bank.gov.ua/get-user-certificate/sec1eUz3Re8S0HD8bonb","Завантажити сертифікат")</f>
        <v>Завантажити сертифікат</v>
      </c>
    </row>
    <row r="1974" spans="1:5" x14ac:dyDescent="0.3">
      <c r="A1974" s="2" t="s">
        <v>4040</v>
      </c>
      <c r="B1974" s="2" t="s">
        <v>5</v>
      </c>
      <c r="C1974" s="2" t="s">
        <v>4041</v>
      </c>
      <c r="D1974" s="2" t="s">
        <v>3983</v>
      </c>
      <c r="E1974" s="2" t="str">
        <f>HYPERLINK("https://talan.bank.gov.ua/get-user-certificate/sec1ekq1afkvEdsektqs","Завантажити сертифікат")</f>
        <v>Завантажити сертифікат</v>
      </c>
    </row>
    <row r="1975" spans="1:5" x14ac:dyDescent="0.3">
      <c r="A1975" s="2" t="s">
        <v>4042</v>
      </c>
      <c r="B1975" s="2" t="s">
        <v>5</v>
      </c>
      <c r="C1975" s="2" t="s">
        <v>4043</v>
      </c>
      <c r="D1975" s="2" t="s">
        <v>3983</v>
      </c>
      <c r="E1975" s="2" t="str">
        <f>HYPERLINK("https://talan.bank.gov.ua/get-user-certificate/sec1eM8q7pWKfz5QQ3Ku","Завантажити сертифікат")</f>
        <v>Завантажити сертифікат</v>
      </c>
    </row>
    <row r="1976" spans="1:5" x14ac:dyDescent="0.3">
      <c r="A1976" s="2" t="s">
        <v>4044</v>
      </c>
      <c r="B1976" s="2" t="s">
        <v>5</v>
      </c>
      <c r="C1976" s="2" t="s">
        <v>4045</v>
      </c>
      <c r="D1976" s="2" t="s">
        <v>3983</v>
      </c>
      <c r="E1976" s="2" t="str">
        <f>HYPERLINK("https://talan.bank.gov.ua/get-user-certificate/sec1exkzg28l2UZj2bZr","Завантажити сертифікат")</f>
        <v>Завантажити сертифікат</v>
      </c>
    </row>
    <row r="1977" spans="1:5" x14ac:dyDescent="0.3">
      <c r="A1977" s="2" t="s">
        <v>4046</v>
      </c>
      <c r="B1977" s="2" t="s">
        <v>5</v>
      </c>
      <c r="C1977" s="2" t="s">
        <v>4047</v>
      </c>
      <c r="D1977" s="2" t="s">
        <v>3983</v>
      </c>
      <c r="E1977" s="2" t="str">
        <f>HYPERLINK("https://talan.bank.gov.ua/get-user-certificate/sec1eQonN0o2RJ7-244O","Завантажити сертифікат")</f>
        <v>Завантажити сертифікат</v>
      </c>
    </row>
    <row r="1978" spans="1:5" x14ac:dyDescent="0.3">
      <c r="A1978" s="2" t="s">
        <v>4048</v>
      </c>
      <c r="B1978" s="2" t="s">
        <v>5</v>
      </c>
      <c r="C1978" s="2" t="s">
        <v>4049</v>
      </c>
      <c r="D1978" s="2" t="s">
        <v>3983</v>
      </c>
      <c r="E1978" s="2" t="str">
        <f>HYPERLINK("https://talan.bank.gov.ua/get-user-certificate/sec1eXziKdrm8TVjfDg7","Завантажити сертифікат")</f>
        <v>Завантажити сертифікат</v>
      </c>
    </row>
    <row r="1979" spans="1:5" x14ac:dyDescent="0.3">
      <c r="A1979" s="2" t="s">
        <v>4050</v>
      </c>
      <c r="B1979" s="2" t="s">
        <v>5</v>
      </c>
      <c r="C1979" s="2" t="s">
        <v>4051</v>
      </c>
      <c r="D1979" s="2" t="s">
        <v>3983</v>
      </c>
      <c r="E1979" s="2" t="str">
        <f>HYPERLINK("https://talan.bank.gov.ua/get-user-certificate/sec1ecRUSDSqrKgYpjRH","Завантажити сертифікат")</f>
        <v>Завантажити сертифікат</v>
      </c>
    </row>
    <row r="1980" spans="1:5" x14ac:dyDescent="0.3">
      <c r="A1980" s="2" t="s">
        <v>4052</v>
      </c>
      <c r="B1980" s="2" t="s">
        <v>5</v>
      </c>
      <c r="C1980" s="2" t="s">
        <v>4053</v>
      </c>
      <c r="D1980" s="2" t="s">
        <v>3983</v>
      </c>
      <c r="E1980" s="2" t="str">
        <f>HYPERLINK("https://talan.bank.gov.ua/get-user-certificate/sec1eMK0_665B8PK4axc","Завантажити сертифікат")</f>
        <v>Завантажити сертифікат</v>
      </c>
    </row>
    <row r="1981" spans="1:5" x14ac:dyDescent="0.3">
      <c r="A1981" s="2" t="s">
        <v>4054</v>
      </c>
      <c r="B1981" s="2" t="s">
        <v>5</v>
      </c>
      <c r="C1981" s="2" t="s">
        <v>4055</v>
      </c>
      <c r="D1981" s="2" t="s">
        <v>3983</v>
      </c>
      <c r="E1981" s="2" t="str">
        <f>HYPERLINK("https://talan.bank.gov.ua/get-user-certificate/sec1evkinJB-x_ZMr6zT","Завантажити сертифікат")</f>
        <v>Завантажити сертифікат</v>
      </c>
    </row>
    <row r="1982" spans="1:5" x14ac:dyDescent="0.3">
      <c r="A1982" s="2" t="s">
        <v>4056</v>
      </c>
      <c r="B1982" s="2" t="s">
        <v>5</v>
      </c>
      <c r="C1982" s="2" t="s">
        <v>4057</v>
      </c>
      <c r="D1982" s="2" t="s">
        <v>3983</v>
      </c>
      <c r="E1982" s="2" t="str">
        <f>HYPERLINK("https://talan.bank.gov.ua/get-user-certificate/sec1eHt3-49WiawcRZDi","Завантажити сертифікат")</f>
        <v>Завантажити сертифікат</v>
      </c>
    </row>
    <row r="1983" spans="1:5" x14ac:dyDescent="0.3">
      <c r="A1983" s="2" t="s">
        <v>4058</v>
      </c>
      <c r="B1983" s="2" t="s">
        <v>5</v>
      </c>
      <c r="C1983" s="2" t="s">
        <v>4059</v>
      </c>
      <c r="D1983" s="2" t="s">
        <v>4060</v>
      </c>
      <c r="E1983" s="2" t="str">
        <f>HYPERLINK("https://talan.bank.gov.ua/get-user-certificate/sec1eB1v57IbldSpvq1s","Завантажити сертифікат")</f>
        <v>Завантажити сертифікат</v>
      </c>
    </row>
    <row r="1984" spans="1:5" x14ac:dyDescent="0.3">
      <c r="A1984" s="2" t="s">
        <v>4061</v>
      </c>
      <c r="B1984" s="2" t="s">
        <v>5</v>
      </c>
      <c r="C1984" s="2" t="s">
        <v>4062</v>
      </c>
      <c r="D1984" s="2" t="s">
        <v>4060</v>
      </c>
      <c r="E1984" s="2" t="str">
        <f>HYPERLINK("https://talan.bank.gov.ua/get-user-certificate/sec1eRgyXwYKMNv3-D7b","Завантажити сертифікат")</f>
        <v>Завантажити сертифікат</v>
      </c>
    </row>
    <row r="1985" spans="1:5" x14ac:dyDescent="0.3">
      <c r="A1985" s="2" t="s">
        <v>4063</v>
      </c>
      <c r="B1985" s="2" t="s">
        <v>5</v>
      </c>
      <c r="C1985" s="2" t="s">
        <v>4064</v>
      </c>
      <c r="D1985" s="2" t="s">
        <v>4060</v>
      </c>
      <c r="E1985" s="2" t="str">
        <f>HYPERLINK("https://talan.bank.gov.ua/get-user-certificate/sec1eqLppYe1oTSPOTYF","Завантажити сертифікат")</f>
        <v>Завантажити сертифікат</v>
      </c>
    </row>
    <row r="1986" spans="1:5" x14ac:dyDescent="0.3">
      <c r="A1986" s="2" t="s">
        <v>4065</v>
      </c>
      <c r="B1986" s="2" t="s">
        <v>5</v>
      </c>
      <c r="C1986" s="2" t="s">
        <v>4066</v>
      </c>
      <c r="D1986" s="2" t="s">
        <v>4060</v>
      </c>
      <c r="E1986" s="2" t="str">
        <f>HYPERLINK("https://talan.bank.gov.ua/get-user-certificate/sec1eyp-DNqS8HIsJAFt","Завантажити сертифікат")</f>
        <v>Завантажити сертифікат</v>
      </c>
    </row>
    <row r="1987" spans="1:5" x14ac:dyDescent="0.3">
      <c r="A1987" s="2" t="s">
        <v>4067</v>
      </c>
      <c r="B1987" s="2" t="s">
        <v>5</v>
      </c>
      <c r="C1987" s="2" t="s">
        <v>4068</v>
      </c>
      <c r="D1987" s="2" t="s">
        <v>4060</v>
      </c>
      <c r="E1987" s="2" t="str">
        <f>HYPERLINK("https://talan.bank.gov.ua/get-user-certificate/sec1eZDhyNthemnjjh7j","Завантажити сертифікат")</f>
        <v>Завантажити сертифікат</v>
      </c>
    </row>
    <row r="1988" spans="1:5" x14ac:dyDescent="0.3">
      <c r="A1988" s="2" t="s">
        <v>4069</v>
      </c>
      <c r="B1988" s="2" t="s">
        <v>5</v>
      </c>
      <c r="C1988" s="2" t="s">
        <v>4070</v>
      </c>
      <c r="D1988" s="2" t="s">
        <v>4060</v>
      </c>
      <c r="E1988" s="2" t="str">
        <f>HYPERLINK("https://talan.bank.gov.ua/get-user-certificate/sec1etmsrumlf74xkc4O","Завантажити сертифікат")</f>
        <v>Завантажити сертифікат</v>
      </c>
    </row>
    <row r="1989" spans="1:5" x14ac:dyDescent="0.3">
      <c r="A1989" s="2" t="s">
        <v>4071</v>
      </c>
      <c r="B1989" s="2" t="s">
        <v>5</v>
      </c>
      <c r="C1989" s="2" t="s">
        <v>4072</v>
      </c>
      <c r="D1989" s="2" t="s">
        <v>4060</v>
      </c>
      <c r="E1989" s="2" t="str">
        <f>HYPERLINK("https://talan.bank.gov.ua/get-user-certificate/sec1eK5AfAfdTh_XNK5w","Завантажити сертифікат")</f>
        <v>Завантажити сертифікат</v>
      </c>
    </row>
    <row r="1990" spans="1:5" x14ac:dyDescent="0.3">
      <c r="A1990" s="2" t="s">
        <v>4073</v>
      </c>
      <c r="B1990" s="2" t="s">
        <v>5</v>
      </c>
      <c r="C1990" s="2" t="s">
        <v>4074</v>
      </c>
      <c r="D1990" s="2" t="s">
        <v>4060</v>
      </c>
      <c r="E1990" s="2" t="str">
        <f>HYPERLINK("https://talan.bank.gov.ua/get-user-certificate/sec1edXJ7RJGAu_xtWTW","Завантажити сертифікат")</f>
        <v>Завантажити сертифікат</v>
      </c>
    </row>
    <row r="1991" spans="1:5" x14ac:dyDescent="0.3">
      <c r="A1991" s="2" t="s">
        <v>4075</v>
      </c>
      <c r="B1991" s="2" t="s">
        <v>5</v>
      </c>
      <c r="C1991" s="2" t="s">
        <v>4076</v>
      </c>
      <c r="D1991" s="2" t="s">
        <v>4077</v>
      </c>
      <c r="E1991" s="2" t="str">
        <f>HYPERLINK("https://talan.bank.gov.ua/get-user-certificate/sec1elH12Nzn1dOcgdu_","Завантажити сертифікат")</f>
        <v>Завантажити сертифікат</v>
      </c>
    </row>
    <row r="1992" spans="1:5" x14ac:dyDescent="0.3">
      <c r="A1992" s="2" t="s">
        <v>4078</v>
      </c>
      <c r="B1992" s="2" t="s">
        <v>5</v>
      </c>
      <c r="C1992" s="2" t="s">
        <v>4079</v>
      </c>
      <c r="D1992" s="2" t="s">
        <v>4077</v>
      </c>
      <c r="E1992" s="2" t="str">
        <f>HYPERLINK("https://talan.bank.gov.ua/get-user-certificate/sec1eWddflXuTm6cee6C","Завантажити сертифікат")</f>
        <v>Завантажити сертифікат</v>
      </c>
    </row>
    <row r="1993" spans="1:5" x14ac:dyDescent="0.3">
      <c r="A1993" s="2" t="s">
        <v>4080</v>
      </c>
      <c r="B1993" s="2" t="s">
        <v>5</v>
      </c>
      <c r="C1993" s="2" t="s">
        <v>4081</v>
      </c>
      <c r="D1993" s="2" t="s">
        <v>4077</v>
      </c>
      <c r="E1993" s="2" t="str">
        <f>HYPERLINK("https://talan.bank.gov.ua/get-user-certificate/sec1egPWhmS-iSmyWKVc","Завантажити сертифікат")</f>
        <v>Завантажити сертифікат</v>
      </c>
    </row>
    <row r="1994" spans="1:5" x14ac:dyDescent="0.3">
      <c r="A1994" s="2" t="s">
        <v>4082</v>
      </c>
      <c r="B1994" s="2" t="s">
        <v>5</v>
      </c>
      <c r="C1994" s="2" t="s">
        <v>4083</v>
      </c>
      <c r="D1994" s="2" t="s">
        <v>4077</v>
      </c>
      <c r="E1994" s="2" t="str">
        <f>HYPERLINK("https://talan.bank.gov.ua/get-user-certificate/sec1eI8uC9DdBpLg1cq8","Завантажити сертифікат")</f>
        <v>Завантажити сертифікат</v>
      </c>
    </row>
    <row r="1995" spans="1:5" x14ac:dyDescent="0.3">
      <c r="A1995" s="2" t="s">
        <v>4084</v>
      </c>
      <c r="B1995" s="2" t="s">
        <v>5</v>
      </c>
      <c r="C1995" s="2" t="s">
        <v>4085</v>
      </c>
      <c r="D1995" s="2" t="s">
        <v>4077</v>
      </c>
      <c r="E1995" s="2" t="str">
        <f>HYPERLINK("https://talan.bank.gov.ua/get-user-certificate/sec1eIiLnf4pZxLeR2PU","Завантажити сертифікат")</f>
        <v>Завантажити сертифікат</v>
      </c>
    </row>
    <row r="1996" spans="1:5" x14ac:dyDescent="0.3">
      <c r="A1996" s="2" t="s">
        <v>4086</v>
      </c>
      <c r="B1996" s="2" t="s">
        <v>5</v>
      </c>
      <c r="C1996" s="2" t="s">
        <v>4087</v>
      </c>
      <c r="D1996" s="2" t="s">
        <v>4077</v>
      </c>
      <c r="E1996" s="2" t="str">
        <f>HYPERLINK("https://talan.bank.gov.ua/get-user-certificate/sec1eK6OLWtlp5uxY5m0","Завантажити сертифікат")</f>
        <v>Завантажити сертифікат</v>
      </c>
    </row>
    <row r="1997" spans="1:5" x14ac:dyDescent="0.3">
      <c r="A1997" s="2" t="s">
        <v>4088</v>
      </c>
      <c r="B1997" s="2" t="s">
        <v>5</v>
      </c>
      <c r="C1997" s="2" t="s">
        <v>4089</v>
      </c>
      <c r="D1997" s="2" t="s">
        <v>4077</v>
      </c>
      <c r="E1997" s="2" t="str">
        <f>HYPERLINK("https://talan.bank.gov.ua/get-user-certificate/sec1eglK3wh9maBJyg_d","Завантажити сертифікат")</f>
        <v>Завантажити сертифікат</v>
      </c>
    </row>
    <row r="1998" spans="1:5" x14ac:dyDescent="0.3">
      <c r="A1998" s="2" t="s">
        <v>4090</v>
      </c>
      <c r="B1998" s="2" t="s">
        <v>5</v>
      </c>
      <c r="C1998" s="2" t="s">
        <v>4091</v>
      </c>
      <c r="D1998" s="2" t="s">
        <v>4077</v>
      </c>
      <c r="E1998" s="2" t="str">
        <f>HYPERLINK("https://talan.bank.gov.ua/get-user-certificate/sec1eGJqoUH4m3GGFj72","Завантажити сертифікат")</f>
        <v>Завантажити сертифікат</v>
      </c>
    </row>
    <row r="1999" spans="1:5" x14ac:dyDescent="0.3">
      <c r="A1999" s="2" t="s">
        <v>4092</v>
      </c>
      <c r="B1999" s="2" t="s">
        <v>5</v>
      </c>
      <c r="C1999" s="2" t="s">
        <v>4093</v>
      </c>
      <c r="D1999" s="2" t="s">
        <v>4077</v>
      </c>
      <c r="E1999" s="2" t="str">
        <f>HYPERLINK("https://talan.bank.gov.ua/get-user-certificate/sec1eAOzz6G8hHB4trla","Завантажити сертифікат")</f>
        <v>Завантажити сертифікат</v>
      </c>
    </row>
    <row r="2000" spans="1:5" x14ac:dyDescent="0.3">
      <c r="A2000" s="2" t="s">
        <v>4094</v>
      </c>
      <c r="B2000" s="2" t="s">
        <v>5</v>
      </c>
      <c r="C2000" s="2" t="s">
        <v>4095</v>
      </c>
      <c r="D2000" s="2" t="s">
        <v>4096</v>
      </c>
      <c r="E2000" s="2" t="str">
        <f>HYPERLINK("https://talan.bank.gov.ua/get-user-certificate/sec1eeqsbyxBTTOyCCaw","Завантажити сертифікат")</f>
        <v>Завантажити сертифікат</v>
      </c>
    </row>
    <row r="2001" spans="1:5" x14ac:dyDescent="0.3">
      <c r="A2001" s="2" t="s">
        <v>4097</v>
      </c>
      <c r="B2001" s="2" t="s">
        <v>5</v>
      </c>
      <c r="C2001" s="2" t="s">
        <v>4098</v>
      </c>
      <c r="D2001" s="2" t="s">
        <v>4096</v>
      </c>
      <c r="E2001" s="2" t="str">
        <f>HYPERLINK("https://talan.bank.gov.ua/get-user-certificate/sec1eWd1kbzhNaPs5t9c","Завантажити сертифікат")</f>
        <v>Завантажити сертифікат</v>
      </c>
    </row>
    <row r="2002" spans="1:5" x14ac:dyDescent="0.3">
      <c r="A2002" s="2" t="s">
        <v>4099</v>
      </c>
      <c r="B2002" s="2" t="s">
        <v>5</v>
      </c>
      <c r="C2002" s="2" t="s">
        <v>4100</v>
      </c>
      <c r="D2002" s="2" t="s">
        <v>4096</v>
      </c>
      <c r="E2002" s="2" t="str">
        <f>HYPERLINK("https://talan.bank.gov.ua/get-user-certificate/sec1ea75ICs-yHmiVHu7","Завантажити сертифікат")</f>
        <v>Завантажити сертифікат</v>
      </c>
    </row>
    <row r="2003" spans="1:5" x14ac:dyDescent="0.3">
      <c r="A2003" s="2" t="s">
        <v>4101</v>
      </c>
      <c r="B2003" s="2" t="s">
        <v>5</v>
      </c>
      <c r="C2003" s="2" t="s">
        <v>4102</v>
      </c>
      <c r="D2003" s="2" t="s">
        <v>4096</v>
      </c>
      <c r="E2003" s="2" t="str">
        <f>HYPERLINK("https://talan.bank.gov.ua/get-user-certificate/sec1eYqJwgRw4Se5fysa","Завантажити сертифікат")</f>
        <v>Завантажити сертифікат</v>
      </c>
    </row>
    <row r="2004" spans="1:5" x14ac:dyDescent="0.3">
      <c r="A2004" s="2" t="s">
        <v>4103</v>
      </c>
      <c r="B2004" s="2" t="s">
        <v>5</v>
      </c>
      <c r="C2004" s="2" t="s">
        <v>4104</v>
      </c>
      <c r="D2004" s="2" t="s">
        <v>4096</v>
      </c>
      <c r="E2004" s="2" t="str">
        <f>HYPERLINK("https://talan.bank.gov.ua/get-user-certificate/sec1evkB2txuhCvisJYP","Завантажити сертифікат")</f>
        <v>Завантажити сертифікат</v>
      </c>
    </row>
    <row r="2005" spans="1:5" x14ac:dyDescent="0.3">
      <c r="A2005" s="2" t="s">
        <v>4105</v>
      </c>
      <c r="B2005" s="2" t="s">
        <v>5</v>
      </c>
      <c r="C2005" s="2" t="s">
        <v>4106</v>
      </c>
      <c r="D2005" s="2" t="s">
        <v>4096</v>
      </c>
      <c r="E2005" s="2" t="str">
        <f>HYPERLINK("https://talan.bank.gov.ua/get-user-certificate/sec1e1_DoiRbBLu-Gpkg","Завантажити сертифікат")</f>
        <v>Завантажити сертифікат</v>
      </c>
    </row>
    <row r="2006" spans="1:5" x14ac:dyDescent="0.3">
      <c r="A2006" s="2" t="s">
        <v>4107</v>
      </c>
      <c r="B2006" s="2" t="s">
        <v>5</v>
      </c>
      <c r="C2006" s="2" t="s">
        <v>4108</v>
      </c>
      <c r="D2006" s="2" t="s">
        <v>4096</v>
      </c>
      <c r="E2006" s="2" t="str">
        <f>HYPERLINK("https://talan.bank.gov.ua/get-user-certificate/sec1edZ2aR7a_Ncy1Egn","Завантажити сертифікат")</f>
        <v>Завантажити сертифікат</v>
      </c>
    </row>
    <row r="2007" spans="1:5" x14ac:dyDescent="0.3">
      <c r="A2007" s="2" t="s">
        <v>4109</v>
      </c>
      <c r="B2007" s="2" t="s">
        <v>5</v>
      </c>
      <c r="C2007" s="2" t="s">
        <v>4110</v>
      </c>
      <c r="D2007" s="2" t="s">
        <v>4096</v>
      </c>
      <c r="E2007" s="2" t="str">
        <f>HYPERLINK("https://talan.bank.gov.ua/get-user-certificate/sec1e5LiTXuu5srhXdBB","Завантажити сертифікат")</f>
        <v>Завантажити сертифікат</v>
      </c>
    </row>
    <row r="2008" spans="1:5" x14ac:dyDescent="0.3">
      <c r="A2008" s="2" t="s">
        <v>4111</v>
      </c>
      <c r="B2008" s="2" t="s">
        <v>5</v>
      </c>
      <c r="C2008" s="2" t="s">
        <v>4112</v>
      </c>
      <c r="D2008" s="2" t="s">
        <v>4096</v>
      </c>
      <c r="E2008" s="2" t="str">
        <f>HYPERLINK("https://talan.bank.gov.ua/get-user-certificate/sec1ev3AETm8aeI_h-q5","Завантажити сертифікат")</f>
        <v>Завантажити сертифікат</v>
      </c>
    </row>
    <row r="2009" spans="1:5" x14ac:dyDescent="0.3">
      <c r="A2009" s="2" t="s">
        <v>4113</v>
      </c>
      <c r="B2009" s="2" t="s">
        <v>5</v>
      </c>
      <c r="C2009" s="2" t="s">
        <v>4114</v>
      </c>
      <c r="D2009" s="2" t="s">
        <v>4096</v>
      </c>
      <c r="E2009" s="2" t="str">
        <f>HYPERLINK("https://talan.bank.gov.ua/get-user-certificate/sec1e7_jaBzEVrnYwDC0","Завантажити сертифікат")</f>
        <v>Завантажити сертифікат</v>
      </c>
    </row>
    <row r="2010" spans="1:5" x14ac:dyDescent="0.3">
      <c r="A2010" s="2" t="s">
        <v>4115</v>
      </c>
      <c r="B2010" s="2" t="s">
        <v>5</v>
      </c>
      <c r="C2010" s="2" t="s">
        <v>4116</v>
      </c>
      <c r="D2010" s="2" t="s">
        <v>4096</v>
      </c>
      <c r="E2010" s="2" t="str">
        <f>HYPERLINK("https://talan.bank.gov.ua/get-user-certificate/sec1e9ane2goQlwmjVOf","Завантажити сертифікат")</f>
        <v>Завантажити сертифікат</v>
      </c>
    </row>
    <row r="2011" spans="1:5" x14ac:dyDescent="0.3">
      <c r="A2011" s="2" t="s">
        <v>4117</v>
      </c>
      <c r="B2011" s="2" t="s">
        <v>5</v>
      </c>
      <c r="C2011" s="2" t="s">
        <v>4118</v>
      </c>
      <c r="D2011" s="2" t="s">
        <v>4096</v>
      </c>
      <c r="E2011" s="2" t="str">
        <f>HYPERLINK("https://talan.bank.gov.ua/get-user-certificate/sec1eucXdmcyLfHGpG5C","Завантажити сертифікат")</f>
        <v>Завантажити сертифікат</v>
      </c>
    </row>
    <row r="2012" spans="1:5" x14ac:dyDescent="0.3">
      <c r="A2012" s="2" t="s">
        <v>4119</v>
      </c>
      <c r="B2012" s="2" t="s">
        <v>5</v>
      </c>
      <c r="C2012" s="2" t="s">
        <v>4120</v>
      </c>
      <c r="D2012" s="2" t="s">
        <v>4096</v>
      </c>
      <c r="E2012" s="2" t="str">
        <f>HYPERLINK("https://talan.bank.gov.ua/get-user-certificate/sec1eezyHpaLpgzbXE9q","Завантажити сертифікат")</f>
        <v>Завантажити сертифікат</v>
      </c>
    </row>
    <row r="2013" spans="1:5" x14ac:dyDescent="0.3">
      <c r="A2013" s="2" t="s">
        <v>4121</v>
      </c>
      <c r="B2013" s="2" t="s">
        <v>5</v>
      </c>
      <c r="C2013" s="2" t="s">
        <v>4122</v>
      </c>
      <c r="D2013" s="2" t="s">
        <v>4096</v>
      </c>
      <c r="E2013" s="2" t="str">
        <f>HYPERLINK("https://talan.bank.gov.ua/get-user-certificate/sec1e_VpcNYmdQ0cHoMH","Завантажити сертифікат")</f>
        <v>Завантажити сертифікат</v>
      </c>
    </row>
    <row r="2014" spans="1:5" x14ac:dyDescent="0.3">
      <c r="A2014" s="2" t="s">
        <v>4123</v>
      </c>
      <c r="B2014" s="2" t="s">
        <v>5</v>
      </c>
      <c r="C2014" s="2" t="s">
        <v>4124</v>
      </c>
      <c r="D2014" s="2" t="s">
        <v>4096</v>
      </c>
      <c r="E2014" s="2" t="str">
        <f>HYPERLINK("https://talan.bank.gov.ua/get-user-certificate/sec1eU9cEbA9zJ7GZMQZ","Завантажити сертифікат")</f>
        <v>Завантажити сертифікат</v>
      </c>
    </row>
    <row r="2015" spans="1:5" x14ac:dyDescent="0.3">
      <c r="A2015" s="2" t="s">
        <v>4125</v>
      </c>
      <c r="B2015" s="2" t="s">
        <v>5</v>
      </c>
      <c r="C2015" s="2" t="s">
        <v>4126</v>
      </c>
      <c r="D2015" s="2" t="s">
        <v>4096</v>
      </c>
      <c r="E2015" s="2" t="str">
        <f>HYPERLINK("https://talan.bank.gov.ua/get-user-certificate/sec1eWrIlXNkI1v3-QC0","Завантажити сертифікат")</f>
        <v>Завантажити сертифікат</v>
      </c>
    </row>
    <row r="2016" spans="1:5" x14ac:dyDescent="0.3">
      <c r="A2016" s="2" t="s">
        <v>4127</v>
      </c>
      <c r="B2016" s="2" t="s">
        <v>5</v>
      </c>
      <c r="C2016" s="2" t="s">
        <v>4128</v>
      </c>
      <c r="D2016" s="2" t="s">
        <v>4096</v>
      </c>
      <c r="E2016" s="2" t="str">
        <f>HYPERLINK("https://talan.bank.gov.ua/get-user-certificate/sec1eCEd6_1Wxt9Ob6_K","Завантажити сертифікат")</f>
        <v>Завантажити сертифікат</v>
      </c>
    </row>
    <row r="2017" spans="1:5" x14ac:dyDescent="0.3">
      <c r="A2017" s="2" t="s">
        <v>4129</v>
      </c>
      <c r="B2017" s="2" t="s">
        <v>5</v>
      </c>
      <c r="C2017" s="2" t="s">
        <v>4130</v>
      </c>
      <c r="D2017" s="2" t="s">
        <v>4096</v>
      </c>
      <c r="E2017" s="2" t="str">
        <f>HYPERLINK("https://talan.bank.gov.ua/get-user-certificate/sec1e0wbCGNCATf7QcTA","Завантажити сертифікат")</f>
        <v>Завантажити сертифікат</v>
      </c>
    </row>
    <row r="2018" spans="1:5" x14ac:dyDescent="0.3">
      <c r="A2018" s="2" t="s">
        <v>4131</v>
      </c>
      <c r="B2018" s="2" t="s">
        <v>5</v>
      </c>
      <c r="C2018" s="2" t="s">
        <v>4132</v>
      </c>
      <c r="D2018" s="2" t="s">
        <v>4096</v>
      </c>
      <c r="E2018" s="2" t="str">
        <f>HYPERLINK("https://talan.bank.gov.ua/get-user-certificate/sec1eBIQ122jDSmXU43w","Завантажити сертифікат")</f>
        <v>Завантажити сертифікат</v>
      </c>
    </row>
    <row r="2019" spans="1:5" x14ac:dyDescent="0.3">
      <c r="A2019" s="2" t="s">
        <v>4133</v>
      </c>
      <c r="B2019" s="2" t="s">
        <v>5</v>
      </c>
      <c r="C2019" s="2" t="s">
        <v>4134</v>
      </c>
      <c r="D2019" s="2" t="s">
        <v>4096</v>
      </c>
      <c r="E2019" s="2" t="str">
        <f>HYPERLINK("https://talan.bank.gov.ua/get-user-certificate/sec1e7caL44xDepiBDME","Завантажити сертифікат")</f>
        <v>Завантажити сертифікат</v>
      </c>
    </row>
    <row r="2020" spans="1:5" x14ac:dyDescent="0.3">
      <c r="A2020" s="2" t="s">
        <v>4135</v>
      </c>
      <c r="B2020" s="2" t="s">
        <v>5</v>
      </c>
      <c r="C2020" s="2" t="s">
        <v>4136</v>
      </c>
      <c r="D2020" s="2" t="s">
        <v>4096</v>
      </c>
      <c r="E2020" s="2" t="str">
        <f>HYPERLINK("https://talan.bank.gov.ua/get-user-certificate/sec1eieBvQFwUP_c2MbR","Завантажити сертифікат")</f>
        <v>Завантажити сертифікат</v>
      </c>
    </row>
    <row r="2021" spans="1:5" x14ac:dyDescent="0.3">
      <c r="A2021" s="2" t="s">
        <v>4137</v>
      </c>
      <c r="B2021" s="2" t="s">
        <v>5</v>
      </c>
      <c r="C2021" s="2" t="s">
        <v>4138</v>
      </c>
      <c r="D2021" s="2" t="s">
        <v>4096</v>
      </c>
      <c r="E2021" s="2" t="str">
        <f>HYPERLINK("https://talan.bank.gov.ua/get-user-certificate/sec1eiEthjHP4sB4510i","Завантажити сертифікат")</f>
        <v>Завантажити сертифікат</v>
      </c>
    </row>
    <row r="2022" spans="1:5" x14ac:dyDescent="0.3">
      <c r="A2022" s="2" t="s">
        <v>4139</v>
      </c>
      <c r="B2022" s="2" t="s">
        <v>5</v>
      </c>
      <c r="C2022" s="2" t="s">
        <v>4140</v>
      </c>
      <c r="D2022" s="2" t="s">
        <v>4096</v>
      </c>
      <c r="E2022" s="2" t="str">
        <f>HYPERLINK("https://talan.bank.gov.ua/get-user-certificate/sec1eaHD4FKt0jbGZaVW","Завантажити сертифікат")</f>
        <v>Завантажити сертифікат</v>
      </c>
    </row>
    <row r="2023" spans="1:5" x14ac:dyDescent="0.3">
      <c r="A2023" s="2" t="s">
        <v>4141</v>
      </c>
      <c r="B2023" s="2" t="s">
        <v>5</v>
      </c>
      <c r="C2023" s="2" t="s">
        <v>4142</v>
      </c>
      <c r="D2023" s="2" t="s">
        <v>4096</v>
      </c>
      <c r="E2023" s="2" t="str">
        <f>HYPERLINK("https://talan.bank.gov.ua/get-user-certificate/sec1eiW5OK_0pnvVt8LJ","Завантажити сертифікат")</f>
        <v>Завантажити сертифікат</v>
      </c>
    </row>
    <row r="2024" spans="1:5" x14ac:dyDescent="0.3">
      <c r="A2024" s="2" t="s">
        <v>4143</v>
      </c>
      <c r="B2024" s="2" t="s">
        <v>5</v>
      </c>
      <c r="C2024" s="2" t="s">
        <v>4144</v>
      </c>
      <c r="D2024" s="2" t="s">
        <v>4145</v>
      </c>
      <c r="E2024" s="2" t="str">
        <f>HYPERLINK("https://talan.bank.gov.ua/get-user-certificate/sec1efO95i8bC4kKW8fU","Завантажити сертифікат")</f>
        <v>Завантажити сертифікат</v>
      </c>
    </row>
    <row r="2025" spans="1:5" x14ac:dyDescent="0.3">
      <c r="A2025" s="2" t="s">
        <v>4146</v>
      </c>
      <c r="B2025" s="2" t="s">
        <v>5</v>
      </c>
      <c r="C2025" s="2" t="s">
        <v>4147</v>
      </c>
      <c r="D2025" s="2" t="s">
        <v>4145</v>
      </c>
      <c r="E2025" s="2" t="str">
        <f>HYPERLINK("https://talan.bank.gov.ua/get-user-certificate/sec1erp545aFUeJ5xT7P","Завантажити сертифікат")</f>
        <v>Завантажити сертифікат</v>
      </c>
    </row>
    <row r="2026" spans="1:5" x14ac:dyDescent="0.3">
      <c r="A2026" s="2" t="s">
        <v>4148</v>
      </c>
      <c r="B2026" s="2" t="s">
        <v>5</v>
      </c>
      <c r="C2026" s="2" t="s">
        <v>4149</v>
      </c>
      <c r="D2026" s="2" t="s">
        <v>4145</v>
      </c>
      <c r="E2026" s="2" t="str">
        <f>HYPERLINK("https://talan.bank.gov.ua/get-user-certificate/sec1eyW7cKcrU4K7bf89","Завантажити сертифікат")</f>
        <v>Завантажити сертифікат</v>
      </c>
    </row>
    <row r="2027" spans="1:5" x14ac:dyDescent="0.3">
      <c r="A2027" s="2" t="s">
        <v>4150</v>
      </c>
      <c r="B2027" s="2" t="s">
        <v>5</v>
      </c>
      <c r="C2027" s="2" t="s">
        <v>4151</v>
      </c>
      <c r="D2027" s="2" t="s">
        <v>4145</v>
      </c>
      <c r="E2027" s="2" t="str">
        <f>HYPERLINK("https://talan.bank.gov.ua/get-user-certificate/sec1eDQGx9uDSLffx3zi","Завантажити сертифікат")</f>
        <v>Завантажити сертифікат</v>
      </c>
    </row>
    <row r="2028" spans="1:5" x14ac:dyDescent="0.3">
      <c r="A2028" s="2" t="s">
        <v>4152</v>
      </c>
      <c r="B2028" s="2" t="s">
        <v>5</v>
      </c>
      <c r="C2028" s="2" t="s">
        <v>4153</v>
      </c>
      <c r="D2028" s="2" t="s">
        <v>4145</v>
      </c>
      <c r="E2028" s="2" t="str">
        <f>HYPERLINK("https://talan.bank.gov.ua/get-user-certificate/sec1eHGLjL9N54vYI3vV","Завантажити сертифікат")</f>
        <v>Завантажити сертифікат</v>
      </c>
    </row>
    <row r="2029" spans="1:5" x14ac:dyDescent="0.3">
      <c r="A2029" s="2" t="s">
        <v>4154</v>
      </c>
      <c r="B2029" s="2" t="s">
        <v>5</v>
      </c>
      <c r="C2029" s="2" t="s">
        <v>4155</v>
      </c>
      <c r="D2029" s="2" t="s">
        <v>4145</v>
      </c>
      <c r="E2029" s="2" t="str">
        <f>HYPERLINK("https://talan.bank.gov.ua/get-user-certificate/sec1eqC3RMZXe8d1tS85","Завантажити сертифікат")</f>
        <v>Завантажити сертифікат</v>
      </c>
    </row>
    <row r="2030" spans="1:5" x14ac:dyDescent="0.3">
      <c r="A2030" s="2" t="s">
        <v>4156</v>
      </c>
      <c r="B2030" s="2" t="s">
        <v>5</v>
      </c>
      <c r="C2030" s="2" t="s">
        <v>4157</v>
      </c>
      <c r="D2030" s="2" t="s">
        <v>2841</v>
      </c>
      <c r="E2030" s="2" t="str">
        <f>HYPERLINK("https://talan.bank.gov.ua/get-user-certificate/sec1e49oXM1B6BvVDBMX","Завантажити сертифікат")</f>
        <v>Завантажити сертифікат</v>
      </c>
    </row>
    <row r="2031" spans="1:5" x14ac:dyDescent="0.3">
      <c r="A2031" s="2" t="s">
        <v>4158</v>
      </c>
      <c r="B2031" s="2" t="s">
        <v>5</v>
      </c>
      <c r="C2031" s="2" t="s">
        <v>4159</v>
      </c>
      <c r="D2031" s="2" t="s">
        <v>2841</v>
      </c>
      <c r="E2031" s="2" t="str">
        <f>HYPERLINK("https://talan.bank.gov.ua/get-user-certificate/sec1eELaAasY9jNQP2O_","Завантажити сертифікат")</f>
        <v>Завантажити сертифікат</v>
      </c>
    </row>
    <row r="2032" spans="1:5" x14ac:dyDescent="0.3">
      <c r="A2032" s="2" t="s">
        <v>4160</v>
      </c>
      <c r="B2032" s="2" t="s">
        <v>5</v>
      </c>
      <c r="C2032" s="2" t="s">
        <v>4161</v>
      </c>
      <c r="D2032" s="2" t="s">
        <v>2841</v>
      </c>
      <c r="E2032" s="2" t="str">
        <f>HYPERLINK("https://talan.bank.gov.ua/get-user-certificate/sec1eHEWgEwdMCopKpNl","Завантажити сертифікат")</f>
        <v>Завантажити сертифікат</v>
      </c>
    </row>
    <row r="2033" spans="1:5" x14ac:dyDescent="0.3">
      <c r="A2033" t="s">
        <v>4162</v>
      </c>
      <c r="B2033" t="s">
        <v>5</v>
      </c>
      <c r="C2033" t="s">
        <v>10261</v>
      </c>
      <c r="D2033" t="s">
        <v>2841</v>
      </c>
      <c r="E2033" t="str">
        <f>HYPERLINK("https://talan.bank.gov.ua/get-user-certificate/f7i-sNAVavBwKXqRcKkV","Завантажити сертифікат")</f>
        <v>Завантажити сертифікат</v>
      </c>
    </row>
    <row r="2034" spans="1:5" x14ac:dyDescent="0.3">
      <c r="A2034" s="2" t="s">
        <v>4163</v>
      </c>
      <c r="B2034" s="2" t="s">
        <v>5</v>
      </c>
      <c r="C2034" s="2" t="s">
        <v>4164</v>
      </c>
      <c r="D2034" s="2" t="s">
        <v>4165</v>
      </c>
      <c r="E2034" s="2" t="str">
        <f>HYPERLINK("https://talan.bank.gov.ua/get-user-certificate/sec1emaId_5Byxa9GAkX","Завантажити сертифікат")</f>
        <v>Завантажити сертифікат</v>
      </c>
    </row>
    <row r="2035" spans="1:5" x14ac:dyDescent="0.3">
      <c r="A2035" s="2" t="s">
        <v>4166</v>
      </c>
      <c r="B2035" s="2" t="s">
        <v>5</v>
      </c>
      <c r="C2035" s="2" t="s">
        <v>4167</v>
      </c>
      <c r="D2035" s="2" t="s">
        <v>4165</v>
      </c>
      <c r="E2035" s="2" t="str">
        <f>HYPERLINK("https://talan.bank.gov.ua/get-user-certificate/sec1e0TKRZdFCZM52rvk","Завантажити сертифікат")</f>
        <v>Завантажити сертифікат</v>
      </c>
    </row>
    <row r="2036" spans="1:5" x14ac:dyDescent="0.3">
      <c r="A2036" s="2" t="s">
        <v>4168</v>
      </c>
      <c r="B2036" s="2" t="s">
        <v>5</v>
      </c>
      <c r="C2036" s="2" t="s">
        <v>4169</v>
      </c>
      <c r="D2036" s="2" t="s">
        <v>4165</v>
      </c>
      <c r="E2036" s="2" t="str">
        <f>HYPERLINK("https://talan.bank.gov.ua/get-user-certificate/sec1eK6pzJbKkylYwS-I","Завантажити сертифікат")</f>
        <v>Завантажити сертифікат</v>
      </c>
    </row>
    <row r="2037" spans="1:5" x14ac:dyDescent="0.3">
      <c r="A2037" s="2" t="s">
        <v>4170</v>
      </c>
      <c r="B2037" s="2" t="s">
        <v>5</v>
      </c>
      <c r="C2037" s="2" t="s">
        <v>4171</v>
      </c>
      <c r="D2037" s="2" t="s">
        <v>4165</v>
      </c>
      <c r="E2037" s="2" t="str">
        <f>HYPERLINK("https://talan.bank.gov.ua/get-user-certificate/sec1eaKPHvuFRSc4dPpW","Завантажити сертифікат")</f>
        <v>Завантажити сертифікат</v>
      </c>
    </row>
    <row r="2038" spans="1:5" x14ac:dyDescent="0.3">
      <c r="A2038" s="2" t="s">
        <v>4172</v>
      </c>
      <c r="B2038" s="2" t="s">
        <v>5</v>
      </c>
      <c r="C2038" s="2" t="s">
        <v>4173</v>
      </c>
      <c r="D2038" s="2" t="s">
        <v>4165</v>
      </c>
      <c r="E2038" s="2" t="str">
        <f>HYPERLINK("https://talan.bank.gov.ua/get-user-certificate/sec1eP_inR_G3SqiNPYl","Завантажити сертифікат")</f>
        <v>Завантажити сертифікат</v>
      </c>
    </row>
    <row r="2039" spans="1:5" x14ac:dyDescent="0.3">
      <c r="A2039" s="2" t="s">
        <v>4174</v>
      </c>
      <c r="B2039" s="2" t="s">
        <v>5</v>
      </c>
      <c r="C2039" s="2" t="s">
        <v>4175</v>
      </c>
      <c r="D2039" s="2" t="s">
        <v>4165</v>
      </c>
      <c r="E2039" s="2" t="str">
        <f>HYPERLINK("https://talan.bank.gov.ua/get-user-certificate/sec1esrtQ1WooAK69cIj","Завантажити сертифікат")</f>
        <v>Завантажити сертифікат</v>
      </c>
    </row>
    <row r="2040" spans="1:5" x14ac:dyDescent="0.3">
      <c r="A2040" s="2" t="s">
        <v>4176</v>
      </c>
      <c r="B2040" s="2" t="s">
        <v>5</v>
      </c>
      <c r="C2040" s="2" t="s">
        <v>4177</v>
      </c>
      <c r="D2040" s="2" t="s">
        <v>4165</v>
      </c>
      <c r="E2040" s="2" t="str">
        <f>HYPERLINK("https://talan.bank.gov.ua/get-user-certificate/sec1eSd41spUZdPr3-Uq","Завантажити сертифікат")</f>
        <v>Завантажити сертифікат</v>
      </c>
    </row>
    <row r="2041" spans="1:5" x14ac:dyDescent="0.3">
      <c r="A2041" s="2" t="s">
        <v>4178</v>
      </c>
      <c r="B2041" s="2" t="s">
        <v>5</v>
      </c>
      <c r="C2041" s="2" t="s">
        <v>4179</v>
      </c>
      <c r="D2041" s="2" t="s">
        <v>4165</v>
      </c>
      <c r="E2041" s="2" t="str">
        <f>HYPERLINK("https://talan.bank.gov.ua/get-user-certificate/sec1eqb_9ycBjjs8A3Sj","Завантажити сертифікат")</f>
        <v>Завантажити сертифікат</v>
      </c>
    </row>
    <row r="2042" spans="1:5" x14ac:dyDescent="0.3">
      <c r="A2042" s="2" t="s">
        <v>4180</v>
      </c>
      <c r="B2042" s="2" t="s">
        <v>5</v>
      </c>
      <c r="C2042" s="2" t="s">
        <v>4181</v>
      </c>
      <c r="D2042" s="2" t="s">
        <v>4165</v>
      </c>
      <c r="E2042" s="2" t="str">
        <f>HYPERLINK("https://talan.bank.gov.ua/get-user-certificate/sec1e6e_-P321dUP7B_-","Завантажити сертифікат")</f>
        <v>Завантажити сертифікат</v>
      </c>
    </row>
    <row r="2043" spans="1:5" x14ac:dyDescent="0.3">
      <c r="A2043" s="2" t="s">
        <v>4182</v>
      </c>
      <c r="B2043" s="2" t="s">
        <v>5</v>
      </c>
      <c r="C2043" s="2" t="s">
        <v>4183</v>
      </c>
      <c r="D2043" s="2" t="s">
        <v>4165</v>
      </c>
      <c r="E2043" s="2" t="str">
        <f>HYPERLINK("https://talan.bank.gov.ua/get-user-certificate/sec1eKXczszVKj35DZrl","Завантажити сертифікат")</f>
        <v>Завантажити сертифікат</v>
      </c>
    </row>
    <row r="2044" spans="1:5" x14ac:dyDescent="0.3">
      <c r="A2044" s="2" t="s">
        <v>4184</v>
      </c>
      <c r="B2044" s="2" t="s">
        <v>5</v>
      </c>
      <c r="C2044" s="2" t="s">
        <v>4185</v>
      </c>
      <c r="D2044" s="2" t="s">
        <v>4165</v>
      </c>
      <c r="E2044" s="2" t="str">
        <f>HYPERLINK("https://talan.bank.gov.ua/get-user-certificate/sec1ecC7U_ZTpWf1t9u6","Завантажити сертифікат")</f>
        <v>Завантажити сертифікат</v>
      </c>
    </row>
    <row r="2045" spans="1:5" x14ac:dyDescent="0.3">
      <c r="A2045" s="2" t="s">
        <v>4186</v>
      </c>
      <c r="B2045" s="2" t="s">
        <v>5</v>
      </c>
      <c r="C2045" s="2" t="s">
        <v>4187</v>
      </c>
      <c r="D2045" s="2" t="s">
        <v>4165</v>
      </c>
      <c r="E2045" s="2" t="str">
        <f>HYPERLINK("https://talan.bank.gov.ua/get-user-certificate/sec1eaEwJc7IGhZCIGfA","Завантажити сертифікат")</f>
        <v>Завантажити сертифікат</v>
      </c>
    </row>
    <row r="2046" spans="1:5" x14ac:dyDescent="0.3">
      <c r="A2046" s="2" t="s">
        <v>4188</v>
      </c>
      <c r="B2046" s="2" t="s">
        <v>5</v>
      </c>
      <c r="C2046" s="2" t="s">
        <v>4189</v>
      </c>
      <c r="D2046" s="2" t="s">
        <v>4165</v>
      </c>
      <c r="E2046" s="2" t="str">
        <f>HYPERLINK("https://talan.bank.gov.ua/get-user-certificate/sec1eQy507jHDgINokn_","Завантажити сертифікат")</f>
        <v>Завантажити сертифікат</v>
      </c>
    </row>
    <row r="2047" spans="1:5" x14ac:dyDescent="0.3">
      <c r="A2047" s="2" t="s">
        <v>4190</v>
      </c>
      <c r="B2047" s="2" t="s">
        <v>5</v>
      </c>
      <c r="C2047" s="2" t="s">
        <v>4191</v>
      </c>
      <c r="D2047" s="2" t="s">
        <v>4165</v>
      </c>
      <c r="E2047" s="2" t="str">
        <f>HYPERLINK("https://talan.bank.gov.ua/get-user-certificate/sec1emxtGGC-3TwzAJEL","Завантажити сертифікат")</f>
        <v>Завантажити сертифікат</v>
      </c>
    </row>
    <row r="2048" spans="1:5" x14ac:dyDescent="0.3">
      <c r="A2048" s="2" t="s">
        <v>4192</v>
      </c>
      <c r="B2048" s="2" t="s">
        <v>5</v>
      </c>
      <c r="C2048" s="2" t="s">
        <v>4193</v>
      </c>
      <c r="D2048" s="2" t="s">
        <v>4165</v>
      </c>
      <c r="E2048" s="2" t="str">
        <f>HYPERLINK("https://talan.bank.gov.ua/get-user-certificate/sec1efP13-ARCx6D7uIR","Завантажити сертифікат")</f>
        <v>Завантажити сертифікат</v>
      </c>
    </row>
    <row r="2049" spans="1:5" x14ac:dyDescent="0.3">
      <c r="A2049" s="2" t="s">
        <v>4194</v>
      </c>
      <c r="B2049" s="2" t="s">
        <v>5</v>
      </c>
      <c r="C2049" s="2" t="s">
        <v>4195</v>
      </c>
      <c r="D2049" s="2" t="s">
        <v>4165</v>
      </c>
      <c r="E2049" s="2" t="str">
        <f>HYPERLINK("https://talan.bank.gov.ua/get-user-certificate/sec1eBVyBcYPn9No3cHZ","Завантажити сертифікат")</f>
        <v>Завантажити сертифікат</v>
      </c>
    </row>
    <row r="2050" spans="1:5" x14ac:dyDescent="0.3">
      <c r="A2050" s="2" t="s">
        <v>4196</v>
      </c>
      <c r="B2050" s="2" t="s">
        <v>5</v>
      </c>
      <c r="C2050" s="2" t="s">
        <v>4197</v>
      </c>
      <c r="D2050" s="2" t="s">
        <v>4165</v>
      </c>
      <c r="E2050" s="2" t="str">
        <f>HYPERLINK("https://talan.bank.gov.ua/get-user-certificate/sec1e-HfhfTI1Bb23UW7","Завантажити сертифікат")</f>
        <v>Завантажити сертифікат</v>
      </c>
    </row>
    <row r="2051" spans="1:5" x14ac:dyDescent="0.3">
      <c r="A2051" s="2" t="s">
        <v>4198</v>
      </c>
      <c r="B2051" s="2" t="s">
        <v>5</v>
      </c>
      <c r="C2051" s="2" t="s">
        <v>4199</v>
      </c>
      <c r="D2051" s="2" t="s">
        <v>4165</v>
      </c>
      <c r="E2051" s="2" t="str">
        <f>HYPERLINK("https://talan.bank.gov.ua/get-user-certificate/sec1egeBXBi2PaR4ckOU","Завантажити сертифікат")</f>
        <v>Завантажити сертифікат</v>
      </c>
    </row>
    <row r="2052" spans="1:5" x14ac:dyDescent="0.3">
      <c r="A2052" s="2" t="s">
        <v>4200</v>
      </c>
      <c r="B2052" s="2" t="s">
        <v>5</v>
      </c>
      <c r="C2052" s="2" t="s">
        <v>4201</v>
      </c>
      <c r="D2052" s="2" t="s">
        <v>4165</v>
      </c>
      <c r="E2052" s="2" t="str">
        <f>HYPERLINK("https://talan.bank.gov.ua/get-user-certificate/sec1eRnosWM8RUPyWEB3","Завантажити сертифікат")</f>
        <v>Завантажити сертифікат</v>
      </c>
    </row>
    <row r="2053" spans="1:5" x14ac:dyDescent="0.3">
      <c r="A2053" s="2" t="s">
        <v>4202</v>
      </c>
      <c r="B2053" s="2" t="s">
        <v>5</v>
      </c>
      <c r="C2053" s="2" t="s">
        <v>4203</v>
      </c>
      <c r="D2053" s="2" t="s">
        <v>4165</v>
      </c>
      <c r="E2053" s="2" t="str">
        <f>HYPERLINK("https://talan.bank.gov.ua/get-user-certificate/sec1ev3knqd5oVTbYmO9","Завантажити сертифікат")</f>
        <v>Завантажити сертифікат</v>
      </c>
    </row>
    <row r="2054" spans="1:5" x14ac:dyDescent="0.3">
      <c r="A2054" s="2" t="s">
        <v>4204</v>
      </c>
      <c r="B2054" s="2" t="s">
        <v>5</v>
      </c>
      <c r="C2054" s="2" t="s">
        <v>4205</v>
      </c>
      <c r="D2054" s="2" t="s">
        <v>4165</v>
      </c>
      <c r="E2054" s="2" t="str">
        <f>HYPERLINK("https://talan.bank.gov.ua/get-user-certificate/sec1esQ_RJxZ7BGRSZL8","Завантажити сертифікат")</f>
        <v>Завантажити сертифікат</v>
      </c>
    </row>
    <row r="2055" spans="1:5" x14ac:dyDescent="0.3">
      <c r="A2055" s="2" t="s">
        <v>4206</v>
      </c>
      <c r="B2055" s="2" t="s">
        <v>5</v>
      </c>
      <c r="C2055" s="2" t="s">
        <v>4207</v>
      </c>
      <c r="D2055" s="2" t="s">
        <v>4165</v>
      </c>
      <c r="E2055" s="2" t="str">
        <f>HYPERLINK("https://talan.bank.gov.ua/get-user-certificate/sec1ex3v1GGfNWrCmpPn","Завантажити сертифікат")</f>
        <v>Завантажити сертифікат</v>
      </c>
    </row>
    <row r="2056" spans="1:5" x14ac:dyDescent="0.3">
      <c r="A2056" s="2" t="s">
        <v>4208</v>
      </c>
      <c r="B2056" s="2" t="s">
        <v>5</v>
      </c>
      <c r="C2056" s="2" t="s">
        <v>4209</v>
      </c>
      <c r="D2056" s="2" t="s">
        <v>4165</v>
      </c>
      <c r="E2056" s="2" t="str">
        <f>HYPERLINK("https://talan.bank.gov.ua/get-user-certificate/sec1eYC5vLrpho2Shy8m","Завантажити сертифікат")</f>
        <v>Завантажити сертифікат</v>
      </c>
    </row>
    <row r="2057" spans="1:5" x14ac:dyDescent="0.3">
      <c r="A2057" s="2" t="s">
        <v>4210</v>
      </c>
      <c r="B2057" s="2" t="s">
        <v>5</v>
      </c>
      <c r="C2057" s="2" t="s">
        <v>4211</v>
      </c>
      <c r="D2057" s="2" t="s">
        <v>4165</v>
      </c>
      <c r="E2057" s="2" t="str">
        <f>HYPERLINK("https://talan.bank.gov.ua/get-user-certificate/sec1eZj5g1HUc9AOL5MV","Завантажити сертифікат")</f>
        <v>Завантажити сертифікат</v>
      </c>
    </row>
    <row r="2058" spans="1:5" x14ac:dyDescent="0.3">
      <c r="A2058" s="2" t="s">
        <v>4212</v>
      </c>
      <c r="B2058" s="2" t="s">
        <v>5</v>
      </c>
      <c r="C2058" s="2" t="s">
        <v>4213</v>
      </c>
      <c r="D2058" s="2" t="s">
        <v>4165</v>
      </c>
      <c r="E2058" s="2" t="str">
        <f>HYPERLINK("https://talan.bank.gov.ua/get-user-certificate/sec1eYG-_h4FZ4jeN2Z9","Завантажити сертифікат")</f>
        <v>Завантажити сертифікат</v>
      </c>
    </row>
    <row r="2059" spans="1:5" x14ac:dyDescent="0.3">
      <c r="A2059" s="2" t="s">
        <v>4214</v>
      </c>
      <c r="B2059" s="2" t="s">
        <v>5</v>
      </c>
      <c r="C2059" s="2" t="s">
        <v>4215</v>
      </c>
      <c r="D2059" s="2" t="s">
        <v>4165</v>
      </c>
      <c r="E2059" s="2" t="str">
        <f>HYPERLINK("https://talan.bank.gov.ua/get-user-certificate/sec1edIvFhnOp0JaGldx","Завантажити сертифікат")</f>
        <v>Завантажити сертифікат</v>
      </c>
    </row>
    <row r="2060" spans="1:5" x14ac:dyDescent="0.3">
      <c r="A2060" s="2" t="s">
        <v>4216</v>
      </c>
      <c r="B2060" s="2" t="s">
        <v>5</v>
      </c>
      <c r="C2060" s="2" t="s">
        <v>4217</v>
      </c>
      <c r="D2060" s="2" t="s">
        <v>4165</v>
      </c>
      <c r="E2060" s="2" t="str">
        <f>HYPERLINK("https://talan.bank.gov.ua/get-user-certificate/sec1e6aImJp32oElQieX","Завантажити сертифікат")</f>
        <v>Завантажити сертифікат</v>
      </c>
    </row>
    <row r="2061" spans="1:5" x14ac:dyDescent="0.3">
      <c r="A2061" s="2" t="s">
        <v>4218</v>
      </c>
      <c r="B2061" s="2" t="s">
        <v>5</v>
      </c>
      <c r="C2061" s="2" t="s">
        <v>4219</v>
      </c>
      <c r="D2061" s="2" t="s">
        <v>4165</v>
      </c>
      <c r="E2061" s="2" t="str">
        <f>HYPERLINK("https://talan.bank.gov.ua/get-user-certificate/sec1eEfFuStCaVvHZCwL","Завантажити сертифікат")</f>
        <v>Завантажити сертифікат</v>
      </c>
    </row>
    <row r="2062" spans="1:5" x14ac:dyDescent="0.3">
      <c r="A2062" s="2" t="s">
        <v>4220</v>
      </c>
      <c r="B2062" s="2" t="s">
        <v>5</v>
      </c>
      <c r="C2062" s="2" t="s">
        <v>4221</v>
      </c>
      <c r="D2062" s="2" t="s">
        <v>4165</v>
      </c>
      <c r="E2062" s="2" t="str">
        <f>HYPERLINK("https://talan.bank.gov.ua/get-user-certificate/sec1esB4qYG21vAfFL3M","Завантажити сертифікат")</f>
        <v>Завантажити сертифікат</v>
      </c>
    </row>
    <row r="2063" spans="1:5" x14ac:dyDescent="0.3">
      <c r="A2063" s="2" t="s">
        <v>4222</v>
      </c>
      <c r="B2063" s="2" t="s">
        <v>5</v>
      </c>
      <c r="C2063" s="2" t="s">
        <v>4223</v>
      </c>
      <c r="D2063" s="2" t="s">
        <v>4224</v>
      </c>
      <c r="E2063" s="2" t="str">
        <f>HYPERLINK("https://talan.bank.gov.ua/get-user-certificate/sec1eyN0L2kFzowmWX2a","Завантажити сертифікат")</f>
        <v>Завантажити сертифікат</v>
      </c>
    </row>
    <row r="2064" spans="1:5" x14ac:dyDescent="0.3">
      <c r="A2064" s="2" t="s">
        <v>4225</v>
      </c>
      <c r="B2064" s="2" t="s">
        <v>5</v>
      </c>
      <c r="C2064" s="2" t="s">
        <v>4226</v>
      </c>
      <c r="D2064" s="2" t="s">
        <v>4224</v>
      </c>
      <c r="E2064" s="2" t="str">
        <f>HYPERLINK("https://talan.bank.gov.ua/get-user-certificate/sec1eMkMMayvkEpG80md","Завантажити сертифікат")</f>
        <v>Завантажити сертифікат</v>
      </c>
    </row>
    <row r="2065" spans="1:5" x14ac:dyDescent="0.3">
      <c r="A2065" s="2" t="s">
        <v>4227</v>
      </c>
      <c r="B2065" s="2" t="s">
        <v>5</v>
      </c>
      <c r="C2065" s="2" t="s">
        <v>4228</v>
      </c>
      <c r="D2065" s="2" t="s">
        <v>4224</v>
      </c>
      <c r="E2065" s="2" t="str">
        <f>HYPERLINK("https://talan.bank.gov.ua/get-user-certificate/sec1esf1tURGgEPBigdQ","Завантажити сертифікат")</f>
        <v>Завантажити сертифікат</v>
      </c>
    </row>
    <row r="2066" spans="1:5" x14ac:dyDescent="0.3">
      <c r="A2066" s="2" t="s">
        <v>4229</v>
      </c>
      <c r="B2066" s="2" t="s">
        <v>5</v>
      </c>
      <c r="C2066" s="2" t="s">
        <v>4230</v>
      </c>
      <c r="D2066" s="2" t="s">
        <v>4224</v>
      </c>
      <c r="E2066" s="2" t="str">
        <f>HYPERLINK("https://talan.bank.gov.ua/get-user-certificate/sec1eg2zTu_glZgLg60_","Завантажити сертифікат")</f>
        <v>Завантажити сертифікат</v>
      </c>
    </row>
    <row r="2067" spans="1:5" x14ac:dyDescent="0.3">
      <c r="A2067" s="2" t="s">
        <v>4231</v>
      </c>
      <c r="B2067" s="2" t="s">
        <v>5</v>
      </c>
      <c r="C2067" s="2" t="s">
        <v>4232</v>
      </c>
      <c r="D2067" s="2" t="s">
        <v>4224</v>
      </c>
      <c r="E2067" s="2" t="str">
        <f>HYPERLINK("https://talan.bank.gov.ua/get-user-certificate/sec1ewAp73B6KcLQmr_x","Завантажити сертифікат")</f>
        <v>Завантажити сертифікат</v>
      </c>
    </row>
    <row r="2068" spans="1:5" x14ac:dyDescent="0.3">
      <c r="A2068" s="2" t="s">
        <v>4233</v>
      </c>
      <c r="B2068" s="2" t="s">
        <v>5</v>
      </c>
      <c r="C2068" s="2" t="s">
        <v>4234</v>
      </c>
      <c r="D2068" s="2" t="s">
        <v>4224</v>
      </c>
      <c r="E2068" s="2" t="str">
        <f>HYPERLINK("https://talan.bank.gov.ua/get-user-certificate/sec1e5NILzVh81GCKs0X","Завантажити сертифікат")</f>
        <v>Завантажити сертифікат</v>
      </c>
    </row>
    <row r="2069" spans="1:5" x14ac:dyDescent="0.3">
      <c r="A2069" s="2" t="s">
        <v>4235</v>
      </c>
      <c r="B2069" s="2" t="s">
        <v>5</v>
      </c>
      <c r="C2069" s="2" t="s">
        <v>4236</v>
      </c>
      <c r="D2069" s="2" t="s">
        <v>4224</v>
      </c>
      <c r="E2069" s="2" t="str">
        <f>HYPERLINK("https://talan.bank.gov.ua/get-user-certificate/sec1ebrIJNwaEAcCJP13","Завантажити сертифікат")</f>
        <v>Завантажити сертифікат</v>
      </c>
    </row>
    <row r="2070" spans="1:5" x14ac:dyDescent="0.3">
      <c r="A2070" s="2" t="s">
        <v>4237</v>
      </c>
      <c r="B2070" s="2" t="s">
        <v>5</v>
      </c>
      <c r="C2070" s="2" t="s">
        <v>4238</v>
      </c>
      <c r="D2070" s="2" t="s">
        <v>4224</v>
      </c>
      <c r="E2070" s="2" t="str">
        <f>HYPERLINK("https://talan.bank.gov.ua/get-user-certificate/sec1eQjfPsd2jrfgDtUg","Завантажити сертифікат")</f>
        <v>Завантажити сертифікат</v>
      </c>
    </row>
    <row r="2071" spans="1:5" x14ac:dyDescent="0.3">
      <c r="A2071" s="2" t="s">
        <v>4239</v>
      </c>
      <c r="B2071" s="2" t="s">
        <v>5</v>
      </c>
      <c r="C2071" s="2" t="s">
        <v>4240</v>
      </c>
      <c r="D2071" s="2" t="s">
        <v>4224</v>
      </c>
      <c r="E2071" s="2" t="str">
        <f>HYPERLINK("https://talan.bank.gov.ua/get-user-certificate/sec1eJIaHCuvmKVk1v-T","Завантажити сертифікат")</f>
        <v>Завантажити сертифікат</v>
      </c>
    </row>
    <row r="2072" spans="1:5" x14ac:dyDescent="0.3">
      <c r="A2072" s="2" t="s">
        <v>4241</v>
      </c>
      <c r="B2072" s="2" t="s">
        <v>5</v>
      </c>
      <c r="C2072" s="2" t="s">
        <v>4242</v>
      </c>
      <c r="D2072" s="2" t="s">
        <v>4224</v>
      </c>
      <c r="E2072" s="2" t="str">
        <f>HYPERLINK("https://talan.bank.gov.ua/get-user-certificate/sec1e83BG3LJSva-aLk_","Завантажити сертифікат")</f>
        <v>Завантажити сертифікат</v>
      </c>
    </row>
    <row r="2073" spans="1:5" x14ac:dyDescent="0.3">
      <c r="A2073" s="2" t="s">
        <v>4243</v>
      </c>
      <c r="B2073" s="2" t="s">
        <v>5</v>
      </c>
      <c r="C2073" s="2" t="s">
        <v>4244</v>
      </c>
      <c r="D2073" s="2" t="s">
        <v>4224</v>
      </c>
      <c r="E2073" s="2" t="str">
        <f>HYPERLINK("https://talan.bank.gov.ua/get-user-certificate/sec1eBb6vHwejD_oEjJ6","Завантажити сертифікат")</f>
        <v>Завантажити сертифікат</v>
      </c>
    </row>
    <row r="2074" spans="1:5" x14ac:dyDescent="0.3">
      <c r="A2074" s="2" t="s">
        <v>4245</v>
      </c>
      <c r="B2074" s="2" t="s">
        <v>5</v>
      </c>
      <c r="C2074" s="2" t="s">
        <v>4246</v>
      </c>
      <c r="D2074" s="2" t="s">
        <v>4224</v>
      </c>
      <c r="E2074" s="2" t="str">
        <f>HYPERLINK("https://talan.bank.gov.ua/get-user-certificate/sec1eyC38386OjUxyXnT","Завантажити сертифікат")</f>
        <v>Завантажити сертифікат</v>
      </c>
    </row>
    <row r="2075" spans="1:5" x14ac:dyDescent="0.3">
      <c r="A2075" s="2" t="s">
        <v>4247</v>
      </c>
      <c r="B2075" s="2" t="s">
        <v>5</v>
      </c>
      <c r="C2075" s="2" t="s">
        <v>4248</v>
      </c>
      <c r="D2075" s="2" t="s">
        <v>4224</v>
      </c>
      <c r="E2075" s="2" t="str">
        <f>HYPERLINK("https://talan.bank.gov.ua/get-user-certificate/sec1eRjhcQxFz_QOoUf4","Завантажити сертифікат")</f>
        <v>Завантажити сертифікат</v>
      </c>
    </row>
    <row r="2076" spans="1:5" x14ac:dyDescent="0.3">
      <c r="A2076" s="2" t="s">
        <v>4249</v>
      </c>
      <c r="B2076" s="2" t="s">
        <v>5</v>
      </c>
      <c r="C2076" s="2" t="s">
        <v>4250</v>
      </c>
      <c r="D2076" s="2" t="s">
        <v>4224</v>
      </c>
      <c r="E2076" s="2" t="str">
        <f>HYPERLINK("https://talan.bank.gov.ua/get-user-certificate/sec1eao1DPMVBjVz50aY","Завантажити сертифікат")</f>
        <v>Завантажити сертифікат</v>
      </c>
    </row>
    <row r="2077" spans="1:5" x14ac:dyDescent="0.3">
      <c r="A2077" s="2" t="s">
        <v>4251</v>
      </c>
      <c r="B2077" s="2" t="s">
        <v>5</v>
      </c>
      <c r="C2077" s="2" t="s">
        <v>4252</v>
      </c>
      <c r="D2077" s="2" t="s">
        <v>4224</v>
      </c>
      <c r="E2077" s="2" t="str">
        <f>HYPERLINK("https://talan.bank.gov.ua/get-user-certificate/sec1eCNLyMvV_2I5OykO","Завантажити сертифікат")</f>
        <v>Завантажити сертифікат</v>
      </c>
    </row>
    <row r="2078" spans="1:5" x14ac:dyDescent="0.3">
      <c r="A2078" s="2" t="s">
        <v>4253</v>
      </c>
      <c r="B2078" s="2" t="s">
        <v>5</v>
      </c>
      <c r="C2078" s="2" t="s">
        <v>4254</v>
      </c>
      <c r="D2078" s="2" t="s">
        <v>4224</v>
      </c>
      <c r="E2078" s="2" t="str">
        <f>HYPERLINK("https://talan.bank.gov.ua/get-user-certificate/sec1ezqU9pmXutLmaKOp","Завантажити сертифікат")</f>
        <v>Завантажити сертифікат</v>
      </c>
    </row>
    <row r="2079" spans="1:5" x14ac:dyDescent="0.3">
      <c r="A2079" s="2" t="s">
        <v>4255</v>
      </c>
      <c r="B2079" s="2" t="s">
        <v>5</v>
      </c>
      <c r="C2079" s="2" t="s">
        <v>4256</v>
      </c>
      <c r="D2079" s="2" t="s">
        <v>4224</v>
      </c>
      <c r="E2079" s="2" t="str">
        <f>HYPERLINK("https://talan.bank.gov.ua/get-user-certificate/sec1ewlEfdeqZ3ucW9GC","Завантажити сертифікат")</f>
        <v>Завантажити сертифікат</v>
      </c>
    </row>
    <row r="2080" spans="1:5" x14ac:dyDescent="0.3">
      <c r="A2080" s="2" t="s">
        <v>4257</v>
      </c>
      <c r="B2080" s="2" t="s">
        <v>5</v>
      </c>
      <c r="C2080" s="2" t="s">
        <v>4258</v>
      </c>
      <c r="D2080" s="2" t="s">
        <v>4224</v>
      </c>
      <c r="E2080" s="2" t="str">
        <f>HYPERLINK("https://talan.bank.gov.ua/get-user-certificate/sec1ehsY0P8d5U7wPSMA","Завантажити сертифікат")</f>
        <v>Завантажити сертифікат</v>
      </c>
    </row>
    <row r="2081" spans="1:5" x14ac:dyDescent="0.3">
      <c r="A2081" s="2" t="s">
        <v>4259</v>
      </c>
      <c r="B2081" s="2" t="s">
        <v>5</v>
      </c>
      <c r="C2081" s="2" t="s">
        <v>4260</v>
      </c>
      <c r="D2081" s="2" t="s">
        <v>4261</v>
      </c>
      <c r="E2081" s="2" t="str">
        <f>HYPERLINK("https://talan.bank.gov.ua/get-user-certificate/sec1eEtFB5gO0Cvq58lE","Завантажити сертифікат")</f>
        <v>Завантажити сертифікат</v>
      </c>
    </row>
    <row r="2082" spans="1:5" x14ac:dyDescent="0.3">
      <c r="A2082" s="2" t="s">
        <v>4262</v>
      </c>
      <c r="B2082" s="2" t="s">
        <v>5</v>
      </c>
      <c r="C2082" s="2" t="s">
        <v>4263</v>
      </c>
      <c r="D2082" s="2" t="s">
        <v>4261</v>
      </c>
      <c r="E2082" s="2" t="str">
        <f>HYPERLINK("https://talan.bank.gov.ua/get-user-certificate/sec1eXyRS2AOb6CzkWk7","Завантажити сертифікат")</f>
        <v>Завантажити сертифікат</v>
      </c>
    </row>
    <row r="2083" spans="1:5" x14ac:dyDescent="0.3">
      <c r="A2083" s="2" t="s">
        <v>4264</v>
      </c>
      <c r="B2083" s="2" t="s">
        <v>5</v>
      </c>
      <c r="C2083" s="2" t="s">
        <v>4265</v>
      </c>
      <c r="D2083" s="2" t="s">
        <v>4261</v>
      </c>
      <c r="E2083" s="2" t="str">
        <f>HYPERLINK("https://talan.bank.gov.ua/get-user-certificate/sec1ehc4S1t8ao2Hct0x","Завантажити сертифікат")</f>
        <v>Завантажити сертифікат</v>
      </c>
    </row>
    <row r="2084" spans="1:5" x14ac:dyDescent="0.3">
      <c r="A2084" s="2" t="s">
        <v>4266</v>
      </c>
      <c r="B2084" s="2" t="s">
        <v>5</v>
      </c>
      <c r="C2084" s="2" t="s">
        <v>4267</v>
      </c>
      <c r="D2084" s="2" t="s">
        <v>4261</v>
      </c>
      <c r="E2084" s="2" t="str">
        <f>HYPERLINK("https://talan.bank.gov.ua/get-user-certificate/sec1eVa4fuKT_PmFRu-7","Завантажити сертифікат")</f>
        <v>Завантажити сертифікат</v>
      </c>
    </row>
    <row r="2085" spans="1:5" x14ac:dyDescent="0.3">
      <c r="A2085" s="2" t="s">
        <v>4268</v>
      </c>
      <c r="B2085" s="2" t="s">
        <v>5</v>
      </c>
      <c r="C2085" s="2" t="s">
        <v>4269</v>
      </c>
      <c r="D2085" s="2" t="s">
        <v>4261</v>
      </c>
      <c r="E2085" s="2" t="str">
        <f>HYPERLINK("https://talan.bank.gov.ua/get-user-certificate/sec1eQ4n4TggEqZr813C","Завантажити сертифікат")</f>
        <v>Завантажити сертифікат</v>
      </c>
    </row>
    <row r="2086" spans="1:5" x14ac:dyDescent="0.3">
      <c r="A2086" s="2" t="s">
        <v>4270</v>
      </c>
      <c r="B2086" s="2" t="s">
        <v>5</v>
      </c>
      <c r="C2086" s="2" t="s">
        <v>4271</v>
      </c>
      <c r="D2086" s="2" t="s">
        <v>4261</v>
      </c>
      <c r="E2086" s="2" t="str">
        <f>HYPERLINK("https://talan.bank.gov.ua/get-user-certificate/sec1elXRkjpOGLPobXFs","Завантажити сертифікат")</f>
        <v>Завантажити сертифікат</v>
      </c>
    </row>
    <row r="2087" spans="1:5" x14ac:dyDescent="0.3">
      <c r="A2087" s="2" t="s">
        <v>4272</v>
      </c>
      <c r="B2087" s="2" t="s">
        <v>5</v>
      </c>
      <c r="C2087" s="2" t="s">
        <v>4273</v>
      </c>
      <c r="D2087" s="2" t="s">
        <v>4261</v>
      </c>
      <c r="E2087" s="2" t="str">
        <f>HYPERLINK("https://talan.bank.gov.ua/get-user-certificate/sec1eMOwPIntvTyiq2mp","Завантажити сертифікат")</f>
        <v>Завантажити сертифікат</v>
      </c>
    </row>
    <row r="2088" spans="1:5" x14ac:dyDescent="0.3">
      <c r="A2088" s="2" t="s">
        <v>4274</v>
      </c>
      <c r="B2088" s="2" t="s">
        <v>5</v>
      </c>
      <c r="C2088" s="2" t="s">
        <v>4275</v>
      </c>
      <c r="D2088" s="2" t="s">
        <v>4261</v>
      </c>
      <c r="E2088" s="2" t="str">
        <f>HYPERLINK("https://talan.bank.gov.ua/get-user-certificate/sec1eGS8Lvrp7M-2lg8e","Завантажити сертифікат")</f>
        <v>Завантажити сертифікат</v>
      </c>
    </row>
    <row r="2089" spans="1:5" x14ac:dyDescent="0.3">
      <c r="A2089" s="2" t="s">
        <v>4276</v>
      </c>
      <c r="B2089" s="2" t="s">
        <v>5</v>
      </c>
      <c r="C2089" s="2" t="s">
        <v>4277</v>
      </c>
      <c r="D2089" s="2" t="s">
        <v>4261</v>
      </c>
      <c r="E2089" s="2" t="str">
        <f>HYPERLINK("https://talan.bank.gov.ua/get-user-certificate/sec1e97bxZBtKi00wPzx","Завантажити сертифікат")</f>
        <v>Завантажити сертифікат</v>
      </c>
    </row>
    <row r="2090" spans="1:5" x14ac:dyDescent="0.3">
      <c r="A2090" s="2" t="s">
        <v>4278</v>
      </c>
      <c r="B2090" s="2" t="s">
        <v>5</v>
      </c>
      <c r="C2090" s="2" t="s">
        <v>4279</v>
      </c>
      <c r="D2090" s="2" t="s">
        <v>4261</v>
      </c>
      <c r="E2090" s="2" t="str">
        <f>HYPERLINK("https://talan.bank.gov.ua/get-user-certificate/sec1eiwG8wImeYu7k3k9","Завантажити сертифікат")</f>
        <v>Завантажити сертифікат</v>
      </c>
    </row>
    <row r="2091" spans="1:5" x14ac:dyDescent="0.3">
      <c r="A2091" s="2" t="s">
        <v>4280</v>
      </c>
      <c r="B2091" s="2" t="s">
        <v>5</v>
      </c>
      <c r="C2091" s="2" t="s">
        <v>4281</v>
      </c>
      <c r="D2091" s="2" t="s">
        <v>4261</v>
      </c>
      <c r="E2091" s="2" t="str">
        <f>HYPERLINK("https://talan.bank.gov.ua/get-user-certificate/sec1eE9efdLMkea1Prvr","Завантажити сертифікат")</f>
        <v>Завантажити сертифікат</v>
      </c>
    </row>
    <row r="2092" spans="1:5" x14ac:dyDescent="0.3">
      <c r="A2092" s="2" t="s">
        <v>4282</v>
      </c>
      <c r="B2092" s="2" t="s">
        <v>5</v>
      </c>
      <c r="C2092" s="2" t="s">
        <v>4283</v>
      </c>
      <c r="D2092" s="2" t="s">
        <v>4261</v>
      </c>
      <c r="E2092" s="2" t="str">
        <f>HYPERLINK("https://talan.bank.gov.ua/get-user-certificate/sec1eWd25NxKgosfljGz","Завантажити сертифікат")</f>
        <v>Завантажити сертифікат</v>
      </c>
    </row>
    <row r="2093" spans="1:5" x14ac:dyDescent="0.3">
      <c r="A2093" s="2" t="s">
        <v>4284</v>
      </c>
      <c r="B2093" s="2" t="s">
        <v>5</v>
      </c>
      <c r="C2093" s="2" t="s">
        <v>4285</v>
      </c>
      <c r="D2093" s="2" t="s">
        <v>4261</v>
      </c>
      <c r="E2093" s="2" t="str">
        <f>HYPERLINK("https://talan.bank.gov.ua/get-user-certificate/sec1ereImFW_DvJux4EX","Завантажити сертифікат")</f>
        <v>Завантажити сертифікат</v>
      </c>
    </row>
    <row r="2094" spans="1:5" x14ac:dyDescent="0.3">
      <c r="A2094" s="2" t="s">
        <v>4286</v>
      </c>
      <c r="B2094" s="2" t="s">
        <v>5</v>
      </c>
      <c r="C2094" s="2" t="s">
        <v>4287</v>
      </c>
      <c r="D2094" s="2" t="s">
        <v>4261</v>
      </c>
      <c r="E2094" s="2" t="str">
        <f>HYPERLINK("https://talan.bank.gov.ua/get-user-certificate/sec1e70iH1GWPfFib4H9","Завантажити сертифікат")</f>
        <v>Завантажити сертифікат</v>
      </c>
    </row>
    <row r="2095" spans="1:5" x14ac:dyDescent="0.3">
      <c r="A2095" s="2" t="s">
        <v>4288</v>
      </c>
      <c r="B2095" s="2" t="s">
        <v>5</v>
      </c>
      <c r="C2095" s="2" t="s">
        <v>4289</v>
      </c>
      <c r="D2095" s="2" t="s">
        <v>4261</v>
      </c>
      <c r="E2095" s="2" t="str">
        <f>HYPERLINK("https://talan.bank.gov.ua/get-user-certificate/sec1eyu4KqJOCABk9eIk","Завантажити сертифікат")</f>
        <v>Завантажити сертифікат</v>
      </c>
    </row>
    <row r="2096" spans="1:5" x14ac:dyDescent="0.3">
      <c r="A2096" s="2" t="s">
        <v>4290</v>
      </c>
      <c r="B2096" s="2" t="s">
        <v>5</v>
      </c>
      <c r="C2096" s="2" t="s">
        <v>4291</v>
      </c>
      <c r="D2096" s="2" t="s">
        <v>4261</v>
      </c>
      <c r="E2096" s="2" t="str">
        <f>HYPERLINK("https://talan.bank.gov.ua/get-user-certificate/sec1elP-lkOWuH_jlnDH","Завантажити сертифікат")</f>
        <v>Завантажити сертифікат</v>
      </c>
    </row>
    <row r="2097" spans="1:5" x14ac:dyDescent="0.3">
      <c r="A2097" s="2" t="s">
        <v>4292</v>
      </c>
      <c r="B2097" s="2" t="s">
        <v>5</v>
      </c>
      <c r="C2097" s="2" t="s">
        <v>4293</v>
      </c>
      <c r="D2097" s="2" t="s">
        <v>4261</v>
      </c>
      <c r="E2097" s="2" t="str">
        <f>HYPERLINK("https://talan.bank.gov.ua/get-user-certificate/sec1eaei_VglxaffDewJ","Завантажити сертифікат")</f>
        <v>Завантажити сертифікат</v>
      </c>
    </row>
    <row r="2098" spans="1:5" x14ac:dyDescent="0.3">
      <c r="A2098" s="2" t="s">
        <v>4294</v>
      </c>
      <c r="B2098" s="2" t="s">
        <v>5</v>
      </c>
      <c r="C2098" s="2" t="s">
        <v>4295</v>
      </c>
      <c r="D2098" s="2" t="s">
        <v>4261</v>
      </c>
      <c r="E2098" s="2" t="str">
        <f>HYPERLINK("https://talan.bank.gov.ua/get-user-certificate/sec1e4nWNEBV4fnUPq_Z","Завантажити сертифікат")</f>
        <v>Завантажити сертифікат</v>
      </c>
    </row>
    <row r="2099" spans="1:5" x14ac:dyDescent="0.3">
      <c r="A2099" s="2" t="s">
        <v>4296</v>
      </c>
      <c r="B2099" s="2" t="s">
        <v>5</v>
      </c>
      <c r="C2099" s="2" t="s">
        <v>4297</v>
      </c>
      <c r="D2099" s="2" t="s">
        <v>4261</v>
      </c>
      <c r="E2099" s="2" t="str">
        <f>HYPERLINK("https://talan.bank.gov.ua/get-user-certificate/sec1e3h8KdmgiHOemEKQ","Завантажити сертифікат")</f>
        <v>Завантажити сертифікат</v>
      </c>
    </row>
    <row r="2100" spans="1:5" x14ac:dyDescent="0.3">
      <c r="A2100" s="2" t="s">
        <v>4298</v>
      </c>
      <c r="B2100" s="2" t="s">
        <v>5</v>
      </c>
      <c r="C2100" s="2" t="s">
        <v>4299</v>
      </c>
      <c r="D2100" s="2" t="s">
        <v>4261</v>
      </c>
      <c r="E2100" s="2" t="str">
        <f>HYPERLINK("https://talan.bank.gov.ua/get-user-certificate/sec1eDmNoDIN9CFn49p9","Завантажити сертифікат")</f>
        <v>Завантажити сертифікат</v>
      </c>
    </row>
    <row r="2101" spans="1:5" x14ac:dyDescent="0.3">
      <c r="A2101" s="2" t="s">
        <v>4300</v>
      </c>
      <c r="B2101" s="2" t="s">
        <v>5</v>
      </c>
      <c r="C2101" s="2" t="s">
        <v>4301</v>
      </c>
      <c r="D2101" s="2" t="s">
        <v>4261</v>
      </c>
      <c r="E2101" s="2" t="str">
        <f>HYPERLINK("https://talan.bank.gov.ua/get-user-certificate/sec1ert3-AiVUVqpJVas","Завантажити сертифікат")</f>
        <v>Завантажити сертифікат</v>
      </c>
    </row>
    <row r="2102" spans="1:5" x14ac:dyDescent="0.3">
      <c r="A2102" s="2" t="s">
        <v>4302</v>
      </c>
      <c r="B2102" s="2" t="s">
        <v>5</v>
      </c>
      <c r="C2102" s="2" t="s">
        <v>4303</v>
      </c>
      <c r="D2102" s="2" t="s">
        <v>4261</v>
      </c>
      <c r="E2102" s="2" t="str">
        <f>HYPERLINK("https://talan.bank.gov.ua/get-user-certificate/sec1eM0jEL8LSBE3Kg1H","Завантажити сертифікат")</f>
        <v>Завантажити сертифікат</v>
      </c>
    </row>
    <row r="2103" spans="1:5" x14ac:dyDescent="0.3">
      <c r="A2103" s="2" t="s">
        <v>4304</v>
      </c>
      <c r="B2103" s="2" t="s">
        <v>5</v>
      </c>
      <c r="C2103" s="2" t="s">
        <v>4305</v>
      </c>
      <c r="D2103" s="2" t="s">
        <v>4261</v>
      </c>
      <c r="E2103" s="2" t="str">
        <f>HYPERLINK("https://talan.bank.gov.ua/get-user-certificate/sec1etJcdDM6i6koL8_B","Завантажити сертифікат")</f>
        <v>Завантажити сертифікат</v>
      </c>
    </row>
    <row r="2104" spans="1:5" x14ac:dyDescent="0.3">
      <c r="A2104" s="2" t="s">
        <v>4306</v>
      </c>
      <c r="B2104" s="2" t="s">
        <v>5</v>
      </c>
      <c r="C2104" s="2" t="s">
        <v>4307</v>
      </c>
      <c r="D2104" s="2" t="s">
        <v>4261</v>
      </c>
      <c r="E2104" s="2" t="str">
        <f>HYPERLINK("https://talan.bank.gov.ua/get-user-certificate/sec1e6PpWQbyjFQIgPbR","Завантажити сертифікат")</f>
        <v>Завантажити сертифікат</v>
      </c>
    </row>
    <row r="2105" spans="1:5" x14ac:dyDescent="0.3">
      <c r="A2105" s="2" t="s">
        <v>4308</v>
      </c>
      <c r="B2105" s="2" t="s">
        <v>5</v>
      </c>
      <c r="C2105" s="2" t="s">
        <v>4309</v>
      </c>
      <c r="D2105" s="2" t="s">
        <v>4261</v>
      </c>
      <c r="E2105" s="2" t="str">
        <f>HYPERLINK("https://talan.bank.gov.ua/get-user-certificate/sec1ej4HNAeEP8ojF9Jw","Завантажити сертифікат")</f>
        <v>Завантажити сертифікат</v>
      </c>
    </row>
    <row r="2106" spans="1:5" x14ac:dyDescent="0.3">
      <c r="A2106" s="2" t="s">
        <v>4310</v>
      </c>
      <c r="B2106" s="2" t="s">
        <v>5</v>
      </c>
      <c r="C2106" s="2" t="s">
        <v>4311</v>
      </c>
      <c r="D2106" s="2" t="s">
        <v>4261</v>
      </c>
      <c r="E2106" s="2" t="str">
        <f>HYPERLINK("https://talan.bank.gov.ua/get-user-certificate/sec1exlXbCkYyu0e2OY3","Завантажити сертифікат")</f>
        <v>Завантажити сертифікат</v>
      </c>
    </row>
    <row r="2107" spans="1:5" x14ac:dyDescent="0.3">
      <c r="A2107" s="2" t="s">
        <v>4312</v>
      </c>
      <c r="B2107" s="2" t="s">
        <v>5</v>
      </c>
      <c r="C2107" s="2" t="s">
        <v>4313</v>
      </c>
      <c r="D2107" s="2" t="s">
        <v>4261</v>
      </c>
      <c r="E2107" s="2" t="str">
        <f>HYPERLINK("https://talan.bank.gov.ua/get-user-certificate/sec1e0KtyBeBM-GPZUES","Завантажити сертифікат")</f>
        <v>Завантажити сертифікат</v>
      </c>
    </row>
    <row r="2108" spans="1:5" x14ac:dyDescent="0.3">
      <c r="A2108" s="2" t="s">
        <v>4314</v>
      </c>
      <c r="B2108" s="2" t="s">
        <v>5</v>
      </c>
      <c r="C2108" s="2" t="s">
        <v>4315</v>
      </c>
      <c r="D2108" s="2" t="s">
        <v>4261</v>
      </c>
      <c r="E2108" s="2" t="str">
        <f>HYPERLINK("https://talan.bank.gov.ua/get-user-certificate/sec1enzjIYjJ5GylYRzk","Завантажити сертифікат")</f>
        <v>Завантажити сертифікат</v>
      </c>
    </row>
    <row r="2109" spans="1:5" x14ac:dyDescent="0.3">
      <c r="A2109" s="2" t="s">
        <v>4316</v>
      </c>
      <c r="B2109" s="2" t="s">
        <v>5</v>
      </c>
      <c r="C2109" s="2" t="s">
        <v>4317</v>
      </c>
      <c r="D2109" s="2" t="s">
        <v>4261</v>
      </c>
      <c r="E2109" s="2" t="str">
        <f>HYPERLINK("https://talan.bank.gov.ua/get-user-certificate/sec1efhCaDgbtpsNRESK","Завантажити сертифікат")</f>
        <v>Завантажити сертифікат</v>
      </c>
    </row>
    <row r="2110" spans="1:5" x14ac:dyDescent="0.3">
      <c r="A2110" s="2" t="s">
        <v>4318</v>
      </c>
      <c r="B2110" s="2" t="s">
        <v>5</v>
      </c>
      <c r="C2110" s="2" t="s">
        <v>4319</v>
      </c>
      <c r="D2110" s="2" t="s">
        <v>4261</v>
      </c>
      <c r="E2110" s="2" t="str">
        <f>HYPERLINK("https://talan.bank.gov.ua/get-user-certificate/sec1eq02GtxOLARHmo_D","Завантажити сертифікат")</f>
        <v>Завантажити сертифікат</v>
      </c>
    </row>
    <row r="2111" spans="1:5" x14ac:dyDescent="0.3">
      <c r="A2111" s="2" t="s">
        <v>4320</v>
      </c>
      <c r="B2111" s="2" t="s">
        <v>5</v>
      </c>
      <c r="C2111" s="2" t="s">
        <v>4321</v>
      </c>
      <c r="D2111" s="2" t="s">
        <v>4261</v>
      </c>
      <c r="E2111" s="2" t="str">
        <f>HYPERLINK("https://talan.bank.gov.ua/get-user-certificate/sec1e2TpQSZ_3X3NkE7v","Завантажити сертифікат")</f>
        <v>Завантажити сертифікат</v>
      </c>
    </row>
    <row r="2112" spans="1:5" x14ac:dyDescent="0.3">
      <c r="A2112" s="2" t="s">
        <v>4322</v>
      </c>
      <c r="B2112" s="2" t="s">
        <v>5</v>
      </c>
      <c r="C2112" s="2" t="s">
        <v>4323</v>
      </c>
      <c r="D2112" s="2" t="s">
        <v>4261</v>
      </c>
      <c r="E2112" s="2" t="str">
        <f>HYPERLINK("https://talan.bank.gov.ua/get-user-certificate/sec1eOvxikHBkffL_bMe","Завантажити сертифікат")</f>
        <v>Завантажити сертифікат</v>
      </c>
    </row>
    <row r="2113" spans="1:5" x14ac:dyDescent="0.3">
      <c r="A2113" s="2" t="s">
        <v>4324</v>
      </c>
      <c r="B2113" s="2" t="s">
        <v>5</v>
      </c>
      <c r="C2113" s="2" t="s">
        <v>4325</v>
      </c>
      <c r="D2113" s="2" t="s">
        <v>4261</v>
      </c>
      <c r="E2113" s="2" t="str">
        <f>HYPERLINK("https://talan.bank.gov.ua/get-user-certificate/sec1exf5aM8jIPBxcHrb","Завантажити сертифікат")</f>
        <v>Завантажити сертифікат</v>
      </c>
    </row>
    <row r="2114" spans="1:5" x14ac:dyDescent="0.3">
      <c r="A2114" s="2" t="s">
        <v>4326</v>
      </c>
      <c r="B2114" s="2" t="s">
        <v>5</v>
      </c>
      <c r="C2114" s="2" t="s">
        <v>4327</v>
      </c>
      <c r="D2114" s="2" t="s">
        <v>4261</v>
      </c>
      <c r="E2114" s="2" t="str">
        <f>HYPERLINK("https://talan.bank.gov.ua/get-user-certificate/sec1eJ1VSi-OfeHGelWn","Завантажити сертифікат")</f>
        <v>Завантажити сертифікат</v>
      </c>
    </row>
    <row r="2115" spans="1:5" x14ac:dyDescent="0.3">
      <c r="A2115" s="2" t="s">
        <v>4328</v>
      </c>
      <c r="B2115" s="2" t="s">
        <v>5</v>
      </c>
      <c r="C2115" s="2" t="s">
        <v>4329</v>
      </c>
      <c r="D2115" s="2" t="s">
        <v>4261</v>
      </c>
      <c r="E2115" s="2" t="str">
        <f>HYPERLINK("https://talan.bank.gov.ua/get-user-certificate/sec1enUuu-zebVQdzKOQ","Завантажити сертифікат")</f>
        <v>Завантажити сертифікат</v>
      </c>
    </row>
    <row r="2116" spans="1:5" x14ac:dyDescent="0.3">
      <c r="A2116" s="2" t="s">
        <v>4330</v>
      </c>
      <c r="B2116" s="2" t="s">
        <v>5</v>
      </c>
      <c r="C2116" s="2" t="s">
        <v>4331</v>
      </c>
      <c r="D2116" s="2" t="s">
        <v>4261</v>
      </c>
      <c r="E2116" s="2" t="str">
        <f>HYPERLINK("https://talan.bank.gov.ua/get-user-certificate/sec1ejpyNpDvCfxIVUHP","Завантажити сертифікат")</f>
        <v>Завантажити сертифікат</v>
      </c>
    </row>
    <row r="2117" spans="1:5" x14ac:dyDescent="0.3">
      <c r="A2117" s="2" t="s">
        <v>4332</v>
      </c>
      <c r="B2117" s="2" t="s">
        <v>5</v>
      </c>
      <c r="C2117" s="2" t="s">
        <v>4333</v>
      </c>
      <c r="D2117" s="2" t="s">
        <v>4261</v>
      </c>
      <c r="E2117" s="2" t="str">
        <f>HYPERLINK("https://talan.bank.gov.ua/get-user-certificate/sec1eciKdL3KB0NSwYO1","Завантажити сертифікат")</f>
        <v>Завантажити сертифікат</v>
      </c>
    </row>
    <row r="2118" spans="1:5" x14ac:dyDescent="0.3">
      <c r="A2118" s="2" t="s">
        <v>4334</v>
      </c>
      <c r="B2118" s="2" t="s">
        <v>5</v>
      </c>
      <c r="C2118" s="2" t="s">
        <v>4335</v>
      </c>
      <c r="D2118" s="2" t="s">
        <v>4261</v>
      </c>
      <c r="E2118" s="2" t="str">
        <f>HYPERLINK("https://talan.bank.gov.ua/get-user-certificate/sec1etLhzYJAd-3Zftg1","Завантажити сертифікат")</f>
        <v>Завантажити сертифікат</v>
      </c>
    </row>
    <row r="2119" spans="1:5" x14ac:dyDescent="0.3">
      <c r="A2119" s="2" t="s">
        <v>4336</v>
      </c>
      <c r="B2119" s="2" t="s">
        <v>5</v>
      </c>
      <c r="C2119" s="2" t="s">
        <v>4337</v>
      </c>
      <c r="D2119" s="2" t="s">
        <v>4261</v>
      </c>
      <c r="E2119" s="2" t="str">
        <f>HYPERLINK("https://talan.bank.gov.ua/get-user-certificate/sec1eNj9kk70GwO_7Zxf","Завантажити сертифікат")</f>
        <v>Завантажити сертифікат</v>
      </c>
    </row>
    <row r="2120" spans="1:5" x14ac:dyDescent="0.3">
      <c r="A2120" s="2" t="s">
        <v>4338</v>
      </c>
      <c r="B2120" s="2" t="s">
        <v>5</v>
      </c>
      <c r="C2120" s="2" t="s">
        <v>4339</v>
      </c>
      <c r="D2120" s="2" t="s">
        <v>4261</v>
      </c>
      <c r="E2120" s="2" t="str">
        <f>HYPERLINK("https://talan.bank.gov.ua/get-user-certificate/sec1epIOVi-TWuMMjJ46","Завантажити сертифікат")</f>
        <v>Завантажити сертифікат</v>
      </c>
    </row>
    <row r="2121" spans="1:5" x14ac:dyDescent="0.3">
      <c r="A2121" s="2" t="s">
        <v>4340</v>
      </c>
      <c r="B2121" s="2" t="s">
        <v>5</v>
      </c>
      <c r="C2121" s="2" t="s">
        <v>4341</v>
      </c>
      <c r="D2121" s="2" t="s">
        <v>4261</v>
      </c>
      <c r="E2121" s="2" t="str">
        <f>HYPERLINK("https://talan.bank.gov.ua/get-user-certificate/sec1ek-NXWSAVEt6LA-w","Завантажити сертифікат")</f>
        <v>Завантажити сертифікат</v>
      </c>
    </row>
    <row r="2122" spans="1:5" x14ac:dyDescent="0.3">
      <c r="A2122" s="2" t="s">
        <v>4342</v>
      </c>
      <c r="B2122" s="2" t="s">
        <v>5</v>
      </c>
      <c r="C2122" s="2" t="s">
        <v>4343</v>
      </c>
      <c r="D2122" s="2" t="s">
        <v>4261</v>
      </c>
      <c r="E2122" s="2" t="str">
        <f>HYPERLINK("https://talan.bank.gov.ua/get-user-certificate/sec1eQEeWGb7vw3ztLXO","Завантажити сертифікат")</f>
        <v>Завантажити сертифікат</v>
      </c>
    </row>
    <row r="2123" spans="1:5" x14ac:dyDescent="0.3">
      <c r="A2123" s="2" t="s">
        <v>4344</v>
      </c>
      <c r="B2123" s="2" t="s">
        <v>5</v>
      </c>
      <c r="C2123" s="2" t="s">
        <v>4345</v>
      </c>
      <c r="D2123" s="2" t="s">
        <v>4261</v>
      </c>
      <c r="E2123" s="2" t="str">
        <f>HYPERLINK("https://talan.bank.gov.ua/get-user-certificate/sec1evjZmNT1VhCGR6tI","Завантажити сертифікат")</f>
        <v>Завантажити сертифікат</v>
      </c>
    </row>
    <row r="2124" spans="1:5" x14ac:dyDescent="0.3">
      <c r="A2124" s="2" t="s">
        <v>4346</v>
      </c>
      <c r="B2124" s="2" t="s">
        <v>5</v>
      </c>
      <c r="C2124" s="2" t="s">
        <v>4347</v>
      </c>
      <c r="D2124" s="2" t="s">
        <v>4261</v>
      </c>
      <c r="E2124" s="2" t="str">
        <f>HYPERLINK("https://talan.bank.gov.ua/get-user-certificate/sec1egCFs4EJF0sDZPoj","Завантажити сертифікат")</f>
        <v>Завантажити сертифікат</v>
      </c>
    </row>
    <row r="2125" spans="1:5" x14ac:dyDescent="0.3">
      <c r="A2125" s="2" t="s">
        <v>4348</v>
      </c>
      <c r="B2125" s="2" t="s">
        <v>5</v>
      </c>
      <c r="C2125" s="2" t="s">
        <v>4349</v>
      </c>
      <c r="D2125" s="2" t="s">
        <v>4261</v>
      </c>
      <c r="E2125" s="2" t="str">
        <f>HYPERLINK("https://talan.bank.gov.ua/get-user-certificate/sec1eZowYTJC1VfIxeFn","Завантажити сертифікат")</f>
        <v>Завантажити сертифікат</v>
      </c>
    </row>
    <row r="2126" spans="1:5" x14ac:dyDescent="0.3">
      <c r="A2126" s="2" t="s">
        <v>4350</v>
      </c>
      <c r="B2126" s="2" t="s">
        <v>5</v>
      </c>
      <c r="C2126" s="2" t="s">
        <v>4351</v>
      </c>
      <c r="D2126" s="2" t="s">
        <v>4261</v>
      </c>
      <c r="E2126" s="2" t="str">
        <f>HYPERLINK("https://talan.bank.gov.ua/get-user-certificate/sec1e_hU4FpTDsuTlPHH","Завантажити сертифікат")</f>
        <v>Завантажити сертифікат</v>
      </c>
    </row>
    <row r="2127" spans="1:5" x14ac:dyDescent="0.3">
      <c r="A2127" s="2" t="s">
        <v>4352</v>
      </c>
      <c r="B2127" s="2" t="s">
        <v>5</v>
      </c>
      <c r="C2127" s="2" t="s">
        <v>4353</v>
      </c>
      <c r="D2127" s="2" t="s">
        <v>4261</v>
      </c>
      <c r="E2127" s="2" t="str">
        <f>HYPERLINK("https://talan.bank.gov.ua/get-user-certificate/sec1eRd5VC7oBEY_qiI9","Завантажити сертифікат")</f>
        <v>Завантажити сертифікат</v>
      </c>
    </row>
    <row r="2128" spans="1:5" x14ac:dyDescent="0.3">
      <c r="A2128" s="2" t="s">
        <v>4354</v>
      </c>
      <c r="B2128" s="2" t="s">
        <v>5</v>
      </c>
      <c r="C2128" s="2" t="s">
        <v>4355</v>
      </c>
      <c r="D2128" s="2" t="s">
        <v>4261</v>
      </c>
      <c r="E2128" s="2" t="str">
        <f>HYPERLINK("https://talan.bank.gov.ua/get-user-certificate/sec1e1yMtwXVnViCehOB","Завантажити сертифікат")</f>
        <v>Завантажити сертифікат</v>
      </c>
    </row>
    <row r="2129" spans="1:5" x14ac:dyDescent="0.3">
      <c r="A2129" s="2" t="s">
        <v>4356</v>
      </c>
      <c r="B2129" s="2" t="s">
        <v>5</v>
      </c>
      <c r="C2129" s="2" t="s">
        <v>4357</v>
      </c>
      <c r="D2129" s="2" t="s">
        <v>4261</v>
      </c>
      <c r="E2129" s="2" t="str">
        <f>HYPERLINK("https://talan.bank.gov.ua/get-user-certificate/sec1e-yOA6tT8M0_Cgpq","Завантажити сертифікат")</f>
        <v>Завантажити сертифікат</v>
      </c>
    </row>
    <row r="2130" spans="1:5" x14ac:dyDescent="0.3">
      <c r="A2130" s="2" t="s">
        <v>4358</v>
      </c>
      <c r="B2130" s="2" t="s">
        <v>5</v>
      </c>
      <c r="C2130" s="2" t="s">
        <v>4359</v>
      </c>
      <c r="D2130" s="2" t="s">
        <v>4261</v>
      </c>
      <c r="E2130" s="2" t="str">
        <f>HYPERLINK("https://talan.bank.gov.ua/get-user-certificate/sec1ed6ZMVIz7vlXkIID","Завантажити сертифікат")</f>
        <v>Завантажити сертифікат</v>
      </c>
    </row>
    <row r="2131" spans="1:5" x14ac:dyDescent="0.3">
      <c r="A2131" s="2" t="s">
        <v>4360</v>
      </c>
      <c r="B2131" s="2" t="s">
        <v>5</v>
      </c>
      <c r="C2131" s="2" t="s">
        <v>4361</v>
      </c>
      <c r="D2131" s="2" t="s">
        <v>4261</v>
      </c>
      <c r="E2131" s="2" t="str">
        <f>HYPERLINK("https://talan.bank.gov.ua/get-user-certificate/sec1e4LKUi-Wp4nT888-","Завантажити сертифікат")</f>
        <v>Завантажити сертифікат</v>
      </c>
    </row>
    <row r="2132" spans="1:5" x14ac:dyDescent="0.3">
      <c r="A2132" s="2" t="s">
        <v>4362</v>
      </c>
      <c r="B2132" s="2" t="s">
        <v>5</v>
      </c>
      <c r="C2132" s="2" t="s">
        <v>4363</v>
      </c>
      <c r="D2132" s="2" t="s">
        <v>4261</v>
      </c>
      <c r="E2132" s="2" t="str">
        <f>HYPERLINK("https://talan.bank.gov.ua/get-user-certificate/sec1ehqCoPlNnuqVloA5","Завантажити сертифікат")</f>
        <v>Завантажити сертифікат</v>
      </c>
    </row>
    <row r="2133" spans="1:5" x14ac:dyDescent="0.3">
      <c r="A2133" s="2" t="s">
        <v>4364</v>
      </c>
      <c r="B2133" s="2" t="s">
        <v>5</v>
      </c>
      <c r="C2133" s="2" t="s">
        <v>4365</v>
      </c>
      <c r="D2133" s="2" t="s">
        <v>4261</v>
      </c>
      <c r="E2133" s="2" t="str">
        <f>HYPERLINK("https://talan.bank.gov.ua/get-user-certificate/sec1e1DlV3Bmcty_SJBo","Завантажити сертифікат")</f>
        <v>Завантажити сертифікат</v>
      </c>
    </row>
    <row r="2134" spans="1:5" x14ac:dyDescent="0.3">
      <c r="A2134" s="2" t="s">
        <v>4366</v>
      </c>
      <c r="B2134" s="2" t="s">
        <v>5</v>
      </c>
      <c r="C2134" s="2" t="s">
        <v>4367</v>
      </c>
      <c r="D2134" s="2" t="s">
        <v>4261</v>
      </c>
      <c r="E2134" s="2" t="str">
        <f>HYPERLINK("https://talan.bank.gov.ua/get-user-certificate/sec1e1VJbdWtj_48bAVP","Завантажити сертифікат")</f>
        <v>Завантажити сертифікат</v>
      </c>
    </row>
    <row r="2135" spans="1:5" x14ac:dyDescent="0.3">
      <c r="A2135" s="2" t="s">
        <v>4368</v>
      </c>
      <c r="B2135" s="2" t="s">
        <v>5</v>
      </c>
      <c r="C2135" s="2" t="s">
        <v>4369</v>
      </c>
      <c r="D2135" s="2" t="s">
        <v>4261</v>
      </c>
      <c r="E2135" s="2" t="str">
        <f>HYPERLINK("https://talan.bank.gov.ua/get-user-certificate/sec1eAildyKrtQEWUYRR","Завантажити сертифікат")</f>
        <v>Завантажити сертифікат</v>
      </c>
    </row>
    <row r="2136" spans="1:5" x14ac:dyDescent="0.3">
      <c r="A2136" s="2" t="s">
        <v>4370</v>
      </c>
      <c r="B2136" s="2" t="s">
        <v>5</v>
      </c>
      <c r="C2136" s="2" t="s">
        <v>4371</v>
      </c>
      <c r="D2136" s="2" t="s">
        <v>4261</v>
      </c>
      <c r="E2136" s="2" t="str">
        <f>HYPERLINK("https://talan.bank.gov.ua/get-user-certificate/sec1ecV-ehPZjtcO9-Ss","Завантажити сертифікат")</f>
        <v>Завантажити сертифікат</v>
      </c>
    </row>
    <row r="2137" spans="1:5" x14ac:dyDescent="0.3">
      <c r="A2137" s="2" t="s">
        <v>4372</v>
      </c>
      <c r="B2137" s="2" t="s">
        <v>5</v>
      </c>
      <c r="C2137" s="2" t="s">
        <v>4373</v>
      </c>
      <c r="D2137" s="2" t="s">
        <v>4261</v>
      </c>
      <c r="E2137" s="2" t="str">
        <f>HYPERLINK("https://talan.bank.gov.ua/get-user-certificate/sec1eYQcIIQSgpVJrnTM","Завантажити сертифікат")</f>
        <v>Завантажити сертифікат</v>
      </c>
    </row>
    <row r="2138" spans="1:5" x14ac:dyDescent="0.3">
      <c r="A2138" s="2" t="s">
        <v>4374</v>
      </c>
      <c r="B2138" s="2" t="s">
        <v>5</v>
      </c>
      <c r="C2138" s="2" t="s">
        <v>4375</v>
      </c>
      <c r="D2138" s="2" t="s">
        <v>4261</v>
      </c>
      <c r="E2138" s="2" t="str">
        <f>HYPERLINK("https://talan.bank.gov.ua/get-user-certificate/sec1eybfPmJycbIqk-aY","Завантажити сертифікат")</f>
        <v>Завантажити сертифікат</v>
      </c>
    </row>
    <row r="2139" spans="1:5" x14ac:dyDescent="0.3">
      <c r="A2139" s="2" t="s">
        <v>4376</v>
      </c>
      <c r="B2139" s="2" t="s">
        <v>5</v>
      </c>
      <c r="C2139" s="2" t="s">
        <v>4377</v>
      </c>
      <c r="D2139" s="2" t="s">
        <v>4261</v>
      </c>
      <c r="E2139" s="2" t="str">
        <f>HYPERLINK("https://talan.bank.gov.ua/get-user-certificate/sec1e35F8UG84rj9pPkv","Завантажити сертифікат")</f>
        <v>Завантажити сертифікат</v>
      </c>
    </row>
    <row r="2140" spans="1:5" x14ac:dyDescent="0.3">
      <c r="A2140" s="2" t="s">
        <v>4378</v>
      </c>
      <c r="B2140" s="2" t="s">
        <v>5</v>
      </c>
      <c r="C2140" s="2" t="s">
        <v>4379</v>
      </c>
      <c r="D2140" s="2" t="s">
        <v>4261</v>
      </c>
      <c r="E2140" s="2" t="str">
        <f>HYPERLINK("https://talan.bank.gov.ua/get-user-certificate/sec1e8toZBwUENiyT2au","Завантажити сертифікат")</f>
        <v>Завантажити сертифікат</v>
      </c>
    </row>
    <row r="2141" spans="1:5" x14ac:dyDescent="0.3">
      <c r="A2141" s="2" t="s">
        <v>4380</v>
      </c>
      <c r="B2141" s="2" t="s">
        <v>5</v>
      </c>
      <c r="C2141" s="2" t="s">
        <v>4381</v>
      </c>
      <c r="D2141" s="2" t="s">
        <v>4261</v>
      </c>
      <c r="E2141" s="2" t="str">
        <f>HYPERLINK("https://talan.bank.gov.ua/get-user-certificate/sec1eqXbZ8RG_u5pWhcW","Завантажити сертифікат")</f>
        <v>Завантажити сертифікат</v>
      </c>
    </row>
    <row r="2142" spans="1:5" x14ac:dyDescent="0.3">
      <c r="A2142" s="2" t="s">
        <v>4382</v>
      </c>
      <c r="B2142" s="2" t="s">
        <v>5</v>
      </c>
      <c r="C2142" s="2" t="s">
        <v>4383</v>
      </c>
      <c r="D2142" s="2" t="s">
        <v>4261</v>
      </c>
      <c r="E2142" s="2" t="str">
        <f>HYPERLINK("https://talan.bank.gov.ua/get-user-certificate/sec1e6ySTNpW1tSgsZbQ","Завантажити сертифікат")</f>
        <v>Завантажити сертифікат</v>
      </c>
    </row>
    <row r="2143" spans="1:5" x14ac:dyDescent="0.3">
      <c r="A2143" s="2" t="s">
        <v>4384</v>
      </c>
      <c r="B2143" s="2" t="s">
        <v>5</v>
      </c>
      <c r="C2143" s="2" t="s">
        <v>4385</v>
      </c>
      <c r="D2143" s="2" t="s">
        <v>4261</v>
      </c>
      <c r="E2143" s="2" t="str">
        <f>HYPERLINK("https://talan.bank.gov.ua/get-user-certificate/sec1eQ4slAmXV9_TIBsx","Завантажити сертифікат")</f>
        <v>Завантажити сертифікат</v>
      </c>
    </row>
    <row r="2144" spans="1:5" x14ac:dyDescent="0.3">
      <c r="A2144" s="2" t="s">
        <v>4386</v>
      </c>
      <c r="B2144" s="2" t="s">
        <v>5</v>
      </c>
      <c r="C2144" s="2" t="s">
        <v>4387</v>
      </c>
      <c r="D2144" s="2" t="s">
        <v>4261</v>
      </c>
      <c r="E2144" s="2" t="str">
        <f>HYPERLINK("https://talan.bank.gov.ua/get-user-certificate/sec1eDnusQAjm7BALwlv","Завантажити сертифікат")</f>
        <v>Завантажити сертифікат</v>
      </c>
    </row>
    <row r="2145" spans="1:5" x14ac:dyDescent="0.3">
      <c r="A2145" s="2" t="s">
        <v>4388</v>
      </c>
      <c r="B2145" s="2" t="s">
        <v>5</v>
      </c>
      <c r="C2145" s="2" t="s">
        <v>4389</v>
      </c>
      <c r="D2145" s="2" t="s">
        <v>4261</v>
      </c>
      <c r="E2145" s="2" t="str">
        <f>HYPERLINK("https://talan.bank.gov.ua/get-user-certificate/sec1e3fwHeOqy2dkzlet","Завантажити сертифікат")</f>
        <v>Завантажити сертифікат</v>
      </c>
    </row>
    <row r="2146" spans="1:5" x14ac:dyDescent="0.3">
      <c r="A2146" s="2" t="s">
        <v>4390</v>
      </c>
      <c r="B2146" s="2" t="s">
        <v>5</v>
      </c>
      <c r="C2146" s="2" t="s">
        <v>4391</v>
      </c>
      <c r="D2146" s="2" t="s">
        <v>4261</v>
      </c>
      <c r="E2146" s="2" t="str">
        <f>HYPERLINK("https://talan.bank.gov.ua/get-user-certificate/sec1eg7_skWOWzfid7dG","Завантажити сертифікат")</f>
        <v>Завантажити сертифікат</v>
      </c>
    </row>
    <row r="2147" spans="1:5" x14ac:dyDescent="0.3">
      <c r="A2147" s="2" t="s">
        <v>4392</v>
      </c>
      <c r="B2147" s="2" t="s">
        <v>5</v>
      </c>
      <c r="C2147" s="2" t="s">
        <v>4393</v>
      </c>
      <c r="D2147" s="2" t="s">
        <v>4261</v>
      </c>
      <c r="E2147" s="2" t="str">
        <f>HYPERLINK("https://talan.bank.gov.ua/get-user-certificate/sec1e9opRirRWhqYH87-","Завантажити сертифікат")</f>
        <v>Завантажити сертифікат</v>
      </c>
    </row>
    <row r="2148" spans="1:5" x14ac:dyDescent="0.3">
      <c r="A2148" s="2" t="s">
        <v>4394</v>
      </c>
      <c r="B2148" s="2" t="s">
        <v>5</v>
      </c>
      <c r="C2148" s="2" t="s">
        <v>4395</v>
      </c>
      <c r="D2148" s="2" t="s">
        <v>4261</v>
      </c>
      <c r="E2148" s="2" t="str">
        <f>HYPERLINK("https://talan.bank.gov.ua/get-user-certificate/sec1eDQZyysNBFXU-78m","Завантажити сертифікат")</f>
        <v>Завантажити сертифікат</v>
      </c>
    </row>
    <row r="2149" spans="1:5" x14ac:dyDescent="0.3">
      <c r="A2149" s="2" t="s">
        <v>4396</v>
      </c>
      <c r="B2149" s="2" t="s">
        <v>5</v>
      </c>
      <c r="C2149" s="2" t="s">
        <v>4397</v>
      </c>
      <c r="D2149" s="2" t="s">
        <v>4261</v>
      </c>
      <c r="E2149" s="2" t="str">
        <f>HYPERLINK("https://talan.bank.gov.ua/get-user-certificate/sec1ejW8KBOEz8MGecfJ","Завантажити сертифікат")</f>
        <v>Завантажити сертифікат</v>
      </c>
    </row>
    <row r="2150" spans="1:5" x14ac:dyDescent="0.3">
      <c r="A2150" s="2" t="s">
        <v>4398</v>
      </c>
      <c r="B2150" s="2" t="s">
        <v>5</v>
      </c>
      <c r="C2150" s="2" t="s">
        <v>4399</v>
      </c>
      <c r="D2150" s="2" t="s">
        <v>4261</v>
      </c>
      <c r="E2150" s="2" t="str">
        <f>HYPERLINK("https://talan.bank.gov.ua/get-user-certificate/sec1e2zjpaTlNSR-ef-G","Завантажити сертифікат")</f>
        <v>Завантажити сертифікат</v>
      </c>
    </row>
    <row r="2151" spans="1:5" x14ac:dyDescent="0.3">
      <c r="A2151" s="2" t="s">
        <v>4400</v>
      </c>
      <c r="B2151" s="2" t="s">
        <v>5</v>
      </c>
      <c r="C2151" s="2" t="s">
        <v>4401</v>
      </c>
      <c r="D2151" s="2" t="s">
        <v>4261</v>
      </c>
      <c r="E2151" s="2" t="str">
        <f>HYPERLINK("https://talan.bank.gov.ua/get-user-certificate/sec1eo-IhVfxo1bnjxEU","Завантажити сертифікат")</f>
        <v>Завантажити сертифікат</v>
      </c>
    </row>
    <row r="2152" spans="1:5" x14ac:dyDescent="0.3">
      <c r="A2152" s="2" t="s">
        <v>4402</v>
      </c>
      <c r="B2152" s="2" t="s">
        <v>5</v>
      </c>
      <c r="C2152" s="2" t="s">
        <v>4403</v>
      </c>
      <c r="D2152" s="2" t="s">
        <v>4261</v>
      </c>
      <c r="E2152" s="2" t="str">
        <f>HYPERLINK("https://talan.bank.gov.ua/get-user-certificate/sec1enS_72g-oz-lsrJb","Завантажити сертифікат")</f>
        <v>Завантажити сертифікат</v>
      </c>
    </row>
    <row r="2153" spans="1:5" x14ac:dyDescent="0.3">
      <c r="A2153" s="2" t="s">
        <v>4404</v>
      </c>
      <c r="B2153" s="2" t="s">
        <v>5</v>
      </c>
      <c r="C2153" s="2" t="s">
        <v>4405</v>
      </c>
      <c r="D2153" s="2" t="s">
        <v>4261</v>
      </c>
      <c r="E2153" s="2" t="str">
        <f>HYPERLINK("https://talan.bank.gov.ua/get-user-certificate/sec1eFyp6zlPAY5sPxL6","Завантажити сертифікат")</f>
        <v>Завантажити сертифікат</v>
      </c>
    </row>
    <row r="2154" spans="1:5" x14ac:dyDescent="0.3">
      <c r="A2154" s="2" t="s">
        <v>4406</v>
      </c>
      <c r="B2154" s="2" t="s">
        <v>5</v>
      </c>
      <c r="C2154" s="2" t="s">
        <v>4407</v>
      </c>
      <c r="D2154" s="2" t="s">
        <v>4261</v>
      </c>
      <c r="E2154" s="2" t="str">
        <f>HYPERLINK("https://talan.bank.gov.ua/get-user-certificate/sec1eduD4zyw8sV887ru","Завантажити сертифікат")</f>
        <v>Завантажити сертифікат</v>
      </c>
    </row>
    <row r="2155" spans="1:5" x14ac:dyDescent="0.3">
      <c r="A2155" s="2" t="s">
        <v>4408</v>
      </c>
      <c r="B2155" s="2" t="s">
        <v>5</v>
      </c>
      <c r="C2155" s="2" t="s">
        <v>4409</v>
      </c>
      <c r="D2155" s="2" t="s">
        <v>4261</v>
      </c>
      <c r="E2155" s="2" t="str">
        <f>HYPERLINK("https://talan.bank.gov.ua/get-user-certificate/sec1e-HfKxcTogjeqN9q","Завантажити сертифікат")</f>
        <v>Завантажити сертифікат</v>
      </c>
    </row>
    <row r="2156" spans="1:5" x14ac:dyDescent="0.3">
      <c r="A2156" s="2" t="s">
        <v>4410</v>
      </c>
      <c r="B2156" s="2" t="s">
        <v>5</v>
      </c>
      <c r="C2156" s="2" t="s">
        <v>4411</v>
      </c>
      <c r="D2156" s="2" t="s">
        <v>4261</v>
      </c>
      <c r="E2156" s="2" t="str">
        <f>HYPERLINK("https://talan.bank.gov.ua/get-user-certificate/sec1evUakYoE6I-xUeeZ","Завантажити сертифікат")</f>
        <v>Завантажити сертифікат</v>
      </c>
    </row>
    <row r="2157" spans="1:5" x14ac:dyDescent="0.3">
      <c r="A2157" s="2" t="s">
        <v>4412</v>
      </c>
      <c r="B2157" s="2" t="s">
        <v>5</v>
      </c>
      <c r="C2157" s="2" t="s">
        <v>4413</v>
      </c>
      <c r="D2157" s="2" t="s">
        <v>4261</v>
      </c>
      <c r="E2157" s="2" t="str">
        <f>HYPERLINK("https://talan.bank.gov.ua/get-user-certificate/sec1eeksRdWE56jE1I2k","Завантажити сертифікат")</f>
        <v>Завантажити сертифікат</v>
      </c>
    </row>
    <row r="2158" spans="1:5" x14ac:dyDescent="0.3">
      <c r="A2158" s="2" t="s">
        <v>4414</v>
      </c>
      <c r="B2158" s="2" t="s">
        <v>5</v>
      </c>
      <c r="C2158" s="2" t="s">
        <v>4415</v>
      </c>
      <c r="D2158" s="2" t="s">
        <v>4261</v>
      </c>
      <c r="E2158" s="2" t="str">
        <f>HYPERLINK("https://talan.bank.gov.ua/get-user-certificate/sec1eThc0o09K7jyKXTj","Завантажити сертифікат")</f>
        <v>Завантажити сертифікат</v>
      </c>
    </row>
    <row r="2159" spans="1:5" x14ac:dyDescent="0.3">
      <c r="A2159" s="2" t="s">
        <v>4416</v>
      </c>
      <c r="B2159" s="2" t="s">
        <v>5</v>
      </c>
      <c r="C2159" s="2" t="s">
        <v>4417</v>
      </c>
      <c r="D2159" s="2" t="s">
        <v>4261</v>
      </c>
      <c r="E2159" s="2" t="str">
        <f>HYPERLINK("https://talan.bank.gov.ua/get-user-certificate/sec1el8GTWZwfn9TEIPS","Завантажити сертифікат")</f>
        <v>Завантажити сертифікат</v>
      </c>
    </row>
    <row r="2160" spans="1:5" x14ac:dyDescent="0.3">
      <c r="A2160" s="2" t="s">
        <v>4418</v>
      </c>
      <c r="B2160" s="2" t="s">
        <v>5</v>
      </c>
      <c r="C2160" s="2" t="s">
        <v>4419</v>
      </c>
      <c r="D2160" s="2" t="s">
        <v>4261</v>
      </c>
      <c r="E2160" s="2" t="str">
        <f>HYPERLINK("https://talan.bank.gov.ua/get-user-certificate/sec1edXW9h6LgNXoA8Y3","Завантажити сертифікат")</f>
        <v>Завантажити сертифікат</v>
      </c>
    </row>
    <row r="2161" spans="1:5" x14ac:dyDescent="0.3">
      <c r="A2161" s="2" t="s">
        <v>4420</v>
      </c>
      <c r="B2161" s="2" t="s">
        <v>5</v>
      </c>
      <c r="C2161" s="2" t="s">
        <v>4421</v>
      </c>
      <c r="D2161" s="2" t="s">
        <v>4261</v>
      </c>
      <c r="E2161" s="2" t="str">
        <f>HYPERLINK("https://talan.bank.gov.ua/get-user-certificate/sec1eKXTJgq43vhVlRTa","Завантажити сертифікат")</f>
        <v>Завантажити сертифікат</v>
      </c>
    </row>
    <row r="2162" spans="1:5" x14ac:dyDescent="0.3">
      <c r="A2162" s="2" t="s">
        <v>4422</v>
      </c>
      <c r="B2162" s="2" t="s">
        <v>5</v>
      </c>
      <c r="C2162" s="2" t="s">
        <v>4423</v>
      </c>
      <c r="D2162" s="2" t="s">
        <v>4261</v>
      </c>
      <c r="E2162" s="2" t="str">
        <f>HYPERLINK("https://talan.bank.gov.ua/get-user-certificate/sec1e8X2x1scZPd_RHyX","Завантажити сертифікат")</f>
        <v>Завантажити сертифікат</v>
      </c>
    </row>
    <row r="2163" spans="1:5" x14ac:dyDescent="0.3">
      <c r="A2163" s="2" t="s">
        <v>4424</v>
      </c>
      <c r="B2163" s="2" t="s">
        <v>5</v>
      </c>
      <c r="C2163" s="2" t="s">
        <v>4425</v>
      </c>
      <c r="D2163" s="2" t="s">
        <v>4261</v>
      </c>
      <c r="E2163" s="2" t="str">
        <f>HYPERLINK("https://talan.bank.gov.ua/get-user-certificate/sec1ey5mqd1KPXfBdap0","Завантажити сертифікат")</f>
        <v>Завантажити сертифікат</v>
      </c>
    </row>
    <row r="2164" spans="1:5" x14ac:dyDescent="0.3">
      <c r="A2164" s="2" t="s">
        <v>4426</v>
      </c>
      <c r="B2164" s="2" t="s">
        <v>5</v>
      </c>
      <c r="C2164" s="2" t="s">
        <v>4427</v>
      </c>
      <c r="D2164" s="2" t="s">
        <v>4261</v>
      </c>
      <c r="E2164" s="2" t="str">
        <f>HYPERLINK("https://talan.bank.gov.ua/get-user-certificate/sec1eNC2QKJ6B8_Yvnrc","Завантажити сертифікат")</f>
        <v>Завантажити сертифікат</v>
      </c>
    </row>
    <row r="2165" spans="1:5" x14ac:dyDescent="0.3">
      <c r="A2165" s="2" t="s">
        <v>4428</v>
      </c>
      <c r="B2165" s="2" t="s">
        <v>5</v>
      </c>
      <c r="C2165" s="2" t="s">
        <v>4429</v>
      </c>
      <c r="D2165" s="2" t="s">
        <v>4261</v>
      </c>
      <c r="E2165" s="2" t="str">
        <f>HYPERLINK("https://talan.bank.gov.ua/get-user-certificate/sec1eSxb1Gi-VKlA4K0l","Завантажити сертифікат")</f>
        <v>Завантажити сертифікат</v>
      </c>
    </row>
    <row r="2166" spans="1:5" x14ac:dyDescent="0.3">
      <c r="A2166" s="2" t="s">
        <v>4430</v>
      </c>
      <c r="B2166" s="2" t="s">
        <v>5</v>
      </c>
      <c r="C2166" s="2" t="s">
        <v>4431</v>
      </c>
      <c r="D2166" s="2" t="s">
        <v>4261</v>
      </c>
      <c r="E2166" s="2" t="str">
        <f>HYPERLINK("https://talan.bank.gov.ua/get-user-certificate/sec1emg2OixXssaW3yyw","Завантажити сертифікат")</f>
        <v>Завантажити сертифікат</v>
      </c>
    </row>
    <row r="2167" spans="1:5" x14ac:dyDescent="0.3">
      <c r="A2167" s="2" t="s">
        <v>4432</v>
      </c>
      <c r="B2167" s="2" t="s">
        <v>5</v>
      </c>
      <c r="C2167" s="2" t="s">
        <v>4433</v>
      </c>
      <c r="D2167" s="2" t="s">
        <v>4261</v>
      </c>
      <c r="E2167" s="2" t="str">
        <f>HYPERLINK("https://talan.bank.gov.ua/get-user-certificate/sec1eBDiKAoXTLZnYI-7","Завантажити сертифікат")</f>
        <v>Завантажити сертифікат</v>
      </c>
    </row>
    <row r="2168" spans="1:5" x14ac:dyDescent="0.3">
      <c r="A2168" s="2" t="s">
        <v>4434</v>
      </c>
      <c r="B2168" s="2" t="s">
        <v>5</v>
      </c>
      <c r="C2168" s="2" t="s">
        <v>4435</v>
      </c>
      <c r="D2168" s="2" t="s">
        <v>4261</v>
      </c>
      <c r="E2168" s="2" t="str">
        <f>HYPERLINK("https://talan.bank.gov.ua/get-user-certificate/sec1et2JQcMmg9UetKO1","Завантажити сертифікат")</f>
        <v>Завантажити сертифікат</v>
      </c>
    </row>
    <row r="2169" spans="1:5" x14ac:dyDescent="0.3">
      <c r="A2169" s="2" t="s">
        <v>4436</v>
      </c>
      <c r="B2169" s="2" t="s">
        <v>5</v>
      </c>
      <c r="C2169" s="2" t="s">
        <v>4437</v>
      </c>
      <c r="D2169" s="2" t="s">
        <v>4261</v>
      </c>
      <c r="E2169" s="2" t="str">
        <f>HYPERLINK("https://talan.bank.gov.ua/get-user-certificate/sec1ep8_F06kQWmYc1gA","Завантажити сертифікат")</f>
        <v>Завантажити сертифікат</v>
      </c>
    </row>
    <row r="2170" spans="1:5" x14ac:dyDescent="0.3">
      <c r="A2170" s="2" t="s">
        <v>4438</v>
      </c>
      <c r="B2170" s="2" t="s">
        <v>5</v>
      </c>
      <c r="C2170" s="2" t="s">
        <v>4439</v>
      </c>
      <c r="D2170" s="2" t="s">
        <v>4261</v>
      </c>
      <c r="E2170" s="2" t="str">
        <f>HYPERLINK("https://talan.bank.gov.ua/get-user-certificate/sec1ePRePbIVsuN1OJza","Завантажити сертифікат")</f>
        <v>Завантажити сертифікат</v>
      </c>
    </row>
    <row r="2171" spans="1:5" x14ac:dyDescent="0.3">
      <c r="A2171" s="2" t="s">
        <v>4440</v>
      </c>
      <c r="B2171" s="2" t="s">
        <v>5</v>
      </c>
      <c r="C2171" s="2" t="s">
        <v>4441</v>
      </c>
      <c r="D2171" s="2" t="s">
        <v>4261</v>
      </c>
      <c r="E2171" s="2" t="str">
        <f>HYPERLINK("https://talan.bank.gov.ua/get-user-certificate/sec1e75QuW7GJBD4c2D-","Завантажити сертифікат")</f>
        <v>Завантажити сертифікат</v>
      </c>
    </row>
    <row r="2172" spans="1:5" x14ac:dyDescent="0.3">
      <c r="A2172" s="2" t="s">
        <v>4442</v>
      </c>
      <c r="B2172" s="2" t="s">
        <v>5</v>
      </c>
      <c r="C2172" s="2" t="s">
        <v>4443</v>
      </c>
      <c r="D2172" s="2" t="s">
        <v>4261</v>
      </c>
      <c r="E2172" s="2" t="str">
        <f>HYPERLINK("https://talan.bank.gov.ua/get-user-certificate/sec1es0OEt-rU1D_xC9e","Завантажити сертифікат")</f>
        <v>Завантажити сертифікат</v>
      </c>
    </row>
    <row r="2173" spans="1:5" x14ac:dyDescent="0.3">
      <c r="A2173" s="2" t="s">
        <v>4444</v>
      </c>
      <c r="B2173" s="2" t="s">
        <v>5</v>
      </c>
      <c r="C2173" s="2" t="s">
        <v>4445</v>
      </c>
      <c r="D2173" s="2" t="s">
        <v>4261</v>
      </c>
      <c r="E2173" s="2" t="str">
        <f>HYPERLINK("https://talan.bank.gov.ua/get-user-certificate/sec1evqksE3qoHPJp8fF","Завантажити сертифікат")</f>
        <v>Завантажити сертифікат</v>
      </c>
    </row>
    <row r="2174" spans="1:5" x14ac:dyDescent="0.3">
      <c r="A2174" s="2" t="s">
        <v>4446</v>
      </c>
      <c r="B2174" s="2" t="s">
        <v>5</v>
      </c>
      <c r="C2174" s="2" t="s">
        <v>4447</v>
      </c>
      <c r="D2174" s="2" t="s">
        <v>4261</v>
      </c>
      <c r="E2174" s="2" t="str">
        <f>HYPERLINK("https://talan.bank.gov.ua/get-user-certificate/sec1eAJf7ZV-uUoSc52H","Завантажити сертифікат")</f>
        <v>Завантажити сертифікат</v>
      </c>
    </row>
    <row r="2175" spans="1:5" x14ac:dyDescent="0.3">
      <c r="A2175" s="2" t="s">
        <v>4448</v>
      </c>
      <c r="B2175" s="2" t="s">
        <v>5</v>
      </c>
      <c r="C2175" s="2" t="s">
        <v>4449</v>
      </c>
      <c r="D2175" s="2" t="s">
        <v>4450</v>
      </c>
      <c r="E2175" s="2" t="str">
        <f>HYPERLINK("https://talan.bank.gov.ua/get-user-certificate/sec1evfNTYD3f4WDWsUI","Завантажити сертифікат")</f>
        <v>Завантажити сертифікат</v>
      </c>
    </row>
    <row r="2176" spans="1:5" x14ac:dyDescent="0.3">
      <c r="A2176" s="2" t="s">
        <v>4451</v>
      </c>
      <c r="B2176" s="2" t="s">
        <v>5</v>
      </c>
      <c r="C2176" s="2" t="s">
        <v>4452</v>
      </c>
      <c r="D2176" s="2" t="s">
        <v>4450</v>
      </c>
      <c r="E2176" s="2" t="str">
        <f>HYPERLINK("https://talan.bank.gov.ua/get-user-certificate/sec1eWtqrV1dAg8xXN6I","Завантажити сертифікат")</f>
        <v>Завантажити сертифікат</v>
      </c>
    </row>
    <row r="2177" spans="1:5" x14ac:dyDescent="0.3">
      <c r="A2177" s="2" t="s">
        <v>4453</v>
      </c>
      <c r="B2177" s="2" t="s">
        <v>5</v>
      </c>
      <c r="C2177" s="2" t="s">
        <v>4454</v>
      </c>
      <c r="D2177" s="2" t="s">
        <v>4450</v>
      </c>
      <c r="E2177" s="2" t="str">
        <f>HYPERLINK("https://talan.bank.gov.ua/get-user-certificate/sec1eMbHRwSP46ATj4nP","Завантажити сертифікат")</f>
        <v>Завантажити сертифікат</v>
      </c>
    </row>
    <row r="2178" spans="1:5" x14ac:dyDescent="0.3">
      <c r="A2178" s="2" t="s">
        <v>4455</v>
      </c>
      <c r="B2178" s="2" t="s">
        <v>5</v>
      </c>
      <c r="C2178" s="2" t="s">
        <v>4456</v>
      </c>
      <c r="D2178" s="2" t="s">
        <v>4450</v>
      </c>
      <c r="E2178" s="2" t="str">
        <f>HYPERLINK("https://talan.bank.gov.ua/get-user-certificate/sec1efg0cLaU5fzFAj0b","Завантажити сертифікат")</f>
        <v>Завантажити сертифікат</v>
      </c>
    </row>
    <row r="2179" spans="1:5" x14ac:dyDescent="0.3">
      <c r="A2179" s="2" t="s">
        <v>4457</v>
      </c>
      <c r="B2179" s="2" t="s">
        <v>5</v>
      </c>
      <c r="C2179" s="2" t="s">
        <v>4458</v>
      </c>
      <c r="D2179" s="2" t="s">
        <v>4450</v>
      </c>
      <c r="E2179" s="2" t="str">
        <f>HYPERLINK("https://talan.bank.gov.ua/get-user-certificate/sec1eVmW-CemGu3zdthx","Завантажити сертифікат")</f>
        <v>Завантажити сертифікат</v>
      </c>
    </row>
    <row r="2180" spans="1:5" x14ac:dyDescent="0.3">
      <c r="A2180" s="2" t="s">
        <v>4459</v>
      </c>
      <c r="B2180" s="2" t="s">
        <v>5</v>
      </c>
      <c r="C2180" s="2" t="s">
        <v>4460</v>
      </c>
      <c r="D2180" s="2" t="s">
        <v>4450</v>
      </c>
      <c r="E2180" s="2" t="str">
        <f>HYPERLINK("https://talan.bank.gov.ua/get-user-certificate/sec1eAUxw0oqIvb7Oc_i","Завантажити сертифікат")</f>
        <v>Завантажити сертифікат</v>
      </c>
    </row>
    <row r="2181" spans="1:5" x14ac:dyDescent="0.3">
      <c r="A2181" s="2" t="s">
        <v>4461</v>
      </c>
      <c r="B2181" s="2" t="s">
        <v>5</v>
      </c>
      <c r="C2181" s="2" t="s">
        <v>4462</v>
      </c>
      <c r="D2181" s="2" t="s">
        <v>4450</v>
      </c>
      <c r="E2181" s="2" t="str">
        <f>HYPERLINK("https://talan.bank.gov.ua/get-user-certificate/sec1eU7hn45bCMDjX-Hx","Завантажити сертифікат")</f>
        <v>Завантажити сертифікат</v>
      </c>
    </row>
    <row r="2182" spans="1:5" x14ac:dyDescent="0.3">
      <c r="A2182" s="2" t="s">
        <v>4463</v>
      </c>
      <c r="B2182" s="2" t="s">
        <v>5</v>
      </c>
      <c r="C2182" s="2" t="s">
        <v>4464</v>
      </c>
      <c r="D2182" s="2" t="s">
        <v>4450</v>
      </c>
      <c r="E2182" s="2" t="str">
        <f>HYPERLINK("https://talan.bank.gov.ua/get-user-certificate/sec1erY_oaI7i8YnbxjQ","Завантажити сертифікат")</f>
        <v>Завантажити сертифікат</v>
      </c>
    </row>
    <row r="2183" spans="1:5" x14ac:dyDescent="0.3">
      <c r="A2183" s="2" t="s">
        <v>4465</v>
      </c>
      <c r="B2183" s="2" t="s">
        <v>5</v>
      </c>
      <c r="C2183" s="2" t="s">
        <v>4466</v>
      </c>
      <c r="D2183" s="2" t="s">
        <v>4450</v>
      </c>
      <c r="E2183" s="2" t="str">
        <f>HYPERLINK("https://talan.bank.gov.ua/get-user-certificate/sec1e__OGDKLRy5hSdUz","Завантажити сертифікат")</f>
        <v>Завантажити сертифікат</v>
      </c>
    </row>
    <row r="2184" spans="1:5" x14ac:dyDescent="0.3">
      <c r="A2184" s="2" t="s">
        <v>4467</v>
      </c>
      <c r="B2184" s="2" t="s">
        <v>5</v>
      </c>
      <c r="C2184" s="2" t="s">
        <v>4468</v>
      </c>
      <c r="D2184" s="2" t="s">
        <v>4450</v>
      </c>
      <c r="E2184" s="2" t="str">
        <f>HYPERLINK("https://talan.bank.gov.ua/get-user-certificate/sec1esoXRaWGtgTXKfvv","Завантажити сертифікат")</f>
        <v>Завантажити сертифікат</v>
      </c>
    </row>
    <row r="2185" spans="1:5" x14ac:dyDescent="0.3">
      <c r="A2185" s="2" t="s">
        <v>4469</v>
      </c>
      <c r="B2185" s="2" t="s">
        <v>5</v>
      </c>
      <c r="C2185" s="2" t="s">
        <v>4470</v>
      </c>
      <c r="D2185" s="2" t="s">
        <v>4450</v>
      </c>
      <c r="E2185" s="2" t="str">
        <f>HYPERLINK("https://talan.bank.gov.ua/get-user-certificate/sec1eYasR8xQm5093Ta9","Завантажити сертифікат")</f>
        <v>Завантажити сертифікат</v>
      </c>
    </row>
    <row r="2186" spans="1:5" x14ac:dyDescent="0.3">
      <c r="A2186" s="2" t="s">
        <v>4471</v>
      </c>
      <c r="B2186" s="2" t="s">
        <v>5</v>
      </c>
      <c r="C2186" s="2" t="s">
        <v>4472</v>
      </c>
      <c r="D2186" s="2" t="s">
        <v>4450</v>
      </c>
      <c r="E2186" s="2" t="str">
        <f>HYPERLINK("https://talan.bank.gov.ua/get-user-certificate/sec1eRqHfnSlIyhewIgI","Завантажити сертифікат")</f>
        <v>Завантажити сертифікат</v>
      </c>
    </row>
    <row r="2187" spans="1:5" x14ac:dyDescent="0.3">
      <c r="A2187" s="2" t="s">
        <v>4473</v>
      </c>
      <c r="B2187" s="2" t="s">
        <v>5</v>
      </c>
      <c r="C2187" s="2" t="s">
        <v>4474</v>
      </c>
      <c r="D2187" s="2" t="s">
        <v>4450</v>
      </c>
      <c r="E2187" s="2" t="str">
        <f>HYPERLINK("https://talan.bank.gov.ua/get-user-certificate/sec1eeoiONOTRZTBYx9o","Завантажити сертифікат")</f>
        <v>Завантажити сертифікат</v>
      </c>
    </row>
    <row r="2188" spans="1:5" x14ac:dyDescent="0.3">
      <c r="A2188" s="2" t="s">
        <v>4475</v>
      </c>
      <c r="B2188" s="2" t="s">
        <v>5</v>
      </c>
      <c r="C2188" s="2" t="s">
        <v>4476</v>
      </c>
      <c r="D2188" s="2" t="s">
        <v>4450</v>
      </c>
      <c r="E2188" s="2" t="str">
        <f>HYPERLINK("https://talan.bank.gov.ua/get-user-certificate/sec1e_lWKkVqUtUZYFZp","Завантажити сертифікат")</f>
        <v>Завантажити сертифікат</v>
      </c>
    </row>
    <row r="2189" spans="1:5" x14ac:dyDescent="0.3">
      <c r="A2189" s="2" t="s">
        <v>4477</v>
      </c>
      <c r="B2189" s="2" t="s">
        <v>5</v>
      </c>
      <c r="C2189" s="2" t="s">
        <v>4478</v>
      </c>
      <c r="D2189" s="2" t="s">
        <v>4450</v>
      </c>
      <c r="E2189" s="2" t="str">
        <f>HYPERLINK("https://talan.bank.gov.ua/get-user-certificate/sec1eeJRxYTkgLliS4On","Завантажити сертифікат")</f>
        <v>Завантажити сертифікат</v>
      </c>
    </row>
    <row r="2190" spans="1:5" x14ac:dyDescent="0.3">
      <c r="A2190" s="2" t="s">
        <v>4479</v>
      </c>
      <c r="B2190" s="2" t="s">
        <v>5</v>
      </c>
      <c r="C2190" s="2" t="s">
        <v>4480</v>
      </c>
      <c r="D2190" s="2" t="s">
        <v>4450</v>
      </c>
      <c r="E2190" s="2" t="str">
        <f>HYPERLINK("https://talan.bank.gov.ua/get-user-certificate/sec1eWd7TBN2tl4oHDBY","Завантажити сертифікат")</f>
        <v>Завантажити сертифікат</v>
      </c>
    </row>
    <row r="2191" spans="1:5" x14ac:dyDescent="0.3">
      <c r="A2191" s="2" t="s">
        <v>4481</v>
      </c>
      <c r="B2191" s="2" t="s">
        <v>5</v>
      </c>
      <c r="C2191" s="2" t="s">
        <v>4482</v>
      </c>
      <c r="D2191" s="2" t="s">
        <v>4450</v>
      </c>
      <c r="E2191" s="2" t="str">
        <f>HYPERLINK("https://talan.bank.gov.ua/get-user-certificate/sec1e64dlp1bWe41zWy5","Завантажити сертифікат")</f>
        <v>Завантажити сертифікат</v>
      </c>
    </row>
    <row r="2192" spans="1:5" x14ac:dyDescent="0.3">
      <c r="A2192" s="2" t="s">
        <v>4483</v>
      </c>
      <c r="B2192" s="2" t="s">
        <v>5</v>
      </c>
      <c r="C2192" s="2" t="s">
        <v>4484</v>
      </c>
      <c r="D2192" s="2" t="s">
        <v>4450</v>
      </c>
      <c r="E2192" s="2" t="str">
        <f>HYPERLINK("https://talan.bank.gov.ua/get-user-certificate/sec1egPvr1uSsSncbqRN","Завантажити сертифікат")</f>
        <v>Завантажити сертифікат</v>
      </c>
    </row>
    <row r="2193" spans="1:5" x14ac:dyDescent="0.3">
      <c r="A2193" s="2" t="s">
        <v>4485</v>
      </c>
      <c r="B2193" s="2" t="s">
        <v>5</v>
      </c>
      <c r="C2193" s="2" t="s">
        <v>4486</v>
      </c>
      <c r="D2193" s="2" t="s">
        <v>4450</v>
      </c>
      <c r="E2193" s="2" t="str">
        <f>HYPERLINK("https://talan.bank.gov.ua/get-user-certificate/sec1eMJGbhnQfd27FweC","Завантажити сертифікат")</f>
        <v>Завантажити сертифікат</v>
      </c>
    </row>
    <row r="2194" spans="1:5" x14ac:dyDescent="0.3">
      <c r="A2194" s="2" t="s">
        <v>4487</v>
      </c>
      <c r="B2194" s="2" t="s">
        <v>5</v>
      </c>
      <c r="C2194" s="2" t="s">
        <v>4488</v>
      </c>
      <c r="D2194" s="2" t="s">
        <v>4450</v>
      </c>
      <c r="E2194" s="2" t="str">
        <f>HYPERLINK("https://talan.bank.gov.ua/get-user-certificate/sec1ejIa1TxjZpk2sk_f","Завантажити сертифікат")</f>
        <v>Завантажити сертифікат</v>
      </c>
    </row>
    <row r="2195" spans="1:5" x14ac:dyDescent="0.3">
      <c r="A2195" s="2" t="s">
        <v>4489</v>
      </c>
      <c r="B2195" s="2" t="s">
        <v>5</v>
      </c>
      <c r="C2195" s="2" t="s">
        <v>4490</v>
      </c>
      <c r="D2195" s="2" t="s">
        <v>4450</v>
      </c>
      <c r="E2195" s="2" t="str">
        <f>HYPERLINK("https://talan.bank.gov.ua/get-user-certificate/sec1e-9D1fZhrv0ZfMcA","Завантажити сертифікат")</f>
        <v>Завантажити сертифікат</v>
      </c>
    </row>
    <row r="2196" spans="1:5" x14ac:dyDescent="0.3">
      <c r="A2196" s="2" t="s">
        <v>4491</v>
      </c>
      <c r="B2196" s="2" t="s">
        <v>5</v>
      </c>
      <c r="C2196" s="2" t="s">
        <v>4492</v>
      </c>
      <c r="D2196" s="2" t="s">
        <v>4450</v>
      </c>
      <c r="E2196" s="2" t="str">
        <f>HYPERLINK("https://talan.bank.gov.ua/get-user-certificate/sec1ekW2lhsqTWYuxGVY","Завантажити сертифікат")</f>
        <v>Завантажити сертифікат</v>
      </c>
    </row>
    <row r="2197" spans="1:5" x14ac:dyDescent="0.3">
      <c r="A2197" s="2" t="s">
        <v>4493</v>
      </c>
      <c r="B2197" s="2" t="s">
        <v>5</v>
      </c>
      <c r="C2197" s="2" t="s">
        <v>4494</v>
      </c>
      <c r="D2197" s="2" t="s">
        <v>4450</v>
      </c>
      <c r="E2197" s="2" t="str">
        <f>HYPERLINK("https://talan.bank.gov.ua/get-user-certificate/sec1ep9upmdXCecaRT6W","Завантажити сертифікат")</f>
        <v>Завантажити сертифікат</v>
      </c>
    </row>
    <row r="2198" spans="1:5" x14ac:dyDescent="0.3">
      <c r="A2198" s="2" t="s">
        <v>4495</v>
      </c>
      <c r="B2198" s="2" t="s">
        <v>5</v>
      </c>
      <c r="C2198" s="2" t="s">
        <v>4496</v>
      </c>
      <c r="D2198" s="2" t="s">
        <v>4450</v>
      </c>
      <c r="E2198" s="2" t="str">
        <f>HYPERLINK("https://talan.bank.gov.ua/get-user-certificate/sec1exsfIofVz3zAqdVj","Завантажити сертифікат")</f>
        <v>Завантажити сертифікат</v>
      </c>
    </row>
    <row r="2199" spans="1:5" x14ac:dyDescent="0.3">
      <c r="A2199" s="2" t="s">
        <v>4497</v>
      </c>
      <c r="B2199" s="2" t="s">
        <v>5</v>
      </c>
      <c r="C2199" s="2" t="s">
        <v>4498</v>
      </c>
      <c r="D2199" s="2" t="s">
        <v>4450</v>
      </c>
      <c r="E2199" s="2" t="str">
        <f>HYPERLINK("https://talan.bank.gov.ua/get-user-certificate/sec1eljY1A0tO-PBMIsW","Завантажити сертифікат")</f>
        <v>Завантажити сертифікат</v>
      </c>
    </row>
    <row r="2200" spans="1:5" x14ac:dyDescent="0.3">
      <c r="A2200" s="2" t="s">
        <v>4499</v>
      </c>
      <c r="B2200" s="2" t="s">
        <v>5</v>
      </c>
      <c r="C2200" s="2" t="s">
        <v>4500</v>
      </c>
      <c r="D2200" s="2" t="s">
        <v>4450</v>
      </c>
      <c r="E2200" s="2" t="str">
        <f>HYPERLINK("https://talan.bank.gov.ua/get-user-certificate/sec1eiD5Ka4g-qmj9Up9","Завантажити сертифікат")</f>
        <v>Завантажити сертифікат</v>
      </c>
    </row>
    <row r="2201" spans="1:5" x14ac:dyDescent="0.3">
      <c r="A2201" s="2" t="s">
        <v>4501</v>
      </c>
      <c r="B2201" s="2" t="s">
        <v>5</v>
      </c>
      <c r="C2201" s="2" t="s">
        <v>4502</v>
      </c>
      <c r="D2201" s="2" t="s">
        <v>3345</v>
      </c>
      <c r="E2201" s="2" t="str">
        <f>HYPERLINK("https://talan.bank.gov.ua/get-user-certificate/sec1eybTXIPBdlf2R_-V","Завантажити сертифікат")</f>
        <v>Завантажити сертифікат</v>
      </c>
    </row>
    <row r="2202" spans="1:5" x14ac:dyDescent="0.3">
      <c r="A2202" s="2" t="s">
        <v>4503</v>
      </c>
      <c r="B2202" s="2" t="s">
        <v>5</v>
      </c>
      <c r="C2202" s="2" t="s">
        <v>4504</v>
      </c>
      <c r="D2202" s="2" t="s">
        <v>3345</v>
      </c>
      <c r="E2202" s="2" t="str">
        <f>HYPERLINK("https://talan.bank.gov.ua/get-user-certificate/sec1ewjBY_pub9na74_0","Завантажити сертифікат")</f>
        <v>Завантажити сертифікат</v>
      </c>
    </row>
    <row r="2203" spans="1:5" x14ac:dyDescent="0.3">
      <c r="A2203" s="2" t="s">
        <v>4505</v>
      </c>
      <c r="B2203" s="2" t="s">
        <v>5</v>
      </c>
      <c r="C2203" s="2" t="s">
        <v>4506</v>
      </c>
      <c r="D2203" s="2" t="s">
        <v>3345</v>
      </c>
      <c r="E2203" s="2" t="str">
        <f>HYPERLINK("https://talan.bank.gov.ua/get-user-certificate/sec1eFS5KKjHKmpCr21W","Завантажити сертифікат")</f>
        <v>Завантажити сертифікат</v>
      </c>
    </row>
    <row r="2204" spans="1:5" x14ac:dyDescent="0.3">
      <c r="A2204" s="2" t="s">
        <v>4507</v>
      </c>
      <c r="B2204" s="2" t="s">
        <v>5</v>
      </c>
      <c r="C2204" s="2" t="s">
        <v>4508</v>
      </c>
      <c r="D2204" s="2" t="s">
        <v>3345</v>
      </c>
      <c r="E2204" s="2" t="str">
        <f>HYPERLINK("https://talan.bank.gov.ua/get-user-certificate/sec1e1YX2SiEEQPomSPP","Завантажити сертифікат")</f>
        <v>Завантажити сертифікат</v>
      </c>
    </row>
    <row r="2205" spans="1:5" x14ac:dyDescent="0.3">
      <c r="A2205" s="2" t="s">
        <v>4509</v>
      </c>
      <c r="B2205" s="2" t="s">
        <v>5</v>
      </c>
      <c r="C2205" s="2" t="s">
        <v>4510</v>
      </c>
      <c r="D2205" s="2" t="s">
        <v>3345</v>
      </c>
      <c r="E2205" s="2" t="str">
        <f>HYPERLINK("https://talan.bank.gov.ua/get-user-certificate/sec1e5ERLVc6MmFFOzUY","Завантажити сертифікат")</f>
        <v>Завантажити сертифікат</v>
      </c>
    </row>
    <row r="2206" spans="1:5" x14ac:dyDescent="0.3">
      <c r="A2206" s="2" t="s">
        <v>4511</v>
      </c>
      <c r="B2206" s="2" t="s">
        <v>5</v>
      </c>
      <c r="C2206" s="2" t="s">
        <v>3040</v>
      </c>
      <c r="D2206" s="2" t="s">
        <v>3345</v>
      </c>
      <c r="E2206" s="2" t="str">
        <f>HYPERLINK("https://talan.bank.gov.ua/get-user-certificate/sec1eiZY_vfioFW5E5ZN","Завантажити сертифікат")</f>
        <v>Завантажити сертифікат</v>
      </c>
    </row>
    <row r="2207" spans="1:5" x14ac:dyDescent="0.3">
      <c r="A2207" s="2" t="s">
        <v>4512</v>
      </c>
      <c r="B2207" s="2" t="s">
        <v>5</v>
      </c>
      <c r="C2207" s="2" t="s">
        <v>4513</v>
      </c>
      <c r="D2207" s="2" t="s">
        <v>3345</v>
      </c>
      <c r="E2207" s="2" t="str">
        <f>HYPERLINK("https://talan.bank.gov.ua/get-user-certificate/sec1eXUB7oR2xvc1oGmz","Завантажити сертифікат")</f>
        <v>Завантажити сертифікат</v>
      </c>
    </row>
    <row r="2208" spans="1:5" x14ac:dyDescent="0.3">
      <c r="A2208" s="2" t="s">
        <v>4514</v>
      </c>
      <c r="B2208" s="2" t="s">
        <v>5</v>
      </c>
      <c r="C2208" s="2" t="s">
        <v>4515</v>
      </c>
      <c r="D2208" s="2" t="s">
        <v>4516</v>
      </c>
      <c r="E2208" s="2" t="str">
        <f>HYPERLINK("https://talan.bank.gov.ua/get-user-certificate/sec1e04fiGViIkDwvuOA","Завантажити сертифікат")</f>
        <v>Завантажити сертифікат</v>
      </c>
    </row>
    <row r="2209" spans="1:5" x14ac:dyDescent="0.3">
      <c r="A2209" s="2" t="s">
        <v>4517</v>
      </c>
      <c r="B2209" s="2" t="s">
        <v>5</v>
      </c>
      <c r="C2209" s="2" t="s">
        <v>4518</v>
      </c>
      <c r="D2209" s="2" t="s">
        <v>4516</v>
      </c>
      <c r="E2209" s="2" t="str">
        <f>HYPERLINK("https://talan.bank.gov.ua/get-user-certificate/sec1eRbkZMq3ScR8aB82","Завантажити сертифікат")</f>
        <v>Завантажити сертифікат</v>
      </c>
    </row>
    <row r="2210" spans="1:5" x14ac:dyDescent="0.3">
      <c r="A2210" s="2" t="s">
        <v>4519</v>
      </c>
      <c r="B2210" s="2" t="s">
        <v>5</v>
      </c>
      <c r="C2210" s="2" t="s">
        <v>4520</v>
      </c>
      <c r="D2210" s="2" t="s">
        <v>4516</v>
      </c>
      <c r="E2210" s="2" t="str">
        <f>HYPERLINK("https://talan.bank.gov.ua/get-user-certificate/sec1etZsWbxL1MW-MOBp","Завантажити сертифікат")</f>
        <v>Завантажити сертифікат</v>
      </c>
    </row>
    <row r="2211" spans="1:5" x14ac:dyDescent="0.3">
      <c r="A2211" s="2" t="s">
        <v>4521</v>
      </c>
      <c r="B2211" s="2" t="s">
        <v>5</v>
      </c>
      <c r="C2211" s="2" t="s">
        <v>4522</v>
      </c>
      <c r="D2211" s="2" t="s">
        <v>4516</v>
      </c>
      <c r="E2211" s="2" t="str">
        <f>HYPERLINK("https://talan.bank.gov.ua/get-user-certificate/sec1eqPEHUfdMNC8PxFV","Завантажити сертифікат")</f>
        <v>Завантажити сертифікат</v>
      </c>
    </row>
    <row r="2212" spans="1:5" x14ac:dyDescent="0.3">
      <c r="A2212" s="2" t="s">
        <v>4523</v>
      </c>
      <c r="B2212" s="2" t="s">
        <v>5</v>
      </c>
      <c r="C2212" s="2" t="s">
        <v>4524</v>
      </c>
      <c r="D2212" s="2" t="s">
        <v>4516</v>
      </c>
      <c r="E2212" s="2" t="str">
        <f>HYPERLINK("https://talan.bank.gov.ua/get-user-certificate/sec1e4jUTuORE-vQhWzW","Завантажити сертифікат")</f>
        <v>Завантажити сертифікат</v>
      </c>
    </row>
    <row r="2213" spans="1:5" x14ac:dyDescent="0.3">
      <c r="A2213" s="2" t="s">
        <v>4525</v>
      </c>
      <c r="B2213" s="2" t="s">
        <v>5</v>
      </c>
      <c r="C2213" s="2" t="s">
        <v>4526</v>
      </c>
      <c r="D2213" s="2" t="s">
        <v>4516</v>
      </c>
      <c r="E2213" s="2" t="str">
        <f>HYPERLINK("https://talan.bank.gov.ua/get-user-certificate/sec1eWBgnMwPTbTDA-cV","Завантажити сертифікат")</f>
        <v>Завантажити сертифікат</v>
      </c>
    </row>
    <row r="2214" spans="1:5" x14ac:dyDescent="0.3">
      <c r="A2214" s="2" t="s">
        <v>4527</v>
      </c>
      <c r="B2214" s="2" t="s">
        <v>5</v>
      </c>
      <c r="C2214" s="2" t="s">
        <v>4528</v>
      </c>
      <c r="D2214" s="2" t="s">
        <v>4516</v>
      </c>
      <c r="E2214" s="2" t="str">
        <f>HYPERLINK("https://talan.bank.gov.ua/get-user-certificate/sec1edvLrDhuoiHMUwU4","Завантажити сертифікат")</f>
        <v>Завантажити сертифікат</v>
      </c>
    </row>
    <row r="2215" spans="1:5" x14ac:dyDescent="0.3">
      <c r="A2215" s="2" t="s">
        <v>4529</v>
      </c>
      <c r="B2215" s="2" t="s">
        <v>5</v>
      </c>
      <c r="C2215" s="2" t="s">
        <v>4530</v>
      </c>
      <c r="D2215" s="2" t="s">
        <v>4516</v>
      </c>
      <c r="E2215" s="2" t="str">
        <f>HYPERLINK("https://talan.bank.gov.ua/get-user-certificate/sec1eZ_ph0H_mu_NWvRI","Завантажити сертифікат")</f>
        <v>Завантажити сертифікат</v>
      </c>
    </row>
    <row r="2216" spans="1:5" x14ac:dyDescent="0.3">
      <c r="A2216" s="2" t="s">
        <v>4531</v>
      </c>
      <c r="B2216" s="2" t="s">
        <v>5</v>
      </c>
      <c r="C2216" s="2" t="s">
        <v>4532</v>
      </c>
      <c r="D2216" s="2" t="s">
        <v>4516</v>
      </c>
      <c r="E2216" s="2" t="str">
        <f>HYPERLINK("https://talan.bank.gov.ua/get-user-certificate/sec1eqlmJV49q8JXbMt2","Завантажити сертифікат")</f>
        <v>Завантажити сертифікат</v>
      </c>
    </row>
    <row r="2217" spans="1:5" x14ac:dyDescent="0.3">
      <c r="A2217" s="2" t="s">
        <v>4533</v>
      </c>
      <c r="B2217" s="2" t="s">
        <v>5</v>
      </c>
      <c r="C2217" s="2" t="s">
        <v>4534</v>
      </c>
      <c r="D2217" s="2" t="s">
        <v>4516</v>
      </c>
      <c r="E2217" s="2" t="str">
        <f>HYPERLINK("https://talan.bank.gov.ua/get-user-certificate/sec1ekw-IRQp2IKF-MvS","Завантажити сертифікат")</f>
        <v>Завантажити сертифікат</v>
      </c>
    </row>
    <row r="2218" spans="1:5" x14ac:dyDescent="0.3">
      <c r="A2218" s="2" t="s">
        <v>4535</v>
      </c>
      <c r="B2218" s="2" t="s">
        <v>5</v>
      </c>
      <c r="C2218" s="2" t="s">
        <v>4536</v>
      </c>
      <c r="D2218" s="2" t="s">
        <v>4516</v>
      </c>
      <c r="E2218" s="2" t="str">
        <f>HYPERLINK("https://talan.bank.gov.ua/get-user-certificate/sec1eJZq60pEZt4EDPUh","Завантажити сертифікат")</f>
        <v>Завантажити сертифікат</v>
      </c>
    </row>
    <row r="2219" spans="1:5" x14ac:dyDescent="0.3">
      <c r="A2219" s="2" t="s">
        <v>4537</v>
      </c>
      <c r="B2219" s="2" t="s">
        <v>5</v>
      </c>
      <c r="C2219" s="2" t="s">
        <v>4538</v>
      </c>
      <c r="D2219" s="2" t="s">
        <v>4539</v>
      </c>
      <c r="E2219" s="2" t="str">
        <f>HYPERLINK("https://talan.bank.gov.ua/get-user-certificate/sec1e6fTx9NZ-i9SjUc1","Завантажити сертифікат")</f>
        <v>Завантажити сертифікат</v>
      </c>
    </row>
    <row r="2220" spans="1:5" x14ac:dyDescent="0.3">
      <c r="A2220" s="2" t="s">
        <v>4540</v>
      </c>
      <c r="B2220" s="2" t="s">
        <v>5</v>
      </c>
      <c r="C2220" s="2" t="s">
        <v>4541</v>
      </c>
      <c r="D2220" s="2" t="s">
        <v>4539</v>
      </c>
      <c r="E2220" s="2" t="str">
        <f>HYPERLINK("https://talan.bank.gov.ua/get-user-certificate/sec1ey4ygwj_-ozQMruS","Завантажити сертифікат")</f>
        <v>Завантажити сертифікат</v>
      </c>
    </row>
    <row r="2221" spans="1:5" x14ac:dyDescent="0.3">
      <c r="A2221" s="2" t="s">
        <v>4542</v>
      </c>
      <c r="B2221" s="2" t="s">
        <v>5</v>
      </c>
      <c r="C2221" s="2" t="s">
        <v>4543</v>
      </c>
      <c r="D2221" s="2" t="s">
        <v>4539</v>
      </c>
      <c r="E2221" s="2" t="str">
        <f>HYPERLINK("https://talan.bank.gov.ua/get-user-certificate/sec1eUn1TfY1Du4KuLqH","Завантажити сертифікат")</f>
        <v>Завантажити сертифікат</v>
      </c>
    </row>
    <row r="2222" spans="1:5" x14ac:dyDescent="0.3">
      <c r="A2222" s="2" t="s">
        <v>4544</v>
      </c>
      <c r="B2222" s="2" t="s">
        <v>5</v>
      </c>
      <c r="C2222" s="2" t="s">
        <v>4545</v>
      </c>
      <c r="D2222" s="2" t="s">
        <v>4539</v>
      </c>
      <c r="E2222" s="2" t="str">
        <f>HYPERLINK("https://talan.bank.gov.ua/get-user-certificate/sec1etHhJwXnAwyandd5","Завантажити сертифікат")</f>
        <v>Завантажити сертифікат</v>
      </c>
    </row>
    <row r="2223" spans="1:5" x14ac:dyDescent="0.3">
      <c r="A2223" s="2" t="s">
        <v>4546</v>
      </c>
      <c r="B2223" s="2" t="s">
        <v>5</v>
      </c>
      <c r="C2223" s="2" t="s">
        <v>4547</v>
      </c>
      <c r="D2223" s="2" t="s">
        <v>4539</v>
      </c>
      <c r="E2223" s="2" t="str">
        <f>HYPERLINK("https://talan.bank.gov.ua/get-user-certificate/sec1eb1jkBUsc-48RTEP","Завантажити сертифікат")</f>
        <v>Завантажити сертифікат</v>
      </c>
    </row>
    <row r="2224" spans="1:5" x14ac:dyDescent="0.3">
      <c r="A2224" s="2" t="s">
        <v>4548</v>
      </c>
      <c r="B2224" s="2" t="s">
        <v>5</v>
      </c>
      <c r="C2224" s="2" t="s">
        <v>4549</v>
      </c>
      <c r="D2224" s="2" t="s">
        <v>4539</v>
      </c>
      <c r="E2224" s="2" t="str">
        <f>HYPERLINK("https://talan.bank.gov.ua/get-user-certificate/sec1e6uTFzr9huUeUiMu","Завантажити сертифікат")</f>
        <v>Завантажити сертифікат</v>
      </c>
    </row>
    <row r="2225" spans="1:5" x14ac:dyDescent="0.3">
      <c r="A2225" s="2" t="s">
        <v>4550</v>
      </c>
      <c r="B2225" s="2" t="s">
        <v>5</v>
      </c>
      <c r="C2225" s="2" t="s">
        <v>4551</v>
      </c>
      <c r="D2225" s="2" t="s">
        <v>4539</v>
      </c>
      <c r="E2225" s="2" t="str">
        <f>HYPERLINK("https://talan.bank.gov.ua/get-user-certificate/sec1e5yYAWsq7IVaJUuf","Завантажити сертифікат")</f>
        <v>Завантажити сертифікат</v>
      </c>
    </row>
    <row r="2226" spans="1:5" x14ac:dyDescent="0.3">
      <c r="A2226" s="2" t="s">
        <v>4552</v>
      </c>
      <c r="B2226" s="2" t="s">
        <v>5</v>
      </c>
      <c r="C2226" s="2" t="s">
        <v>4553</v>
      </c>
      <c r="D2226" s="2" t="s">
        <v>4539</v>
      </c>
      <c r="E2226" s="2" t="str">
        <f>HYPERLINK("https://talan.bank.gov.ua/get-user-certificate/sec1eotjlGmIGJyCTFz3","Завантажити сертифікат")</f>
        <v>Завантажити сертифікат</v>
      </c>
    </row>
    <row r="2227" spans="1:5" x14ac:dyDescent="0.3">
      <c r="A2227" s="2" t="s">
        <v>4554</v>
      </c>
      <c r="B2227" s="2" t="s">
        <v>5</v>
      </c>
      <c r="C2227" s="2" t="s">
        <v>4555</v>
      </c>
      <c r="D2227" s="2" t="s">
        <v>4539</v>
      </c>
      <c r="E2227" s="2" t="str">
        <f>HYPERLINK("https://talan.bank.gov.ua/get-user-certificate/sec1ezwJ7gJ47qAAs_bL","Завантажити сертифікат")</f>
        <v>Завантажити сертифікат</v>
      </c>
    </row>
    <row r="2228" spans="1:5" x14ac:dyDescent="0.3">
      <c r="A2228" s="2" t="s">
        <v>4556</v>
      </c>
      <c r="B2228" s="2" t="s">
        <v>5</v>
      </c>
      <c r="C2228" s="2" t="s">
        <v>4557</v>
      </c>
      <c r="D2228" s="2" t="s">
        <v>4539</v>
      </c>
      <c r="E2228" s="2" t="str">
        <f>HYPERLINK("https://talan.bank.gov.ua/get-user-certificate/sec1e6keS_0OvKwvJKLF","Завантажити сертифікат")</f>
        <v>Завантажити сертифікат</v>
      </c>
    </row>
    <row r="2229" spans="1:5" x14ac:dyDescent="0.3">
      <c r="A2229" s="2" t="s">
        <v>4558</v>
      </c>
      <c r="B2229" s="2" t="s">
        <v>5</v>
      </c>
      <c r="C2229" s="2" t="s">
        <v>4559</v>
      </c>
      <c r="D2229" s="2" t="s">
        <v>4539</v>
      </c>
      <c r="E2229" s="2" t="str">
        <f>HYPERLINK("https://talan.bank.gov.ua/get-user-certificate/sec1exk7ce-iNIy-M8K-","Завантажити сертифікат")</f>
        <v>Завантажити сертифікат</v>
      </c>
    </row>
    <row r="2230" spans="1:5" x14ac:dyDescent="0.3">
      <c r="A2230" s="2" t="s">
        <v>4560</v>
      </c>
      <c r="B2230" s="2" t="s">
        <v>5</v>
      </c>
      <c r="C2230" s="2" t="s">
        <v>4561</v>
      </c>
      <c r="D2230" s="2" t="s">
        <v>4539</v>
      </c>
      <c r="E2230" s="2" t="str">
        <f>HYPERLINK("https://talan.bank.gov.ua/get-user-certificate/sec1eV8xtlHio0hWGxQt","Завантажити сертифікат")</f>
        <v>Завантажити сертифікат</v>
      </c>
    </row>
    <row r="2231" spans="1:5" x14ac:dyDescent="0.3">
      <c r="A2231" s="2" t="s">
        <v>4562</v>
      </c>
      <c r="B2231" s="2" t="s">
        <v>5</v>
      </c>
      <c r="C2231" s="2" t="s">
        <v>4563</v>
      </c>
      <c r="D2231" s="2" t="s">
        <v>4539</v>
      </c>
      <c r="E2231" s="2" t="str">
        <f>HYPERLINK("https://talan.bank.gov.ua/get-user-certificate/sec1ePd1-_P6WM3TPAg4","Завантажити сертифікат")</f>
        <v>Завантажити сертифікат</v>
      </c>
    </row>
    <row r="2232" spans="1:5" x14ac:dyDescent="0.3">
      <c r="A2232" s="2" t="s">
        <v>4564</v>
      </c>
      <c r="B2232" s="2" t="s">
        <v>5</v>
      </c>
      <c r="C2232" s="2" t="s">
        <v>4565</v>
      </c>
      <c r="D2232" s="2" t="s">
        <v>4539</v>
      </c>
      <c r="E2232" s="2" t="str">
        <f>HYPERLINK("https://talan.bank.gov.ua/get-user-certificate/sec1ewrgH9IS43nSuLPi","Завантажити сертифікат")</f>
        <v>Завантажити сертифікат</v>
      </c>
    </row>
    <row r="2233" spans="1:5" x14ac:dyDescent="0.3">
      <c r="A2233" s="2" t="s">
        <v>4566</v>
      </c>
      <c r="B2233" s="2" t="s">
        <v>5</v>
      </c>
      <c r="C2233" s="2" t="s">
        <v>4567</v>
      </c>
      <c r="D2233" s="2" t="s">
        <v>4539</v>
      </c>
      <c r="E2233" s="2" t="str">
        <f>HYPERLINK("https://talan.bank.gov.ua/get-user-certificate/sec1eWIyhonNFgAh6g5P","Завантажити сертифікат")</f>
        <v>Завантажити сертифікат</v>
      </c>
    </row>
    <row r="2234" spans="1:5" x14ac:dyDescent="0.3">
      <c r="A2234" s="2" t="s">
        <v>4568</v>
      </c>
      <c r="B2234" s="2" t="s">
        <v>5</v>
      </c>
      <c r="C2234" s="2" t="s">
        <v>4569</v>
      </c>
      <c r="D2234" s="2" t="s">
        <v>4539</v>
      </c>
      <c r="E2234" s="2" t="str">
        <f>HYPERLINK("https://talan.bank.gov.ua/get-user-certificate/sec1eFEDMaUV65mQKUxo","Завантажити сертифікат")</f>
        <v>Завантажити сертифікат</v>
      </c>
    </row>
    <row r="2235" spans="1:5" x14ac:dyDescent="0.3">
      <c r="A2235" s="2" t="s">
        <v>4570</v>
      </c>
      <c r="B2235" s="2" t="s">
        <v>5</v>
      </c>
      <c r="C2235" s="2" t="s">
        <v>4571</v>
      </c>
      <c r="D2235" s="2" t="s">
        <v>4539</v>
      </c>
      <c r="E2235" s="2" t="str">
        <f>HYPERLINK("https://talan.bank.gov.ua/get-user-certificate/sec1eyP54iH_7Okn89Nb","Завантажити сертифікат")</f>
        <v>Завантажити сертифікат</v>
      </c>
    </row>
    <row r="2236" spans="1:5" x14ac:dyDescent="0.3">
      <c r="A2236" s="2" t="s">
        <v>4572</v>
      </c>
      <c r="B2236" s="2" t="s">
        <v>5</v>
      </c>
      <c r="C2236" s="2" t="s">
        <v>4573</v>
      </c>
      <c r="D2236" s="2" t="s">
        <v>4539</v>
      </c>
      <c r="E2236" s="2" t="str">
        <f>HYPERLINK("https://talan.bank.gov.ua/get-user-certificate/sec1eZhP7nac8Hl5AGtp","Завантажити сертифікат")</f>
        <v>Завантажити сертифікат</v>
      </c>
    </row>
    <row r="2237" spans="1:5" x14ac:dyDescent="0.3">
      <c r="A2237" s="2" t="s">
        <v>4574</v>
      </c>
      <c r="B2237" s="2" t="s">
        <v>5</v>
      </c>
      <c r="C2237" s="2" t="s">
        <v>4575</v>
      </c>
      <c r="D2237" s="2" t="s">
        <v>4539</v>
      </c>
      <c r="E2237" s="2" t="str">
        <f>HYPERLINK("https://talan.bank.gov.ua/get-user-certificate/sec1exiHgrovJsYnTuGB","Завантажити сертифікат")</f>
        <v>Завантажити сертифікат</v>
      </c>
    </row>
    <row r="2238" spans="1:5" x14ac:dyDescent="0.3">
      <c r="A2238" s="2" t="s">
        <v>4576</v>
      </c>
      <c r="B2238" s="2" t="s">
        <v>5</v>
      </c>
      <c r="C2238" s="2" t="s">
        <v>4577</v>
      </c>
      <c r="D2238" s="2" t="s">
        <v>4539</v>
      </c>
      <c r="E2238" s="2" t="str">
        <f>HYPERLINK("https://talan.bank.gov.ua/get-user-certificate/sec1etq-htXgqfNvExXT","Завантажити сертифікат")</f>
        <v>Завантажити сертифікат</v>
      </c>
    </row>
    <row r="2239" spans="1:5" x14ac:dyDescent="0.3">
      <c r="A2239" s="2" t="s">
        <v>4578</v>
      </c>
      <c r="B2239" s="2" t="s">
        <v>5</v>
      </c>
      <c r="C2239" s="2" t="s">
        <v>4579</v>
      </c>
      <c r="D2239" s="2" t="s">
        <v>4580</v>
      </c>
      <c r="E2239" s="2" t="str">
        <f>HYPERLINK("https://talan.bank.gov.ua/get-user-certificate/sec1e82bsHMv5uk4cbED","Завантажити сертифікат")</f>
        <v>Завантажити сертифікат</v>
      </c>
    </row>
    <row r="2240" spans="1:5" x14ac:dyDescent="0.3">
      <c r="A2240" s="2" t="s">
        <v>4581</v>
      </c>
      <c r="B2240" s="2" t="s">
        <v>5</v>
      </c>
      <c r="C2240" s="2" t="s">
        <v>4582</v>
      </c>
      <c r="D2240" s="2" t="s">
        <v>4580</v>
      </c>
      <c r="E2240" s="2" t="str">
        <f>HYPERLINK("https://talan.bank.gov.ua/get-user-certificate/sec1ejHQ_jgNaN0WbrTV","Завантажити сертифікат")</f>
        <v>Завантажити сертифікат</v>
      </c>
    </row>
    <row r="2241" spans="1:5" x14ac:dyDescent="0.3">
      <c r="A2241" s="2" t="s">
        <v>4583</v>
      </c>
      <c r="B2241" s="2" t="s">
        <v>5</v>
      </c>
      <c r="C2241" s="2" t="s">
        <v>4584</v>
      </c>
      <c r="D2241" s="2" t="s">
        <v>4580</v>
      </c>
      <c r="E2241" s="2" t="str">
        <f>HYPERLINK("https://talan.bank.gov.ua/get-user-certificate/sec1ePx0v_iUvnKozefA","Завантажити сертифікат")</f>
        <v>Завантажити сертифікат</v>
      </c>
    </row>
    <row r="2242" spans="1:5" x14ac:dyDescent="0.3">
      <c r="A2242" s="2" t="s">
        <v>4585</v>
      </c>
      <c r="B2242" s="2" t="s">
        <v>5</v>
      </c>
      <c r="C2242" s="2" t="s">
        <v>4586</v>
      </c>
      <c r="D2242" s="2" t="s">
        <v>4580</v>
      </c>
      <c r="E2242" s="2" t="str">
        <f>HYPERLINK("https://talan.bank.gov.ua/get-user-certificate/sec1efa5qVOuEUH43So0","Завантажити сертифікат")</f>
        <v>Завантажити сертифікат</v>
      </c>
    </row>
    <row r="2243" spans="1:5" x14ac:dyDescent="0.3">
      <c r="A2243" s="2" t="s">
        <v>4587</v>
      </c>
      <c r="B2243" s="2" t="s">
        <v>5</v>
      </c>
      <c r="C2243" s="2" t="s">
        <v>4588</v>
      </c>
      <c r="D2243" s="2" t="s">
        <v>4580</v>
      </c>
      <c r="E2243" s="2" t="str">
        <f>HYPERLINK("https://talan.bank.gov.ua/get-user-certificate/sec1enKUk4IU4Li0If4T","Завантажити сертифікат")</f>
        <v>Завантажити сертифікат</v>
      </c>
    </row>
    <row r="2244" spans="1:5" x14ac:dyDescent="0.3">
      <c r="A2244" s="2" t="s">
        <v>4589</v>
      </c>
      <c r="B2244" s="2" t="s">
        <v>5</v>
      </c>
      <c r="C2244" s="2" t="s">
        <v>4590</v>
      </c>
      <c r="D2244" s="2" t="s">
        <v>4580</v>
      </c>
      <c r="E2244" s="2" t="str">
        <f>HYPERLINK("https://talan.bank.gov.ua/get-user-certificate/sec1e9EYpH2D_BpeNYnS","Завантажити сертифікат")</f>
        <v>Завантажити сертифікат</v>
      </c>
    </row>
    <row r="2245" spans="1:5" x14ac:dyDescent="0.3">
      <c r="A2245" s="2" t="s">
        <v>4591</v>
      </c>
      <c r="B2245" s="2" t="s">
        <v>5</v>
      </c>
      <c r="C2245" s="2" t="s">
        <v>4592</v>
      </c>
      <c r="D2245" s="2" t="s">
        <v>4580</v>
      </c>
      <c r="E2245" s="2" t="str">
        <f>HYPERLINK("https://talan.bank.gov.ua/get-user-certificate/sec1eKZeGKGCFqqRDM0Y","Завантажити сертифікат")</f>
        <v>Завантажити сертифікат</v>
      </c>
    </row>
    <row r="2246" spans="1:5" x14ac:dyDescent="0.3">
      <c r="A2246" s="2" t="s">
        <v>4593</v>
      </c>
      <c r="B2246" s="2" t="s">
        <v>5</v>
      </c>
      <c r="C2246" s="2" t="s">
        <v>4594</v>
      </c>
      <c r="D2246" s="2" t="s">
        <v>4580</v>
      </c>
      <c r="E2246" s="2" t="str">
        <f>HYPERLINK("https://talan.bank.gov.ua/get-user-certificate/sec1ecZLv7x4sqmIbI8K","Завантажити сертифікат")</f>
        <v>Завантажити сертифікат</v>
      </c>
    </row>
    <row r="2247" spans="1:5" x14ac:dyDescent="0.3">
      <c r="A2247" s="2" t="s">
        <v>4595</v>
      </c>
      <c r="B2247" s="2" t="s">
        <v>5</v>
      </c>
      <c r="C2247" s="2" t="s">
        <v>4596</v>
      </c>
      <c r="D2247" s="2" t="s">
        <v>4580</v>
      </c>
      <c r="E2247" s="2" t="str">
        <f>HYPERLINK("https://talan.bank.gov.ua/get-user-certificate/sec1ef3c7MkXgaq-aYVg","Завантажити сертифікат")</f>
        <v>Завантажити сертифікат</v>
      </c>
    </row>
    <row r="2248" spans="1:5" x14ac:dyDescent="0.3">
      <c r="A2248" s="2" t="s">
        <v>4597</v>
      </c>
      <c r="B2248" s="2" t="s">
        <v>5</v>
      </c>
      <c r="C2248" s="2" t="s">
        <v>4598</v>
      </c>
      <c r="D2248" s="2" t="s">
        <v>4580</v>
      </c>
      <c r="E2248" s="2" t="str">
        <f>HYPERLINK("https://talan.bank.gov.ua/get-user-certificate/sec1evi-U_5e1H2tPcs0","Завантажити сертифікат")</f>
        <v>Завантажити сертифікат</v>
      </c>
    </row>
    <row r="2249" spans="1:5" x14ac:dyDescent="0.3">
      <c r="A2249" s="2" t="s">
        <v>4599</v>
      </c>
      <c r="B2249" s="2" t="s">
        <v>5</v>
      </c>
      <c r="C2249" s="2" t="s">
        <v>4600</v>
      </c>
      <c r="D2249" s="2" t="s">
        <v>4580</v>
      </c>
      <c r="E2249" s="2" t="str">
        <f>HYPERLINK("https://talan.bank.gov.ua/get-user-certificate/sec1ey1qmSncH6PMoCSr","Завантажити сертифікат")</f>
        <v>Завантажити сертифікат</v>
      </c>
    </row>
    <row r="2250" spans="1:5" x14ac:dyDescent="0.3">
      <c r="A2250" s="2" t="s">
        <v>4601</v>
      </c>
      <c r="B2250" s="2" t="s">
        <v>5</v>
      </c>
      <c r="C2250" s="2" t="s">
        <v>4602</v>
      </c>
      <c r="D2250" s="2" t="s">
        <v>4580</v>
      </c>
      <c r="E2250" s="2" t="str">
        <f>HYPERLINK("https://talan.bank.gov.ua/get-user-certificate/sec1eQO8ksDaNGkRSLjB","Завантажити сертифікат")</f>
        <v>Завантажити сертифікат</v>
      </c>
    </row>
    <row r="2251" spans="1:5" x14ac:dyDescent="0.3">
      <c r="A2251" s="2" t="s">
        <v>4603</v>
      </c>
      <c r="B2251" s="2" t="s">
        <v>5</v>
      </c>
      <c r="C2251" s="2" t="s">
        <v>4604</v>
      </c>
      <c r="D2251" s="2" t="s">
        <v>4580</v>
      </c>
      <c r="E2251" s="2" t="str">
        <f>HYPERLINK("https://talan.bank.gov.ua/get-user-certificate/sec1efl5sg2FDKfHyI1n","Завантажити сертифікат")</f>
        <v>Завантажити сертифікат</v>
      </c>
    </row>
    <row r="2252" spans="1:5" x14ac:dyDescent="0.3">
      <c r="A2252" s="2" t="s">
        <v>4605</v>
      </c>
      <c r="B2252" s="2" t="s">
        <v>5</v>
      </c>
      <c r="C2252" s="2" t="s">
        <v>4606</v>
      </c>
      <c r="D2252" s="2" t="s">
        <v>4607</v>
      </c>
      <c r="E2252" s="2" t="str">
        <f>HYPERLINK("https://talan.bank.gov.ua/get-user-certificate/sec1euwxxFxFrHRTzRmN","Завантажити сертифікат")</f>
        <v>Завантажити сертифікат</v>
      </c>
    </row>
    <row r="2253" spans="1:5" x14ac:dyDescent="0.3">
      <c r="A2253" s="2" t="s">
        <v>4608</v>
      </c>
      <c r="B2253" s="2" t="s">
        <v>5</v>
      </c>
      <c r="C2253" s="2" t="s">
        <v>4609</v>
      </c>
      <c r="D2253" s="2" t="s">
        <v>4607</v>
      </c>
      <c r="E2253" s="2" t="str">
        <f>HYPERLINK("https://talan.bank.gov.ua/get-user-certificate/sec1e71g9Ehraw784x0O","Завантажити сертифікат")</f>
        <v>Завантажити сертифікат</v>
      </c>
    </row>
    <row r="2254" spans="1:5" x14ac:dyDescent="0.3">
      <c r="A2254" s="2" t="s">
        <v>4610</v>
      </c>
      <c r="B2254" s="2" t="s">
        <v>5</v>
      </c>
      <c r="C2254" s="2" t="s">
        <v>4611</v>
      </c>
      <c r="D2254" s="2" t="s">
        <v>4607</v>
      </c>
      <c r="E2254" s="2" t="str">
        <f>HYPERLINK("https://talan.bank.gov.ua/get-user-certificate/sec1evBumsHFlpgOdyks","Завантажити сертифікат")</f>
        <v>Завантажити сертифікат</v>
      </c>
    </row>
    <row r="2255" spans="1:5" x14ac:dyDescent="0.3">
      <c r="A2255" s="2" t="s">
        <v>4612</v>
      </c>
      <c r="B2255" s="2" t="s">
        <v>5</v>
      </c>
      <c r="C2255" s="2" t="s">
        <v>4613</v>
      </c>
      <c r="D2255" s="2" t="s">
        <v>4607</v>
      </c>
      <c r="E2255" s="2" t="str">
        <f>HYPERLINK("https://talan.bank.gov.ua/get-user-certificate/sec1eDKdMwdZTEq-yOQG","Завантажити сертифікат")</f>
        <v>Завантажити сертифікат</v>
      </c>
    </row>
    <row r="2256" spans="1:5" x14ac:dyDescent="0.3">
      <c r="A2256" s="2" t="s">
        <v>4614</v>
      </c>
      <c r="B2256" s="2" t="s">
        <v>5</v>
      </c>
      <c r="C2256" s="2" t="s">
        <v>4615</v>
      </c>
      <c r="D2256" s="2" t="s">
        <v>4607</v>
      </c>
      <c r="E2256" s="2" t="str">
        <f>HYPERLINK("https://talan.bank.gov.ua/get-user-certificate/sec1eyFeCyufPki4oadC","Завантажити сертифікат")</f>
        <v>Завантажити сертифікат</v>
      </c>
    </row>
    <row r="2257" spans="1:5" x14ac:dyDescent="0.3">
      <c r="A2257" s="2" t="s">
        <v>4616</v>
      </c>
      <c r="B2257" s="2" t="s">
        <v>5</v>
      </c>
      <c r="C2257" s="2" t="s">
        <v>4617</v>
      </c>
      <c r="D2257" s="2" t="s">
        <v>4607</v>
      </c>
      <c r="E2257" s="2" t="str">
        <f>HYPERLINK("https://talan.bank.gov.ua/get-user-certificate/sec1ew5mG3fSTkYwq1Ui","Завантажити сертифікат")</f>
        <v>Завантажити сертифікат</v>
      </c>
    </row>
    <row r="2258" spans="1:5" x14ac:dyDescent="0.3">
      <c r="A2258" s="2" t="s">
        <v>4618</v>
      </c>
      <c r="B2258" s="2" t="s">
        <v>5</v>
      </c>
      <c r="C2258" s="2" t="s">
        <v>4619</v>
      </c>
      <c r="D2258" s="2" t="s">
        <v>4607</v>
      </c>
      <c r="E2258" s="2" t="str">
        <f>HYPERLINK("https://talan.bank.gov.ua/get-user-certificate/sec1eOlkJr85b0E7oFp2","Завантажити сертифікат")</f>
        <v>Завантажити сертифікат</v>
      </c>
    </row>
    <row r="2259" spans="1:5" x14ac:dyDescent="0.3">
      <c r="A2259" s="2" t="s">
        <v>4620</v>
      </c>
      <c r="B2259" s="2" t="s">
        <v>5</v>
      </c>
      <c r="C2259" s="2" t="s">
        <v>4621</v>
      </c>
      <c r="D2259" s="2" t="s">
        <v>4607</v>
      </c>
      <c r="E2259" s="2" t="str">
        <f>HYPERLINK("https://talan.bank.gov.ua/get-user-certificate/sec1e70V87m77xJv0ytI","Завантажити сертифікат")</f>
        <v>Завантажити сертифікат</v>
      </c>
    </row>
    <row r="2260" spans="1:5" x14ac:dyDescent="0.3">
      <c r="A2260" s="2" t="s">
        <v>4622</v>
      </c>
      <c r="B2260" s="2" t="s">
        <v>5</v>
      </c>
      <c r="C2260" s="2" t="s">
        <v>4623</v>
      </c>
      <c r="D2260" s="2" t="s">
        <v>4607</v>
      </c>
      <c r="E2260" s="2" t="str">
        <f>HYPERLINK("https://talan.bank.gov.ua/get-user-certificate/sec1e9khYw1Yf_56DZsE","Завантажити сертифікат")</f>
        <v>Завантажити сертифікат</v>
      </c>
    </row>
    <row r="2261" spans="1:5" x14ac:dyDescent="0.3">
      <c r="A2261" s="2" t="s">
        <v>4624</v>
      </c>
      <c r="B2261" s="2" t="s">
        <v>5</v>
      </c>
      <c r="C2261" s="2" t="s">
        <v>4625</v>
      </c>
      <c r="D2261" s="2" t="s">
        <v>4607</v>
      </c>
      <c r="E2261" s="2" t="str">
        <f>HYPERLINK("https://talan.bank.gov.ua/get-user-certificate/sec1eg8zPOqrsIjjIRgu","Завантажити сертифікат")</f>
        <v>Завантажити сертифікат</v>
      </c>
    </row>
    <row r="2262" spans="1:5" x14ac:dyDescent="0.3">
      <c r="A2262" s="2" t="s">
        <v>4626</v>
      </c>
      <c r="B2262" s="2" t="s">
        <v>5</v>
      </c>
      <c r="C2262" s="2" t="s">
        <v>4627</v>
      </c>
      <c r="D2262" s="2" t="s">
        <v>4607</v>
      </c>
      <c r="E2262" s="2" t="str">
        <f>HYPERLINK("https://talan.bank.gov.ua/get-user-certificate/sec1eDEZc3jfmcqaakXQ","Завантажити сертифікат")</f>
        <v>Завантажити сертифікат</v>
      </c>
    </row>
    <row r="2263" spans="1:5" x14ac:dyDescent="0.3">
      <c r="A2263" s="2" t="s">
        <v>4628</v>
      </c>
      <c r="B2263" s="2" t="s">
        <v>5</v>
      </c>
      <c r="C2263" s="2" t="s">
        <v>4629</v>
      </c>
      <c r="D2263" s="2" t="s">
        <v>4630</v>
      </c>
      <c r="E2263" s="2" t="str">
        <f>HYPERLINK("https://talan.bank.gov.ua/get-user-certificate/sec1ex7wGVFmpnTaUjIV","Завантажити сертифікат")</f>
        <v>Завантажити сертифікат</v>
      </c>
    </row>
    <row r="2264" spans="1:5" x14ac:dyDescent="0.3">
      <c r="A2264" s="2" t="s">
        <v>4631</v>
      </c>
      <c r="B2264" s="2" t="s">
        <v>5</v>
      </c>
      <c r="C2264" s="2" t="s">
        <v>4632</v>
      </c>
      <c r="D2264" s="2" t="s">
        <v>4630</v>
      </c>
      <c r="E2264" s="2" t="str">
        <f>HYPERLINK("https://talan.bank.gov.ua/get-user-certificate/sec1e07-hbPxLm83GJK-","Завантажити сертифікат")</f>
        <v>Завантажити сертифікат</v>
      </c>
    </row>
    <row r="2265" spans="1:5" x14ac:dyDescent="0.3">
      <c r="A2265" s="2" t="s">
        <v>4633</v>
      </c>
      <c r="B2265" s="2" t="s">
        <v>5</v>
      </c>
      <c r="C2265" s="2" t="s">
        <v>4634</v>
      </c>
      <c r="D2265" s="2" t="s">
        <v>4630</v>
      </c>
      <c r="E2265" s="2" t="str">
        <f>HYPERLINK("https://talan.bank.gov.ua/get-user-certificate/sec1e9c7IKhoaaclypuZ","Завантажити сертифікат")</f>
        <v>Завантажити сертифікат</v>
      </c>
    </row>
    <row r="2266" spans="1:5" x14ac:dyDescent="0.3">
      <c r="A2266" s="2" t="s">
        <v>4635</v>
      </c>
      <c r="B2266" s="2" t="s">
        <v>5</v>
      </c>
      <c r="C2266" s="2" t="s">
        <v>4636</v>
      </c>
      <c r="D2266" s="2" t="s">
        <v>4630</v>
      </c>
      <c r="E2266" s="2" t="str">
        <f>HYPERLINK("https://talan.bank.gov.ua/get-user-certificate/sec1eg6VSHMDlsl42KrP","Завантажити сертифікат")</f>
        <v>Завантажити сертифікат</v>
      </c>
    </row>
    <row r="2267" spans="1:5" x14ac:dyDescent="0.3">
      <c r="A2267" s="2" t="s">
        <v>4637</v>
      </c>
      <c r="B2267" s="2" t="s">
        <v>5</v>
      </c>
      <c r="C2267" s="2" t="s">
        <v>4638</v>
      </c>
      <c r="D2267" s="2" t="s">
        <v>4630</v>
      </c>
      <c r="E2267" s="2" t="str">
        <f>HYPERLINK("https://talan.bank.gov.ua/get-user-certificate/sec1eqj05AqPuqVwFC3S","Завантажити сертифікат")</f>
        <v>Завантажити сертифікат</v>
      </c>
    </row>
    <row r="2268" spans="1:5" x14ac:dyDescent="0.3">
      <c r="A2268" s="2" t="s">
        <v>4639</v>
      </c>
      <c r="B2268" s="2" t="s">
        <v>5</v>
      </c>
      <c r="C2268" s="2" t="s">
        <v>4640</v>
      </c>
      <c r="D2268" s="2" t="s">
        <v>4630</v>
      </c>
      <c r="E2268" s="2" t="str">
        <f>HYPERLINK("https://talan.bank.gov.ua/get-user-certificate/sec1eNkZ4-PKdzvLsgt9","Завантажити сертифікат")</f>
        <v>Завантажити сертифікат</v>
      </c>
    </row>
    <row r="2269" spans="1:5" x14ac:dyDescent="0.3">
      <c r="A2269" s="2" t="s">
        <v>4641</v>
      </c>
      <c r="B2269" s="2" t="s">
        <v>5</v>
      </c>
      <c r="C2269" s="2" t="s">
        <v>4642</v>
      </c>
      <c r="D2269" s="2" t="s">
        <v>4630</v>
      </c>
      <c r="E2269" s="2" t="str">
        <f>HYPERLINK("https://talan.bank.gov.ua/get-user-certificate/sec1e4_pv-kzbZvnnzvJ","Завантажити сертифікат")</f>
        <v>Завантажити сертифікат</v>
      </c>
    </row>
    <row r="2270" spans="1:5" x14ac:dyDescent="0.3">
      <c r="A2270" s="2" t="s">
        <v>4643</v>
      </c>
      <c r="B2270" s="2" t="s">
        <v>5</v>
      </c>
      <c r="C2270" s="2" t="s">
        <v>4644</v>
      </c>
      <c r="D2270" s="2" t="s">
        <v>4630</v>
      </c>
      <c r="E2270" s="2" t="str">
        <f>HYPERLINK("https://talan.bank.gov.ua/get-user-certificate/sec1eg-UtlYPFi6Py9jq","Завантажити сертифікат")</f>
        <v>Завантажити сертифікат</v>
      </c>
    </row>
    <row r="2271" spans="1:5" x14ac:dyDescent="0.3">
      <c r="A2271" s="2" t="s">
        <v>4645</v>
      </c>
      <c r="B2271" s="2" t="s">
        <v>5</v>
      </c>
      <c r="C2271" s="2" t="s">
        <v>4646</v>
      </c>
      <c r="D2271" s="2" t="s">
        <v>4630</v>
      </c>
      <c r="E2271" s="2" t="str">
        <f>HYPERLINK("https://talan.bank.gov.ua/get-user-certificate/sec1etySMuLoB0Y28seU","Завантажити сертифікат")</f>
        <v>Завантажити сертифікат</v>
      </c>
    </row>
    <row r="2272" spans="1:5" x14ac:dyDescent="0.3">
      <c r="A2272" s="2" t="s">
        <v>4647</v>
      </c>
      <c r="B2272" s="2" t="s">
        <v>5</v>
      </c>
      <c r="C2272" s="2" t="s">
        <v>4648</v>
      </c>
      <c r="D2272" s="2" t="s">
        <v>4630</v>
      </c>
      <c r="E2272" s="2" t="str">
        <f>HYPERLINK("https://talan.bank.gov.ua/get-user-certificate/sec1ePwBo8QEXtybOxcm","Завантажити сертифікат")</f>
        <v>Завантажити сертифікат</v>
      </c>
    </row>
    <row r="2273" spans="1:5" x14ac:dyDescent="0.3">
      <c r="A2273" s="2" t="s">
        <v>4649</v>
      </c>
      <c r="B2273" s="2" t="s">
        <v>5</v>
      </c>
      <c r="C2273" s="2" t="s">
        <v>4650</v>
      </c>
      <c r="D2273" s="2" t="s">
        <v>4630</v>
      </c>
      <c r="E2273" s="2" t="str">
        <f>HYPERLINK("https://talan.bank.gov.ua/get-user-certificate/sec1eOoEcXgY1dsWwG6i","Завантажити сертифікат")</f>
        <v>Завантажити сертифікат</v>
      </c>
    </row>
    <row r="2274" spans="1:5" x14ac:dyDescent="0.3">
      <c r="A2274" s="2" t="s">
        <v>4651</v>
      </c>
      <c r="B2274" s="2" t="s">
        <v>5</v>
      </c>
      <c r="C2274" s="2" t="s">
        <v>4652</v>
      </c>
      <c r="D2274" s="2" t="s">
        <v>4630</v>
      </c>
      <c r="E2274" s="2" t="str">
        <f>HYPERLINK("https://talan.bank.gov.ua/get-user-certificate/sec1eHsmNdpbhzAvLD-U","Завантажити сертифікат")</f>
        <v>Завантажити сертифікат</v>
      </c>
    </row>
    <row r="2275" spans="1:5" x14ac:dyDescent="0.3">
      <c r="A2275" s="2" t="s">
        <v>4653</v>
      </c>
      <c r="B2275" s="2" t="s">
        <v>5</v>
      </c>
      <c r="C2275" s="2" t="s">
        <v>4654</v>
      </c>
      <c r="D2275" s="2" t="s">
        <v>4630</v>
      </c>
      <c r="E2275" s="2" t="str">
        <f>HYPERLINK("https://talan.bank.gov.ua/get-user-certificate/sec1ep6Mc4tX1nHScstS","Завантажити сертифікат")</f>
        <v>Завантажити сертифікат</v>
      </c>
    </row>
    <row r="2276" spans="1:5" x14ac:dyDescent="0.3">
      <c r="A2276" s="2" t="s">
        <v>4655</v>
      </c>
      <c r="B2276" s="2" t="s">
        <v>5</v>
      </c>
      <c r="C2276" s="2" t="s">
        <v>4656</v>
      </c>
      <c r="D2276" s="2" t="s">
        <v>4630</v>
      </c>
      <c r="E2276" s="2" t="str">
        <f>HYPERLINK("https://talan.bank.gov.ua/get-user-certificate/sec1enFaEgWEbsPVEiPw","Завантажити сертифікат")</f>
        <v>Завантажити сертифікат</v>
      </c>
    </row>
    <row r="2277" spans="1:5" x14ac:dyDescent="0.3">
      <c r="A2277" s="2" t="s">
        <v>4657</v>
      </c>
      <c r="B2277" s="2" t="s">
        <v>5</v>
      </c>
      <c r="C2277" s="2" t="s">
        <v>4658</v>
      </c>
      <c r="D2277" s="2" t="s">
        <v>4630</v>
      </c>
      <c r="E2277" s="2" t="str">
        <f>HYPERLINK("https://talan.bank.gov.ua/get-user-certificate/sec1e7tuhPZy6qnRNLZm","Завантажити сертифікат")</f>
        <v>Завантажити сертифікат</v>
      </c>
    </row>
    <row r="2278" spans="1:5" x14ac:dyDescent="0.3">
      <c r="A2278" s="2" t="s">
        <v>4659</v>
      </c>
      <c r="B2278" s="2" t="s">
        <v>5</v>
      </c>
      <c r="C2278" s="2" t="s">
        <v>4660</v>
      </c>
      <c r="D2278" s="2" t="s">
        <v>4630</v>
      </c>
      <c r="E2278" s="2" t="str">
        <f>HYPERLINK("https://talan.bank.gov.ua/get-user-certificate/sec1e-iMmlIgyu2EUoXN","Завантажити сертифікат")</f>
        <v>Завантажити сертифікат</v>
      </c>
    </row>
    <row r="2279" spans="1:5" x14ac:dyDescent="0.3">
      <c r="A2279" s="2" t="s">
        <v>4661</v>
      </c>
      <c r="B2279" s="2" t="s">
        <v>5</v>
      </c>
      <c r="C2279" s="2" t="s">
        <v>4662</v>
      </c>
      <c r="D2279" s="2" t="s">
        <v>4630</v>
      </c>
      <c r="E2279" s="2" t="str">
        <f>HYPERLINK("https://talan.bank.gov.ua/get-user-certificate/sec1e4FBpqpaH4QG2msN","Завантажити сертифікат")</f>
        <v>Завантажити сертифікат</v>
      </c>
    </row>
    <row r="2280" spans="1:5" x14ac:dyDescent="0.3">
      <c r="A2280" s="2" t="s">
        <v>4663</v>
      </c>
      <c r="B2280" s="2" t="s">
        <v>5</v>
      </c>
      <c r="C2280" s="2" t="s">
        <v>4664</v>
      </c>
      <c r="D2280" s="2" t="s">
        <v>4630</v>
      </c>
      <c r="E2280" s="2" t="str">
        <f>HYPERLINK("https://talan.bank.gov.ua/get-user-certificate/sec1eqpvSrAp_cYcmCEH","Завантажити сертифікат")</f>
        <v>Завантажити сертифікат</v>
      </c>
    </row>
    <row r="2281" spans="1:5" x14ac:dyDescent="0.3">
      <c r="A2281" s="2" t="s">
        <v>4665</v>
      </c>
      <c r="B2281" s="2" t="s">
        <v>5</v>
      </c>
      <c r="C2281" s="2" t="s">
        <v>4666</v>
      </c>
      <c r="D2281" s="2" t="s">
        <v>4630</v>
      </c>
      <c r="E2281" s="2" t="str">
        <f>HYPERLINK("https://talan.bank.gov.ua/get-user-certificate/sec1ex-rP8bvU1fhQ3uL","Завантажити сертифікат")</f>
        <v>Завантажити сертифікат</v>
      </c>
    </row>
    <row r="2282" spans="1:5" x14ac:dyDescent="0.3">
      <c r="A2282" s="2" t="s">
        <v>4667</v>
      </c>
      <c r="B2282" s="2" t="s">
        <v>5</v>
      </c>
      <c r="C2282" s="2" t="s">
        <v>4668</v>
      </c>
      <c r="D2282" s="2" t="s">
        <v>4630</v>
      </c>
      <c r="E2282" s="2" t="str">
        <f>HYPERLINK("https://talan.bank.gov.ua/get-user-certificate/sec1e6EzlGWnkH-OqUxG","Завантажити сертифікат")</f>
        <v>Завантажити сертифікат</v>
      </c>
    </row>
    <row r="2283" spans="1:5" x14ac:dyDescent="0.3">
      <c r="A2283" s="2" t="s">
        <v>4669</v>
      </c>
      <c r="B2283" s="2" t="s">
        <v>5</v>
      </c>
      <c r="C2283" s="2" t="s">
        <v>4670</v>
      </c>
      <c r="D2283" s="2" t="s">
        <v>4630</v>
      </c>
      <c r="E2283" s="2" t="str">
        <f>HYPERLINK("https://talan.bank.gov.ua/get-user-certificate/sec1ez2rBSk8sXJaOJUS","Завантажити сертифікат")</f>
        <v>Завантажити сертифікат</v>
      </c>
    </row>
    <row r="2284" spans="1:5" x14ac:dyDescent="0.3">
      <c r="A2284" s="2" t="s">
        <v>4671</v>
      </c>
      <c r="B2284" s="2" t="s">
        <v>5</v>
      </c>
      <c r="C2284" s="2" t="s">
        <v>4672</v>
      </c>
      <c r="D2284" s="2" t="s">
        <v>4630</v>
      </c>
      <c r="E2284" s="2" t="str">
        <f>HYPERLINK("https://talan.bank.gov.ua/get-user-certificate/sec1elKYlRoFVe7r3GmS","Завантажити сертифікат")</f>
        <v>Завантажити сертифікат</v>
      </c>
    </row>
    <row r="2285" spans="1:5" x14ac:dyDescent="0.3">
      <c r="A2285" s="2" t="s">
        <v>4673</v>
      </c>
      <c r="B2285" s="2" t="s">
        <v>5</v>
      </c>
      <c r="C2285" s="2" t="s">
        <v>4674</v>
      </c>
      <c r="D2285" s="2" t="s">
        <v>4630</v>
      </c>
      <c r="E2285" s="2" t="str">
        <f>HYPERLINK("https://talan.bank.gov.ua/get-user-certificate/sec1eqWb7YxnmtWn0d5t","Завантажити сертифікат")</f>
        <v>Завантажити сертифікат</v>
      </c>
    </row>
    <row r="2286" spans="1:5" x14ac:dyDescent="0.3">
      <c r="A2286" s="2" t="s">
        <v>4675</v>
      </c>
      <c r="B2286" s="2" t="s">
        <v>5</v>
      </c>
      <c r="C2286" s="2" t="s">
        <v>4676</v>
      </c>
      <c r="D2286" s="2" t="s">
        <v>4630</v>
      </c>
      <c r="E2286" s="2" t="str">
        <f>HYPERLINK("https://talan.bank.gov.ua/get-user-certificate/sec1eBzB25knwYqofnDP","Завантажити сертифікат")</f>
        <v>Завантажити сертифікат</v>
      </c>
    </row>
    <row r="2287" spans="1:5" x14ac:dyDescent="0.3">
      <c r="A2287" s="2" t="s">
        <v>4677</v>
      </c>
      <c r="B2287" s="2" t="s">
        <v>5</v>
      </c>
      <c r="C2287" s="2" t="s">
        <v>4678</v>
      </c>
      <c r="D2287" s="2" t="s">
        <v>4630</v>
      </c>
      <c r="E2287" s="2" t="str">
        <f>HYPERLINK("https://talan.bank.gov.ua/get-user-certificate/sec1eVna1QtURDdddpjN","Завантажити сертифікат")</f>
        <v>Завантажити сертифікат</v>
      </c>
    </row>
    <row r="2288" spans="1:5" x14ac:dyDescent="0.3">
      <c r="A2288" s="2" t="s">
        <v>4679</v>
      </c>
      <c r="B2288" s="2" t="s">
        <v>5</v>
      </c>
      <c r="C2288" s="2" t="s">
        <v>4680</v>
      </c>
      <c r="D2288" s="2" t="s">
        <v>4630</v>
      </c>
      <c r="E2288" s="2" t="str">
        <f>HYPERLINK("https://talan.bank.gov.ua/get-user-certificate/sec1ePvjCQUoaIOWX14V","Завантажити сертифікат")</f>
        <v>Завантажити сертифікат</v>
      </c>
    </row>
    <row r="2289" spans="1:5" x14ac:dyDescent="0.3">
      <c r="A2289" s="2" t="s">
        <v>4681</v>
      </c>
      <c r="B2289" s="2" t="s">
        <v>5</v>
      </c>
      <c r="C2289" s="2" t="s">
        <v>4682</v>
      </c>
      <c r="D2289" s="2" t="s">
        <v>4630</v>
      </c>
      <c r="E2289" s="2" t="str">
        <f>HYPERLINK("https://talan.bank.gov.ua/get-user-certificate/sec1ejJYeAHloeVRTz1b","Завантажити сертифікат")</f>
        <v>Завантажити сертифікат</v>
      </c>
    </row>
    <row r="2290" spans="1:5" x14ac:dyDescent="0.3">
      <c r="A2290" s="2" t="s">
        <v>4683</v>
      </c>
      <c r="B2290" s="2" t="s">
        <v>5</v>
      </c>
      <c r="C2290" s="2" t="s">
        <v>4684</v>
      </c>
      <c r="D2290" s="2" t="s">
        <v>4630</v>
      </c>
      <c r="E2290" s="2" t="str">
        <f>HYPERLINK("https://talan.bank.gov.ua/get-user-certificate/sec1e8fICqwrWRV0GYbV","Завантажити сертифікат")</f>
        <v>Завантажити сертифікат</v>
      </c>
    </row>
    <row r="2291" spans="1:5" x14ac:dyDescent="0.3">
      <c r="A2291" s="2" t="s">
        <v>4685</v>
      </c>
      <c r="B2291" s="2" t="s">
        <v>5</v>
      </c>
      <c r="C2291" s="2" t="s">
        <v>4686</v>
      </c>
      <c r="D2291" s="2" t="s">
        <v>4630</v>
      </c>
      <c r="E2291" s="2" t="str">
        <f>HYPERLINK("https://talan.bank.gov.ua/get-user-certificate/sec1eL0es5wM3tfc3eT7","Завантажити сертифікат")</f>
        <v>Завантажити сертифікат</v>
      </c>
    </row>
    <row r="2292" spans="1:5" x14ac:dyDescent="0.3">
      <c r="A2292" s="2" t="s">
        <v>4687</v>
      </c>
      <c r="B2292" s="2" t="s">
        <v>5</v>
      </c>
      <c r="C2292" s="2" t="s">
        <v>4688</v>
      </c>
      <c r="D2292" s="2" t="s">
        <v>4630</v>
      </c>
      <c r="E2292" s="2" t="str">
        <f>HYPERLINK("https://talan.bank.gov.ua/get-user-certificate/sec1eGZEYI58EdxfgJsI","Завантажити сертифікат")</f>
        <v>Завантажити сертифікат</v>
      </c>
    </row>
    <row r="2293" spans="1:5" x14ac:dyDescent="0.3">
      <c r="A2293" s="2" t="s">
        <v>4689</v>
      </c>
      <c r="B2293" s="2" t="s">
        <v>5</v>
      </c>
      <c r="C2293" s="2" t="s">
        <v>4690</v>
      </c>
      <c r="D2293" s="2" t="s">
        <v>4630</v>
      </c>
      <c r="E2293" s="2" t="str">
        <f>HYPERLINK("https://talan.bank.gov.ua/get-user-certificate/sec1eMm-GJJ-SsmJk92Q","Завантажити сертифікат")</f>
        <v>Завантажити сертифікат</v>
      </c>
    </row>
    <row r="2294" spans="1:5" x14ac:dyDescent="0.3">
      <c r="A2294" s="2" t="s">
        <v>4691</v>
      </c>
      <c r="B2294" s="2" t="s">
        <v>5</v>
      </c>
      <c r="C2294" s="2" t="s">
        <v>4692</v>
      </c>
      <c r="D2294" s="2" t="s">
        <v>4630</v>
      </c>
      <c r="E2294" s="2" t="str">
        <f>HYPERLINK("https://talan.bank.gov.ua/get-user-certificate/sec1e8eCIfKuntQ70r_V","Завантажити сертифікат")</f>
        <v>Завантажити сертифікат</v>
      </c>
    </row>
    <row r="2295" spans="1:5" x14ac:dyDescent="0.3">
      <c r="A2295" s="2" t="s">
        <v>4693</v>
      </c>
      <c r="B2295" s="2" t="s">
        <v>5</v>
      </c>
      <c r="C2295" s="2" t="s">
        <v>4694</v>
      </c>
      <c r="D2295" s="2" t="s">
        <v>4630</v>
      </c>
      <c r="E2295" s="2" t="str">
        <f>HYPERLINK("https://talan.bank.gov.ua/get-user-certificate/sec1eVqN4f-pUhZk5E4c","Завантажити сертифікат")</f>
        <v>Завантажити сертифікат</v>
      </c>
    </row>
    <row r="2296" spans="1:5" x14ac:dyDescent="0.3">
      <c r="A2296" s="2" t="s">
        <v>4695</v>
      </c>
      <c r="B2296" s="2" t="s">
        <v>5</v>
      </c>
      <c r="C2296" s="2" t="s">
        <v>4696</v>
      </c>
      <c r="D2296" s="2" t="s">
        <v>4630</v>
      </c>
      <c r="E2296" s="2" t="str">
        <f>HYPERLINK("https://talan.bank.gov.ua/get-user-certificate/sec1eIP5qGEdIQBE5QPE","Завантажити сертифікат")</f>
        <v>Завантажити сертифікат</v>
      </c>
    </row>
    <row r="2297" spans="1:5" x14ac:dyDescent="0.3">
      <c r="A2297" s="2" t="s">
        <v>4697</v>
      </c>
      <c r="B2297" s="2" t="s">
        <v>5</v>
      </c>
      <c r="C2297" s="2" t="s">
        <v>4698</v>
      </c>
      <c r="D2297" s="2" t="s">
        <v>4630</v>
      </c>
      <c r="E2297" s="2" t="str">
        <f>HYPERLINK("https://talan.bank.gov.ua/get-user-certificate/sec1e8b1rJ3uuaPhu_TW","Завантажити сертифікат")</f>
        <v>Завантажити сертифікат</v>
      </c>
    </row>
    <row r="2298" spans="1:5" x14ac:dyDescent="0.3">
      <c r="A2298" s="2" t="s">
        <v>4699</v>
      </c>
      <c r="B2298" s="2" t="s">
        <v>5</v>
      </c>
      <c r="C2298" s="2" t="s">
        <v>4700</v>
      </c>
      <c r="D2298" s="2" t="s">
        <v>4630</v>
      </c>
      <c r="E2298" s="2" t="str">
        <f>HYPERLINK("https://talan.bank.gov.ua/get-user-certificate/sec1eyKnh0fGI1Xn0psg","Завантажити сертифікат")</f>
        <v>Завантажити сертифікат</v>
      </c>
    </row>
    <row r="2299" spans="1:5" x14ac:dyDescent="0.3">
      <c r="A2299" s="2" t="s">
        <v>4701</v>
      </c>
      <c r="B2299" s="2" t="s">
        <v>5</v>
      </c>
      <c r="C2299" s="2" t="s">
        <v>4702</v>
      </c>
      <c r="D2299" s="2" t="s">
        <v>4630</v>
      </c>
      <c r="E2299" s="2" t="str">
        <f>HYPERLINK("https://talan.bank.gov.ua/get-user-certificate/sec1eZojEao1sEw6hCM-","Завантажити сертифікат")</f>
        <v>Завантажити сертифікат</v>
      </c>
    </row>
    <row r="2300" spans="1:5" x14ac:dyDescent="0.3">
      <c r="A2300" s="2" t="s">
        <v>4703</v>
      </c>
      <c r="B2300" s="2" t="s">
        <v>5</v>
      </c>
      <c r="C2300" s="2" t="s">
        <v>4704</v>
      </c>
      <c r="D2300" s="2" t="s">
        <v>4705</v>
      </c>
      <c r="E2300" s="2" t="str">
        <f>HYPERLINK("https://talan.bank.gov.ua/get-user-certificate/sec1en8NGGeZxRcxxb7w","Завантажити сертифікат")</f>
        <v>Завантажити сертифікат</v>
      </c>
    </row>
    <row r="2301" spans="1:5" x14ac:dyDescent="0.3">
      <c r="A2301" s="2" t="s">
        <v>4706</v>
      </c>
      <c r="B2301" s="2" t="s">
        <v>5</v>
      </c>
      <c r="C2301" s="2" t="s">
        <v>4707</v>
      </c>
      <c r="D2301" s="2" t="s">
        <v>4705</v>
      </c>
      <c r="E2301" s="2" t="str">
        <f>HYPERLINK("https://talan.bank.gov.ua/get-user-certificate/sec1eKMzv8gnNHyzqg9e","Завантажити сертифікат")</f>
        <v>Завантажити сертифікат</v>
      </c>
    </row>
    <row r="2302" spans="1:5" x14ac:dyDescent="0.3">
      <c r="A2302" s="2" t="s">
        <v>4708</v>
      </c>
      <c r="B2302" s="2" t="s">
        <v>5</v>
      </c>
      <c r="C2302" s="2" t="s">
        <v>4709</v>
      </c>
      <c r="D2302" s="2" t="s">
        <v>4705</v>
      </c>
      <c r="E2302" s="2" t="str">
        <f>HYPERLINK("https://talan.bank.gov.ua/get-user-certificate/sec1edQtt9oBvmsmCewr","Завантажити сертифікат")</f>
        <v>Завантажити сертифікат</v>
      </c>
    </row>
    <row r="2303" spans="1:5" x14ac:dyDescent="0.3">
      <c r="A2303" s="2" t="s">
        <v>4710</v>
      </c>
      <c r="B2303" s="2" t="s">
        <v>5</v>
      </c>
      <c r="C2303" s="2" t="s">
        <v>4711</v>
      </c>
      <c r="D2303" s="2" t="s">
        <v>4705</v>
      </c>
      <c r="E2303" s="2" t="str">
        <f>HYPERLINK("https://talan.bank.gov.ua/get-user-certificate/sec1e2Yy_RuOP86TRnav","Завантажити сертифікат")</f>
        <v>Завантажити сертифікат</v>
      </c>
    </row>
    <row r="2304" spans="1:5" x14ac:dyDescent="0.3">
      <c r="A2304" s="2" t="s">
        <v>4712</v>
      </c>
      <c r="B2304" s="2" t="s">
        <v>5</v>
      </c>
      <c r="C2304" s="2" t="s">
        <v>4713</v>
      </c>
      <c r="D2304" s="2" t="s">
        <v>4705</v>
      </c>
      <c r="E2304" s="2" t="str">
        <f>HYPERLINK("https://talan.bank.gov.ua/get-user-certificate/sec1eDjyb45AtKDX5urw","Завантажити сертифікат")</f>
        <v>Завантажити сертифікат</v>
      </c>
    </row>
    <row r="2305" spans="1:5" x14ac:dyDescent="0.3">
      <c r="A2305" s="2" t="s">
        <v>4714</v>
      </c>
      <c r="B2305" s="2" t="s">
        <v>5</v>
      </c>
      <c r="C2305" s="2" t="s">
        <v>4715</v>
      </c>
      <c r="D2305" s="2" t="s">
        <v>4705</v>
      </c>
      <c r="E2305" s="2" t="str">
        <f>HYPERLINK("https://talan.bank.gov.ua/get-user-certificate/sec1em-emv6EdhjF1bcl","Завантажити сертифікат")</f>
        <v>Завантажити сертифікат</v>
      </c>
    </row>
    <row r="2306" spans="1:5" x14ac:dyDescent="0.3">
      <c r="A2306" s="2" t="s">
        <v>4716</v>
      </c>
      <c r="B2306" s="2" t="s">
        <v>5</v>
      </c>
      <c r="C2306" s="2" t="s">
        <v>4717</v>
      </c>
      <c r="D2306" s="2" t="s">
        <v>4705</v>
      </c>
      <c r="E2306" s="2" t="str">
        <f>HYPERLINK("https://talan.bank.gov.ua/get-user-certificate/sec1eNhCZsXFa63nxRzi","Завантажити сертифікат")</f>
        <v>Завантажити сертифікат</v>
      </c>
    </row>
    <row r="2307" spans="1:5" x14ac:dyDescent="0.3">
      <c r="A2307" s="2" t="s">
        <v>4718</v>
      </c>
      <c r="B2307" s="2" t="s">
        <v>5</v>
      </c>
      <c r="C2307" s="2" t="s">
        <v>4719</v>
      </c>
      <c r="D2307" s="2" t="s">
        <v>4705</v>
      </c>
      <c r="E2307" s="2" t="str">
        <f>HYPERLINK("https://talan.bank.gov.ua/get-user-certificate/sec1eUlcNXj0w2PgAEci","Завантажити сертифікат")</f>
        <v>Завантажити сертифікат</v>
      </c>
    </row>
    <row r="2308" spans="1:5" x14ac:dyDescent="0.3">
      <c r="A2308" s="2" t="s">
        <v>4720</v>
      </c>
      <c r="B2308" s="2" t="s">
        <v>5</v>
      </c>
      <c r="C2308" s="2" t="s">
        <v>4721</v>
      </c>
      <c r="D2308" s="2" t="s">
        <v>4705</v>
      </c>
      <c r="E2308" s="2" t="str">
        <f>HYPERLINK("https://talan.bank.gov.ua/get-user-certificate/sec1evjhX54X82giprQO","Завантажити сертифікат")</f>
        <v>Завантажити сертифікат</v>
      </c>
    </row>
    <row r="2309" spans="1:5" x14ac:dyDescent="0.3">
      <c r="A2309" s="2" t="s">
        <v>4722</v>
      </c>
      <c r="B2309" s="2" t="s">
        <v>5</v>
      </c>
      <c r="C2309" s="2" t="s">
        <v>4723</v>
      </c>
      <c r="D2309" s="2" t="s">
        <v>4705</v>
      </c>
      <c r="E2309" s="2" t="str">
        <f>HYPERLINK("https://talan.bank.gov.ua/get-user-certificate/sec1ejiY06m6neqa0_76","Завантажити сертифікат")</f>
        <v>Завантажити сертифікат</v>
      </c>
    </row>
    <row r="2310" spans="1:5" x14ac:dyDescent="0.3">
      <c r="A2310" s="2" t="s">
        <v>4724</v>
      </c>
      <c r="B2310" s="2" t="s">
        <v>5</v>
      </c>
      <c r="C2310" s="2" t="s">
        <v>4725</v>
      </c>
      <c r="D2310" s="2" t="s">
        <v>4705</v>
      </c>
      <c r="E2310" s="2" t="str">
        <f>HYPERLINK("https://talan.bank.gov.ua/get-user-certificate/sec1eM_un--yIpWOKJKL","Завантажити сертифікат")</f>
        <v>Завантажити сертифікат</v>
      </c>
    </row>
    <row r="2311" spans="1:5" x14ac:dyDescent="0.3">
      <c r="A2311" s="2" t="s">
        <v>4726</v>
      </c>
      <c r="B2311" s="2" t="s">
        <v>5</v>
      </c>
      <c r="C2311" s="2" t="s">
        <v>4727</v>
      </c>
      <c r="D2311" s="2" t="s">
        <v>4705</v>
      </c>
      <c r="E2311" s="2" t="str">
        <f>HYPERLINK("https://talan.bank.gov.ua/get-user-certificate/sec1eaEu2Cw8I5Mcm7Hh","Завантажити сертифікат")</f>
        <v>Завантажити сертифікат</v>
      </c>
    </row>
    <row r="2312" spans="1:5" x14ac:dyDescent="0.3">
      <c r="A2312" s="2" t="s">
        <v>4728</v>
      </c>
      <c r="B2312" s="2" t="s">
        <v>5</v>
      </c>
      <c r="C2312" s="2" t="s">
        <v>4729</v>
      </c>
      <c r="D2312" s="2" t="s">
        <v>4705</v>
      </c>
      <c r="E2312" s="2" t="str">
        <f>HYPERLINK("https://talan.bank.gov.ua/get-user-certificate/sec1eUT9sJX1XZtAtuAw","Завантажити сертифікат")</f>
        <v>Завантажити сертифікат</v>
      </c>
    </row>
    <row r="2313" spans="1:5" x14ac:dyDescent="0.3">
      <c r="A2313" s="2" t="s">
        <v>4730</v>
      </c>
      <c r="B2313" s="2" t="s">
        <v>5</v>
      </c>
      <c r="C2313" s="2" t="s">
        <v>4731</v>
      </c>
      <c r="D2313" s="2" t="s">
        <v>4705</v>
      </c>
      <c r="E2313" s="2" t="str">
        <f>HYPERLINK("https://talan.bank.gov.ua/get-user-certificate/sec1e6P3zx3wyO_5iBk2","Завантажити сертифікат")</f>
        <v>Завантажити сертифікат</v>
      </c>
    </row>
    <row r="2314" spans="1:5" x14ac:dyDescent="0.3">
      <c r="A2314" s="2" t="s">
        <v>4732</v>
      </c>
      <c r="B2314" s="2" t="s">
        <v>5</v>
      </c>
      <c r="C2314" s="2" t="s">
        <v>4733</v>
      </c>
      <c r="D2314" s="2" t="s">
        <v>4705</v>
      </c>
      <c r="E2314" s="2" t="str">
        <f>HYPERLINK("https://talan.bank.gov.ua/get-user-certificate/sec1eXzcTzmII_8lochG","Завантажити сертифікат")</f>
        <v>Завантажити сертифікат</v>
      </c>
    </row>
    <row r="2315" spans="1:5" x14ac:dyDescent="0.3">
      <c r="A2315" s="2" t="s">
        <v>4734</v>
      </c>
      <c r="B2315" s="2" t="s">
        <v>5</v>
      </c>
      <c r="C2315" s="2" t="s">
        <v>4735</v>
      </c>
      <c r="D2315" s="2" t="s">
        <v>4705</v>
      </c>
      <c r="E2315" s="2" t="str">
        <f>HYPERLINK("https://talan.bank.gov.ua/get-user-certificate/sec1e7x5qPQ2oiGxOKWu","Завантажити сертифікат")</f>
        <v>Завантажити сертифікат</v>
      </c>
    </row>
    <row r="2316" spans="1:5" x14ac:dyDescent="0.3">
      <c r="A2316" s="2" t="s">
        <v>4736</v>
      </c>
      <c r="B2316" s="2" t="s">
        <v>5</v>
      </c>
      <c r="C2316" s="2" t="s">
        <v>4737</v>
      </c>
      <c r="D2316" s="2" t="s">
        <v>4705</v>
      </c>
      <c r="E2316" s="2" t="str">
        <f>HYPERLINK("https://talan.bank.gov.ua/get-user-certificate/sec1e1PPtcVd_eaww4qI","Завантажити сертифікат")</f>
        <v>Завантажити сертифікат</v>
      </c>
    </row>
    <row r="2317" spans="1:5" x14ac:dyDescent="0.3">
      <c r="A2317" s="2" t="s">
        <v>4738</v>
      </c>
      <c r="B2317" s="2" t="s">
        <v>5</v>
      </c>
      <c r="C2317" s="2" t="s">
        <v>4739</v>
      </c>
      <c r="D2317" s="2" t="s">
        <v>4705</v>
      </c>
      <c r="E2317" s="2" t="str">
        <f>HYPERLINK("https://talan.bank.gov.ua/get-user-certificate/sec1enP2SU6WHjzVMnIa","Завантажити сертифікат")</f>
        <v>Завантажити сертифікат</v>
      </c>
    </row>
    <row r="2318" spans="1:5" x14ac:dyDescent="0.3">
      <c r="A2318" s="2" t="s">
        <v>4740</v>
      </c>
      <c r="B2318" s="2" t="s">
        <v>5</v>
      </c>
      <c r="C2318" s="2" t="s">
        <v>4741</v>
      </c>
      <c r="D2318" s="2" t="s">
        <v>4705</v>
      </c>
      <c r="E2318" s="2" t="str">
        <f>HYPERLINK("https://talan.bank.gov.ua/get-user-certificate/sec1eqCnglS_ogHohNPt","Завантажити сертифікат")</f>
        <v>Завантажити сертифікат</v>
      </c>
    </row>
    <row r="2319" spans="1:5" x14ac:dyDescent="0.3">
      <c r="A2319" s="2" t="s">
        <v>4742</v>
      </c>
      <c r="B2319" s="2" t="s">
        <v>5</v>
      </c>
      <c r="C2319" s="2" t="s">
        <v>4743</v>
      </c>
      <c r="D2319" s="2" t="s">
        <v>4705</v>
      </c>
      <c r="E2319" s="2" t="str">
        <f>HYPERLINK("https://talan.bank.gov.ua/get-user-certificate/sec1eWmDRUYGBwleayxQ","Завантажити сертифікат")</f>
        <v>Завантажити сертифікат</v>
      </c>
    </row>
    <row r="2320" spans="1:5" x14ac:dyDescent="0.3">
      <c r="A2320" s="2" t="s">
        <v>4744</v>
      </c>
      <c r="B2320" s="2" t="s">
        <v>5</v>
      </c>
      <c r="C2320" s="2" t="s">
        <v>4745</v>
      </c>
      <c r="D2320" s="2" t="s">
        <v>4705</v>
      </c>
      <c r="E2320" s="2" t="str">
        <f>HYPERLINK("https://talan.bank.gov.ua/get-user-certificate/sec1erecmTFgnF-7d2DF","Завантажити сертифікат")</f>
        <v>Завантажити сертифікат</v>
      </c>
    </row>
    <row r="2321" spans="1:5" x14ac:dyDescent="0.3">
      <c r="A2321" s="2" t="s">
        <v>4746</v>
      </c>
      <c r="B2321" s="2" t="s">
        <v>5</v>
      </c>
      <c r="C2321" s="2" t="s">
        <v>4747</v>
      </c>
      <c r="D2321" s="2" t="s">
        <v>4705</v>
      </c>
      <c r="E2321" s="2" t="str">
        <f>HYPERLINK("https://talan.bank.gov.ua/get-user-certificate/sec1eG4jy_3N3cCzfC2y","Завантажити сертифікат")</f>
        <v>Завантажити сертифікат</v>
      </c>
    </row>
    <row r="2322" spans="1:5" x14ac:dyDescent="0.3">
      <c r="A2322" s="2" t="s">
        <v>4748</v>
      </c>
      <c r="B2322" s="2" t="s">
        <v>5</v>
      </c>
      <c r="C2322" s="2" t="s">
        <v>4749</v>
      </c>
      <c r="D2322" s="2" t="s">
        <v>4705</v>
      </c>
      <c r="E2322" s="2" t="str">
        <f>HYPERLINK("https://talan.bank.gov.ua/get-user-certificate/sec1e3xpGvH4iXnmyDNg","Завантажити сертифікат")</f>
        <v>Завантажити сертифікат</v>
      </c>
    </row>
    <row r="2323" spans="1:5" x14ac:dyDescent="0.3">
      <c r="A2323" s="2" t="s">
        <v>4750</v>
      </c>
      <c r="B2323" s="2" t="s">
        <v>5</v>
      </c>
      <c r="C2323" s="2" t="s">
        <v>4751</v>
      </c>
      <c r="D2323" s="2" t="s">
        <v>4705</v>
      </c>
      <c r="E2323" s="2" t="str">
        <f>HYPERLINK("https://talan.bank.gov.ua/get-user-certificate/sec1ecLK80vaFh0bSM6I","Завантажити сертифікат")</f>
        <v>Завантажити сертифікат</v>
      </c>
    </row>
    <row r="2324" spans="1:5" x14ac:dyDescent="0.3">
      <c r="A2324" s="2" t="s">
        <v>4752</v>
      </c>
      <c r="B2324" s="2" t="s">
        <v>5</v>
      </c>
      <c r="C2324" s="2" t="s">
        <v>4753</v>
      </c>
      <c r="D2324" s="2" t="s">
        <v>4705</v>
      </c>
      <c r="E2324" s="2" t="str">
        <f>HYPERLINK("https://talan.bank.gov.ua/get-user-certificate/sec1e0LkITxABAWt9miD","Завантажити сертифікат")</f>
        <v>Завантажити сертифікат</v>
      </c>
    </row>
    <row r="2325" spans="1:5" x14ac:dyDescent="0.3">
      <c r="A2325" s="2" t="s">
        <v>4754</v>
      </c>
      <c r="B2325" s="2" t="s">
        <v>5</v>
      </c>
      <c r="C2325" s="2" t="s">
        <v>4755</v>
      </c>
      <c r="D2325" s="2" t="s">
        <v>4705</v>
      </c>
      <c r="E2325" s="2" t="str">
        <f>HYPERLINK("https://talan.bank.gov.ua/get-user-certificate/sec1ex03f0kZj6-tthfJ","Завантажити сертифікат")</f>
        <v>Завантажити сертифікат</v>
      </c>
    </row>
    <row r="2326" spans="1:5" x14ac:dyDescent="0.3">
      <c r="A2326" s="2" t="s">
        <v>4756</v>
      </c>
      <c r="B2326" s="2" t="s">
        <v>5</v>
      </c>
      <c r="C2326" s="2" t="s">
        <v>4757</v>
      </c>
      <c r="D2326" s="2" t="s">
        <v>4705</v>
      </c>
      <c r="E2326" s="2" t="str">
        <f>HYPERLINK("https://talan.bank.gov.ua/get-user-certificate/sec1e63-Lvb8nyJQvUsB","Завантажити сертифікат")</f>
        <v>Завантажити сертифікат</v>
      </c>
    </row>
    <row r="2327" spans="1:5" x14ac:dyDescent="0.3">
      <c r="A2327" s="2" t="s">
        <v>4758</v>
      </c>
      <c r="B2327" s="2" t="s">
        <v>5</v>
      </c>
      <c r="C2327" s="2" t="s">
        <v>4759</v>
      </c>
      <c r="D2327" s="2" t="s">
        <v>4705</v>
      </c>
      <c r="E2327" s="2" t="str">
        <f>HYPERLINK("https://talan.bank.gov.ua/get-user-certificate/sec1eyb0SQ8hK64fKCXm","Завантажити сертифікат")</f>
        <v>Завантажити сертифікат</v>
      </c>
    </row>
    <row r="2328" spans="1:5" x14ac:dyDescent="0.3">
      <c r="A2328" s="2" t="s">
        <v>4760</v>
      </c>
      <c r="B2328" s="2" t="s">
        <v>5</v>
      </c>
      <c r="C2328" s="2" t="s">
        <v>4761</v>
      </c>
      <c r="D2328" s="2" t="s">
        <v>4705</v>
      </c>
      <c r="E2328" s="2" t="str">
        <f>HYPERLINK("https://talan.bank.gov.ua/get-user-certificate/sec1eo1hWshArvQHM59Y","Завантажити сертифікат")</f>
        <v>Завантажити сертифікат</v>
      </c>
    </row>
    <row r="2329" spans="1:5" x14ac:dyDescent="0.3">
      <c r="A2329" s="2" t="s">
        <v>4762</v>
      </c>
      <c r="B2329" s="2" t="s">
        <v>5</v>
      </c>
      <c r="C2329" s="2" t="s">
        <v>4763</v>
      </c>
      <c r="D2329" s="2" t="s">
        <v>4705</v>
      </c>
      <c r="E2329" s="2" t="str">
        <f>HYPERLINK("https://talan.bank.gov.ua/get-user-certificate/sec1ehy_6Gy9cIx3aGgQ","Завантажити сертифікат")</f>
        <v>Завантажити сертифікат</v>
      </c>
    </row>
    <row r="2330" spans="1:5" x14ac:dyDescent="0.3">
      <c r="A2330" s="2" t="s">
        <v>4764</v>
      </c>
      <c r="B2330" s="2" t="s">
        <v>5</v>
      </c>
      <c r="C2330" s="2" t="s">
        <v>4765</v>
      </c>
      <c r="D2330" s="2" t="s">
        <v>4766</v>
      </c>
      <c r="E2330" s="2" t="str">
        <f>HYPERLINK("https://talan.bank.gov.ua/get-user-certificate/sec1eCsazUd73dLDkIAc","Завантажити сертифікат")</f>
        <v>Завантажити сертифікат</v>
      </c>
    </row>
    <row r="2331" spans="1:5" x14ac:dyDescent="0.3">
      <c r="A2331" s="2" t="s">
        <v>4767</v>
      </c>
      <c r="B2331" s="2" t="s">
        <v>5</v>
      </c>
      <c r="C2331" s="2" t="s">
        <v>4768</v>
      </c>
      <c r="D2331" s="2" t="s">
        <v>4766</v>
      </c>
      <c r="E2331" s="2" t="str">
        <f>HYPERLINK("https://talan.bank.gov.ua/get-user-certificate/sec1eP00QSOVJ-AhCrEL","Завантажити сертифікат")</f>
        <v>Завантажити сертифікат</v>
      </c>
    </row>
    <row r="2332" spans="1:5" x14ac:dyDescent="0.3">
      <c r="A2332" s="2" t="s">
        <v>4769</v>
      </c>
      <c r="B2332" s="2" t="s">
        <v>5</v>
      </c>
      <c r="C2332" s="2" t="s">
        <v>4770</v>
      </c>
      <c r="D2332" s="2" t="s">
        <v>4766</v>
      </c>
      <c r="E2332" s="2" t="str">
        <f>HYPERLINK("https://talan.bank.gov.ua/get-user-certificate/sec1eMtxHnUr9ns0bsU5","Завантажити сертифікат")</f>
        <v>Завантажити сертифікат</v>
      </c>
    </row>
    <row r="2333" spans="1:5" x14ac:dyDescent="0.3">
      <c r="A2333" s="2" t="s">
        <v>4771</v>
      </c>
      <c r="B2333" s="2" t="s">
        <v>5</v>
      </c>
      <c r="C2333" s="2" t="s">
        <v>4772</v>
      </c>
      <c r="D2333" s="2" t="s">
        <v>4766</v>
      </c>
      <c r="E2333" s="2" t="str">
        <f>HYPERLINK("https://talan.bank.gov.ua/get-user-certificate/sec1eqsZlE1SeJubfn8V","Завантажити сертифікат")</f>
        <v>Завантажити сертифікат</v>
      </c>
    </row>
    <row r="2334" spans="1:5" x14ac:dyDescent="0.3">
      <c r="A2334" s="2" t="s">
        <v>4773</v>
      </c>
      <c r="B2334" s="2" t="s">
        <v>5</v>
      </c>
      <c r="C2334" s="2" t="s">
        <v>4774</v>
      </c>
      <c r="D2334" s="2" t="s">
        <v>4766</v>
      </c>
      <c r="E2334" s="2" t="str">
        <f>HYPERLINK("https://talan.bank.gov.ua/get-user-certificate/sec1e_1fVgr36YxztHLs","Завантажити сертифікат")</f>
        <v>Завантажити сертифікат</v>
      </c>
    </row>
    <row r="2335" spans="1:5" x14ac:dyDescent="0.3">
      <c r="A2335" s="2" t="s">
        <v>4775</v>
      </c>
      <c r="B2335" s="2" t="s">
        <v>5</v>
      </c>
      <c r="C2335" s="2" t="s">
        <v>4776</v>
      </c>
      <c r="D2335" s="2" t="s">
        <v>4766</v>
      </c>
      <c r="E2335" s="2" t="str">
        <f>HYPERLINK("https://talan.bank.gov.ua/get-user-certificate/sec1etIH_eSOWndhTTTh","Завантажити сертифікат")</f>
        <v>Завантажити сертифікат</v>
      </c>
    </row>
    <row r="2336" spans="1:5" x14ac:dyDescent="0.3">
      <c r="A2336" s="2" t="s">
        <v>4777</v>
      </c>
      <c r="B2336" s="2" t="s">
        <v>5</v>
      </c>
      <c r="C2336" s="2" t="s">
        <v>4778</v>
      </c>
      <c r="D2336" s="2" t="s">
        <v>4766</v>
      </c>
      <c r="E2336" s="2" t="str">
        <f>HYPERLINK("https://talan.bank.gov.ua/get-user-certificate/sec1eMdI1qRDDwAzBgjr","Завантажити сертифікат")</f>
        <v>Завантажити сертифікат</v>
      </c>
    </row>
    <row r="2337" spans="1:5" x14ac:dyDescent="0.3">
      <c r="A2337" s="2" t="s">
        <v>4779</v>
      </c>
      <c r="B2337" s="2" t="s">
        <v>5</v>
      </c>
      <c r="C2337" s="2" t="s">
        <v>4780</v>
      </c>
      <c r="D2337" s="2" t="s">
        <v>4766</v>
      </c>
      <c r="E2337" s="2" t="str">
        <f>HYPERLINK("https://talan.bank.gov.ua/get-user-certificate/sec1eE7WzPcvic4DVXm8","Завантажити сертифікат")</f>
        <v>Завантажити сертифікат</v>
      </c>
    </row>
    <row r="2338" spans="1:5" x14ac:dyDescent="0.3">
      <c r="A2338" s="2" t="s">
        <v>4781</v>
      </c>
      <c r="B2338" s="2" t="s">
        <v>5</v>
      </c>
      <c r="C2338" s="2" t="s">
        <v>4782</v>
      </c>
      <c r="D2338" s="2" t="s">
        <v>4766</v>
      </c>
      <c r="E2338" s="2" t="str">
        <f>HYPERLINK("https://talan.bank.gov.ua/get-user-certificate/sec1eKQJypYbhrn6_Pu2","Завантажити сертифікат")</f>
        <v>Завантажити сертифікат</v>
      </c>
    </row>
    <row r="2339" spans="1:5" x14ac:dyDescent="0.3">
      <c r="A2339" s="2" t="s">
        <v>4783</v>
      </c>
      <c r="B2339" s="2" t="s">
        <v>5</v>
      </c>
      <c r="C2339" s="2" t="s">
        <v>4784</v>
      </c>
      <c r="D2339" s="2" t="s">
        <v>4785</v>
      </c>
      <c r="E2339" s="2" t="str">
        <f>HYPERLINK("https://talan.bank.gov.ua/get-user-certificate/sec1eFzHuIg6Efg6nutp","Завантажити сертифікат")</f>
        <v>Завантажити сертифікат</v>
      </c>
    </row>
    <row r="2340" spans="1:5" x14ac:dyDescent="0.3">
      <c r="A2340" s="2" t="s">
        <v>4786</v>
      </c>
      <c r="B2340" s="2" t="s">
        <v>5</v>
      </c>
      <c r="C2340" s="2" t="s">
        <v>4787</v>
      </c>
      <c r="D2340" s="2" t="s">
        <v>4224</v>
      </c>
      <c r="E2340" s="2" t="str">
        <f>HYPERLINK("https://talan.bank.gov.ua/get-user-certificate/sec1eoN84Jr6PyWVttpX","Завантажити сертифікат")</f>
        <v>Завантажити сертифікат</v>
      </c>
    </row>
    <row r="2341" spans="1:5" x14ac:dyDescent="0.3">
      <c r="A2341" s="2" t="s">
        <v>4788</v>
      </c>
      <c r="B2341" s="2" t="s">
        <v>5</v>
      </c>
      <c r="C2341" s="2" t="s">
        <v>4789</v>
      </c>
      <c r="D2341" s="2" t="s">
        <v>4224</v>
      </c>
      <c r="E2341" s="2" t="str">
        <f>HYPERLINK("https://talan.bank.gov.ua/get-user-certificate/sec1eiQtNTNITmJDzrqu","Завантажити сертифікат")</f>
        <v>Завантажити сертифікат</v>
      </c>
    </row>
    <row r="2342" spans="1:5" x14ac:dyDescent="0.3">
      <c r="A2342" s="2" t="s">
        <v>4790</v>
      </c>
      <c r="B2342" s="2" t="s">
        <v>5</v>
      </c>
      <c r="C2342" s="2" t="s">
        <v>4791</v>
      </c>
      <c r="D2342" s="2" t="s">
        <v>4224</v>
      </c>
      <c r="E2342" s="2" t="str">
        <f>HYPERLINK("https://talan.bank.gov.ua/get-user-certificate/sec1e5b7JSF4bDWy5jdi","Завантажити сертифікат")</f>
        <v>Завантажити сертифікат</v>
      </c>
    </row>
    <row r="2343" spans="1:5" x14ac:dyDescent="0.3">
      <c r="A2343" s="2" t="s">
        <v>4792</v>
      </c>
      <c r="B2343" s="2" t="s">
        <v>5</v>
      </c>
      <c r="C2343" s="2" t="s">
        <v>4793</v>
      </c>
      <c r="D2343" s="2" t="s">
        <v>4224</v>
      </c>
      <c r="E2343" s="2" t="str">
        <f>HYPERLINK("https://talan.bank.gov.ua/get-user-certificate/sec1ezDzYA5Fs0vZzZmT","Завантажити сертифікат")</f>
        <v>Завантажити сертифікат</v>
      </c>
    </row>
    <row r="2344" spans="1:5" x14ac:dyDescent="0.3">
      <c r="A2344" s="2" t="s">
        <v>4794</v>
      </c>
      <c r="B2344" s="2" t="s">
        <v>5</v>
      </c>
      <c r="C2344" s="2" t="s">
        <v>4795</v>
      </c>
      <c r="D2344" s="2" t="s">
        <v>4224</v>
      </c>
      <c r="E2344" s="2" t="str">
        <f>HYPERLINK("https://talan.bank.gov.ua/get-user-certificate/sec1emxnx_AzT1mhPBys","Завантажити сертифікат")</f>
        <v>Завантажити сертифікат</v>
      </c>
    </row>
    <row r="2345" spans="1:5" x14ac:dyDescent="0.3">
      <c r="A2345" s="2" t="s">
        <v>4796</v>
      </c>
      <c r="B2345" s="2" t="s">
        <v>5</v>
      </c>
      <c r="C2345" s="2" t="s">
        <v>4797</v>
      </c>
      <c r="D2345" s="2" t="s">
        <v>4224</v>
      </c>
      <c r="E2345" s="2" t="str">
        <f>HYPERLINK("https://talan.bank.gov.ua/get-user-certificate/sec1eK7LnBPcv2JKAYyL","Завантажити сертифікат")</f>
        <v>Завантажити сертифікат</v>
      </c>
    </row>
    <row r="2346" spans="1:5" x14ac:dyDescent="0.3">
      <c r="A2346" s="2" t="s">
        <v>4798</v>
      </c>
      <c r="B2346" s="2" t="s">
        <v>5</v>
      </c>
      <c r="C2346" s="2" t="s">
        <v>4799</v>
      </c>
      <c r="D2346" s="2" t="s">
        <v>4224</v>
      </c>
      <c r="E2346" s="2" t="str">
        <f>HYPERLINK("https://talan.bank.gov.ua/get-user-certificate/sec1eIA6v8EDirqHT8aO","Завантажити сертифікат")</f>
        <v>Завантажити сертифікат</v>
      </c>
    </row>
    <row r="2347" spans="1:5" x14ac:dyDescent="0.3">
      <c r="A2347" s="2" t="s">
        <v>4800</v>
      </c>
      <c r="B2347" s="2" t="s">
        <v>5</v>
      </c>
      <c r="C2347" s="2" t="s">
        <v>4801</v>
      </c>
      <c r="D2347" s="2" t="s">
        <v>4224</v>
      </c>
      <c r="E2347" s="2" t="str">
        <f>HYPERLINK("https://talan.bank.gov.ua/get-user-certificate/sec1eXlIay-91pUm2uHt","Завантажити сертифікат")</f>
        <v>Завантажити сертифікат</v>
      </c>
    </row>
    <row r="2348" spans="1:5" x14ac:dyDescent="0.3">
      <c r="A2348" s="2" t="s">
        <v>4802</v>
      </c>
      <c r="B2348" s="2" t="s">
        <v>5</v>
      </c>
      <c r="C2348" s="2" t="s">
        <v>4803</v>
      </c>
      <c r="D2348" s="2" t="s">
        <v>4224</v>
      </c>
      <c r="E2348" s="2" t="str">
        <f>HYPERLINK("https://talan.bank.gov.ua/get-user-certificate/sec1eeUL53bOCW5QHy24","Завантажити сертифікат")</f>
        <v>Завантажити сертифікат</v>
      </c>
    </row>
    <row r="2349" spans="1:5" x14ac:dyDescent="0.3">
      <c r="A2349" s="2" t="s">
        <v>4804</v>
      </c>
      <c r="B2349" s="2" t="s">
        <v>5</v>
      </c>
      <c r="C2349" s="2" t="s">
        <v>4805</v>
      </c>
      <c r="D2349" s="2" t="s">
        <v>4224</v>
      </c>
      <c r="E2349" s="2" t="str">
        <f>HYPERLINK("https://talan.bank.gov.ua/get-user-certificate/sec1eqShMMuB1pHMH0p7","Завантажити сертифікат")</f>
        <v>Завантажити сертифікат</v>
      </c>
    </row>
    <row r="2350" spans="1:5" x14ac:dyDescent="0.3">
      <c r="A2350" s="2" t="s">
        <v>4806</v>
      </c>
      <c r="B2350" s="2" t="s">
        <v>5</v>
      </c>
      <c r="C2350" s="2" t="s">
        <v>4807</v>
      </c>
      <c r="D2350" s="2" t="s">
        <v>4224</v>
      </c>
      <c r="E2350" s="2" t="str">
        <f>HYPERLINK("https://talan.bank.gov.ua/get-user-certificate/sec1e2PKTbAwubDEtxkG","Завантажити сертифікат")</f>
        <v>Завантажити сертифікат</v>
      </c>
    </row>
    <row r="2351" spans="1:5" x14ac:dyDescent="0.3">
      <c r="A2351" s="2" t="s">
        <v>4808</v>
      </c>
      <c r="B2351" s="2" t="s">
        <v>5</v>
      </c>
      <c r="C2351" s="2" t="s">
        <v>4809</v>
      </c>
      <c r="D2351" s="2" t="s">
        <v>4224</v>
      </c>
      <c r="E2351" s="2" t="str">
        <f>HYPERLINK("https://talan.bank.gov.ua/get-user-certificate/sec1eqFnilrj8GPrOnlI","Завантажити сертифікат")</f>
        <v>Завантажити сертифікат</v>
      </c>
    </row>
    <row r="2352" spans="1:5" x14ac:dyDescent="0.3">
      <c r="A2352" s="2" t="s">
        <v>4810</v>
      </c>
      <c r="B2352" s="2" t="s">
        <v>5</v>
      </c>
      <c r="C2352" s="2" t="s">
        <v>4811</v>
      </c>
      <c r="D2352" s="2" t="s">
        <v>4224</v>
      </c>
      <c r="E2352" s="2" t="str">
        <f>HYPERLINK("https://talan.bank.gov.ua/get-user-certificate/sec1ehLGc7oJzwJn6VRO","Завантажити сертифікат")</f>
        <v>Завантажити сертифікат</v>
      </c>
    </row>
    <row r="2353" spans="1:5" x14ac:dyDescent="0.3">
      <c r="A2353" s="2" t="s">
        <v>4812</v>
      </c>
      <c r="B2353" s="2" t="s">
        <v>5</v>
      </c>
      <c r="C2353" s="2" t="s">
        <v>4813</v>
      </c>
      <c r="D2353" s="2" t="s">
        <v>4224</v>
      </c>
      <c r="E2353" s="2" t="str">
        <f>HYPERLINK("https://talan.bank.gov.ua/get-user-certificate/sec1ebJGq8rtsqDPcUbI","Завантажити сертифікат")</f>
        <v>Завантажити сертифікат</v>
      </c>
    </row>
    <row r="2354" spans="1:5" x14ac:dyDescent="0.3">
      <c r="A2354" s="2" t="s">
        <v>4814</v>
      </c>
      <c r="B2354" s="2" t="s">
        <v>5</v>
      </c>
      <c r="C2354" s="2" t="s">
        <v>4815</v>
      </c>
      <c r="D2354" s="2" t="s">
        <v>4224</v>
      </c>
      <c r="E2354" s="2" t="str">
        <f>HYPERLINK("https://talan.bank.gov.ua/get-user-certificate/sec1edG2xlc5BSQeyshl","Завантажити сертифікат")</f>
        <v>Завантажити сертифікат</v>
      </c>
    </row>
    <row r="2355" spans="1:5" x14ac:dyDescent="0.3">
      <c r="A2355" s="2" t="s">
        <v>4816</v>
      </c>
      <c r="B2355" s="2" t="s">
        <v>5</v>
      </c>
      <c r="C2355" s="2" t="s">
        <v>4817</v>
      </c>
      <c r="D2355" s="2" t="s">
        <v>4224</v>
      </c>
      <c r="E2355" s="2" t="str">
        <f>HYPERLINK("https://talan.bank.gov.ua/get-user-certificate/sec1egcwAZbMT7SzLitC","Завантажити сертифікат")</f>
        <v>Завантажити сертифікат</v>
      </c>
    </row>
    <row r="2356" spans="1:5" x14ac:dyDescent="0.3">
      <c r="A2356" s="2" t="s">
        <v>4818</v>
      </c>
      <c r="B2356" s="2" t="s">
        <v>5</v>
      </c>
      <c r="C2356" s="2" t="s">
        <v>4819</v>
      </c>
      <c r="D2356" s="2" t="s">
        <v>4224</v>
      </c>
      <c r="E2356" s="2" t="str">
        <f>HYPERLINK("https://talan.bank.gov.ua/get-user-certificate/sec1eab14eRBP_LM_4X-","Завантажити сертифікат")</f>
        <v>Завантажити сертифікат</v>
      </c>
    </row>
    <row r="2357" spans="1:5" x14ac:dyDescent="0.3">
      <c r="A2357" s="2" t="s">
        <v>4820</v>
      </c>
      <c r="B2357" s="2" t="s">
        <v>5</v>
      </c>
      <c r="C2357" s="2" t="s">
        <v>4821</v>
      </c>
      <c r="D2357" s="2" t="s">
        <v>4224</v>
      </c>
      <c r="E2357" s="2" t="str">
        <f>HYPERLINK("https://talan.bank.gov.ua/get-user-certificate/sec1eivQexrPVek7E9TL","Завантажити сертифікат")</f>
        <v>Завантажити сертифікат</v>
      </c>
    </row>
    <row r="2358" spans="1:5" x14ac:dyDescent="0.3">
      <c r="A2358" s="2" t="s">
        <v>4822</v>
      </c>
      <c r="B2358" s="2" t="s">
        <v>5</v>
      </c>
      <c r="C2358" s="2" t="s">
        <v>4823</v>
      </c>
      <c r="D2358" s="2" t="s">
        <v>4224</v>
      </c>
      <c r="E2358" s="2" t="str">
        <f>HYPERLINK("https://talan.bank.gov.ua/get-user-certificate/sec1euojdnJLj42Z9Clc","Завантажити сертифікат")</f>
        <v>Завантажити сертифікат</v>
      </c>
    </row>
    <row r="2359" spans="1:5" x14ac:dyDescent="0.3">
      <c r="A2359" s="2" t="s">
        <v>4824</v>
      </c>
      <c r="B2359" s="2" t="s">
        <v>5</v>
      </c>
      <c r="C2359" s="2" t="s">
        <v>4825</v>
      </c>
      <c r="D2359" s="2" t="s">
        <v>4224</v>
      </c>
      <c r="E2359" s="2" t="str">
        <f>HYPERLINK("https://talan.bank.gov.ua/get-user-certificate/sec1e13YkV8WlAacmcVA","Завантажити сертифікат")</f>
        <v>Завантажити сертифікат</v>
      </c>
    </row>
    <row r="2360" spans="1:5" x14ac:dyDescent="0.3">
      <c r="A2360" s="2" t="s">
        <v>4826</v>
      </c>
      <c r="B2360" s="2" t="s">
        <v>5</v>
      </c>
      <c r="C2360" s="2" t="s">
        <v>4827</v>
      </c>
      <c r="D2360" s="2" t="s">
        <v>4224</v>
      </c>
      <c r="E2360" s="2" t="str">
        <f>HYPERLINK("https://talan.bank.gov.ua/get-user-certificate/sec1eJoDJUDP9By3WEGG","Завантажити сертифікат")</f>
        <v>Завантажити сертифікат</v>
      </c>
    </row>
    <row r="2361" spans="1:5" x14ac:dyDescent="0.3">
      <c r="A2361" s="2" t="s">
        <v>4828</v>
      </c>
      <c r="B2361" s="2" t="s">
        <v>5</v>
      </c>
      <c r="C2361" s="2" t="s">
        <v>4829</v>
      </c>
      <c r="D2361" s="2" t="s">
        <v>4224</v>
      </c>
      <c r="E2361" s="2" t="str">
        <f>HYPERLINK("https://talan.bank.gov.ua/get-user-certificate/sec1eJjd4fVfLyK3XSOf","Завантажити сертифікат")</f>
        <v>Завантажити сертифікат</v>
      </c>
    </row>
    <row r="2362" spans="1:5" x14ac:dyDescent="0.3">
      <c r="A2362" s="2" t="s">
        <v>4830</v>
      </c>
      <c r="B2362" s="2" t="s">
        <v>5</v>
      </c>
      <c r="C2362" s="2" t="s">
        <v>4831</v>
      </c>
      <c r="D2362" s="2" t="s">
        <v>4832</v>
      </c>
      <c r="E2362" s="2" t="str">
        <f>HYPERLINK("https://talan.bank.gov.ua/get-user-certificate/sec1e8tlinB_gft3yAKe","Завантажити сертифікат")</f>
        <v>Завантажити сертифікат</v>
      </c>
    </row>
    <row r="2363" spans="1:5" x14ac:dyDescent="0.3">
      <c r="A2363" s="2" t="s">
        <v>4833</v>
      </c>
      <c r="B2363" s="2" t="s">
        <v>5</v>
      </c>
      <c r="C2363" s="2" t="s">
        <v>4834</v>
      </c>
      <c r="D2363" s="2" t="s">
        <v>4832</v>
      </c>
      <c r="E2363" s="2" t="str">
        <f>HYPERLINK("https://talan.bank.gov.ua/get-user-certificate/sec1eVITJhXCxY-8QrDO","Завантажити сертифікат")</f>
        <v>Завантажити сертифікат</v>
      </c>
    </row>
    <row r="2364" spans="1:5" x14ac:dyDescent="0.3">
      <c r="A2364" s="2" t="s">
        <v>4835</v>
      </c>
      <c r="B2364" s="2" t="s">
        <v>5</v>
      </c>
      <c r="C2364" s="2" t="s">
        <v>4836</v>
      </c>
      <c r="D2364" s="2" t="s">
        <v>4832</v>
      </c>
      <c r="E2364" s="2" t="str">
        <f>HYPERLINK("https://talan.bank.gov.ua/get-user-certificate/sec1eI9JAmR0jY2IR1lT","Завантажити сертифікат")</f>
        <v>Завантажити сертифікат</v>
      </c>
    </row>
    <row r="2365" spans="1:5" x14ac:dyDescent="0.3">
      <c r="A2365" s="2" t="s">
        <v>4837</v>
      </c>
      <c r="B2365" s="2" t="s">
        <v>5</v>
      </c>
      <c r="C2365" s="2" t="s">
        <v>4838</v>
      </c>
      <c r="D2365" s="2" t="s">
        <v>4832</v>
      </c>
      <c r="E2365" s="2" t="str">
        <f>HYPERLINK("https://talan.bank.gov.ua/get-user-certificate/sec1e_64SOWwvZHcGlBO","Завантажити сертифікат")</f>
        <v>Завантажити сертифікат</v>
      </c>
    </row>
    <row r="2366" spans="1:5" x14ac:dyDescent="0.3">
      <c r="A2366" s="2" t="s">
        <v>4839</v>
      </c>
      <c r="B2366" s="2" t="s">
        <v>5</v>
      </c>
      <c r="C2366" s="2" t="s">
        <v>4840</v>
      </c>
      <c r="D2366" s="2" t="s">
        <v>4832</v>
      </c>
      <c r="E2366" s="2" t="str">
        <f>HYPERLINK("https://talan.bank.gov.ua/get-user-certificate/sec1e-fJEXJK-fnxIIsd","Завантажити сертифікат")</f>
        <v>Завантажити сертифікат</v>
      </c>
    </row>
    <row r="2367" spans="1:5" x14ac:dyDescent="0.3">
      <c r="A2367" s="2" t="s">
        <v>4841</v>
      </c>
      <c r="B2367" s="2" t="s">
        <v>5</v>
      </c>
      <c r="C2367" s="2" t="s">
        <v>4842</v>
      </c>
      <c r="D2367" s="2" t="s">
        <v>4832</v>
      </c>
      <c r="E2367" s="2" t="str">
        <f>HYPERLINK("https://talan.bank.gov.ua/get-user-certificate/sec1eLzz2u_MksVEVOAg","Завантажити сертифікат")</f>
        <v>Завантажити сертифікат</v>
      </c>
    </row>
    <row r="2368" spans="1:5" x14ac:dyDescent="0.3">
      <c r="A2368" s="2" t="s">
        <v>4843</v>
      </c>
      <c r="B2368" s="2" t="s">
        <v>5</v>
      </c>
      <c r="C2368" s="2" t="s">
        <v>4844</v>
      </c>
      <c r="D2368" s="2" t="s">
        <v>4832</v>
      </c>
      <c r="E2368" s="2" t="str">
        <f>HYPERLINK("https://talan.bank.gov.ua/get-user-certificate/sec1eL7y1fPRZcTYkMep","Завантажити сертифікат")</f>
        <v>Завантажити сертифікат</v>
      </c>
    </row>
    <row r="2369" spans="1:5" x14ac:dyDescent="0.3">
      <c r="A2369" s="2" t="s">
        <v>4845</v>
      </c>
      <c r="B2369" s="2" t="s">
        <v>5</v>
      </c>
      <c r="C2369" s="2" t="s">
        <v>4846</v>
      </c>
      <c r="D2369" s="2" t="s">
        <v>4832</v>
      </c>
      <c r="E2369" s="2" t="str">
        <f>HYPERLINK("https://talan.bank.gov.ua/get-user-certificate/sec1etvE6SArYwQE73Q4","Завантажити сертифікат")</f>
        <v>Завантажити сертифікат</v>
      </c>
    </row>
    <row r="2370" spans="1:5" x14ac:dyDescent="0.3">
      <c r="A2370" s="2" t="s">
        <v>4847</v>
      </c>
      <c r="B2370" s="2" t="s">
        <v>5</v>
      </c>
      <c r="C2370" s="2" t="s">
        <v>4848</v>
      </c>
      <c r="D2370" s="2" t="s">
        <v>4832</v>
      </c>
      <c r="E2370" s="2" t="str">
        <f>HYPERLINK("https://talan.bank.gov.ua/get-user-certificate/sec1eRuW8KkmWpvwoayQ","Завантажити сертифікат")</f>
        <v>Завантажити сертифікат</v>
      </c>
    </row>
    <row r="2371" spans="1:5" x14ac:dyDescent="0.3">
      <c r="A2371" s="2" t="s">
        <v>4849</v>
      </c>
      <c r="B2371" s="2" t="s">
        <v>5</v>
      </c>
      <c r="C2371" s="2" t="s">
        <v>4850</v>
      </c>
      <c r="D2371" s="2" t="s">
        <v>4832</v>
      </c>
      <c r="E2371" s="2" t="str">
        <f>HYPERLINK("https://talan.bank.gov.ua/get-user-certificate/sec1eAIWqPvE4FRU-wGj","Завантажити сертифікат")</f>
        <v>Завантажити сертифікат</v>
      </c>
    </row>
    <row r="2372" spans="1:5" x14ac:dyDescent="0.3">
      <c r="A2372" s="2" t="s">
        <v>4851</v>
      </c>
      <c r="B2372" s="2" t="s">
        <v>5</v>
      </c>
      <c r="C2372" s="2" t="s">
        <v>4852</v>
      </c>
      <c r="D2372" s="2" t="s">
        <v>4832</v>
      </c>
      <c r="E2372" s="2" t="str">
        <f>HYPERLINK("https://talan.bank.gov.ua/get-user-certificate/sec1ecXo6ru1bhO4Dfd5","Завантажити сертифікат")</f>
        <v>Завантажити сертифікат</v>
      </c>
    </row>
    <row r="2373" spans="1:5" x14ac:dyDescent="0.3">
      <c r="A2373" s="2" t="s">
        <v>4853</v>
      </c>
      <c r="B2373" s="2" t="s">
        <v>5</v>
      </c>
      <c r="C2373" s="2" t="s">
        <v>4854</v>
      </c>
      <c r="D2373" s="2" t="s">
        <v>4832</v>
      </c>
      <c r="E2373" s="2" t="str">
        <f>HYPERLINK("https://talan.bank.gov.ua/get-user-certificate/sec1emCL8767nvuc0sJX","Завантажити сертифікат")</f>
        <v>Завантажити сертифікат</v>
      </c>
    </row>
    <row r="2374" spans="1:5" x14ac:dyDescent="0.3">
      <c r="A2374" s="2" t="s">
        <v>4855</v>
      </c>
      <c r="B2374" s="2" t="s">
        <v>5</v>
      </c>
      <c r="C2374" s="2" t="s">
        <v>4856</v>
      </c>
      <c r="D2374" s="2" t="s">
        <v>4832</v>
      </c>
      <c r="E2374" s="2" t="str">
        <f>HYPERLINK("https://talan.bank.gov.ua/get-user-certificate/sec1eYqy8OuGkecAjuUq","Завантажити сертифікат")</f>
        <v>Завантажити сертифікат</v>
      </c>
    </row>
    <row r="2375" spans="1:5" x14ac:dyDescent="0.3">
      <c r="A2375" s="2" t="s">
        <v>4857</v>
      </c>
      <c r="B2375" s="2" t="s">
        <v>5</v>
      </c>
      <c r="C2375" s="2" t="s">
        <v>4858</v>
      </c>
      <c r="D2375" s="2" t="s">
        <v>4832</v>
      </c>
      <c r="E2375" s="2" t="str">
        <f>HYPERLINK("https://talan.bank.gov.ua/get-user-certificate/sec1egZBcrLIUwF44RtG","Завантажити сертифікат")</f>
        <v>Завантажити сертифікат</v>
      </c>
    </row>
    <row r="2376" spans="1:5" x14ac:dyDescent="0.3">
      <c r="A2376" s="2" t="s">
        <v>4859</v>
      </c>
      <c r="B2376" s="2" t="s">
        <v>5</v>
      </c>
      <c r="C2376" s="2" t="s">
        <v>4860</v>
      </c>
      <c r="D2376" s="2" t="s">
        <v>4832</v>
      </c>
      <c r="E2376" s="2" t="str">
        <f>HYPERLINK("https://talan.bank.gov.ua/get-user-certificate/sec1epyKeNTL5Qjx5q4V","Завантажити сертифікат")</f>
        <v>Завантажити сертифікат</v>
      </c>
    </row>
    <row r="2377" spans="1:5" x14ac:dyDescent="0.3">
      <c r="A2377" s="2" t="s">
        <v>4861</v>
      </c>
      <c r="B2377" s="2" t="s">
        <v>5</v>
      </c>
      <c r="C2377" s="2" t="s">
        <v>4862</v>
      </c>
      <c r="D2377" s="2" t="s">
        <v>4832</v>
      </c>
      <c r="E2377" s="2" t="str">
        <f>HYPERLINK("https://talan.bank.gov.ua/get-user-certificate/sec1etvBskLaJIGHoY80","Завантажити сертифікат")</f>
        <v>Завантажити сертифікат</v>
      </c>
    </row>
    <row r="2378" spans="1:5" x14ac:dyDescent="0.3">
      <c r="A2378" s="2" t="s">
        <v>4863</v>
      </c>
      <c r="B2378" s="2" t="s">
        <v>5</v>
      </c>
      <c r="C2378" s="2" t="s">
        <v>4864</v>
      </c>
      <c r="D2378" s="2" t="s">
        <v>4832</v>
      </c>
      <c r="E2378" s="2" t="str">
        <f>HYPERLINK("https://talan.bank.gov.ua/get-user-certificate/sec1eWE-yhHnI59hdRd7","Завантажити сертифікат")</f>
        <v>Завантажити сертифікат</v>
      </c>
    </row>
    <row r="2379" spans="1:5" x14ac:dyDescent="0.3">
      <c r="A2379" s="2" t="s">
        <v>4865</v>
      </c>
      <c r="B2379" s="2" t="s">
        <v>5</v>
      </c>
      <c r="C2379" s="2" t="s">
        <v>4866</v>
      </c>
      <c r="D2379" s="2" t="s">
        <v>4867</v>
      </c>
      <c r="E2379" s="2" t="str">
        <f>HYPERLINK("https://talan.bank.gov.ua/get-user-certificate/sec1efK5ISwnX-jFaU_a","Завантажити сертифікат")</f>
        <v>Завантажити сертифікат</v>
      </c>
    </row>
    <row r="2380" spans="1:5" x14ac:dyDescent="0.3">
      <c r="A2380" s="2" t="s">
        <v>4868</v>
      </c>
      <c r="B2380" s="2" t="s">
        <v>5</v>
      </c>
      <c r="C2380" s="2" t="s">
        <v>4869</v>
      </c>
      <c r="D2380" s="2" t="s">
        <v>4867</v>
      </c>
      <c r="E2380" s="2" t="str">
        <f>HYPERLINK("https://talan.bank.gov.ua/get-user-certificate/sec1eVgK70yNPF7qYaxX","Завантажити сертифікат")</f>
        <v>Завантажити сертифікат</v>
      </c>
    </row>
    <row r="2381" spans="1:5" x14ac:dyDescent="0.3">
      <c r="A2381" s="2" t="s">
        <v>4870</v>
      </c>
      <c r="B2381" s="2" t="s">
        <v>5</v>
      </c>
      <c r="C2381" s="2" t="s">
        <v>4871</v>
      </c>
      <c r="D2381" s="2" t="s">
        <v>4867</v>
      </c>
      <c r="E2381" s="2" t="str">
        <f>HYPERLINK("https://talan.bank.gov.ua/get-user-certificate/sec1eH55rLYFqNk_qHsO","Завантажити сертифікат")</f>
        <v>Завантажити сертифікат</v>
      </c>
    </row>
    <row r="2382" spans="1:5" x14ac:dyDescent="0.3">
      <c r="A2382" s="2" t="s">
        <v>4872</v>
      </c>
      <c r="B2382" s="2" t="s">
        <v>5</v>
      </c>
      <c r="C2382" s="2" t="s">
        <v>4873</v>
      </c>
      <c r="D2382" s="2" t="s">
        <v>4867</v>
      </c>
      <c r="E2382" s="2" t="str">
        <f>HYPERLINK("https://talan.bank.gov.ua/get-user-certificate/sec1esYd8SVYALgpTiFP","Завантажити сертифікат")</f>
        <v>Завантажити сертифікат</v>
      </c>
    </row>
    <row r="2383" spans="1:5" x14ac:dyDescent="0.3">
      <c r="A2383" s="2" t="s">
        <v>4874</v>
      </c>
      <c r="B2383" s="2" t="s">
        <v>5</v>
      </c>
      <c r="C2383" s="2" t="s">
        <v>4875</v>
      </c>
      <c r="D2383" s="2" t="s">
        <v>4867</v>
      </c>
      <c r="E2383" s="2" t="str">
        <f>HYPERLINK("https://talan.bank.gov.ua/get-user-certificate/sec1ejSuF5Tgmr_R04lM","Завантажити сертифікат")</f>
        <v>Завантажити сертифікат</v>
      </c>
    </row>
    <row r="2384" spans="1:5" x14ac:dyDescent="0.3">
      <c r="A2384" s="2" t="s">
        <v>4876</v>
      </c>
      <c r="B2384" s="2" t="s">
        <v>5</v>
      </c>
      <c r="C2384" s="2" t="s">
        <v>4877</v>
      </c>
      <c r="D2384" s="2" t="s">
        <v>4867</v>
      </c>
      <c r="E2384" s="2" t="str">
        <f>HYPERLINK("https://talan.bank.gov.ua/get-user-certificate/sec1er1H0xfCiHjYa6d5","Завантажити сертифікат")</f>
        <v>Завантажити сертифікат</v>
      </c>
    </row>
    <row r="2385" spans="1:5" x14ac:dyDescent="0.3">
      <c r="A2385" s="2" t="s">
        <v>4878</v>
      </c>
      <c r="B2385" s="2" t="s">
        <v>5</v>
      </c>
      <c r="C2385" s="2" t="s">
        <v>4879</v>
      </c>
      <c r="D2385" s="2" t="s">
        <v>4867</v>
      </c>
      <c r="E2385" s="2" t="str">
        <f>HYPERLINK("https://talan.bank.gov.ua/get-user-certificate/sec1eP13BMPhVdxhPg1O","Завантажити сертифікат")</f>
        <v>Завантажити сертифікат</v>
      </c>
    </row>
    <row r="2386" spans="1:5" x14ac:dyDescent="0.3">
      <c r="A2386" s="2" t="s">
        <v>4880</v>
      </c>
      <c r="B2386" s="2" t="s">
        <v>5</v>
      </c>
      <c r="C2386" s="2" t="s">
        <v>4881</v>
      </c>
      <c r="D2386" s="2" t="s">
        <v>4867</v>
      </c>
      <c r="E2386" s="2" t="str">
        <f>HYPERLINK("https://talan.bank.gov.ua/get-user-certificate/sec1e5zJZo_IwmbPtlyE","Завантажити сертифікат")</f>
        <v>Завантажити сертифікат</v>
      </c>
    </row>
    <row r="2387" spans="1:5" x14ac:dyDescent="0.3">
      <c r="A2387" s="2" t="s">
        <v>4882</v>
      </c>
      <c r="B2387" s="2" t="s">
        <v>5</v>
      </c>
      <c r="C2387" s="2" t="s">
        <v>4883</v>
      </c>
      <c r="D2387" s="2" t="s">
        <v>4867</v>
      </c>
      <c r="E2387" s="2" t="str">
        <f>HYPERLINK("https://talan.bank.gov.ua/get-user-certificate/sec1eFgbdx2tKg5WX7BT","Завантажити сертифікат")</f>
        <v>Завантажити сертифікат</v>
      </c>
    </row>
    <row r="2388" spans="1:5" x14ac:dyDescent="0.3">
      <c r="A2388" s="2" t="s">
        <v>4884</v>
      </c>
      <c r="B2388" s="2" t="s">
        <v>5</v>
      </c>
      <c r="C2388" s="2" t="s">
        <v>4885</v>
      </c>
      <c r="D2388" s="2" t="s">
        <v>4867</v>
      </c>
      <c r="E2388" s="2" t="str">
        <f>HYPERLINK("https://talan.bank.gov.ua/get-user-certificate/sec1euSOdy0EXuEoDu0h","Завантажити сертифікат")</f>
        <v>Завантажити сертифікат</v>
      </c>
    </row>
    <row r="2389" spans="1:5" x14ac:dyDescent="0.3">
      <c r="A2389" s="2" t="s">
        <v>4886</v>
      </c>
      <c r="B2389" s="2" t="s">
        <v>5</v>
      </c>
      <c r="C2389" s="2" t="s">
        <v>4887</v>
      </c>
      <c r="D2389" s="2" t="s">
        <v>4867</v>
      </c>
      <c r="E2389" s="2" t="str">
        <f>HYPERLINK("https://talan.bank.gov.ua/get-user-certificate/sec1ea1fvqKxtkAXGa24","Завантажити сертифікат")</f>
        <v>Завантажити сертифікат</v>
      </c>
    </row>
    <row r="2390" spans="1:5" x14ac:dyDescent="0.3">
      <c r="A2390" s="2" t="s">
        <v>4888</v>
      </c>
      <c r="B2390" s="2" t="s">
        <v>5</v>
      </c>
      <c r="C2390" s="2" t="s">
        <v>4889</v>
      </c>
      <c r="D2390" s="2" t="s">
        <v>4867</v>
      </c>
      <c r="E2390" s="2" t="str">
        <f>HYPERLINK("https://talan.bank.gov.ua/get-user-certificate/sec1euV29LBbHJNNMi2s","Завантажити сертифікат")</f>
        <v>Завантажити сертифікат</v>
      </c>
    </row>
    <row r="2391" spans="1:5" x14ac:dyDescent="0.3">
      <c r="A2391" s="2" t="s">
        <v>4890</v>
      </c>
      <c r="B2391" s="2" t="s">
        <v>5</v>
      </c>
      <c r="C2391" s="2" t="s">
        <v>4891</v>
      </c>
      <c r="D2391" s="2" t="s">
        <v>4867</v>
      </c>
      <c r="E2391" s="2" t="str">
        <f>HYPERLINK("https://talan.bank.gov.ua/get-user-certificate/sec1e96uf9yh2cigC97I","Завантажити сертифікат")</f>
        <v>Завантажити сертифікат</v>
      </c>
    </row>
    <row r="2392" spans="1:5" x14ac:dyDescent="0.3">
      <c r="A2392" s="2" t="s">
        <v>4892</v>
      </c>
      <c r="B2392" s="2" t="s">
        <v>5</v>
      </c>
      <c r="C2392" s="2" t="s">
        <v>4893</v>
      </c>
      <c r="D2392" s="2" t="s">
        <v>4867</v>
      </c>
      <c r="E2392" s="2" t="str">
        <f>HYPERLINK("https://talan.bank.gov.ua/get-user-certificate/sec1eCitxL6EIPHPJZC_","Завантажити сертифікат")</f>
        <v>Завантажити сертифікат</v>
      </c>
    </row>
    <row r="2393" spans="1:5" x14ac:dyDescent="0.3">
      <c r="A2393" s="2" t="s">
        <v>4894</v>
      </c>
      <c r="B2393" s="2" t="s">
        <v>5</v>
      </c>
      <c r="C2393" s="2" t="s">
        <v>4895</v>
      </c>
      <c r="D2393" s="2" t="s">
        <v>4867</v>
      </c>
      <c r="E2393" s="2" t="str">
        <f>HYPERLINK("https://talan.bank.gov.ua/get-user-certificate/sec1etNgrK6mtT91Ld-4","Завантажити сертифікат")</f>
        <v>Завантажити сертифікат</v>
      </c>
    </row>
    <row r="2394" spans="1:5" x14ac:dyDescent="0.3">
      <c r="A2394" s="2" t="s">
        <v>4896</v>
      </c>
      <c r="B2394" s="2" t="s">
        <v>5</v>
      </c>
      <c r="C2394" s="2" t="s">
        <v>4897</v>
      </c>
      <c r="D2394" s="2" t="s">
        <v>4867</v>
      </c>
      <c r="E2394" s="2" t="str">
        <f>HYPERLINK("https://talan.bank.gov.ua/get-user-certificate/sec1eQsaw7xFbshjGv0e","Завантажити сертифікат")</f>
        <v>Завантажити сертифікат</v>
      </c>
    </row>
    <row r="2395" spans="1:5" x14ac:dyDescent="0.3">
      <c r="A2395" s="2" t="s">
        <v>4898</v>
      </c>
      <c r="B2395" s="2" t="s">
        <v>5</v>
      </c>
      <c r="C2395" s="2" t="s">
        <v>4899</v>
      </c>
      <c r="D2395" s="2" t="s">
        <v>4867</v>
      </c>
      <c r="E2395" s="2" t="str">
        <f>HYPERLINK("https://talan.bank.gov.ua/get-user-certificate/sec1ebBRmxGhlXl4z_YH","Завантажити сертифікат")</f>
        <v>Завантажити сертифікат</v>
      </c>
    </row>
    <row r="2396" spans="1:5" x14ac:dyDescent="0.3">
      <c r="A2396" s="2" t="s">
        <v>4900</v>
      </c>
      <c r="B2396" s="2" t="s">
        <v>5</v>
      </c>
      <c r="C2396" s="2" t="s">
        <v>4901</v>
      </c>
      <c r="D2396" s="2" t="s">
        <v>4902</v>
      </c>
      <c r="E2396" s="2" t="str">
        <f>HYPERLINK("https://talan.bank.gov.ua/get-user-certificate/sec1e_7ZJH62XJhra8Ar","Завантажити сертифікат")</f>
        <v>Завантажити сертифікат</v>
      </c>
    </row>
    <row r="2397" spans="1:5" x14ac:dyDescent="0.3">
      <c r="A2397" s="2" t="s">
        <v>4903</v>
      </c>
      <c r="B2397" s="2" t="s">
        <v>5</v>
      </c>
      <c r="C2397" s="2" t="s">
        <v>4904</v>
      </c>
      <c r="D2397" s="2" t="s">
        <v>4902</v>
      </c>
      <c r="E2397" s="2" t="str">
        <f>HYPERLINK("https://talan.bank.gov.ua/get-user-certificate/sec1ettEOZKlGkup01NI","Завантажити сертифікат")</f>
        <v>Завантажити сертифікат</v>
      </c>
    </row>
    <row r="2398" spans="1:5" x14ac:dyDescent="0.3">
      <c r="A2398" s="2" t="s">
        <v>4905</v>
      </c>
      <c r="B2398" s="2" t="s">
        <v>5</v>
      </c>
      <c r="C2398" s="2" t="s">
        <v>4906</v>
      </c>
      <c r="D2398" s="2" t="s">
        <v>4902</v>
      </c>
      <c r="E2398" s="2" t="str">
        <f>HYPERLINK("https://talan.bank.gov.ua/get-user-certificate/sec1egYA9yzFTPDv5bIT","Завантажити сертифікат")</f>
        <v>Завантажити сертифікат</v>
      </c>
    </row>
    <row r="2399" spans="1:5" x14ac:dyDescent="0.3">
      <c r="A2399" s="2" t="s">
        <v>4907</v>
      </c>
      <c r="B2399" s="2" t="s">
        <v>5</v>
      </c>
      <c r="C2399" s="2" t="s">
        <v>4908</v>
      </c>
      <c r="D2399" s="2" t="s">
        <v>4902</v>
      </c>
      <c r="E2399" s="2" t="str">
        <f>HYPERLINK("https://talan.bank.gov.ua/get-user-certificate/sec1ep8vYxMpXTzMfPjY","Завантажити сертифікат")</f>
        <v>Завантажити сертифікат</v>
      </c>
    </row>
    <row r="2400" spans="1:5" x14ac:dyDescent="0.3">
      <c r="A2400" s="2" t="s">
        <v>4909</v>
      </c>
      <c r="B2400" s="2" t="s">
        <v>5</v>
      </c>
      <c r="C2400" s="2" t="s">
        <v>4910</v>
      </c>
      <c r="D2400" s="2" t="s">
        <v>4902</v>
      </c>
      <c r="E2400" s="2" t="str">
        <f>HYPERLINK("https://talan.bank.gov.ua/get-user-certificate/sec1ecS64dySujc4yWLI","Завантажити сертифікат")</f>
        <v>Завантажити сертифікат</v>
      </c>
    </row>
    <row r="2401" spans="1:5" x14ac:dyDescent="0.3">
      <c r="A2401" s="2" t="s">
        <v>4911</v>
      </c>
      <c r="B2401" s="2" t="s">
        <v>5</v>
      </c>
      <c r="C2401" s="2" t="s">
        <v>4912</v>
      </c>
      <c r="D2401" s="2" t="s">
        <v>4902</v>
      </c>
      <c r="E2401" s="2" t="str">
        <f>HYPERLINK("https://talan.bank.gov.ua/get-user-certificate/sec1egN4iT7rlgrvBAiV","Завантажити сертифікат")</f>
        <v>Завантажити сертифікат</v>
      </c>
    </row>
    <row r="2402" spans="1:5" x14ac:dyDescent="0.3">
      <c r="A2402" s="2" t="s">
        <v>4913</v>
      </c>
      <c r="B2402" s="2" t="s">
        <v>5</v>
      </c>
      <c r="C2402" s="2" t="s">
        <v>4914</v>
      </c>
      <c r="D2402" s="2" t="s">
        <v>4902</v>
      </c>
      <c r="E2402" s="2" t="str">
        <f>HYPERLINK("https://talan.bank.gov.ua/get-user-certificate/sec1eOCmgxi3v982-JWl","Завантажити сертифікат")</f>
        <v>Завантажити сертифікат</v>
      </c>
    </row>
    <row r="2403" spans="1:5" x14ac:dyDescent="0.3">
      <c r="A2403" s="2" t="s">
        <v>4915</v>
      </c>
      <c r="B2403" s="2" t="s">
        <v>5</v>
      </c>
      <c r="C2403" s="2" t="s">
        <v>4916</v>
      </c>
      <c r="D2403" s="2" t="s">
        <v>4902</v>
      </c>
      <c r="E2403" s="2" t="str">
        <f>HYPERLINK("https://talan.bank.gov.ua/get-user-certificate/sec1eB_BTvog3kQRY7Fl","Завантажити сертифікат")</f>
        <v>Завантажити сертифікат</v>
      </c>
    </row>
    <row r="2404" spans="1:5" x14ac:dyDescent="0.3">
      <c r="A2404" s="2" t="s">
        <v>4917</v>
      </c>
      <c r="B2404" s="2" t="s">
        <v>5</v>
      </c>
      <c r="C2404" s="2" t="s">
        <v>4918</v>
      </c>
      <c r="D2404" s="2" t="s">
        <v>4902</v>
      </c>
      <c r="E2404" s="2" t="str">
        <f>HYPERLINK("https://talan.bank.gov.ua/get-user-certificate/sec1eO0NIFcEjk2-0oxN","Завантажити сертифікат")</f>
        <v>Завантажити сертифікат</v>
      </c>
    </row>
    <row r="2405" spans="1:5" x14ac:dyDescent="0.3">
      <c r="A2405" s="2" t="s">
        <v>4919</v>
      </c>
      <c r="B2405" s="2" t="s">
        <v>5</v>
      </c>
      <c r="C2405" s="2" t="s">
        <v>4920</v>
      </c>
      <c r="D2405" s="2" t="s">
        <v>4902</v>
      </c>
      <c r="E2405" s="2" t="str">
        <f>HYPERLINK("https://talan.bank.gov.ua/get-user-certificate/sec1eest6BC_Qo0rJACk","Завантажити сертифікат")</f>
        <v>Завантажити сертифікат</v>
      </c>
    </row>
    <row r="2406" spans="1:5" x14ac:dyDescent="0.3">
      <c r="A2406" s="2" t="s">
        <v>4921</v>
      </c>
      <c r="B2406" s="2" t="s">
        <v>5</v>
      </c>
      <c r="C2406" s="2" t="s">
        <v>4922</v>
      </c>
      <c r="D2406" s="2" t="s">
        <v>4902</v>
      </c>
      <c r="E2406" s="2" t="str">
        <f>HYPERLINK("https://talan.bank.gov.ua/get-user-certificate/sec1e3zrWYDSKuFcSXVg","Завантажити сертифікат")</f>
        <v>Завантажити сертифікат</v>
      </c>
    </row>
    <row r="2407" spans="1:5" x14ac:dyDescent="0.3">
      <c r="A2407" s="2" t="s">
        <v>4923</v>
      </c>
      <c r="B2407" s="2" t="s">
        <v>5</v>
      </c>
      <c r="C2407" s="2" t="s">
        <v>4924</v>
      </c>
      <c r="D2407" s="2" t="s">
        <v>4902</v>
      </c>
      <c r="E2407" s="2" t="str">
        <f>HYPERLINK("https://talan.bank.gov.ua/get-user-certificate/sec1e0GlAL74meGtvodN","Завантажити сертифікат")</f>
        <v>Завантажити сертифікат</v>
      </c>
    </row>
    <row r="2408" spans="1:5" x14ac:dyDescent="0.3">
      <c r="A2408" s="2" t="s">
        <v>4925</v>
      </c>
      <c r="B2408" s="2" t="s">
        <v>5</v>
      </c>
      <c r="C2408" s="2" t="s">
        <v>4926</v>
      </c>
      <c r="D2408" s="2" t="s">
        <v>4927</v>
      </c>
      <c r="E2408" s="2" t="str">
        <f>HYPERLINK("https://talan.bank.gov.ua/get-user-certificate/sec1ec-pM4WlsI4EXomv","Завантажити сертифікат")</f>
        <v>Завантажити сертифікат</v>
      </c>
    </row>
    <row r="2409" spans="1:5" x14ac:dyDescent="0.3">
      <c r="A2409" s="2" t="s">
        <v>4928</v>
      </c>
      <c r="B2409" s="2" t="s">
        <v>5</v>
      </c>
      <c r="C2409" s="2" t="s">
        <v>4929</v>
      </c>
      <c r="D2409" s="2" t="s">
        <v>4927</v>
      </c>
      <c r="E2409" s="2" t="str">
        <f>HYPERLINK("https://talan.bank.gov.ua/get-user-certificate/sec1eZvNI1rdpcZ4R6s3","Завантажити сертифікат")</f>
        <v>Завантажити сертифікат</v>
      </c>
    </row>
    <row r="2410" spans="1:5" x14ac:dyDescent="0.3">
      <c r="A2410" s="2" t="s">
        <v>4930</v>
      </c>
      <c r="B2410" s="2" t="s">
        <v>5</v>
      </c>
      <c r="C2410" s="2" t="s">
        <v>4931</v>
      </c>
      <c r="D2410" s="2" t="s">
        <v>4927</v>
      </c>
      <c r="E2410" s="2" t="str">
        <f>HYPERLINK("https://talan.bank.gov.ua/get-user-certificate/sec1edj74pQGseyiKvd5","Завантажити сертифікат")</f>
        <v>Завантажити сертифікат</v>
      </c>
    </row>
    <row r="2411" spans="1:5" x14ac:dyDescent="0.3">
      <c r="A2411" s="2" t="s">
        <v>4932</v>
      </c>
      <c r="B2411" s="2" t="s">
        <v>5</v>
      </c>
      <c r="C2411" s="2" t="s">
        <v>4933</v>
      </c>
      <c r="D2411" s="2" t="s">
        <v>4927</v>
      </c>
      <c r="E2411" s="2" t="str">
        <f>HYPERLINK("https://talan.bank.gov.ua/get-user-certificate/sec1ewY8lqzlmFYDwBSl","Завантажити сертифікат")</f>
        <v>Завантажити сертифікат</v>
      </c>
    </row>
    <row r="2412" spans="1:5" x14ac:dyDescent="0.3">
      <c r="A2412" s="2" t="s">
        <v>4934</v>
      </c>
      <c r="B2412" s="2" t="s">
        <v>5</v>
      </c>
      <c r="C2412" s="2" t="s">
        <v>4935</v>
      </c>
      <c r="D2412" s="2" t="s">
        <v>4927</v>
      </c>
      <c r="E2412" s="2" t="str">
        <f>HYPERLINK("https://talan.bank.gov.ua/get-user-certificate/sec1eblB60BfC8q42RgB","Завантажити сертифікат")</f>
        <v>Завантажити сертифікат</v>
      </c>
    </row>
    <row r="2413" spans="1:5" x14ac:dyDescent="0.3">
      <c r="A2413" s="2" t="s">
        <v>4936</v>
      </c>
      <c r="B2413" s="2" t="s">
        <v>5</v>
      </c>
      <c r="C2413" s="2" t="s">
        <v>4937</v>
      </c>
      <c r="D2413" s="2" t="s">
        <v>4927</v>
      </c>
      <c r="E2413" s="2" t="str">
        <f>HYPERLINK("https://talan.bank.gov.ua/get-user-certificate/sec1eH81zDGEpT1cD60w","Завантажити сертифікат")</f>
        <v>Завантажити сертифікат</v>
      </c>
    </row>
    <row r="2414" spans="1:5" x14ac:dyDescent="0.3">
      <c r="A2414" s="2" t="s">
        <v>4938</v>
      </c>
      <c r="B2414" s="2" t="s">
        <v>5</v>
      </c>
      <c r="C2414" s="2" t="s">
        <v>4939</v>
      </c>
      <c r="D2414" s="2" t="s">
        <v>4927</v>
      </c>
      <c r="E2414" s="2" t="str">
        <f>HYPERLINK("https://talan.bank.gov.ua/get-user-certificate/sec1evJdjp-oJEasOVO-","Завантажити сертифікат")</f>
        <v>Завантажити сертифікат</v>
      </c>
    </row>
    <row r="2415" spans="1:5" x14ac:dyDescent="0.3">
      <c r="A2415" s="2" t="s">
        <v>4940</v>
      </c>
      <c r="B2415" s="2" t="s">
        <v>5</v>
      </c>
      <c r="C2415" s="2" t="s">
        <v>4941</v>
      </c>
      <c r="D2415" s="2" t="s">
        <v>4927</v>
      </c>
      <c r="E2415" s="2" t="str">
        <f>HYPERLINK("https://talan.bank.gov.ua/get-user-certificate/sec1e7iCJj9SFkLE72U7","Завантажити сертифікат")</f>
        <v>Завантажити сертифікат</v>
      </c>
    </row>
    <row r="2416" spans="1:5" x14ac:dyDescent="0.3">
      <c r="A2416" s="2" t="s">
        <v>4942</v>
      </c>
      <c r="B2416" s="2" t="s">
        <v>5</v>
      </c>
      <c r="C2416" s="2" t="s">
        <v>4943</v>
      </c>
      <c r="D2416" s="2" t="s">
        <v>4927</v>
      </c>
      <c r="E2416" s="2" t="str">
        <f>HYPERLINK("https://talan.bank.gov.ua/get-user-certificate/sec1e-4cjOA6nN9kRVwf","Завантажити сертифікат")</f>
        <v>Завантажити сертифікат</v>
      </c>
    </row>
    <row r="2417" spans="1:5" x14ac:dyDescent="0.3">
      <c r="A2417" s="2" t="s">
        <v>4944</v>
      </c>
      <c r="B2417" s="2" t="s">
        <v>5</v>
      </c>
      <c r="C2417" s="2" t="s">
        <v>4945</v>
      </c>
      <c r="D2417" s="2" t="s">
        <v>4927</v>
      </c>
      <c r="E2417" s="2" t="str">
        <f>HYPERLINK("https://talan.bank.gov.ua/get-user-certificate/sec1eoqbAdILFSIiWbbJ","Завантажити сертифікат")</f>
        <v>Завантажити сертифікат</v>
      </c>
    </row>
    <row r="2418" spans="1:5" x14ac:dyDescent="0.3">
      <c r="A2418" s="2" t="s">
        <v>4946</v>
      </c>
      <c r="B2418" s="2" t="s">
        <v>5</v>
      </c>
      <c r="C2418" s="2" t="s">
        <v>4947</v>
      </c>
      <c r="D2418" s="2" t="s">
        <v>4927</v>
      </c>
      <c r="E2418" s="2" t="str">
        <f>HYPERLINK("https://talan.bank.gov.ua/get-user-certificate/sec1eA8YPOiSiQ4hisu6","Завантажити сертифікат")</f>
        <v>Завантажити сертифікат</v>
      </c>
    </row>
    <row r="2419" spans="1:5" x14ac:dyDescent="0.3">
      <c r="A2419" s="2" t="s">
        <v>4948</v>
      </c>
      <c r="B2419" s="2" t="s">
        <v>5</v>
      </c>
      <c r="C2419" s="2" t="s">
        <v>4949</v>
      </c>
      <c r="D2419" s="2" t="s">
        <v>4927</v>
      </c>
      <c r="E2419" s="2" t="str">
        <f>HYPERLINK("https://talan.bank.gov.ua/get-user-certificate/sec1epSC6NlwUMqS0nnK","Завантажити сертифікат")</f>
        <v>Завантажити сертифікат</v>
      </c>
    </row>
    <row r="2420" spans="1:5" x14ac:dyDescent="0.3">
      <c r="A2420" s="2" t="s">
        <v>4950</v>
      </c>
      <c r="B2420" s="2" t="s">
        <v>5</v>
      </c>
      <c r="C2420" s="2" t="s">
        <v>4951</v>
      </c>
      <c r="D2420" s="2" t="s">
        <v>4927</v>
      </c>
      <c r="E2420" s="2" t="str">
        <f>HYPERLINK("https://talan.bank.gov.ua/get-user-certificate/sec1ef0PWUDDK8pxFE_G","Завантажити сертифікат")</f>
        <v>Завантажити сертифікат</v>
      </c>
    </row>
    <row r="2421" spans="1:5" x14ac:dyDescent="0.3">
      <c r="A2421" s="2" t="s">
        <v>4952</v>
      </c>
      <c r="B2421" s="2" t="s">
        <v>5</v>
      </c>
      <c r="C2421" s="2" t="s">
        <v>4953</v>
      </c>
      <c r="D2421" s="2" t="s">
        <v>4927</v>
      </c>
      <c r="E2421" s="2" t="str">
        <f>HYPERLINK("https://talan.bank.gov.ua/get-user-certificate/sec1edPEksIJ3hQApJUt","Завантажити сертифікат")</f>
        <v>Завантажити сертифікат</v>
      </c>
    </row>
    <row r="2422" spans="1:5" x14ac:dyDescent="0.3">
      <c r="A2422" s="2" t="s">
        <v>4954</v>
      </c>
      <c r="B2422" s="2" t="s">
        <v>5</v>
      </c>
      <c r="C2422" s="2" t="s">
        <v>4955</v>
      </c>
      <c r="D2422" s="2" t="s">
        <v>4927</v>
      </c>
      <c r="E2422" s="2" t="str">
        <f>HYPERLINK("https://talan.bank.gov.ua/get-user-certificate/sec1eCIiUGN7XwrfJXi9","Завантажити сертифікат")</f>
        <v>Завантажити сертифікат</v>
      </c>
    </row>
    <row r="2423" spans="1:5" x14ac:dyDescent="0.3">
      <c r="A2423" s="2" t="s">
        <v>4956</v>
      </c>
      <c r="B2423" s="2" t="s">
        <v>5</v>
      </c>
      <c r="C2423" s="2" t="s">
        <v>4957</v>
      </c>
      <c r="D2423" s="2" t="s">
        <v>4927</v>
      </c>
      <c r="E2423" s="2" t="str">
        <f>HYPERLINK("https://talan.bank.gov.ua/get-user-certificate/sec1e1nOWansZqUguG8o","Завантажити сертифікат")</f>
        <v>Завантажити сертифікат</v>
      </c>
    </row>
    <row r="2424" spans="1:5" x14ac:dyDescent="0.3">
      <c r="A2424" s="2" t="s">
        <v>4958</v>
      </c>
      <c r="B2424" s="2" t="s">
        <v>5</v>
      </c>
      <c r="C2424" s="2" t="s">
        <v>4959</v>
      </c>
      <c r="D2424" s="2" t="s">
        <v>4927</v>
      </c>
      <c r="E2424" s="2" t="str">
        <f>HYPERLINK("https://talan.bank.gov.ua/get-user-certificate/sec1edlN63CMyvvdtF5_","Завантажити сертифікат")</f>
        <v>Завантажити сертифікат</v>
      </c>
    </row>
    <row r="2425" spans="1:5" x14ac:dyDescent="0.3">
      <c r="A2425" s="2" t="s">
        <v>4960</v>
      </c>
      <c r="B2425" s="2" t="s">
        <v>5</v>
      </c>
      <c r="C2425" s="2" t="s">
        <v>4961</v>
      </c>
      <c r="D2425" s="2" t="s">
        <v>4927</v>
      </c>
      <c r="E2425" s="2" t="str">
        <f>HYPERLINK("https://talan.bank.gov.ua/get-user-certificate/sec1e2CbHWXEvLC5aWcV","Завантажити сертифікат")</f>
        <v>Завантажити сертифікат</v>
      </c>
    </row>
    <row r="2426" spans="1:5" x14ac:dyDescent="0.3">
      <c r="A2426" s="2" t="s">
        <v>4962</v>
      </c>
      <c r="B2426" s="2" t="s">
        <v>5</v>
      </c>
      <c r="C2426" s="2" t="s">
        <v>4963</v>
      </c>
      <c r="D2426" s="2" t="s">
        <v>4927</v>
      </c>
      <c r="E2426" s="2" t="str">
        <f>HYPERLINK("https://talan.bank.gov.ua/get-user-certificate/sec1exFq_iJ8F55FlUgI","Завантажити сертифікат")</f>
        <v>Завантажити сертифікат</v>
      </c>
    </row>
    <row r="2427" spans="1:5" x14ac:dyDescent="0.3">
      <c r="A2427" s="2" t="s">
        <v>4964</v>
      </c>
      <c r="B2427" s="2" t="s">
        <v>5</v>
      </c>
      <c r="C2427" s="2" t="s">
        <v>4965</v>
      </c>
      <c r="D2427" s="2" t="s">
        <v>4927</v>
      </c>
      <c r="E2427" s="2" t="str">
        <f>HYPERLINK("https://talan.bank.gov.ua/get-user-certificate/sec1emWJe6IfIkSCyoPG","Завантажити сертифікат")</f>
        <v>Завантажити сертифікат</v>
      </c>
    </row>
    <row r="2428" spans="1:5" x14ac:dyDescent="0.3">
      <c r="A2428" s="2" t="s">
        <v>4966</v>
      </c>
      <c r="B2428" s="2" t="s">
        <v>5</v>
      </c>
      <c r="C2428" s="2" t="s">
        <v>4967</v>
      </c>
      <c r="D2428" s="2" t="s">
        <v>4927</v>
      </c>
      <c r="E2428" s="2" t="str">
        <f>HYPERLINK("https://talan.bank.gov.ua/get-user-certificate/sec1enwRISMRsxNJ9jkK","Завантажити сертифікат")</f>
        <v>Завантажити сертифікат</v>
      </c>
    </row>
    <row r="2429" spans="1:5" x14ac:dyDescent="0.3">
      <c r="A2429" s="2" t="s">
        <v>4968</v>
      </c>
      <c r="B2429" s="2" t="s">
        <v>5</v>
      </c>
      <c r="C2429" s="2" t="s">
        <v>4969</v>
      </c>
      <c r="D2429" s="2" t="s">
        <v>4927</v>
      </c>
      <c r="E2429" s="2" t="str">
        <f>HYPERLINK("https://talan.bank.gov.ua/get-user-certificate/sec1eh9L6V00rvUfCHMl","Завантажити сертифікат")</f>
        <v>Завантажити сертифікат</v>
      </c>
    </row>
    <row r="2430" spans="1:5" x14ac:dyDescent="0.3">
      <c r="A2430" s="2" t="s">
        <v>4970</v>
      </c>
      <c r="B2430" s="2" t="s">
        <v>5</v>
      </c>
      <c r="C2430" s="2" t="s">
        <v>4971</v>
      </c>
      <c r="D2430" s="2" t="s">
        <v>4927</v>
      </c>
      <c r="E2430" s="2" t="str">
        <f>HYPERLINK("https://talan.bank.gov.ua/get-user-certificate/sec1e2BdHcB2JcdzCsEN","Завантажити сертифікат")</f>
        <v>Завантажити сертифікат</v>
      </c>
    </row>
    <row r="2431" spans="1:5" x14ac:dyDescent="0.3">
      <c r="A2431" s="2" t="s">
        <v>4972</v>
      </c>
      <c r="B2431" s="2" t="s">
        <v>5</v>
      </c>
      <c r="C2431" s="2" t="s">
        <v>4973</v>
      </c>
      <c r="D2431" s="2" t="s">
        <v>4927</v>
      </c>
      <c r="E2431" s="2" t="str">
        <f>HYPERLINK("https://talan.bank.gov.ua/get-user-certificate/sec1eUSolMGPofdUru3O","Завантажити сертифікат")</f>
        <v>Завантажити сертифікат</v>
      </c>
    </row>
    <row r="2432" spans="1:5" x14ac:dyDescent="0.3">
      <c r="A2432" s="2" t="s">
        <v>4974</v>
      </c>
      <c r="B2432" s="2" t="s">
        <v>5</v>
      </c>
      <c r="C2432" s="2" t="s">
        <v>4975</v>
      </c>
      <c r="D2432" s="2" t="s">
        <v>4927</v>
      </c>
      <c r="E2432" s="2" t="str">
        <f>HYPERLINK("https://talan.bank.gov.ua/get-user-certificate/sec1eIOsQXAZQe0IXkC8","Завантажити сертифікат")</f>
        <v>Завантажити сертифікат</v>
      </c>
    </row>
    <row r="2433" spans="1:5" x14ac:dyDescent="0.3">
      <c r="A2433" s="2" t="s">
        <v>4976</v>
      </c>
      <c r="B2433" s="2" t="s">
        <v>5</v>
      </c>
      <c r="C2433" s="2" t="s">
        <v>4977</v>
      </c>
      <c r="D2433" s="2" t="s">
        <v>4927</v>
      </c>
      <c r="E2433" s="2" t="str">
        <f>HYPERLINK("https://talan.bank.gov.ua/get-user-certificate/sec1eSIKFTQxk2iUuM5y","Завантажити сертифікат")</f>
        <v>Завантажити сертифікат</v>
      </c>
    </row>
    <row r="2434" spans="1:5" x14ac:dyDescent="0.3">
      <c r="A2434" s="2" t="s">
        <v>4978</v>
      </c>
      <c r="B2434" s="2" t="s">
        <v>5</v>
      </c>
      <c r="C2434" s="2" t="s">
        <v>4979</v>
      </c>
      <c r="D2434" s="2" t="s">
        <v>4927</v>
      </c>
      <c r="E2434" s="2" t="str">
        <f>HYPERLINK("https://talan.bank.gov.ua/get-user-certificate/sec1e5Uou5CWV-ZedU0f","Завантажити сертифікат")</f>
        <v>Завантажити сертифікат</v>
      </c>
    </row>
    <row r="2435" spans="1:5" x14ac:dyDescent="0.3">
      <c r="A2435" s="2" t="s">
        <v>4980</v>
      </c>
      <c r="B2435" s="2" t="s">
        <v>5</v>
      </c>
      <c r="C2435" s="2" t="s">
        <v>4981</v>
      </c>
      <c r="D2435" s="2" t="s">
        <v>4927</v>
      </c>
      <c r="E2435" s="2" t="str">
        <f>HYPERLINK("https://talan.bank.gov.ua/get-user-certificate/sec1ewfA3BOxKVHoV166","Завантажити сертифікат")</f>
        <v>Завантажити сертифікат</v>
      </c>
    </row>
    <row r="2436" spans="1:5" x14ac:dyDescent="0.3">
      <c r="A2436" s="2" t="s">
        <v>4982</v>
      </c>
      <c r="B2436" s="2" t="s">
        <v>5</v>
      </c>
      <c r="C2436" s="2" t="s">
        <v>4983</v>
      </c>
      <c r="D2436" s="2" t="s">
        <v>4927</v>
      </c>
      <c r="E2436" s="2" t="str">
        <f>HYPERLINK("https://talan.bank.gov.ua/get-user-certificate/sec1ene8dlJ7WYHTfJXY","Завантажити сертифікат")</f>
        <v>Завантажити сертифікат</v>
      </c>
    </row>
    <row r="2437" spans="1:5" x14ac:dyDescent="0.3">
      <c r="A2437" s="2" t="s">
        <v>4984</v>
      </c>
      <c r="B2437" s="2" t="s">
        <v>5</v>
      </c>
      <c r="C2437" s="2" t="s">
        <v>4985</v>
      </c>
      <c r="D2437" s="2" t="s">
        <v>4927</v>
      </c>
      <c r="E2437" s="2" t="str">
        <f>HYPERLINK("https://talan.bank.gov.ua/get-user-certificate/sec1eHOlNMDMJTAu8GnS","Завантажити сертифікат")</f>
        <v>Завантажити сертифікат</v>
      </c>
    </row>
    <row r="2438" spans="1:5" x14ac:dyDescent="0.3">
      <c r="A2438" s="2" t="s">
        <v>4986</v>
      </c>
      <c r="B2438" s="2" t="s">
        <v>5</v>
      </c>
      <c r="C2438" s="2" t="s">
        <v>4987</v>
      </c>
      <c r="D2438" s="2" t="s">
        <v>4927</v>
      </c>
      <c r="E2438" s="2" t="str">
        <f>HYPERLINK("https://talan.bank.gov.ua/get-user-certificate/sec1eF8cnANUOVSt79zL","Завантажити сертифікат")</f>
        <v>Завантажити сертифікат</v>
      </c>
    </row>
    <row r="2439" spans="1:5" x14ac:dyDescent="0.3">
      <c r="A2439" s="2" t="s">
        <v>4988</v>
      </c>
      <c r="B2439" s="2" t="s">
        <v>5</v>
      </c>
      <c r="C2439" s="2" t="s">
        <v>4989</v>
      </c>
      <c r="D2439" s="2" t="s">
        <v>4927</v>
      </c>
      <c r="E2439" s="2" t="str">
        <f>HYPERLINK("https://talan.bank.gov.ua/get-user-certificate/sec1e-p-FsXp45MWFJQD","Завантажити сертифікат")</f>
        <v>Завантажити сертифікат</v>
      </c>
    </row>
    <row r="2440" spans="1:5" x14ac:dyDescent="0.3">
      <c r="A2440" s="2" t="s">
        <v>4990</v>
      </c>
      <c r="B2440" s="2" t="s">
        <v>5</v>
      </c>
      <c r="C2440" s="2" t="s">
        <v>4991</v>
      </c>
      <c r="D2440" s="2" t="s">
        <v>3513</v>
      </c>
      <c r="E2440" s="2" t="str">
        <f>HYPERLINK("https://talan.bank.gov.ua/get-user-certificate/sec1eJisbSnALrIbuxy4","Завантажити сертифікат")</f>
        <v>Завантажити сертифікат</v>
      </c>
    </row>
    <row r="2441" spans="1:5" x14ac:dyDescent="0.3">
      <c r="A2441" s="2" t="s">
        <v>4992</v>
      </c>
      <c r="B2441" s="2" t="s">
        <v>5</v>
      </c>
      <c r="C2441" s="2" t="s">
        <v>4993</v>
      </c>
      <c r="D2441" s="2" t="s">
        <v>3513</v>
      </c>
      <c r="E2441" s="2" t="str">
        <f>HYPERLINK("https://talan.bank.gov.ua/get-user-certificate/sec1ec8ur_x70PsHZhHQ","Завантажити сертифікат")</f>
        <v>Завантажити сертифікат</v>
      </c>
    </row>
    <row r="2442" spans="1:5" x14ac:dyDescent="0.3">
      <c r="A2442" s="2" t="s">
        <v>4994</v>
      </c>
      <c r="B2442" s="2" t="s">
        <v>5</v>
      </c>
      <c r="C2442" s="2" t="s">
        <v>4995</v>
      </c>
      <c r="D2442" s="2" t="s">
        <v>3513</v>
      </c>
      <c r="E2442" s="2" t="str">
        <f>HYPERLINK("https://talan.bank.gov.ua/get-user-certificate/sec1ejqzC3a1UKMFSx5T","Завантажити сертифікат")</f>
        <v>Завантажити сертифікат</v>
      </c>
    </row>
    <row r="2443" spans="1:5" x14ac:dyDescent="0.3">
      <c r="A2443" s="2" t="s">
        <v>4996</v>
      </c>
      <c r="B2443" s="2" t="s">
        <v>5</v>
      </c>
      <c r="C2443" s="2" t="s">
        <v>4997</v>
      </c>
      <c r="D2443" s="2" t="s">
        <v>3513</v>
      </c>
      <c r="E2443" s="2" t="str">
        <f>HYPERLINK("https://talan.bank.gov.ua/get-user-certificate/sec1eZM5fhL-DdOAQ1tp","Завантажити сертифікат")</f>
        <v>Завантажити сертифікат</v>
      </c>
    </row>
    <row r="2444" spans="1:5" x14ac:dyDescent="0.3">
      <c r="A2444" s="2" t="s">
        <v>4998</v>
      </c>
      <c r="B2444" s="2" t="s">
        <v>5</v>
      </c>
      <c r="C2444" s="2" t="s">
        <v>4999</v>
      </c>
      <c r="D2444" s="2" t="s">
        <v>3513</v>
      </c>
      <c r="E2444" s="2" t="str">
        <f>HYPERLINK("https://talan.bank.gov.ua/get-user-certificate/sec1edpCIjMNVJmZHVvJ","Завантажити сертифікат")</f>
        <v>Завантажити сертифікат</v>
      </c>
    </row>
    <row r="2445" spans="1:5" x14ac:dyDescent="0.3">
      <c r="A2445" s="2" t="s">
        <v>5000</v>
      </c>
      <c r="B2445" s="2" t="s">
        <v>5</v>
      </c>
      <c r="C2445" s="2" t="s">
        <v>5001</v>
      </c>
      <c r="D2445" s="2" t="s">
        <v>3513</v>
      </c>
      <c r="E2445" s="2" t="str">
        <f>HYPERLINK("https://talan.bank.gov.ua/get-user-certificate/sec1eg29O0GAupzWklak","Завантажити сертифікат")</f>
        <v>Завантажити сертифікат</v>
      </c>
    </row>
    <row r="2446" spans="1:5" x14ac:dyDescent="0.3">
      <c r="A2446" s="2" t="s">
        <v>5002</v>
      </c>
      <c r="B2446" s="2" t="s">
        <v>5</v>
      </c>
      <c r="C2446" s="2" t="s">
        <v>5003</v>
      </c>
      <c r="D2446" s="2" t="s">
        <v>3513</v>
      </c>
      <c r="E2446" s="2" t="str">
        <f>HYPERLINK("https://talan.bank.gov.ua/get-user-certificate/sec1eiTkT9yYWJe1eIkJ","Завантажити сертифікат")</f>
        <v>Завантажити сертифікат</v>
      </c>
    </row>
    <row r="2447" spans="1:5" x14ac:dyDescent="0.3">
      <c r="A2447" s="2" t="s">
        <v>5004</v>
      </c>
      <c r="B2447" s="2" t="s">
        <v>5</v>
      </c>
      <c r="C2447" s="2" t="s">
        <v>5005</v>
      </c>
      <c r="D2447" s="2" t="s">
        <v>3513</v>
      </c>
      <c r="E2447" s="2" t="str">
        <f>HYPERLINK("https://talan.bank.gov.ua/get-user-certificate/sec1efSA4RAYn6BVHUti","Завантажити сертифікат")</f>
        <v>Завантажити сертифікат</v>
      </c>
    </row>
    <row r="2448" spans="1:5" x14ac:dyDescent="0.3">
      <c r="A2448" s="2" t="s">
        <v>5006</v>
      </c>
      <c r="B2448" s="2" t="s">
        <v>5</v>
      </c>
      <c r="C2448" s="2" t="s">
        <v>5007</v>
      </c>
      <c r="D2448" s="2" t="s">
        <v>3513</v>
      </c>
      <c r="E2448" s="2" t="str">
        <f>HYPERLINK("https://talan.bank.gov.ua/get-user-certificate/sec1eiHZkPcYbencGpZW","Завантажити сертифікат")</f>
        <v>Завантажити сертифікат</v>
      </c>
    </row>
    <row r="2449" spans="1:5" x14ac:dyDescent="0.3">
      <c r="A2449" s="2" t="s">
        <v>5008</v>
      </c>
      <c r="B2449" s="2" t="s">
        <v>5</v>
      </c>
      <c r="C2449" s="2" t="s">
        <v>5009</v>
      </c>
      <c r="D2449" s="2" t="s">
        <v>3513</v>
      </c>
      <c r="E2449" s="2" t="str">
        <f>HYPERLINK("https://talan.bank.gov.ua/get-user-certificate/sec1eH-lWc4YBs_wziWq","Завантажити сертифікат")</f>
        <v>Завантажити сертифікат</v>
      </c>
    </row>
    <row r="2450" spans="1:5" x14ac:dyDescent="0.3">
      <c r="A2450" s="2" t="s">
        <v>5010</v>
      </c>
      <c r="B2450" s="2" t="s">
        <v>5</v>
      </c>
      <c r="C2450" s="2" t="s">
        <v>5011</v>
      </c>
      <c r="D2450" s="2" t="s">
        <v>3513</v>
      </c>
      <c r="E2450" s="2" t="str">
        <f>HYPERLINK("https://talan.bank.gov.ua/get-user-certificate/sec1eavnq50QNHM9LLvJ","Завантажити сертифікат")</f>
        <v>Завантажити сертифікат</v>
      </c>
    </row>
    <row r="2451" spans="1:5" x14ac:dyDescent="0.3">
      <c r="A2451" s="2" t="s">
        <v>5012</v>
      </c>
      <c r="B2451" s="2" t="s">
        <v>5</v>
      </c>
      <c r="C2451" s="2" t="s">
        <v>5013</v>
      </c>
      <c r="D2451" s="2" t="s">
        <v>3513</v>
      </c>
      <c r="E2451" s="2" t="str">
        <f>HYPERLINK("https://talan.bank.gov.ua/get-user-certificate/sec1e13CwboSHAqqYYJI","Завантажити сертифікат")</f>
        <v>Завантажити сертифікат</v>
      </c>
    </row>
    <row r="2452" spans="1:5" x14ac:dyDescent="0.3">
      <c r="A2452" s="2" t="s">
        <v>5014</v>
      </c>
      <c r="B2452" s="2" t="s">
        <v>5</v>
      </c>
      <c r="C2452" s="2" t="s">
        <v>5015</v>
      </c>
      <c r="D2452" s="2" t="s">
        <v>3513</v>
      </c>
      <c r="E2452" s="2" t="str">
        <f>HYPERLINK("https://talan.bank.gov.ua/get-user-certificate/sec1eSEF9JH1nYaRye-H","Завантажити сертифікат")</f>
        <v>Завантажити сертифікат</v>
      </c>
    </row>
    <row r="2453" spans="1:5" x14ac:dyDescent="0.3">
      <c r="A2453" s="2" t="s">
        <v>5016</v>
      </c>
      <c r="B2453" s="2" t="s">
        <v>5</v>
      </c>
      <c r="C2453" s="2" t="s">
        <v>5017</v>
      </c>
      <c r="D2453" s="2" t="s">
        <v>3513</v>
      </c>
      <c r="E2453" s="2" t="str">
        <f>HYPERLINK("https://talan.bank.gov.ua/get-user-certificate/sec1eLi_QwnJ0ddb2Mo3","Завантажити сертифікат")</f>
        <v>Завантажити сертифікат</v>
      </c>
    </row>
    <row r="2454" spans="1:5" x14ac:dyDescent="0.3">
      <c r="A2454" s="2" t="s">
        <v>5018</v>
      </c>
      <c r="B2454" s="2" t="s">
        <v>5</v>
      </c>
      <c r="C2454" s="2" t="s">
        <v>5019</v>
      </c>
      <c r="D2454" s="2" t="s">
        <v>3513</v>
      </c>
      <c r="E2454" s="2" t="str">
        <f>HYPERLINK("https://talan.bank.gov.ua/get-user-certificate/sec1eI5ZGbccrvPeBjP7","Завантажити сертифікат")</f>
        <v>Завантажити сертифікат</v>
      </c>
    </row>
    <row r="2455" spans="1:5" x14ac:dyDescent="0.3">
      <c r="A2455" s="2" t="s">
        <v>5020</v>
      </c>
      <c r="B2455" s="2" t="s">
        <v>5</v>
      </c>
      <c r="C2455" s="2" t="s">
        <v>5021</v>
      </c>
      <c r="D2455" s="2" t="s">
        <v>3513</v>
      </c>
      <c r="E2455" s="2" t="str">
        <f>HYPERLINK("https://talan.bank.gov.ua/get-user-certificate/sec1ehPEROu9utcmQb7H","Завантажити сертифікат")</f>
        <v>Завантажити сертифікат</v>
      </c>
    </row>
    <row r="2456" spans="1:5" x14ac:dyDescent="0.3">
      <c r="A2456" s="2" t="s">
        <v>5022</v>
      </c>
      <c r="B2456" s="2" t="s">
        <v>5</v>
      </c>
      <c r="C2456" s="2" t="s">
        <v>5023</v>
      </c>
      <c r="D2456" s="2" t="s">
        <v>3513</v>
      </c>
      <c r="E2456" s="2" t="str">
        <f>HYPERLINK("https://talan.bank.gov.ua/get-user-certificate/sec1eDDKeYL1XZJiJPpt","Завантажити сертифікат")</f>
        <v>Завантажити сертифікат</v>
      </c>
    </row>
    <row r="2457" spans="1:5" x14ac:dyDescent="0.3">
      <c r="A2457" s="2" t="s">
        <v>5024</v>
      </c>
      <c r="B2457" s="2" t="s">
        <v>5</v>
      </c>
      <c r="C2457" s="2" t="s">
        <v>5025</v>
      </c>
      <c r="D2457" s="2" t="s">
        <v>3513</v>
      </c>
      <c r="E2457" s="2" t="str">
        <f>HYPERLINK("https://talan.bank.gov.ua/get-user-certificate/sec1e7T9WZb6S1Pxc-8P","Завантажити сертифікат")</f>
        <v>Завантажити сертифікат</v>
      </c>
    </row>
    <row r="2458" spans="1:5" x14ac:dyDescent="0.3">
      <c r="A2458" s="2" t="s">
        <v>5026</v>
      </c>
      <c r="B2458" s="2" t="s">
        <v>5</v>
      </c>
      <c r="C2458" s="2" t="s">
        <v>5027</v>
      </c>
      <c r="D2458" s="2" t="s">
        <v>3513</v>
      </c>
      <c r="E2458" s="2" t="str">
        <f>HYPERLINK("https://talan.bank.gov.ua/get-user-certificate/sec1ec_kN8lwjgKK3iEg","Завантажити сертифікат")</f>
        <v>Завантажити сертифікат</v>
      </c>
    </row>
    <row r="2459" spans="1:5" x14ac:dyDescent="0.3">
      <c r="A2459" s="2" t="s">
        <v>5028</v>
      </c>
      <c r="B2459" s="2" t="s">
        <v>5</v>
      </c>
      <c r="C2459" s="2" t="s">
        <v>5029</v>
      </c>
      <c r="D2459" s="2" t="s">
        <v>3513</v>
      </c>
      <c r="E2459" s="2" t="str">
        <f>HYPERLINK("https://talan.bank.gov.ua/get-user-certificate/sec1eCX4oC-PUaGRKl2J","Завантажити сертифікат")</f>
        <v>Завантажити сертифікат</v>
      </c>
    </row>
    <row r="2460" spans="1:5" x14ac:dyDescent="0.3">
      <c r="A2460" s="2" t="s">
        <v>5030</v>
      </c>
      <c r="B2460" s="2" t="s">
        <v>5</v>
      </c>
      <c r="C2460" s="2" t="s">
        <v>5031</v>
      </c>
      <c r="D2460" s="2" t="s">
        <v>3513</v>
      </c>
      <c r="E2460" s="2" t="str">
        <f>HYPERLINK("https://talan.bank.gov.ua/get-user-certificate/sec1e5TQBqy8HmFaVex7","Завантажити сертифікат")</f>
        <v>Завантажити сертифікат</v>
      </c>
    </row>
    <row r="2461" spans="1:5" x14ac:dyDescent="0.3">
      <c r="A2461" s="2" t="s">
        <v>5032</v>
      </c>
      <c r="B2461" s="2" t="s">
        <v>5</v>
      </c>
      <c r="C2461" s="2" t="s">
        <v>5033</v>
      </c>
      <c r="D2461" s="2" t="s">
        <v>3513</v>
      </c>
      <c r="E2461" s="2" t="str">
        <f>HYPERLINK("https://talan.bank.gov.ua/get-user-certificate/sec1e2rW-a9u89UNJzNT","Завантажити сертифікат")</f>
        <v>Завантажити сертифікат</v>
      </c>
    </row>
    <row r="2462" spans="1:5" x14ac:dyDescent="0.3">
      <c r="A2462" s="2" t="s">
        <v>5034</v>
      </c>
      <c r="B2462" s="2" t="s">
        <v>5</v>
      </c>
      <c r="C2462" s="2" t="s">
        <v>5035</v>
      </c>
      <c r="D2462" s="2" t="s">
        <v>3513</v>
      </c>
      <c r="E2462" s="2" t="str">
        <f>HYPERLINK("https://talan.bank.gov.ua/get-user-certificate/sec1ebKFhr5F-NA0vrN8","Завантажити сертифікат")</f>
        <v>Завантажити сертифікат</v>
      </c>
    </row>
    <row r="2463" spans="1:5" x14ac:dyDescent="0.3">
      <c r="A2463" s="2" t="s">
        <v>5036</v>
      </c>
      <c r="B2463" s="2" t="s">
        <v>5</v>
      </c>
      <c r="C2463" s="2" t="s">
        <v>5037</v>
      </c>
      <c r="D2463" s="2" t="s">
        <v>3513</v>
      </c>
      <c r="E2463" s="2" t="str">
        <f>HYPERLINK("https://talan.bank.gov.ua/get-user-certificate/sec1eQujgxK5zs__DrG-","Завантажити сертифікат")</f>
        <v>Завантажити сертифікат</v>
      </c>
    </row>
    <row r="2464" spans="1:5" x14ac:dyDescent="0.3">
      <c r="A2464" s="2" t="s">
        <v>5038</v>
      </c>
      <c r="B2464" s="2" t="s">
        <v>5</v>
      </c>
      <c r="C2464" s="2" t="s">
        <v>5039</v>
      </c>
      <c r="D2464" s="2" t="s">
        <v>3513</v>
      </c>
      <c r="E2464" s="2" t="str">
        <f>HYPERLINK("https://talan.bank.gov.ua/get-user-certificate/sec1eSgdqSHtwl0mRg3u","Завантажити сертифікат")</f>
        <v>Завантажити сертифікат</v>
      </c>
    </row>
    <row r="2465" spans="1:5" x14ac:dyDescent="0.3">
      <c r="A2465" s="2" t="s">
        <v>5040</v>
      </c>
      <c r="B2465" s="2" t="s">
        <v>5</v>
      </c>
      <c r="C2465" s="2" t="s">
        <v>5041</v>
      </c>
      <c r="D2465" s="2" t="s">
        <v>3513</v>
      </c>
      <c r="E2465" s="2" t="str">
        <f>HYPERLINK("https://talan.bank.gov.ua/get-user-certificate/sec1e8kJqhHgI-4aZE8P","Завантажити сертифікат")</f>
        <v>Завантажити сертифікат</v>
      </c>
    </row>
    <row r="2466" spans="1:5" x14ac:dyDescent="0.3">
      <c r="A2466" s="2" t="s">
        <v>5042</v>
      </c>
      <c r="B2466" s="2" t="s">
        <v>5</v>
      </c>
      <c r="C2466" s="2" t="s">
        <v>5043</v>
      </c>
      <c r="D2466" s="2" t="s">
        <v>3513</v>
      </c>
      <c r="E2466" s="2" t="str">
        <f>HYPERLINK("https://talan.bank.gov.ua/get-user-certificate/sec1eXqXA1GUY9wb8B97","Завантажити сертифікат")</f>
        <v>Завантажити сертифікат</v>
      </c>
    </row>
    <row r="2467" spans="1:5" x14ac:dyDescent="0.3">
      <c r="A2467" s="2" t="s">
        <v>5044</v>
      </c>
      <c r="B2467" s="2" t="s">
        <v>5</v>
      </c>
      <c r="C2467" s="2" t="s">
        <v>5045</v>
      </c>
      <c r="D2467" s="2" t="s">
        <v>3513</v>
      </c>
      <c r="E2467" s="2" t="str">
        <f>HYPERLINK("https://talan.bank.gov.ua/get-user-certificate/sec1euYS7Rh6hw_ZJoK2","Завантажити сертифікат")</f>
        <v>Завантажити сертифікат</v>
      </c>
    </row>
    <row r="2468" spans="1:5" x14ac:dyDescent="0.3">
      <c r="A2468" s="2" t="s">
        <v>5046</v>
      </c>
      <c r="B2468" s="2" t="s">
        <v>5</v>
      </c>
      <c r="C2468" s="2" t="s">
        <v>5047</v>
      </c>
      <c r="D2468" s="2" t="s">
        <v>3513</v>
      </c>
      <c r="E2468" s="2" t="str">
        <f>HYPERLINK("https://talan.bank.gov.ua/get-user-certificate/sec1eC8ayZLWiWQpzkFG","Завантажити сертифікат")</f>
        <v>Завантажити сертифікат</v>
      </c>
    </row>
    <row r="2469" spans="1:5" x14ac:dyDescent="0.3">
      <c r="A2469" s="2" t="s">
        <v>5048</v>
      </c>
      <c r="B2469" s="2" t="s">
        <v>5</v>
      </c>
      <c r="C2469" s="2" t="s">
        <v>5049</v>
      </c>
      <c r="D2469" s="2" t="s">
        <v>3513</v>
      </c>
      <c r="E2469" s="2" t="str">
        <f>HYPERLINK("https://talan.bank.gov.ua/get-user-certificate/sec1eCC_CLQmXCHOqXdt","Завантажити сертифікат")</f>
        <v>Завантажити сертифікат</v>
      </c>
    </row>
    <row r="2470" spans="1:5" x14ac:dyDescent="0.3">
      <c r="A2470" s="2" t="s">
        <v>5050</v>
      </c>
      <c r="B2470" s="2" t="s">
        <v>5</v>
      </c>
      <c r="C2470" s="2" t="s">
        <v>5051</v>
      </c>
      <c r="D2470" s="2" t="s">
        <v>3513</v>
      </c>
      <c r="E2470" s="2" t="str">
        <f>HYPERLINK("https://talan.bank.gov.ua/get-user-certificate/sec1eLojjjIpMwysaq2_","Завантажити сертифікат")</f>
        <v>Завантажити сертифікат</v>
      </c>
    </row>
    <row r="2471" spans="1:5" x14ac:dyDescent="0.3">
      <c r="A2471" s="2" t="s">
        <v>5052</v>
      </c>
      <c r="B2471" s="2" t="s">
        <v>5</v>
      </c>
      <c r="C2471" s="2" t="s">
        <v>5053</v>
      </c>
      <c r="D2471" s="2" t="s">
        <v>3513</v>
      </c>
      <c r="E2471" s="2" t="str">
        <f>HYPERLINK("https://talan.bank.gov.ua/get-user-certificate/sec1eEzrPaSZw4Sy3ErP","Завантажити сертифікат")</f>
        <v>Завантажити сертифікат</v>
      </c>
    </row>
    <row r="2472" spans="1:5" x14ac:dyDescent="0.3">
      <c r="A2472" s="2" t="s">
        <v>5054</v>
      </c>
      <c r="B2472" s="2" t="s">
        <v>5</v>
      </c>
      <c r="C2472" s="2" t="s">
        <v>5055</v>
      </c>
      <c r="D2472" s="2" t="s">
        <v>3513</v>
      </c>
      <c r="E2472" s="2" t="str">
        <f>HYPERLINK("https://talan.bank.gov.ua/get-user-certificate/sec1ei49kBAHYbUU6wvo","Завантажити сертифікат")</f>
        <v>Завантажити сертифікат</v>
      </c>
    </row>
    <row r="2473" spans="1:5" x14ac:dyDescent="0.3">
      <c r="A2473" s="2" t="s">
        <v>5056</v>
      </c>
      <c r="B2473" s="2" t="s">
        <v>5</v>
      </c>
      <c r="C2473" s="2" t="s">
        <v>5057</v>
      </c>
      <c r="D2473" s="2" t="s">
        <v>3513</v>
      </c>
      <c r="E2473" s="2" t="str">
        <f>HYPERLINK("https://talan.bank.gov.ua/get-user-certificate/sec1e-PxFCPac8bCrNsq","Завантажити сертифікат")</f>
        <v>Завантажити сертифікат</v>
      </c>
    </row>
    <row r="2474" spans="1:5" x14ac:dyDescent="0.3">
      <c r="A2474" s="2" t="s">
        <v>5058</v>
      </c>
      <c r="B2474" s="2" t="s">
        <v>5</v>
      </c>
      <c r="C2474" s="2" t="s">
        <v>5059</v>
      </c>
      <c r="D2474" s="2" t="s">
        <v>3513</v>
      </c>
      <c r="E2474" s="2" t="str">
        <f>HYPERLINK("https://talan.bank.gov.ua/get-user-certificate/sec1euMxiyc_WQZHIsqA","Завантажити сертифікат")</f>
        <v>Завантажити сертифікат</v>
      </c>
    </row>
    <row r="2475" spans="1:5" x14ac:dyDescent="0.3">
      <c r="A2475" s="2" t="s">
        <v>5060</v>
      </c>
      <c r="B2475" s="2" t="s">
        <v>5</v>
      </c>
      <c r="C2475" s="2" t="s">
        <v>5061</v>
      </c>
      <c r="D2475" s="2" t="s">
        <v>3513</v>
      </c>
      <c r="E2475" s="2" t="str">
        <f>HYPERLINK("https://talan.bank.gov.ua/get-user-certificate/sec1eMKu5ecPL-FbHOiu","Завантажити сертифікат")</f>
        <v>Завантажити сертифікат</v>
      </c>
    </row>
    <row r="2476" spans="1:5" x14ac:dyDescent="0.3">
      <c r="A2476" s="2" t="s">
        <v>5062</v>
      </c>
      <c r="B2476" s="2" t="s">
        <v>5</v>
      </c>
      <c r="C2476" s="2" t="s">
        <v>5063</v>
      </c>
      <c r="D2476" s="2" t="s">
        <v>3513</v>
      </c>
      <c r="E2476" s="2" t="str">
        <f>HYPERLINK("https://talan.bank.gov.ua/get-user-certificate/sec1edHjpRDAB0B1h4Va","Завантажити сертифікат")</f>
        <v>Завантажити сертифікат</v>
      </c>
    </row>
    <row r="2477" spans="1:5" x14ac:dyDescent="0.3">
      <c r="A2477" s="2" t="s">
        <v>5064</v>
      </c>
      <c r="B2477" s="2" t="s">
        <v>5</v>
      </c>
      <c r="C2477" s="2" t="s">
        <v>5065</v>
      </c>
      <c r="D2477" s="2" t="s">
        <v>3513</v>
      </c>
      <c r="E2477" s="2" t="str">
        <f>HYPERLINK("https://talan.bank.gov.ua/get-user-certificate/sec1eDGKxH178svJthY5","Завантажити сертифікат")</f>
        <v>Завантажити сертифікат</v>
      </c>
    </row>
    <row r="2478" spans="1:5" x14ac:dyDescent="0.3">
      <c r="A2478" s="2" t="s">
        <v>5066</v>
      </c>
      <c r="B2478" s="2" t="s">
        <v>5</v>
      </c>
      <c r="C2478" s="2" t="s">
        <v>5067</v>
      </c>
      <c r="D2478" s="2" t="s">
        <v>3513</v>
      </c>
      <c r="E2478" s="2" t="str">
        <f>HYPERLINK("https://talan.bank.gov.ua/get-user-certificate/sec1e1vU51xQOmhd72pW","Завантажити сертифікат")</f>
        <v>Завантажити сертифікат</v>
      </c>
    </row>
    <row r="2479" spans="1:5" x14ac:dyDescent="0.3">
      <c r="A2479" s="2" t="s">
        <v>5068</v>
      </c>
      <c r="B2479" s="2" t="s">
        <v>5</v>
      </c>
      <c r="C2479" s="2" t="s">
        <v>5069</v>
      </c>
      <c r="D2479" s="2" t="s">
        <v>3513</v>
      </c>
      <c r="E2479" s="2" t="str">
        <f>HYPERLINK("https://talan.bank.gov.ua/get-user-certificate/sec1eaRD4Kg1pc5L6ADB","Завантажити сертифікат")</f>
        <v>Завантажити сертифікат</v>
      </c>
    </row>
    <row r="2480" spans="1:5" x14ac:dyDescent="0.3">
      <c r="A2480" s="2" t="s">
        <v>5070</v>
      </c>
      <c r="B2480" s="2" t="s">
        <v>5</v>
      </c>
      <c r="C2480" s="2" t="s">
        <v>5071</v>
      </c>
      <c r="D2480" s="2" t="s">
        <v>3513</v>
      </c>
      <c r="E2480" s="2" t="str">
        <f>HYPERLINK("https://talan.bank.gov.ua/get-user-certificate/sec1en0ap6VqKAoKpQw0","Завантажити сертифікат")</f>
        <v>Завантажити сертифікат</v>
      </c>
    </row>
    <row r="2481" spans="1:5" x14ac:dyDescent="0.3">
      <c r="A2481" s="2" t="s">
        <v>5072</v>
      </c>
      <c r="B2481" s="2" t="s">
        <v>5</v>
      </c>
      <c r="C2481" s="2" t="s">
        <v>5073</v>
      </c>
      <c r="D2481" s="2" t="s">
        <v>3513</v>
      </c>
      <c r="E2481" s="2" t="str">
        <f>HYPERLINK("https://talan.bank.gov.ua/get-user-certificate/sec1e86ZTvi5BdUR_A9R","Завантажити сертифікат")</f>
        <v>Завантажити сертифікат</v>
      </c>
    </row>
    <row r="2482" spans="1:5" x14ac:dyDescent="0.3">
      <c r="A2482" s="2" t="s">
        <v>5074</v>
      </c>
      <c r="B2482" s="2" t="s">
        <v>5</v>
      </c>
      <c r="C2482" s="2" t="s">
        <v>5075</v>
      </c>
      <c r="D2482" s="2" t="s">
        <v>3513</v>
      </c>
      <c r="E2482" s="2" t="str">
        <f>HYPERLINK("https://talan.bank.gov.ua/get-user-certificate/sec1e92PFYzYwywwDQPq","Завантажити сертифікат")</f>
        <v>Завантажити сертифікат</v>
      </c>
    </row>
    <row r="2483" spans="1:5" x14ac:dyDescent="0.3">
      <c r="A2483" s="2" t="s">
        <v>5076</v>
      </c>
      <c r="B2483" s="2" t="s">
        <v>5</v>
      </c>
      <c r="C2483" s="2" t="s">
        <v>5077</v>
      </c>
      <c r="D2483" s="2" t="s">
        <v>3513</v>
      </c>
      <c r="E2483" s="2" t="str">
        <f>HYPERLINK("https://talan.bank.gov.ua/get-user-certificate/sec1eFWVpeayi-1a0M-o","Завантажити сертифікат")</f>
        <v>Завантажити сертифікат</v>
      </c>
    </row>
    <row r="2484" spans="1:5" x14ac:dyDescent="0.3">
      <c r="A2484" s="2" t="s">
        <v>5078</v>
      </c>
      <c r="B2484" s="2" t="s">
        <v>5</v>
      </c>
      <c r="C2484" s="2" t="s">
        <v>5079</v>
      </c>
      <c r="D2484" s="2" t="s">
        <v>3513</v>
      </c>
      <c r="E2484" s="2" t="str">
        <f>HYPERLINK("https://talan.bank.gov.ua/get-user-certificate/sec1efNR4rEfkU4lCyUZ","Завантажити сертифікат")</f>
        <v>Завантажити сертифікат</v>
      </c>
    </row>
    <row r="2485" spans="1:5" x14ac:dyDescent="0.3">
      <c r="A2485" s="2" t="s">
        <v>5080</v>
      </c>
      <c r="B2485" s="2" t="s">
        <v>5</v>
      </c>
      <c r="C2485" s="2" t="s">
        <v>5081</v>
      </c>
      <c r="D2485" s="2" t="s">
        <v>3513</v>
      </c>
      <c r="E2485" s="2" t="str">
        <f>HYPERLINK("https://talan.bank.gov.ua/get-user-certificate/sec1eZckixovSHNJ_Y83","Завантажити сертифікат")</f>
        <v>Завантажити сертифікат</v>
      </c>
    </row>
    <row r="2486" spans="1:5" x14ac:dyDescent="0.3">
      <c r="A2486" s="2" t="s">
        <v>5082</v>
      </c>
      <c r="B2486" s="2" t="s">
        <v>5</v>
      </c>
      <c r="C2486" s="2" t="s">
        <v>5083</v>
      </c>
      <c r="D2486" s="2" t="s">
        <v>3513</v>
      </c>
      <c r="E2486" s="2" t="str">
        <f>HYPERLINK("https://talan.bank.gov.ua/get-user-certificate/sec1ewpQvumLEIFSaUx2","Завантажити сертифікат")</f>
        <v>Завантажити сертифікат</v>
      </c>
    </row>
    <row r="2487" spans="1:5" x14ac:dyDescent="0.3">
      <c r="A2487" s="2" t="s">
        <v>5084</v>
      </c>
      <c r="B2487" s="2" t="s">
        <v>5</v>
      </c>
      <c r="C2487" s="2" t="s">
        <v>5085</v>
      </c>
      <c r="D2487" s="2" t="s">
        <v>3513</v>
      </c>
      <c r="E2487" s="2" t="str">
        <f>HYPERLINK("https://talan.bank.gov.ua/get-user-certificate/sec1eYw5ILQMbhzGRaqB","Завантажити сертифікат")</f>
        <v>Завантажити сертифікат</v>
      </c>
    </row>
    <row r="2488" spans="1:5" x14ac:dyDescent="0.3">
      <c r="A2488" s="2" t="s">
        <v>5086</v>
      </c>
      <c r="B2488" s="2" t="s">
        <v>5</v>
      </c>
      <c r="C2488" s="2" t="s">
        <v>5087</v>
      </c>
      <c r="D2488" s="2" t="s">
        <v>3513</v>
      </c>
      <c r="E2488" s="2" t="str">
        <f>HYPERLINK("https://talan.bank.gov.ua/get-user-certificate/sec1e9esNINw69t-5_zE","Завантажити сертифікат")</f>
        <v>Завантажити сертифікат</v>
      </c>
    </row>
    <row r="2489" spans="1:5" x14ac:dyDescent="0.3">
      <c r="A2489" s="2" t="s">
        <v>5088</v>
      </c>
      <c r="B2489" s="2" t="s">
        <v>5</v>
      </c>
      <c r="C2489" s="2" t="s">
        <v>5089</v>
      </c>
      <c r="D2489" s="2" t="s">
        <v>3513</v>
      </c>
      <c r="E2489" s="2" t="str">
        <f>HYPERLINK("https://talan.bank.gov.ua/get-user-certificate/sec1ex2eGcMvGtrYb01O","Завантажити сертифікат")</f>
        <v>Завантажити сертифікат</v>
      </c>
    </row>
    <row r="2490" spans="1:5" x14ac:dyDescent="0.3">
      <c r="A2490" s="2" t="s">
        <v>5090</v>
      </c>
      <c r="B2490" s="2" t="s">
        <v>5</v>
      </c>
      <c r="C2490" s="2" t="s">
        <v>5091</v>
      </c>
      <c r="D2490" s="2" t="s">
        <v>3513</v>
      </c>
      <c r="E2490" s="2" t="str">
        <f>HYPERLINK("https://talan.bank.gov.ua/get-user-certificate/sec1enB3X49G2d4NwSOK","Завантажити сертифікат")</f>
        <v>Завантажити сертифікат</v>
      </c>
    </row>
    <row r="2491" spans="1:5" x14ac:dyDescent="0.3">
      <c r="A2491" s="2" t="s">
        <v>5092</v>
      </c>
      <c r="B2491" s="2" t="s">
        <v>5</v>
      </c>
      <c r="C2491" s="2" t="s">
        <v>5093</v>
      </c>
      <c r="D2491" s="2" t="s">
        <v>3513</v>
      </c>
      <c r="E2491" s="2" t="str">
        <f>HYPERLINK("https://talan.bank.gov.ua/get-user-certificate/sec1eeo-dV1CaGRYbOzp","Завантажити сертифікат")</f>
        <v>Завантажити сертифікат</v>
      </c>
    </row>
    <row r="2492" spans="1:5" x14ac:dyDescent="0.3">
      <c r="A2492" s="2" t="s">
        <v>5094</v>
      </c>
      <c r="B2492" s="2" t="s">
        <v>5</v>
      </c>
      <c r="C2492" s="2" t="s">
        <v>5095</v>
      </c>
      <c r="D2492" s="2" t="s">
        <v>3513</v>
      </c>
      <c r="E2492" s="2" t="str">
        <f>HYPERLINK("https://talan.bank.gov.ua/get-user-certificate/sec1eQAt7CALxmWJhBvP","Завантажити сертифікат")</f>
        <v>Завантажити сертифікат</v>
      </c>
    </row>
    <row r="2493" spans="1:5" x14ac:dyDescent="0.3">
      <c r="A2493" s="2" t="s">
        <v>5096</v>
      </c>
      <c r="B2493" s="2" t="s">
        <v>5</v>
      </c>
      <c r="C2493" s="2" t="s">
        <v>5097</v>
      </c>
      <c r="D2493" s="2" t="s">
        <v>3513</v>
      </c>
      <c r="E2493" s="2" t="str">
        <f>HYPERLINK("https://talan.bank.gov.ua/get-user-certificate/sec1e275ABrtQdqihcBO","Завантажити сертифікат")</f>
        <v>Завантажити сертифікат</v>
      </c>
    </row>
    <row r="2494" spans="1:5" x14ac:dyDescent="0.3">
      <c r="A2494" s="2" t="s">
        <v>5098</v>
      </c>
      <c r="B2494" s="2" t="s">
        <v>5</v>
      </c>
      <c r="C2494" s="2" t="s">
        <v>5099</v>
      </c>
      <c r="D2494" s="2" t="s">
        <v>3513</v>
      </c>
      <c r="E2494" s="2" t="str">
        <f>HYPERLINK("https://talan.bank.gov.ua/get-user-certificate/sec1eocZHpMSL8vnyok6","Завантажити сертифікат")</f>
        <v>Завантажити сертифікат</v>
      </c>
    </row>
    <row r="2495" spans="1:5" x14ac:dyDescent="0.3">
      <c r="A2495" s="2" t="s">
        <v>5100</v>
      </c>
      <c r="B2495" s="2" t="s">
        <v>5</v>
      </c>
      <c r="C2495" s="2" t="s">
        <v>5101</v>
      </c>
      <c r="D2495" s="2" t="s">
        <v>3513</v>
      </c>
      <c r="E2495" s="2" t="str">
        <f>HYPERLINK("https://talan.bank.gov.ua/get-user-certificate/sec1eEWTxq2phZX74P7K","Завантажити сертифікат")</f>
        <v>Завантажити сертифікат</v>
      </c>
    </row>
    <row r="2496" spans="1:5" x14ac:dyDescent="0.3">
      <c r="A2496" s="2" t="s">
        <v>5102</v>
      </c>
      <c r="B2496" s="2" t="s">
        <v>5</v>
      </c>
      <c r="C2496" s="2" t="s">
        <v>5103</v>
      </c>
      <c r="D2496" s="2" t="s">
        <v>3513</v>
      </c>
      <c r="E2496" s="2" t="str">
        <f>HYPERLINK("https://talan.bank.gov.ua/get-user-certificate/sec1eGmPgNgzesKvjVVl","Завантажити сертифікат")</f>
        <v>Завантажити сертифікат</v>
      </c>
    </row>
    <row r="2497" spans="1:5" x14ac:dyDescent="0.3">
      <c r="A2497" s="2" t="s">
        <v>5104</v>
      </c>
      <c r="B2497" s="2" t="s">
        <v>5</v>
      </c>
      <c r="C2497" s="2" t="s">
        <v>5105</v>
      </c>
      <c r="D2497" s="2" t="s">
        <v>3513</v>
      </c>
      <c r="E2497" s="2" t="str">
        <f>HYPERLINK("https://talan.bank.gov.ua/get-user-certificate/sec1eCn-SFBBRkR3sAss","Завантажити сертифікат")</f>
        <v>Завантажити сертифікат</v>
      </c>
    </row>
    <row r="2498" spans="1:5" x14ac:dyDescent="0.3">
      <c r="A2498" s="2" t="s">
        <v>5106</v>
      </c>
      <c r="B2498" s="2" t="s">
        <v>5</v>
      </c>
      <c r="C2498" s="2" t="s">
        <v>5107</v>
      </c>
      <c r="D2498" s="2" t="s">
        <v>3513</v>
      </c>
      <c r="E2498" s="2" t="str">
        <f>HYPERLINK("https://talan.bank.gov.ua/get-user-certificate/sec1eH2afrW9JQNzCyBT","Завантажити сертифікат")</f>
        <v>Завантажити сертифікат</v>
      </c>
    </row>
    <row r="2499" spans="1:5" x14ac:dyDescent="0.3">
      <c r="A2499" s="2" t="s">
        <v>5108</v>
      </c>
      <c r="B2499" s="2" t="s">
        <v>5</v>
      </c>
      <c r="C2499" s="2" t="s">
        <v>5109</v>
      </c>
      <c r="D2499" s="2" t="s">
        <v>3513</v>
      </c>
      <c r="E2499" s="2" t="str">
        <f>HYPERLINK("https://talan.bank.gov.ua/get-user-certificate/sec1eGInW17MLPQJSojz","Завантажити сертифікат")</f>
        <v>Завантажити сертифікат</v>
      </c>
    </row>
    <row r="2500" spans="1:5" x14ac:dyDescent="0.3">
      <c r="A2500" s="2" t="s">
        <v>5110</v>
      </c>
      <c r="B2500" s="2" t="s">
        <v>5</v>
      </c>
      <c r="C2500" s="2" t="s">
        <v>5111</v>
      </c>
      <c r="D2500" s="2" t="s">
        <v>3513</v>
      </c>
      <c r="E2500" s="2" t="str">
        <f>HYPERLINK("https://talan.bank.gov.ua/get-user-certificate/sec1emQLjSZ2HNIIVTV_","Завантажити сертифікат")</f>
        <v>Завантажити сертифікат</v>
      </c>
    </row>
    <row r="2501" spans="1:5" x14ac:dyDescent="0.3">
      <c r="A2501" s="2" t="s">
        <v>5112</v>
      </c>
      <c r="B2501" s="2" t="s">
        <v>5</v>
      </c>
      <c r="C2501" s="2" t="s">
        <v>5113</v>
      </c>
      <c r="D2501" s="2" t="s">
        <v>3513</v>
      </c>
      <c r="E2501" s="2" t="str">
        <f>HYPERLINK("https://talan.bank.gov.ua/get-user-certificate/sec1eWT7pBu6X6foPN0m","Завантажити сертифікат")</f>
        <v>Завантажити сертифікат</v>
      </c>
    </row>
    <row r="2502" spans="1:5" x14ac:dyDescent="0.3">
      <c r="A2502" s="2" t="s">
        <v>5114</v>
      </c>
      <c r="B2502" s="2" t="s">
        <v>5</v>
      </c>
      <c r="C2502" s="2" t="s">
        <v>5115</v>
      </c>
      <c r="D2502" s="2" t="s">
        <v>3513</v>
      </c>
      <c r="E2502" s="2" t="str">
        <f>HYPERLINK("https://talan.bank.gov.ua/get-user-certificate/sec1eQlDE0wQtkkDMslQ","Завантажити сертифікат")</f>
        <v>Завантажити сертифікат</v>
      </c>
    </row>
    <row r="2503" spans="1:5" x14ac:dyDescent="0.3">
      <c r="A2503" s="2" t="s">
        <v>5116</v>
      </c>
      <c r="B2503" s="2" t="s">
        <v>5</v>
      </c>
      <c r="C2503" s="2" t="s">
        <v>5117</v>
      </c>
      <c r="D2503" s="2" t="s">
        <v>3513</v>
      </c>
      <c r="E2503" s="2" t="str">
        <f>HYPERLINK("https://talan.bank.gov.ua/get-user-certificate/sec1eownMKkFl4Ghkms6","Завантажити сертифікат")</f>
        <v>Завантажити сертифікат</v>
      </c>
    </row>
    <row r="2504" spans="1:5" x14ac:dyDescent="0.3">
      <c r="A2504" s="2" t="s">
        <v>5118</v>
      </c>
      <c r="B2504" s="2" t="s">
        <v>5</v>
      </c>
      <c r="C2504" s="2" t="s">
        <v>5119</v>
      </c>
      <c r="D2504" s="2" t="s">
        <v>3513</v>
      </c>
      <c r="E2504" s="2" t="str">
        <f>HYPERLINK("https://talan.bank.gov.ua/get-user-certificate/sec1eilplPt37lIl0isV","Завантажити сертифікат")</f>
        <v>Завантажити сертифікат</v>
      </c>
    </row>
    <row r="2505" spans="1:5" x14ac:dyDescent="0.3">
      <c r="A2505" s="2" t="s">
        <v>5120</v>
      </c>
      <c r="B2505" s="2" t="s">
        <v>5</v>
      </c>
      <c r="C2505" s="2" t="s">
        <v>5121</v>
      </c>
      <c r="D2505" s="2" t="s">
        <v>3513</v>
      </c>
      <c r="E2505" s="2" t="str">
        <f>HYPERLINK("https://talan.bank.gov.ua/get-user-certificate/sec1ePCD1IrRIZNI8aTy","Завантажити сертифікат")</f>
        <v>Завантажити сертифікат</v>
      </c>
    </row>
    <row r="2506" spans="1:5" x14ac:dyDescent="0.3">
      <c r="A2506" s="2" t="s">
        <v>5122</v>
      </c>
      <c r="B2506" s="2" t="s">
        <v>5</v>
      </c>
      <c r="C2506" s="2" t="s">
        <v>5123</v>
      </c>
      <c r="D2506" s="2" t="s">
        <v>3513</v>
      </c>
      <c r="E2506" s="2" t="str">
        <f>HYPERLINK("https://talan.bank.gov.ua/get-user-certificate/sec1evatPHJeDrbQeAXb","Завантажити сертифікат")</f>
        <v>Завантажити сертифікат</v>
      </c>
    </row>
    <row r="2507" spans="1:5" x14ac:dyDescent="0.3">
      <c r="A2507" s="2" t="s">
        <v>5124</v>
      </c>
      <c r="B2507" s="2" t="s">
        <v>5</v>
      </c>
      <c r="C2507" s="2" t="s">
        <v>5125</v>
      </c>
      <c r="D2507" s="2" t="s">
        <v>3513</v>
      </c>
      <c r="E2507" s="2" t="str">
        <f>HYPERLINK("https://talan.bank.gov.ua/get-user-certificate/sec1ebxaFdlLtH4jgBvn","Завантажити сертифікат")</f>
        <v>Завантажити сертифікат</v>
      </c>
    </row>
    <row r="2508" spans="1:5" x14ac:dyDescent="0.3">
      <c r="A2508" s="2" t="s">
        <v>5126</v>
      </c>
      <c r="B2508" s="2" t="s">
        <v>5</v>
      </c>
      <c r="C2508" s="2" t="s">
        <v>5127</v>
      </c>
      <c r="D2508" s="2" t="s">
        <v>3513</v>
      </c>
      <c r="E2508" s="2" t="str">
        <f>HYPERLINK("https://talan.bank.gov.ua/get-user-certificate/sec1eHpt5ARkv_FcQkvO","Завантажити сертифікат")</f>
        <v>Завантажити сертифікат</v>
      </c>
    </row>
    <row r="2509" spans="1:5" x14ac:dyDescent="0.3">
      <c r="A2509" s="2" t="s">
        <v>5128</v>
      </c>
      <c r="B2509" s="2" t="s">
        <v>5</v>
      </c>
      <c r="C2509" s="2" t="s">
        <v>5129</v>
      </c>
      <c r="D2509" s="2" t="s">
        <v>3513</v>
      </c>
      <c r="E2509" s="2" t="str">
        <f>HYPERLINK("https://talan.bank.gov.ua/get-user-certificate/sec1eX-XptQslw9pss8S","Завантажити сертифікат")</f>
        <v>Завантажити сертифікат</v>
      </c>
    </row>
    <row r="2510" spans="1:5" x14ac:dyDescent="0.3">
      <c r="A2510" s="2" t="s">
        <v>5130</v>
      </c>
      <c r="B2510" s="2" t="s">
        <v>5</v>
      </c>
      <c r="C2510" s="2" t="s">
        <v>5131</v>
      </c>
      <c r="D2510" s="2" t="s">
        <v>3513</v>
      </c>
      <c r="E2510" s="2" t="str">
        <f>HYPERLINK("https://talan.bank.gov.ua/get-user-certificate/sec1eE9W8inbvPe8ZN3T","Завантажити сертифікат")</f>
        <v>Завантажити сертифікат</v>
      </c>
    </row>
    <row r="2511" spans="1:5" x14ac:dyDescent="0.3">
      <c r="A2511" s="2" t="s">
        <v>5132</v>
      </c>
      <c r="B2511" s="2" t="s">
        <v>5</v>
      </c>
      <c r="C2511" s="2" t="s">
        <v>5133</v>
      </c>
      <c r="D2511" s="2" t="s">
        <v>3513</v>
      </c>
      <c r="E2511" s="2" t="str">
        <f>HYPERLINK("https://talan.bank.gov.ua/get-user-certificate/sec1eHr-Ae5yYMsPYi_X","Завантажити сертифікат")</f>
        <v>Завантажити сертифікат</v>
      </c>
    </row>
    <row r="2512" spans="1:5" x14ac:dyDescent="0.3">
      <c r="A2512" s="2" t="s">
        <v>5134</v>
      </c>
      <c r="B2512" s="2" t="s">
        <v>5</v>
      </c>
      <c r="C2512" s="2" t="s">
        <v>5135</v>
      </c>
      <c r="D2512" s="2" t="s">
        <v>5136</v>
      </c>
      <c r="E2512" s="2" t="str">
        <f>HYPERLINK("https://talan.bank.gov.ua/get-user-certificate/sec1e_vIxR_dEqcwwAiT","Завантажити сертифікат")</f>
        <v>Завантажити сертифікат</v>
      </c>
    </row>
    <row r="2513" spans="1:5" x14ac:dyDescent="0.3">
      <c r="A2513" s="2" t="s">
        <v>5137</v>
      </c>
      <c r="B2513" s="2" t="s">
        <v>5</v>
      </c>
      <c r="C2513" s="2" t="s">
        <v>5138</v>
      </c>
      <c r="D2513" s="2" t="s">
        <v>5136</v>
      </c>
      <c r="E2513" s="2" t="str">
        <f>HYPERLINK("https://talan.bank.gov.ua/get-user-certificate/sec1eLUUHoyjaDt_aqwE","Завантажити сертифікат")</f>
        <v>Завантажити сертифікат</v>
      </c>
    </row>
    <row r="2514" spans="1:5" x14ac:dyDescent="0.3">
      <c r="A2514" s="2" t="s">
        <v>5139</v>
      </c>
      <c r="B2514" s="2" t="s">
        <v>5</v>
      </c>
      <c r="C2514" s="2" t="s">
        <v>5140</v>
      </c>
      <c r="D2514" s="2" t="s">
        <v>5136</v>
      </c>
      <c r="E2514" s="2" t="str">
        <f>HYPERLINK("https://talan.bank.gov.ua/get-user-certificate/sec1e7JMR_8IEJaBrNmQ","Завантажити сертифікат")</f>
        <v>Завантажити сертифікат</v>
      </c>
    </row>
    <row r="2515" spans="1:5" x14ac:dyDescent="0.3">
      <c r="A2515" s="2" t="s">
        <v>5141</v>
      </c>
      <c r="B2515" s="2" t="s">
        <v>5</v>
      </c>
      <c r="C2515" s="2" t="s">
        <v>5142</v>
      </c>
      <c r="D2515" s="2" t="s">
        <v>5136</v>
      </c>
      <c r="E2515" s="2" t="str">
        <f>HYPERLINK("https://talan.bank.gov.ua/get-user-certificate/sec1eamnxzla0tsXUMwF","Завантажити сертифікат")</f>
        <v>Завантажити сертифікат</v>
      </c>
    </row>
    <row r="2516" spans="1:5" x14ac:dyDescent="0.3">
      <c r="A2516" s="2" t="s">
        <v>5143</v>
      </c>
      <c r="B2516" s="2" t="s">
        <v>5</v>
      </c>
      <c r="C2516" s="2" t="s">
        <v>5144</v>
      </c>
      <c r="D2516" s="2" t="s">
        <v>5136</v>
      </c>
      <c r="E2516" s="2" t="str">
        <f>HYPERLINK("https://talan.bank.gov.ua/get-user-certificate/sec1ewhfqjQpBWliA_I2","Завантажити сертифікат")</f>
        <v>Завантажити сертифікат</v>
      </c>
    </row>
    <row r="2517" spans="1:5" x14ac:dyDescent="0.3">
      <c r="A2517" s="2" t="s">
        <v>5145</v>
      </c>
      <c r="B2517" s="2" t="s">
        <v>5</v>
      </c>
      <c r="C2517" s="2" t="s">
        <v>5146</v>
      </c>
      <c r="D2517" s="2" t="s">
        <v>5136</v>
      </c>
      <c r="E2517" s="2" t="str">
        <f>HYPERLINK("https://talan.bank.gov.ua/get-user-certificate/sec1e8dqxb_LWzML-ZDI","Завантажити сертифікат")</f>
        <v>Завантажити сертифікат</v>
      </c>
    </row>
    <row r="2518" spans="1:5" x14ac:dyDescent="0.3">
      <c r="A2518" s="2" t="s">
        <v>5147</v>
      </c>
      <c r="B2518" s="2" t="s">
        <v>5</v>
      </c>
      <c r="C2518" s="2" t="s">
        <v>5148</v>
      </c>
      <c r="D2518" s="2" t="s">
        <v>5136</v>
      </c>
      <c r="E2518" s="2" t="str">
        <f>HYPERLINK("https://talan.bank.gov.ua/get-user-certificate/sec1eY0knc80bi-ojnJN","Завантажити сертифікат")</f>
        <v>Завантажити сертифікат</v>
      </c>
    </row>
    <row r="2519" spans="1:5" x14ac:dyDescent="0.3">
      <c r="A2519" s="2" t="s">
        <v>5149</v>
      </c>
      <c r="B2519" s="2" t="s">
        <v>5</v>
      </c>
      <c r="C2519" s="2" t="s">
        <v>5150</v>
      </c>
      <c r="D2519" s="2" t="s">
        <v>5136</v>
      </c>
      <c r="E2519" s="2" t="str">
        <f>HYPERLINK("https://talan.bank.gov.ua/get-user-certificate/sec1eZMCK7EGWpuXQA4w","Завантажити сертифікат")</f>
        <v>Завантажити сертифікат</v>
      </c>
    </row>
    <row r="2520" spans="1:5" x14ac:dyDescent="0.3">
      <c r="A2520" s="2" t="s">
        <v>5151</v>
      </c>
      <c r="B2520" s="2" t="s">
        <v>5</v>
      </c>
      <c r="C2520" s="2" t="s">
        <v>5152</v>
      </c>
      <c r="D2520" s="2" t="s">
        <v>5153</v>
      </c>
      <c r="E2520" s="2" t="str">
        <f>HYPERLINK("https://talan.bank.gov.ua/get-user-certificate/sec1eytaZSUESBvTGJMs","Завантажити сертифікат")</f>
        <v>Завантажити сертифікат</v>
      </c>
    </row>
    <row r="2521" spans="1:5" x14ac:dyDescent="0.3">
      <c r="A2521" s="2" t="s">
        <v>5154</v>
      </c>
      <c r="B2521" s="2" t="s">
        <v>5</v>
      </c>
      <c r="C2521" s="2" t="s">
        <v>5155</v>
      </c>
      <c r="D2521" s="2" t="s">
        <v>5153</v>
      </c>
      <c r="E2521" s="2" t="str">
        <f>HYPERLINK("https://talan.bank.gov.ua/get-user-certificate/sec1eS3lbnVdZn62qceB","Завантажити сертифікат")</f>
        <v>Завантажити сертифікат</v>
      </c>
    </row>
    <row r="2522" spans="1:5" x14ac:dyDescent="0.3">
      <c r="A2522" s="2" t="s">
        <v>5156</v>
      </c>
      <c r="B2522" s="2" t="s">
        <v>5</v>
      </c>
      <c r="C2522" s="2" t="s">
        <v>5157</v>
      </c>
      <c r="D2522" s="2" t="s">
        <v>5153</v>
      </c>
      <c r="E2522" s="2" t="str">
        <f>HYPERLINK("https://talan.bank.gov.ua/get-user-certificate/sec1e2p3kDhz8-UOpJwg","Завантажити сертифікат")</f>
        <v>Завантажити сертифікат</v>
      </c>
    </row>
    <row r="2523" spans="1:5" x14ac:dyDescent="0.3">
      <c r="A2523" s="2" t="s">
        <v>5158</v>
      </c>
      <c r="B2523" s="2" t="s">
        <v>5</v>
      </c>
      <c r="C2523" s="2" t="s">
        <v>5159</v>
      </c>
      <c r="D2523" s="2" t="s">
        <v>5153</v>
      </c>
      <c r="E2523" s="2" t="str">
        <f>HYPERLINK("https://talan.bank.gov.ua/get-user-certificate/sec1eFOsfy5flgtV_2f6","Завантажити сертифікат")</f>
        <v>Завантажити сертифікат</v>
      </c>
    </row>
    <row r="2524" spans="1:5" x14ac:dyDescent="0.3">
      <c r="A2524" s="2" t="s">
        <v>5160</v>
      </c>
      <c r="B2524" s="2" t="s">
        <v>5</v>
      </c>
      <c r="C2524" s="2" t="s">
        <v>5161</v>
      </c>
      <c r="D2524" s="2" t="s">
        <v>5153</v>
      </c>
      <c r="E2524" s="2" t="str">
        <f>HYPERLINK("https://talan.bank.gov.ua/get-user-certificate/sec1e_BG1UusoPqjGmdp","Завантажити сертифікат")</f>
        <v>Завантажити сертифікат</v>
      </c>
    </row>
    <row r="2525" spans="1:5" x14ac:dyDescent="0.3">
      <c r="A2525" s="2" t="s">
        <v>5162</v>
      </c>
      <c r="B2525" s="2" t="s">
        <v>5</v>
      </c>
      <c r="C2525" s="2" t="s">
        <v>5163</v>
      </c>
      <c r="D2525" s="2" t="s">
        <v>5153</v>
      </c>
      <c r="E2525" s="2" t="str">
        <f>HYPERLINK("https://talan.bank.gov.ua/get-user-certificate/sec1ebc3s3lWNp5xtwbl","Завантажити сертифікат")</f>
        <v>Завантажити сертифікат</v>
      </c>
    </row>
    <row r="2526" spans="1:5" x14ac:dyDescent="0.3">
      <c r="A2526" s="2" t="s">
        <v>5164</v>
      </c>
      <c r="B2526" s="2" t="s">
        <v>5</v>
      </c>
      <c r="C2526" s="2" t="s">
        <v>5165</v>
      </c>
      <c r="D2526" s="2" t="s">
        <v>5153</v>
      </c>
      <c r="E2526" s="2" t="str">
        <f>HYPERLINK("https://talan.bank.gov.ua/get-user-certificate/sec1ek_tAopPCnVPaFa2","Завантажити сертифікат")</f>
        <v>Завантажити сертифікат</v>
      </c>
    </row>
    <row r="2527" spans="1:5" x14ac:dyDescent="0.3">
      <c r="A2527" s="2" t="s">
        <v>5166</v>
      </c>
      <c r="B2527" s="2" t="s">
        <v>5</v>
      </c>
      <c r="C2527" s="2" t="s">
        <v>5167</v>
      </c>
      <c r="D2527" s="2" t="s">
        <v>5153</v>
      </c>
      <c r="E2527" s="2" t="str">
        <f>HYPERLINK("https://talan.bank.gov.ua/get-user-certificate/sec1e8VsCxzVMd43Q4u0","Завантажити сертифікат")</f>
        <v>Завантажити сертифікат</v>
      </c>
    </row>
    <row r="2528" spans="1:5" x14ac:dyDescent="0.3">
      <c r="A2528" s="2" t="s">
        <v>5168</v>
      </c>
      <c r="B2528" s="2" t="s">
        <v>5</v>
      </c>
      <c r="C2528" s="2" t="s">
        <v>5169</v>
      </c>
      <c r="D2528" s="2" t="s">
        <v>5153</v>
      </c>
      <c r="E2528" s="2" t="str">
        <f>HYPERLINK("https://talan.bank.gov.ua/get-user-certificate/sec1ejY-ISOnIPLuXSR3","Завантажити сертифікат")</f>
        <v>Завантажити сертифікат</v>
      </c>
    </row>
    <row r="2529" spans="1:5" x14ac:dyDescent="0.3">
      <c r="A2529" s="2" t="s">
        <v>5170</v>
      </c>
      <c r="B2529" s="2" t="s">
        <v>5</v>
      </c>
      <c r="C2529" s="2" t="s">
        <v>5171</v>
      </c>
      <c r="D2529" s="2" t="s">
        <v>5153</v>
      </c>
      <c r="E2529" s="2" t="str">
        <f>HYPERLINK("https://talan.bank.gov.ua/get-user-certificate/sec1eRdDe6dWflIn-06I","Завантажити сертифікат")</f>
        <v>Завантажити сертифікат</v>
      </c>
    </row>
    <row r="2530" spans="1:5" x14ac:dyDescent="0.3">
      <c r="A2530" s="2" t="s">
        <v>5172</v>
      </c>
      <c r="B2530" s="2" t="s">
        <v>5</v>
      </c>
      <c r="C2530" s="2" t="s">
        <v>5173</v>
      </c>
      <c r="D2530" s="2" t="s">
        <v>5153</v>
      </c>
      <c r="E2530" s="2" t="str">
        <f>HYPERLINK("https://talan.bank.gov.ua/get-user-certificate/sec1e6pFRKeJs3waZ9dA","Завантажити сертифікат")</f>
        <v>Завантажити сертифікат</v>
      </c>
    </row>
    <row r="2531" spans="1:5" x14ac:dyDescent="0.3">
      <c r="A2531" s="2" t="s">
        <v>5174</v>
      </c>
      <c r="B2531" s="2" t="s">
        <v>5</v>
      </c>
      <c r="C2531" s="2" t="s">
        <v>5175</v>
      </c>
      <c r="D2531" s="2" t="s">
        <v>5153</v>
      </c>
      <c r="E2531" s="2" t="str">
        <f>HYPERLINK("https://talan.bank.gov.ua/get-user-certificate/sec1eX_wZaUaJfcUWLxl","Завантажити сертифікат")</f>
        <v>Завантажити сертифікат</v>
      </c>
    </row>
    <row r="2532" spans="1:5" x14ac:dyDescent="0.3">
      <c r="A2532" s="2" t="s">
        <v>5176</v>
      </c>
      <c r="B2532" s="2" t="s">
        <v>5</v>
      </c>
      <c r="C2532" s="2" t="s">
        <v>5177</v>
      </c>
      <c r="D2532" s="2" t="s">
        <v>5153</v>
      </c>
      <c r="E2532" s="2" t="str">
        <f>HYPERLINK("https://talan.bank.gov.ua/get-user-certificate/sec1eiXZtF6eH2HyqELA","Завантажити сертифікат")</f>
        <v>Завантажити сертифікат</v>
      </c>
    </row>
    <row r="2533" spans="1:5" x14ac:dyDescent="0.3">
      <c r="A2533" s="2" t="s">
        <v>5178</v>
      </c>
      <c r="B2533" s="2" t="s">
        <v>5</v>
      </c>
      <c r="C2533" s="2" t="s">
        <v>5179</v>
      </c>
      <c r="D2533" s="2" t="s">
        <v>5153</v>
      </c>
      <c r="E2533" s="2" t="str">
        <f>HYPERLINK("https://talan.bank.gov.ua/get-user-certificate/sec1e1osvQdZhgVx_vbH","Завантажити сертифікат")</f>
        <v>Завантажити сертифікат</v>
      </c>
    </row>
    <row r="2534" spans="1:5" x14ac:dyDescent="0.3">
      <c r="A2534" s="2" t="s">
        <v>5180</v>
      </c>
      <c r="B2534" s="2" t="s">
        <v>5</v>
      </c>
      <c r="C2534" s="2" t="s">
        <v>5181</v>
      </c>
      <c r="D2534" s="2" t="s">
        <v>5153</v>
      </c>
      <c r="E2534" s="2" t="str">
        <f>HYPERLINK("https://talan.bank.gov.ua/get-user-certificate/sec1e5m7m46NYjtbgHQq","Завантажити сертифікат")</f>
        <v>Завантажити сертифікат</v>
      </c>
    </row>
    <row r="2535" spans="1:5" x14ac:dyDescent="0.3">
      <c r="A2535" s="2" t="s">
        <v>5182</v>
      </c>
      <c r="B2535" s="2" t="s">
        <v>5</v>
      </c>
      <c r="C2535" s="2" t="s">
        <v>5183</v>
      </c>
      <c r="D2535" s="2" t="s">
        <v>5153</v>
      </c>
      <c r="E2535" s="2" t="str">
        <f>HYPERLINK("https://talan.bank.gov.ua/get-user-certificate/sec1ePPu9rHD8FeLUNWJ","Завантажити сертифікат")</f>
        <v>Завантажити сертифікат</v>
      </c>
    </row>
    <row r="2536" spans="1:5" x14ac:dyDescent="0.3">
      <c r="A2536" s="2" t="s">
        <v>5184</v>
      </c>
      <c r="B2536" s="2" t="s">
        <v>5</v>
      </c>
      <c r="C2536" s="2" t="s">
        <v>5185</v>
      </c>
      <c r="D2536" s="2" t="s">
        <v>5153</v>
      </c>
      <c r="E2536" s="2" t="str">
        <f>HYPERLINK("https://talan.bank.gov.ua/get-user-certificate/sec1e4VmeIpGk3Lzy8q8","Завантажити сертифікат")</f>
        <v>Завантажити сертифікат</v>
      </c>
    </row>
    <row r="2537" spans="1:5" x14ac:dyDescent="0.3">
      <c r="A2537" s="2" t="s">
        <v>5186</v>
      </c>
      <c r="B2537" s="2" t="s">
        <v>5</v>
      </c>
      <c r="C2537" s="2" t="s">
        <v>5187</v>
      </c>
      <c r="D2537" s="2" t="s">
        <v>5153</v>
      </c>
      <c r="E2537" s="2" t="str">
        <f>HYPERLINK("https://talan.bank.gov.ua/get-user-certificate/sec1e0dA3bB34ktkiTsJ","Завантажити сертифікат")</f>
        <v>Завантажити сертифікат</v>
      </c>
    </row>
    <row r="2538" spans="1:5" x14ac:dyDescent="0.3">
      <c r="A2538" s="2" t="s">
        <v>5188</v>
      </c>
      <c r="B2538" s="2" t="s">
        <v>5</v>
      </c>
      <c r="C2538" s="2" t="s">
        <v>5189</v>
      </c>
      <c r="D2538" s="2" t="s">
        <v>5153</v>
      </c>
      <c r="E2538" s="2" t="str">
        <f>HYPERLINK("https://talan.bank.gov.ua/get-user-certificate/sec1eJ_4dOv8jAavWAoM","Завантажити сертифікат")</f>
        <v>Завантажити сертифікат</v>
      </c>
    </row>
    <row r="2539" spans="1:5" x14ac:dyDescent="0.3">
      <c r="A2539" s="2" t="s">
        <v>5190</v>
      </c>
      <c r="B2539" s="2" t="s">
        <v>5</v>
      </c>
      <c r="C2539" s="2" t="s">
        <v>5191</v>
      </c>
      <c r="D2539" s="2" t="s">
        <v>5153</v>
      </c>
      <c r="E2539" s="2" t="str">
        <f>HYPERLINK("https://talan.bank.gov.ua/get-user-certificate/sec1eMKXz6nWjTdZ6x2M","Завантажити сертифікат")</f>
        <v>Завантажити сертифікат</v>
      </c>
    </row>
    <row r="2540" spans="1:5" x14ac:dyDescent="0.3">
      <c r="A2540" s="2" t="s">
        <v>5192</v>
      </c>
      <c r="B2540" s="2" t="s">
        <v>5</v>
      </c>
      <c r="C2540" s="2" t="s">
        <v>5193</v>
      </c>
      <c r="D2540" s="2" t="s">
        <v>5153</v>
      </c>
      <c r="E2540" s="2" t="str">
        <f>HYPERLINK("https://talan.bank.gov.ua/get-user-certificate/sec1epqaN8O1H4qpbzOy","Завантажити сертифікат")</f>
        <v>Завантажити сертифікат</v>
      </c>
    </row>
    <row r="2541" spans="1:5" x14ac:dyDescent="0.3">
      <c r="A2541" s="2" t="s">
        <v>5194</v>
      </c>
      <c r="B2541" s="2" t="s">
        <v>5</v>
      </c>
      <c r="C2541" s="2" t="s">
        <v>5195</v>
      </c>
      <c r="D2541" s="2" t="s">
        <v>5153</v>
      </c>
      <c r="E2541" s="2" t="str">
        <f>HYPERLINK("https://talan.bank.gov.ua/get-user-certificate/sec1egmyjxjEIBpvVFeX","Завантажити сертифікат")</f>
        <v>Завантажити сертифікат</v>
      </c>
    </row>
    <row r="2542" spans="1:5" x14ac:dyDescent="0.3">
      <c r="A2542" s="2" t="s">
        <v>5196</v>
      </c>
      <c r="B2542" s="2" t="s">
        <v>5</v>
      </c>
      <c r="C2542" s="2" t="s">
        <v>5197</v>
      </c>
      <c r="D2542" s="2" t="s">
        <v>5153</v>
      </c>
      <c r="E2542" s="2" t="str">
        <f>HYPERLINK("https://talan.bank.gov.ua/get-user-certificate/sec1eX7pjzMhzmqHOudC","Завантажити сертифікат")</f>
        <v>Завантажити сертифікат</v>
      </c>
    </row>
    <row r="2543" spans="1:5" x14ac:dyDescent="0.3">
      <c r="A2543" s="2" t="s">
        <v>5198</v>
      </c>
      <c r="B2543" s="2" t="s">
        <v>5</v>
      </c>
      <c r="C2543" s="2" t="s">
        <v>5199</v>
      </c>
      <c r="D2543" s="2" t="s">
        <v>5153</v>
      </c>
      <c r="E2543" s="2" t="str">
        <f>HYPERLINK("https://talan.bank.gov.ua/get-user-certificate/sec1ep0I2_FMJpYQ4wQ8","Завантажити сертифікат")</f>
        <v>Завантажити сертифікат</v>
      </c>
    </row>
    <row r="2544" spans="1:5" x14ac:dyDescent="0.3">
      <c r="A2544" s="2" t="s">
        <v>5200</v>
      </c>
      <c r="B2544" s="2" t="s">
        <v>5</v>
      </c>
      <c r="C2544" s="2" t="s">
        <v>5201</v>
      </c>
      <c r="D2544" s="2" t="s">
        <v>5153</v>
      </c>
      <c r="E2544" s="2" t="str">
        <f>HYPERLINK("https://talan.bank.gov.ua/get-user-certificate/sec1ePwBe8TXRrKGqDaq","Завантажити сертифікат")</f>
        <v>Завантажити сертифікат</v>
      </c>
    </row>
    <row r="2545" spans="1:5" x14ac:dyDescent="0.3">
      <c r="A2545" s="2" t="s">
        <v>5202</v>
      </c>
      <c r="B2545" s="2" t="s">
        <v>5</v>
      </c>
      <c r="C2545" s="2" t="s">
        <v>5203</v>
      </c>
      <c r="D2545" s="2" t="s">
        <v>5153</v>
      </c>
      <c r="E2545" s="2" t="str">
        <f>HYPERLINK("https://talan.bank.gov.ua/get-user-certificate/sec1e0g99kBxLLuilFTI","Завантажити сертифікат")</f>
        <v>Завантажити сертифікат</v>
      </c>
    </row>
    <row r="2546" spans="1:5" x14ac:dyDescent="0.3">
      <c r="A2546" s="2" t="s">
        <v>5204</v>
      </c>
      <c r="B2546" s="2" t="s">
        <v>5</v>
      </c>
      <c r="C2546" s="2" t="s">
        <v>5205</v>
      </c>
      <c r="D2546" s="2" t="s">
        <v>5153</v>
      </c>
      <c r="E2546" s="2" t="str">
        <f>HYPERLINK("https://talan.bank.gov.ua/get-user-certificate/sec1eNw1Bc750YEr-Oqp","Завантажити сертифікат")</f>
        <v>Завантажити сертифікат</v>
      </c>
    </row>
    <row r="2547" spans="1:5" x14ac:dyDescent="0.3">
      <c r="A2547" s="2" t="s">
        <v>5206</v>
      </c>
      <c r="B2547" s="2" t="s">
        <v>5</v>
      </c>
      <c r="C2547" s="2" t="s">
        <v>5207</v>
      </c>
      <c r="D2547" s="2" t="s">
        <v>5153</v>
      </c>
      <c r="E2547" s="2" t="str">
        <f>HYPERLINK("https://talan.bank.gov.ua/get-user-certificate/sec1eH3fBAVqaOoxqfGS","Завантажити сертифікат")</f>
        <v>Завантажити сертифікат</v>
      </c>
    </row>
    <row r="2548" spans="1:5" x14ac:dyDescent="0.3">
      <c r="A2548" s="2" t="s">
        <v>5208</v>
      </c>
      <c r="B2548" s="2" t="s">
        <v>5</v>
      </c>
      <c r="C2548" s="2" t="s">
        <v>5209</v>
      </c>
      <c r="D2548" s="2" t="s">
        <v>5153</v>
      </c>
      <c r="E2548" s="2" t="str">
        <f>HYPERLINK("https://talan.bank.gov.ua/get-user-certificate/sec1eVqim1aOkBj-9Nfg","Завантажити сертифікат")</f>
        <v>Завантажити сертифікат</v>
      </c>
    </row>
    <row r="2549" spans="1:5" x14ac:dyDescent="0.3">
      <c r="A2549" s="2" t="s">
        <v>5210</v>
      </c>
      <c r="B2549" s="2" t="s">
        <v>5</v>
      </c>
      <c r="C2549" s="2" t="s">
        <v>5211</v>
      </c>
      <c r="D2549" s="2" t="s">
        <v>5153</v>
      </c>
      <c r="E2549" s="2" t="str">
        <f>HYPERLINK("https://talan.bank.gov.ua/get-user-certificate/sec1eXDl93vc6OFwwWbT","Завантажити сертифікат")</f>
        <v>Завантажити сертифікат</v>
      </c>
    </row>
    <row r="2550" spans="1:5" x14ac:dyDescent="0.3">
      <c r="A2550" s="2" t="s">
        <v>5212</v>
      </c>
      <c r="B2550" s="2" t="s">
        <v>5</v>
      </c>
      <c r="C2550" s="2" t="s">
        <v>5213</v>
      </c>
      <c r="D2550" s="2" t="s">
        <v>5153</v>
      </c>
      <c r="E2550" s="2" t="str">
        <f>HYPERLINK("https://talan.bank.gov.ua/get-user-certificate/sec1eQsQVGPo9lgUm6yS","Завантажити сертифікат")</f>
        <v>Завантажити сертифікат</v>
      </c>
    </row>
    <row r="2551" spans="1:5" x14ac:dyDescent="0.3">
      <c r="A2551" s="2" t="s">
        <v>5214</v>
      </c>
      <c r="B2551" s="2" t="s">
        <v>5</v>
      </c>
      <c r="C2551" s="2" t="s">
        <v>5215</v>
      </c>
      <c r="D2551" s="2" t="s">
        <v>5153</v>
      </c>
      <c r="E2551" s="2" t="str">
        <f>HYPERLINK("https://talan.bank.gov.ua/get-user-certificate/sec1ejO8btPVHfoh5Mcv","Завантажити сертифікат")</f>
        <v>Завантажити сертифікат</v>
      </c>
    </row>
    <row r="2552" spans="1:5" x14ac:dyDescent="0.3">
      <c r="A2552" s="2" t="s">
        <v>5216</v>
      </c>
      <c r="B2552" s="2" t="s">
        <v>5</v>
      </c>
      <c r="C2552" s="2" t="s">
        <v>5217</v>
      </c>
      <c r="D2552" s="2" t="s">
        <v>5153</v>
      </c>
      <c r="E2552" s="2" t="str">
        <f>HYPERLINK("https://talan.bank.gov.ua/get-user-certificate/sec1eSW-qYpVAaq8ypGX","Завантажити сертифікат")</f>
        <v>Завантажити сертифікат</v>
      </c>
    </row>
    <row r="2553" spans="1:5" x14ac:dyDescent="0.3">
      <c r="A2553" s="2" t="s">
        <v>5218</v>
      </c>
      <c r="B2553" s="2" t="s">
        <v>5</v>
      </c>
      <c r="C2553" s="2" t="s">
        <v>5219</v>
      </c>
      <c r="D2553" s="2" t="s">
        <v>5153</v>
      </c>
      <c r="E2553" s="2" t="str">
        <f>HYPERLINK("https://talan.bank.gov.ua/get-user-certificate/sec1eqNGZWfp4v14e8J7","Завантажити сертифікат")</f>
        <v>Завантажити сертифікат</v>
      </c>
    </row>
    <row r="2554" spans="1:5" x14ac:dyDescent="0.3">
      <c r="A2554" s="2" t="s">
        <v>5220</v>
      </c>
      <c r="B2554" s="2" t="s">
        <v>5</v>
      </c>
      <c r="C2554" s="2" t="s">
        <v>5221</v>
      </c>
      <c r="D2554" s="2" t="s">
        <v>5153</v>
      </c>
      <c r="E2554" s="2" t="str">
        <f>HYPERLINK("https://talan.bank.gov.ua/get-user-certificate/sec1eaGnD7rge9bpdgjT","Завантажити сертифікат")</f>
        <v>Завантажити сертифікат</v>
      </c>
    </row>
    <row r="2555" spans="1:5" x14ac:dyDescent="0.3">
      <c r="A2555" s="2" t="s">
        <v>5222</v>
      </c>
      <c r="B2555" s="2" t="s">
        <v>5</v>
      </c>
      <c r="C2555" s="2" t="s">
        <v>5223</v>
      </c>
      <c r="D2555" s="2" t="s">
        <v>5153</v>
      </c>
      <c r="E2555" s="2" t="str">
        <f>HYPERLINK("https://talan.bank.gov.ua/get-user-certificate/sec1eXIw48-jDtt1TvE_","Завантажити сертифікат")</f>
        <v>Завантажити сертифікат</v>
      </c>
    </row>
    <row r="2556" spans="1:5" x14ac:dyDescent="0.3">
      <c r="A2556" s="2" t="s">
        <v>5224</v>
      </c>
      <c r="B2556" s="2" t="s">
        <v>5</v>
      </c>
      <c r="C2556" s="2" t="s">
        <v>5225</v>
      </c>
      <c r="D2556" s="2" t="s">
        <v>5153</v>
      </c>
      <c r="E2556" s="2" t="str">
        <f>HYPERLINK("https://talan.bank.gov.ua/get-user-certificate/sec1e4uEgtSsB_yTdApm","Завантажити сертифікат")</f>
        <v>Завантажити сертифікат</v>
      </c>
    </row>
    <row r="2557" spans="1:5" x14ac:dyDescent="0.3">
      <c r="A2557" s="2" t="s">
        <v>5226</v>
      </c>
      <c r="B2557" s="2" t="s">
        <v>5</v>
      </c>
      <c r="C2557" s="2" t="s">
        <v>5227</v>
      </c>
      <c r="D2557" s="2" t="s">
        <v>5153</v>
      </c>
      <c r="E2557" s="2" t="str">
        <f>HYPERLINK("https://talan.bank.gov.ua/get-user-certificate/sec1eMI230szYBKVOooa","Завантажити сертифікат")</f>
        <v>Завантажити сертифікат</v>
      </c>
    </row>
    <row r="2558" spans="1:5" x14ac:dyDescent="0.3">
      <c r="A2558" s="2" t="s">
        <v>5228</v>
      </c>
      <c r="B2558" s="2" t="s">
        <v>5</v>
      </c>
      <c r="C2558" s="2" t="s">
        <v>5229</v>
      </c>
      <c r="D2558" s="2" t="s">
        <v>5153</v>
      </c>
      <c r="E2558" s="2" t="str">
        <f>HYPERLINK("https://talan.bank.gov.ua/get-user-certificate/sec1eqLU5CQXiWqkp7QN","Завантажити сертифікат")</f>
        <v>Завантажити сертифікат</v>
      </c>
    </row>
    <row r="2559" spans="1:5" x14ac:dyDescent="0.3">
      <c r="A2559" s="2" t="s">
        <v>5230</v>
      </c>
      <c r="B2559" s="2" t="s">
        <v>5</v>
      </c>
      <c r="C2559" s="2" t="s">
        <v>5231</v>
      </c>
      <c r="D2559" s="2" t="s">
        <v>5232</v>
      </c>
      <c r="E2559" s="2" t="str">
        <f>HYPERLINK("https://talan.bank.gov.ua/get-user-certificate/sec1eEanbv4hGhXQX6ct","Завантажити сертифікат")</f>
        <v>Завантажити сертифікат</v>
      </c>
    </row>
    <row r="2560" spans="1:5" x14ac:dyDescent="0.3">
      <c r="A2560" s="2" t="s">
        <v>5233</v>
      </c>
      <c r="B2560" s="2" t="s">
        <v>5</v>
      </c>
      <c r="C2560" s="2" t="s">
        <v>5234</v>
      </c>
      <c r="D2560" s="2" t="s">
        <v>5232</v>
      </c>
      <c r="E2560" s="2" t="str">
        <f>HYPERLINK("https://talan.bank.gov.ua/get-user-certificate/sec1eJO341GPb3XFLT-H","Завантажити сертифікат")</f>
        <v>Завантажити сертифікат</v>
      </c>
    </row>
    <row r="2561" spans="1:5" x14ac:dyDescent="0.3">
      <c r="A2561" s="2" t="s">
        <v>5235</v>
      </c>
      <c r="B2561" s="2" t="s">
        <v>5</v>
      </c>
      <c r="C2561" s="2" t="s">
        <v>5236</v>
      </c>
      <c r="D2561" s="2" t="s">
        <v>5232</v>
      </c>
      <c r="E2561" s="2" t="str">
        <f>HYPERLINK("https://talan.bank.gov.ua/get-user-certificate/sec1enX1dKIRw-T_HnP_","Завантажити сертифікат")</f>
        <v>Завантажити сертифікат</v>
      </c>
    </row>
    <row r="2562" spans="1:5" x14ac:dyDescent="0.3">
      <c r="A2562" s="2" t="s">
        <v>5237</v>
      </c>
      <c r="B2562" s="2" t="s">
        <v>5</v>
      </c>
      <c r="C2562" s="2" t="s">
        <v>5238</v>
      </c>
      <c r="D2562" s="2" t="s">
        <v>5232</v>
      </c>
      <c r="E2562" s="2" t="str">
        <f>HYPERLINK("https://talan.bank.gov.ua/get-user-certificate/sec1eXS92rStMZs_y029","Завантажити сертифікат")</f>
        <v>Завантажити сертифікат</v>
      </c>
    </row>
    <row r="2563" spans="1:5" x14ac:dyDescent="0.3">
      <c r="A2563" s="2" t="s">
        <v>5239</v>
      </c>
      <c r="B2563" s="2" t="s">
        <v>5</v>
      </c>
      <c r="C2563" s="2" t="s">
        <v>5240</v>
      </c>
      <c r="D2563" s="2" t="s">
        <v>5232</v>
      </c>
      <c r="E2563" s="2" t="str">
        <f>HYPERLINK("https://talan.bank.gov.ua/get-user-certificate/sec1eoIsfmEA1LYLO79z","Завантажити сертифікат")</f>
        <v>Завантажити сертифікат</v>
      </c>
    </row>
    <row r="2564" spans="1:5" x14ac:dyDescent="0.3">
      <c r="A2564" s="2" t="s">
        <v>5241</v>
      </c>
      <c r="B2564" s="2" t="s">
        <v>5</v>
      </c>
      <c r="C2564" s="2" t="s">
        <v>5242</v>
      </c>
      <c r="D2564" s="2" t="s">
        <v>5232</v>
      </c>
      <c r="E2564" s="2" t="str">
        <f>HYPERLINK("https://talan.bank.gov.ua/get-user-certificate/sec1eQEfDEpNFqI6WmqQ","Завантажити сертифікат")</f>
        <v>Завантажити сертифікат</v>
      </c>
    </row>
    <row r="2565" spans="1:5" x14ac:dyDescent="0.3">
      <c r="A2565" s="2" t="s">
        <v>5243</v>
      </c>
      <c r="B2565" s="2" t="s">
        <v>5</v>
      </c>
      <c r="C2565" s="2" t="s">
        <v>5244</v>
      </c>
      <c r="D2565" s="2" t="s">
        <v>5232</v>
      </c>
      <c r="E2565" s="2" t="str">
        <f>HYPERLINK("https://talan.bank.gov.ua/get-user-certificate/sec1e2iKS6VzOuWkXHxF","Завантажити сертифікат")</f>
        <v>Завантажити сертифікат</v>
      </c>
    </row>
    <row r="2566" spans="1:5" x14ac:dyDescent="0.3">
      <c r="A2566" s="2" t="s">
        <v>5245</v>
      </c>
      <c r="B2566" s="2" t="s">
        <v>5</v>
      </c>
      <c r="C2566" s="2" t="s">
        <v>5246</v>
      </c>
      <c r="D2566" s="2" t="s">
        <v>5232</v>
      </c>
      <c r="E2566" s="2" t="str">
        <f>HYPERLINK("https://talan.bank.gov.ua/get-user-certificate/sec1ei3Id5O-fyx5K8E-","Завантажити сертифікат")</f>
        <v>Завантажити сертифікат</v>
      </c>
    </row>
    <row r="2567" spans="1:5" x14ac:dyDescent="0.3">
      <c r="A2567" s="2" t="s">
        <v>5247</v>
      </c>
      <c r="B2567" s="2" t="s">
        <v>5</v>
      </c>
      <c r="C2567" s="2" t="s">
        <v>5248</v>
      </c>
      <c r="D2567" s="2" t="s">
        <v>5232</v>
      </c>
      <c r="E2567" s="2" t="str">
        <f>HYPERLINK("https://talan.bank.gov.ua/get-user-certificate/sec1ew5cEoPORunSKZMT","Завантажити сертифікат")</f>
        <v>Завантажити сертифікат</v>
      </c>
    </row>
    <row r="2568" spans="1:5" x14ac:dyDescent="0.3">
      <c r="A2568" s="2" t="s">
        <v>5249</v>
      </c>
      <c r="B2568" s="2" t="s">
        <v>5</v>
      </c>
      <c r="C2568" s="2" t="s">
        <v>5250</v>
      </c>
      <c r="D2568" s="2" t="s">
        <v>5232</v>
      </c>
      <c r="E2568" s="2" t="str">
        <f>HYPERLINK("https://talan.bank.gov.ua/get-user-certificate/sec1eUus1Ii9FJSSGLXY","Завантажити сертифікат")</f>
        <v>Завантажити сертифікат</v>
      </c>
    </row>
    <row r="2569" spans="1:5" x14ac:dyDescent="0.3">
      <c r="A2569" s="2" t="s">
        <v>5251</v>
      </c>
      <c r="B2569" s="2" t="s">
        <v>5</v>
      </c>
      <c r="C2569" s="2" t="s">
        <v>5252</v>
      </c>
      <c r="D2569" s="2" t="s">
        <v>5232</v>
      </c>
      <c r="E2569" s="2" t="str">
        <f>HYPERLINK("https://talan.bank.gov.ua/get-user-certificate/sec1en7ND-Wjo9tpW2l7","Завантажити сертифікат")</f>
        <v>Завантажити сертифікат</v>
      </c>
    </row>
    <row r="2570" spans="1:5" x14ac:dyDescent="0.3">
      <c r="A2570" s="2" t="s">
        <v>5253</v>
      </c>
      <c r="B2570" s="2" t="s">
        <v>5</v>
      </c>
      <c r="C2570" s="2" t="s">
        <v>5254</v>
      </c>
      <c r="D2570" s="2" t="s">
        <v>5232</v>
      </c>
      <c r="E2570" s="2" t="str">
        <f>HYPERLINK("https://talan.bank.gov.ua/get-user-certificate/sec1e7ZqVM2iK2XlMu7z","Завантажити сертифікат")</f>
        <v>Завантажити сертифікат</v>
      </c>
    </row>
    <row r="2571" spans="1:5" x14ac:dyDescent="0.3">
      <c r="A2571" s="2" t="s">
        <v>5255</v>
      </c>
      <c r="B2571" s="2" t="s">
        <v>5</v>
      </c>
      <c r="C2571" s="2" t="s">
        <v>5256</v>
      </c>
      <c r="D2571" s="2" t="s">
        <v>5232</v>
      </c>
      <c r="E2571" s="2" t="str">
        <f>HYPERLINK("https://talan.bank.gov.ua/get-user-certificate/sec1eMem1vwiysGs7Z4O","Завантажити сертифікат")</f>
        <v>Завантажити сертифікат</v>
      </c>
    </row>
    <row r="2572" spans="1:5" x14ac:dyDescent="0.3">
      <c r="A2572" s="2" t="s">
        <v>5257</v>
      </c>
      <c r="B2572" s="2" t="s">
        <v>5</v>
      </c>
      <c r="C2572" s="2" t="s">
        <v>5258</v>
      </c>
      <c r="D2572" s="2" t="s">
        <v>5232</v>
      </c>
      <c r="E2572" s="2" t="str">
        <f>HYPERLINK("https://talan.bank.gov.ua/get-user-certificate/sec1ebUv9JF8VhV30qBP","Завантажити сертифікат")</f>
        <v>Завантажити сертифікат</v>
      </c>
    </row>
    <row r="2573" spans="1:5" x14ac:dyDescent="0.3">
      <c r="A2573" s="2" t="s">
        <v>5259</v>
      </c>
      <c r="B2573" s="2" t="s">
        <v>5</v>
      </c>
      <c r="C2573" s="2" t="s">
        <v>5260</v>
      </c>
      <c r="D2573" s="2" t="s">
        <v>5232</v>
      </c>
      <c r="E2573" s="2" t="str">
        <f>HYPERLINK("https://talan.bank.gov.ua/get-user-certificate/sec1eFEW465o0MSFJeOm","Завантажити сертифікат")</f>
        <v>Завантажити сертифікат</v>
      </c>
    </row>
    <row r="2574" spans="1:5" x14ac:dyDescent="0.3">
      <c r="A2574" s="2" t="s">
        <v>5261</v>
      </c>
      <c r="B2574" s="2" t="s">
        <v>5</v>
      </c>
      <c r="C2574" s="2" t="s">
        <v>5262</v>
      </c>
      <c r="D2574" s="2" t="s">
        <v>5232</v>
      </c>
      <c r="E2574" s="2" t="str">
        <f>HYPERLINK("https://talan.bank.gov.ua/get-user-certificate/sec1e2qMFDyxBN-Bi7HD","Завантажити сертифікат")</f>
        <v>Завантажити сертифікат</v>
      </c>
    </row>
    <row r="2575" spans="1:5" x14ac:dyDescent="0.3">
      <c r="A2575" s="2" t="s">
        <v>5263</v>
      </c>
      <c r="B2575" s="2" t="s">
        <v>5</v>
      </c>
      <c r="C2575" s="2" t="s">
        <v>5264</v>
      </c>
      <c r="D2575" s="2" t="s">
        <v>5232</v>
      </c>
      <c r="E2575" s="2" t="str">
        <f>HYPERLINK("https://talan.bank.gov.ua/get-user-certificate/sec1eV28yaneeLc7uY03","Завантажити сертифікат")</f>
        <v>Завантажити сертифікат</v>
      </c>
    </row>
    <row r="2576" spans="1:5" x14ac:dyDescent="0.3">
      <c r="A2576" s="2" t="s">
        <v>5265</v>
      </c>
      <c r="B2576" s="2" t="s">
        <v>5</v>
      </c>
      <c r="C2576" s="2" t="s">
        <v>5266</v>
      </c>
      <c r="D2576" s="2" t="s">
        <v>5232</v>
      </c>
      <c r="E2576" s="2" t="str">
        <f>HYPERLINK("https://talan.bank.gov.ua/get-user-certificate/sec1ev4l3e6ioSUeANI0","Завантажити сертифікат")</f>
        <v>Завантажити сертифікат</v>
      </c>
    </row>
    <row r="2577" spans="1:5" x14ac:dyDescent="0.3">
      <c r="A2577" s="2" t="s">
        <v>5267</v>
      </c>
      <c r="B2577" s="2" t="s">
        <v>5</v>
      </c>
      <c r="C2577" s="2" t="s">
        <v>5268</v>
      </c>
      <c r="D2577" s="2" t="s">
        <v>5232</v>
      </c>
      <c r="E2577" s="2" t="str">
        <f>HYPERLINK("https://talan.bank.gov.ua/get-user-certificate/sec1eUOMOW9pDGlb2Luu","Завантажити сертифікат")</f>
        <v>Завантажити сертифікат</v>
      </c>
    </row>
    <row r="2578" spans="1:5" x14ac:dyDescent="0.3">
      <c r="A2578" s="2" t="s">
        <v>5269</v>
      </c>
      <c r="B2578" s="2" t="s">
        <v>5</v>
      </c>
      <c r="C2578" s="2" t="s">
        <v>5270</v>
      </c>
      <c r="D2578" s="2" t="s">
        <v>5232</v>
      </c>
      <c r="E2578" s="2" t="str">
        <f>HYPERLINK("https://talan.bank.gov.ua/get-user-certificate/sec1e8CS2BA50gmRK2r-","Завантажити сертифікат")</f>
        <v>Завантажити сертифікат</v>
      </c>
    </row>
    <row r="2579" spans="1:5" x14ac:dyDescent="0.3">
      <c r="A2579" s="2" t="s">
        <v>5271</v>
      </c>
      <c r="B2579" s="2" t="s">
        <v>5</v>
      </c>
      <c r="C2579" s="2" t="s">
        <v>5272</v>
      </c>
      <c r="D2579" s="2" t="s">
        <v>5232</v>
      </c>
      <c r="E2579" s="2" t="str">
        <f>HYPERLINK("https://talan.bank.gov.ua/get-user-certificate/sec1ehkVsO1_aSRhvm7G","Завантажити сертифікат")</f>
        <v>Завантажити сертифікат</v>
      </c>
    </row>
    <row r="2580" spans="1:5" x14ac:dyDescent="0.3">
      <c r="A2580" s="2" t="s">
        <v>5273</v>
      </c>
      <c r="B2580" s="2" t="s">
        <v>5</v>
      </c>
      <c r="C2580" s="2" t="s">
        <v>5274</v>
      </c>
      <c r="D2580" s="2" t="s">
        <v>5232</v>
      </c>
      <c r="E2580" s="2" t="str">
        <f>HYPERLINK("https://talan.bank.gov.ua/get-user-certificate/sec1eco_1TVbMOzrEiBw","Завантажити сертифікат")</f>
        <v>Завантажити сертифікат</v>
      </c>
    </row>
    <row r="2581" spans="1:5" x14ac:dyDescent="0.3">
      <c r="A2581" s="2" t="s">
        <v>5275</v>
      </c>
      <c r="B2581" s="2" t="s">
        <v>5</v>
      </c>
      <c r="C2581" s="2" t="s">
        <v>5276</v>
      </c>
      <c r="D2581" s="2" t="s">
        <v>5232</v>
      </c>
      <c r="E2581" s="2" t="str">
        <f>HYPERLINK("https://talan.bank.gov.ua/get-user-certificate/sec1e1gsMIuOcUhu4U6w","Завантажити сертифікат")</f>
        <v>Завантажити сертифікат</v>
      </c>
    </row>
    <row r="2582" spans="1:5" x14ac:dyDescent="0.3">
      <c r="A2582" s="2" t="s">
        <v>5277</v>
      </c>
      <c r="B2582" s="2" t="s">
        <v>5</v>
      </c>
      <c r="C2582" s="2" t="s">
        <v>5278</v>
      </c>
      <c r="D2582" s="2" t="s">
        <v>5232</v>
      </c>
      <c r="E2582" s="2" t="str">
        <f>HYPERLINK("https://talan.bank.gov.ua/get-user-certificate/sec1eu0YhEKUjHmDTN66","Завантажити сертифікат")</f>
        <v>Завантажити сертифікат</v>
      </c>
    </row>
    <row r="2583" spans="1:5" x14ac:dyDescent="0.3">
      <c r="A2583" s="2" t="s">
        <v>5279</v>
      </c>
      <c r="B2583" s="2" t="s">
        <v>5</v>
      </c>
      <c r="C2583" s="2" t="s">
        <v>5280</v>
      </c>
      <c r="D2583" s="2" t="s">
        <v>5232</v>
      </c>
      <c r="E2583" s="2" t="str">
        <f>HYPERLINK("https://talan.bank.gov.ua/get-user-certificate/sec1enB7_DtkX3JtwowQ","Завантажити сертифікат")</f>
        <v>Завантажити сертифікат</v>
      </c>
    </row>
    <row r="2584" spans="1:5" x14ac:dyDescent="0.3">
      <c r="A2584" s="2" t="s">
        <v>5281</v>
      </c>
      <c r="B2584" s="2" t="s">
        <v>5</v>
      </c>
      <c r="C2584" s="2" t="s">
        <v>5282</v>
      </c>
      <c r="D2584" s="2" t="s">
        <v>5232</v>
      </c>
      <c r="E2584" s="2" t="str">
        <f>HYPERLINK("https://talan.bank.gov.ua/get-user-certificate/sec1eOAlD0kHeo2ijaKo","Завантажити сертифікат")</f>
        <v>Завантажити сертифікат</v>
      </c>
    </row>
    <row r="2585" spans="1:5" x14ac:dyDescent="0.3">
      <c r="A2585" s="2" t="s">
        <v>5283</v>
      </c>
      <c r="B2585" s="2" t="s">
        <v>5</v>
      </c>
      <c r="C2585" s="2" t="s">
        <v>5284</v>
      </c>
      <c r="D2585" s="2" t="s">
        <v>5232</v>
      </c>
      <c r="E2585" s="2" t="str">
        <f>HYPERLINK("https://talan.bank.gov.ua/get-user-certificate/sec1esrQZzTF2fBgeWqB","Завантажити сертифікат")</f>
        <v>Завантажити сертифікат</v>
      </c>
    </row>
    <row r="2586" spans="1:5" x14ac:dyDescent="0.3">
      <c r="A2586" s="2" t="s">
        <v>5285</v>
      </c>
      <c r="B2586" s="2" t="s">
        <v>5</v>
      </c>
      <c r="C2586" s="2" t="s">
        <v>5286</v>
      </c>
      <c r="D2586" s="2" t="s">
        <v>5232</v>
      </c>
      <c r="E2586" s="2" t="str">
        <f>HYPERLINK("https://talan.bank.gov.ua/get-user-certificate/sec1eXbqM-9d1C-tf449","Завантажити сертифікат")</f>
        <v>Завантажити сертифікат</v>
      </c>
    </row>
    <row r="2587" spans="1:5" x14ac:dyDescent="0.3">
      <c r="A2587" s="2" t="s">
        <v>5287</v>
      </c>
      <c r="B2587" s="2" t="s">
        <v>5</v>
      </c>
      <c r="C2587" s="2" t="s">
        <v>5288</v>
      </c>
      <c r="D2587" s="2" t="s">
        <v>5232</v>
      </c>
      <c r="E2587" s="2" t="str">
        <f>HYPERLINK("https://talan.bank.gov.ua/get-user-certificate/sec1e-MwswUnkpYXsiM1","Завантажити сертифікат")</f>
        <v>Завантажити сертифікат</v>
      </c>
    </row>
    <row r="2588" spans="1:5" x14ac:dyDescent="0.3">
      <c r="A2588" s="2" t="s">
        <v>5289</v>
      </c>
      <c r="B2588" s="2" t="s">
        <v>5</v>
      </c>
      <c r="C2588" s="2" t="s">
        <v>5290</v>
      </c>
      <c r="D2588" s="2" t="s">
        <v>5232</v>
      </c>
      <c r="E2588" s="2" t="str">
        <f>HYPERLINK("https://talan.bank.gov.ua/get-user-certificate/sec1eTdaSDeynQSLRWRk","Завантажити сертифікат")</f>
        <v>Завантажити сертифікат</v>
      </c>
    </row>
    <row r="2589" spans="1:5" x14ac:dyDescent="0.3">
      <c r="A2589" s="2" t="s">
        <v>5291</v>
      </c>
      <c r="B2589" s="2" t="s">
        <v>5</v>
      </c>
      <c r="C2589" s="2" t="s">
        <v>5292</v>
      </c>
      <c r="D2589" s="2" t="s">
        <v>5232</v>
      </c>
      <c r="E2589" s="2" t="str">
        <f>HYPERLINK("https://talan.bank.gov.ua/get-user-certificate/sec1e4dHJ5SaY86dzaKm","Завантажити сертифікат")</f>
        <v>Завантажити сертифікат</v>
      </c>
    </row>
    <row r="2590" spans="1:5" x14ac:dyDescent="0.3">
      <c r="A2590" s="2" t="s">
        <v>5293</v>
      </c>
      <c r="B2590" s="2" t="s">
        <v>5</v>
      </c>
      <c r="C2590" s="2" t="s">
        <v>5294</v>
      </c>
      <c r="D2590" s="2" t="s">
        <v>5232</v>
      </c>
      <c r="E2590" s="2" t="str">
        <f>HYPERLINK("https://talan.bank.gov.ua/get-user-certificate/sec1eeTryZZPOu56gV_H","Завантажити сертифікат")</f>
        <v>Завантажити сертифікат</v>
      </c>
    </row>
    <row r="2591" spans="1:5" x14ac:dyDescent="0.3">
      <c r="A2591" s="2" t="s">
        <v>5295</v>
      </c>
      <c r="B2591" s="2" t="s">
        <v>5</v>
      </c>
      <c r="C2591" s="2" t="s">
        <v>5296</v>
      </c>
      <c r="D2591" s="2" t="s">
        <v>5232</v>
      </c>
      <c r="E2591" s="2" t="str">
        <f>HYPERLINK("https://talan.bank.gov.ua/get-user-certificate/sec1eaEGEOo6eKQAf34o","Завантажити сертифікат")</f>
        <v>Завантажити сертифікат</v>
      </c>
    </row>
    <row r="2592" spans="1:5" x14ac:dyDescent="0.3">
      <c r="A2592" s="2" t="s">
        <v>5297</v>
      </c>
      <c r="B2592" s="2" t="s">
        <v>5</v>
      </c>
      <c r="C2592" s="2" t="s">
        <v>5298</v>
      </c>
      <c r="D2592" s="2" t="s">
        <v>5232</v>
      </c>
      <c r="E2592" s="2" t="str">
        <f>HYPERLINK("https://talan.bank.gov.ua/get-user-certificate/sec1eg7mbON1raikBP3j","Завантажити сертифікат")</f>
        <v>Завантажити сертифікат</v>
      </c>
    </row>
    <row r="2593" spans="1:5" x14ac:dyDescent="0.3">
      <c r="A2593" s="2" t="s">
        <v>5299</v>
      </c>
      <c r="B2593" s="2" t="s">
        <v>5</v>
      </c>
      <c r="C2593" s="2" t="s">
        <v>5300</v>
      </c>
      <c r="D2593" s="2" t="s">
        <v>5232</v>
      </c>
      <c r="E2593" s="2" t="str">
        <f>HYPERLINK("https://talan.bank.gov.ua/get-user-certificate/sec1e88WqtlvN6oQ54iD","Завантажити сертифікат")</f>
        <v>Завантажити сертифікат</v>
      </c>
    </row>
    <row r="2594" spans="1:5" x14ac:dyDescent="0.3">
      <c r="A2594" s="2" t="s">
        <v>5301</v>
      </c>
      <c r="B2594" s="2" t="s">
        <v>5</v>
      </c>
      <c r="C2594" s="2" t="s">
        <v>5302</v>
      </c>
      <c r="D2594" s="2" t="s">
        <v>5232</v>
      </c>
      <c r="E2594" s="2" t="str">
        <f>HYPERLINK("https://talan.bank.gov.ua/get-user-certificate/sec1eq1Urn4aYtrjYBPj","Завантажити сертифікат")</f>
        <v>Завантажити сертифікат</v>
      </c>
    </row>
    <row r="2595" spans="1:5" x14ac:dyDescent="0.3">
      <c r="A2595" s="2" t="s">
        <v>5303</v>
      </c>
      <c r="B2595" s="2" t="s">
        <v>5</v>
      </c>
      <c r="C2595" s="2" t="s">
        <v>5304</v>
      </c>
      <c r="D2595" s="2" t="s">
        <v>5232</v>
      </c>
      <c r="E2595" s="2" t="str">
        <f>HYPERLINK("https://talan.bank.gov.ua/get-user-certificate/sec1edhZGBnftkV2dc0N","Завантажити сертифікат")</f>
        <v>Завантажити сертифікат</v>
      </c>
    </row>
    <row r="2596" spans="1:5" x14ac:dyDescent="0.3">
      <c r="A2596" s="2" t="s">
        <v>5305</v>
      </c>
      <c r="B2596" s="2" t="s">
        <v>5</v>
      </c>
      <c r="C2596" s="2" t="s">
        <v>5306</v>
      </c>
      <c r="D2596" s="2" t="s">
        <v>5232</v>
      </c>
      <c r="E2596" s="2" t="str">
        <f>HYPERLINK("https://talan.bank.gov.ua/get-user-certificate/sec1eUx9Af4jPG0vZEeH","Завантажити сертифікат")</f>
        <v>Завантажити сертифікат</v>
      </c>
    </row>
    <row r="2597" spans="1:5" x14ac:dyDescent="0.3">
      <c r="A2597" s="2" t="s">
        <v>5307</v>
      </c>
      <c r="B2597" s="2" t="s">
        <v>5</v>
      </c>
      <c r="C2597" s="2" t="s">
        <v>5308</v>
      </c>
      <c r="D2597" s="2" t="s">
        <v>5232</v>
      </c>
      <c r="E2597" s="2" t="str">
        <f>HYPERLINK("https://talan.bank.gov.ua/get-user-certificate/sec1enN0iod4eOA3_2BV","Завантажити сертифікат")</f>
        <v>Завантажити сертифікат</v>
      </c>
    </row>
    <row r="2598" spans="1:5" x14ac:dyDescent="0.3">
      <c r="A2598" s="2" t="s">
        <v>5309</v>
      </c>
      <c r="B2598" s="2" t="s">
        <v>5</v>
      </c>
      <c r="C2598" s="2" t="s">
        <v>5310</v>
      </c>
      <c r="D2598" s="2" t="s">
        <v>5232</v>
      </c>
      <c r="E2598" s="2" t="str">
        <f>HYPERLINK("https://talan.bank.gov.ua/get-user-certificate/sec1e0QcuvTGkHmuE4NZ","Завантажити сертифікат")</f>
        <v>Завантажити сертифікат</v>
      </c>
    </row>
    <row r="2599" spans="1:5" x14ac:dyDescent="0.3">
      <c r="A2599" s="2" t="s">
        <v>5311</v>
      </c>
      <c r="B2599" s="2" t="s">
        <v>5</v>
      </c>
      <c r="C2599" s="2" t="s">
        <v>5312</v>
      </c>
      <c r="D2599" s="2" t="s">
        <v>5232</v>
      </c>
      <c r="E2599" s="2" t="str">
        <f>HYPERLINK("https://talan.bank.gov.ua/get-user-certificate/sec1e63OQySqaDtMyP7n","Завантажити сертифікат")</f>
        <v>Завантажити сертифікат</v>
      </c>
    </row>
    <row r="2600" spans="1:5" x14ac:dyDescent="0.3">
      <c r="A2600" s="2" t="s">
        <v>5313</v>
      </c>
      <c r="B2600" s="2" t="s">
        <v>5</v>
      </c>
      <c r="C2600" s="2" t="s">
        <v>5314</v>
      </c>
      <c r="D2600" s="2" t="s">
        <v>5232</v>
      </c>
      <c r="E2600" s="2" t="str">
        <f>HYPERLINK("https://talan.bank.gov.ua/get-user-certificate/sec1eyEI8JA26kWiQFQA","Завантажити сертифікат")</f>
        <v>Завантажити сертифікат</v>
      </c>
    </row>
    <row r="2601" spans="1:5" x14ac:dyDescent="0.3">
      <c r="A2601" s="2" t="s">
        <v>5315</v>
      </c>
      <c r="B2601" s="2" t="s">
        <v>5</v>
      </c>
      <c r="C2601" s="2" t="s">
        <v>5316</v>
      </c>
      <c r="D2601" s="2" t="s">
        <v>5232</v>
      </c>
      <c r="E2601" s="2" t="str">
        <f>HYPERLINK("https://talan.bank.gov.ua/get-user-certificate/sec1eB5PaSN9LRkKwP7Y","Завантажити сертифікат")</f>
        <v>Завантажити сертифікат</v>
      </c>
    </row>
    <row r="2602" spans="1:5" x14ac:dyDescent="0.3">
      <c r="A2602" s="2" t="s">
        <v>5317</v>
      </c>
      <c r="B2602" s="2" t="s">
        <v>5</v>
      </c>
      <c r="C2602" s="2" t="s">
        <v>5318</v>
      </c>
      <c r="D2602" s="2" t="s">
        <v>5232</v>
      </c>
      <c r="E2602" s="2" t="str">
        <f>HYPERLINK("https://talan.bank.gov.ua/get-user-certificate/sec1ef8rNwQBGGpCx9JB","Завантажити сертифікат")</f>
        <v>Завантажити сертифікат</v>
      </c>
    </row>
    <row r="2603" spans="1:5" x14ac:dyDescent="0.3">
      <c r="A2603" s="2" t="s">
        <v>5319</v>
      </c>
      <c r="B2603" s="2" t="s">
        <v>5</v>
      </c>
      <c r="C2603" s="2" t="s">
        <v>5320</v>
      </c>
      <c r="D2603" s="2" t="s">
        <v>5232</v>
      </c>
      <c r="E2603" s="2" t="str">
        <f>HYPERLINK("https://talan.bank.gov.ua/get-user-certificate/sec1e5lk6iedeNMogGtM","Завантажити сертифікат")</f>
        <v>Завантажити сертифікат</v>
      </c>
    </row>
    <row r="2604" spans="1:5" x14ac:dyDescent="0.3">
      <c r="A2604" s="2" t="s">
        <v>5321</v>
      </c>
      <c r="B2604" s="2" t="s">
        <v>5</v>
      </c>
      <c r="C2604" s="2" t="s">
        <v>5322</v>
      </c>
      <c r="D2604" s="2" t="s">
        <v>5232</v>
      </c>
      <c r="E2604" s="2" t="str">
        <f>HYPERLINK("https://talan.bank.gov.ua/get-user-certificate/sec1euFglZl4CYupVNsY","Завантажити сертифікат")</f>
        <v>Завантажити сертифікат</v>
      </c>
    </row>
    <row r="2605" spans="1:5" x14ac:dyDescent="0.3">
      <c r="A2605" s="2" t="s">
        <v>5323</v>
      </c>
      <c r="B2605" s="2" t="s">
        <v>5</v>
      </c>
      <c r="C2605" s="2" t="s">
        <v>5324</v>
      </c>
      <c r="D2605" s="2" t="s">
        <v>5232</v>
      </c>
      <c r="E2605" s="2" t="str">
        <f>HYPERLINK("https://talan.bank.gov.ua/get-user-certificate/sec1epHVxfJ1u5whTIER","Завантажити сертифікат")</f>
        <v>Завантажити сертифікат</v>
      </c>
    </row>
    <row r="2606" spans="1:5" x14ac:dyDescent="0.3">
      <c r="A2606" s="2" t="s">
        <v>5325</v>
      </c>
      <c r="B2606" s="2" t="s">
        <v>5</v>
      </c>
      <c r="C2606" s="2" t="s">
        <v>5326</v>
      </c>
      <c r="D2606" s="2" t="s">
        <v>5232</v>
      </c>
      <c r="E2606" s="2" t="str">
        <f>HYPERLINK("https://talan.bank.gov.ua/get-user-certificate/sec1eDr2p7f7MTkdcO6i","Завантажити сертифікат")</f>
        <v>Завантажити сертифікат</v>
      </c>
    </row>
    <row r="2607" spans="1:5" x14ac:dyDescent="0.3">
      <c r="A2607" s="2" t="s">
        <v>5327</v>
      </c>
      <c r="B2607" s="2" t="s">
        <v>5</v>
      </c>
      <c r="C2607" s="2" t="s">
        <v>5328</v>
      </c>
      <c r="D2607" s="2" t="s">
        <v>5232</v>
      </c>
      <c r="E2607" s="2" t="str">
        <f>HYPERLINK("https://talan.bank.gov.ua/get-user-certificate/sec1eCL06X-4mvc_sku6","Завантажити сертифікат")</f>
        <v>Завантажити сертифікат</v>
      </c>
    </row>
    <row r="2608" spans="1:5" x14ac:dyDescent="0.3">
      <c r="A2608" s="2" t="s">
        <v>5329</v>
      </c>
      <c r="B2608" s="2" t="s">
        <v>5</v>
      </c>
      <c r="C2608" s="2" t="s">
        <v>5330</v>
      </c>
      <c r="D2608" s="2" t="s">
        <v>5232</v>
      </c>
      <c r="E2608" s="2" t="str">
        <f>HYPERLINK("https://talan.bank.gov.ua/get-user-certificate/sec1eIm1ljTY8xbPFteY","Завантажити сертифікат")</f>
        <v>Завантажити сертифікат</v>
      </c>
    </row>
    <row r="2609" spans="1:5" x14ac:dyDescent="0.3">
      <c r="A2609" s="2" t="s">
        <v>5331</v>
      </c>
      <c r="B2609" s="2" t="s">
        <v>5</v>
      </c>
      <c r="C2609" s="2" t="s">
        <v>5332</v>
      </c>
      <c r="D2609" s="2" t="s">
        <v>5232</v>
      </c>
      <c r="E2609" s="2" t="str">
        <f>HYPERLINK("https://talan.bank.gov.ua/get-user-certificate/sec1eRBWEXDg-8JQu6LD","Завантажити сертифікат")</f>
        <v>Завантажити сертифікат</v>
      </c>
    </row>
    <row r="2610" spans="1:5" x14ac:dyDescent="0.3">
      <c r="A2610" s="2" t="s">
        <v>5333</v>
      </c>
      <c r="B2610" s="2" t="s">
        <v>5</v>
      </c>
      <c r="C2610" s="2" t="s">
        <v>5334</v>
      </c>
      <c r="D2610" s="2" t="s">
        <v>5232</v>
      </c>
      <c r="E2610" s="2" t="str">
        <f>HYPERLINK("https://talan.bank.gov.ua/get-user-certificate/sec1eOldlLLpXdrNFjbI","Завантажити сертифікат")</f>
        <v>Завантажити сертифікат</v>
      </c>
    </row>
    <row r="2611" spans="1:5" x14ac:dyDescent="0.3">
      <c r="A2611" s="2" t="s">
        <v>5335</v>
      </c>
      <c r="B2611" s="2" t="s">
        <v>5</v>
      </c>
      <c r="C2611" s="2" t="s">
        <v>5336</v>
      </c>
      <c r="D2611" s="2" t="s">
        <v>5232</v>
      </c>
      <c r="E2611" s="2" t="str">
        <f>HYPERLINK("https://talan.bank.gov.ua/get-user-certificate/sec1eoL1QiXMBIFxet3W","Завантажити сертифікат")</f>
        <v>Завантажити сертифікат</v>
      </c>
    </row>
    <row r="2612" spans="1:5" x14ac:dyDescent="0.3">
      <c r="A2612" s="2" t="s">
        <v>5337</v>
      </c>
      <c r="B2612" s="2" t="s">
        <v>5</v>
      </c>
      <c r="C2612" s="2" t="s">
        <v>5338</v>
      </c>
      <c r="D2612" s="2" t="s">
        <v>5232</v>
      </c>
      <c r="E2612" s="2" t="str">
        <f>HYPERLINK("https://talan.bank.gov.ua/get-user-certificate/sec1e5g2yKyKHwG9adfV","Завантажити сертифікат")</f>
        <v>Завантажити сертифікат</v>
      </c>
    </row>
    <row r="2613" spans="1:5" x14ac:dyDescent="0.3">
      <c r="A2613" s="2" t="s">
        <v>5339</v>
      </c>
      <c r="B2613" s="2" t="s">
        <v>5</v>
      </c>
      <c r="C2613" s="2" t="s">
        <v>5340</v>
      </c>
      <c r="D2613" s="2" t="s">
        <v>5232</v>
      </c>
      <c r="E2613" s="2" t="str">
        <f>HYPERLINK("https://talan.bank.gov.ua/get-user-certificate/sec1eAMUjIBoCl2XtCH2","Завантажити сертифікат")</f>
        <v>Завантажити сертифікат</v>
      </c>
    </row>
    <row r="2614" spans="1:5" x14ac:dyDescent="0.3">
      <c r="A2614" s="2" t="s">
        <v>5341</v>
      </c>
      <c r="B2614" s="2" t="s">
        <v>5</v>
      </c>
      <c r="C2614" s="2" t="s">
        <v>5342</v>
      </c>
      <c r="D2614" s="2" t="s">
        <v>5232</v>
      </c>
      <c r="E2614" s="2" t="str">
        <f>HYPERLINK("https://talan.bank.gov.ua/get-user-certificate/sec1epjfsh6dfabXqoZG","Завантажити сертифікат")</f>
        <v>Завантажити сертифікат</v>
      </c>
    </row>
    <row r="2615" spans="1:5" x14ac:dyDescent="0.3">
      <c r="A2615" s="2" t="s">
        <v>5343</v>
      </c>
      <c r="B2615" s="2" t="s">
        <v>5</v>
      </c>
      <c r="C2615" s="2" t="s">
        <v>5344</v>
      </c>
      <c r="D2615" s="2" t="s">
        <v>5232</v>
      </c>
      <c r="E2615" s="2" t="str">
        <f>HYPERLINK("https://talan.bank.gov.ua/get-user-certificate/sec1eeMQVSQQg71lEhj4","Завантажити сертифікат")</f>
        <v>Завантажити сертифікат</v>
      </c>
    </row>
    <row r="2616" spans="1:5" x14ac:dyDescent="0.3">
      <c r="A2616" s="2" t="s">
        <v>5345</v>
      </c>
      <c r="B2616" s="2" t="s">
        <v>5</v>
      </c>
      <c r="C2616" s="2" t="s">
        <v>5346</v>
      </c>
      <c r="D2616" s="2" t="s">
        <v>5232</v>
      </c>
      <c r="E2616" s="2" t="str">
        <f>HYPERLINK("https://talan.bank.gov.ua/get-user-certificate/sec1ebWe90NOHeIYdJbJ","Завантажити сертифікат")</f>
        <v>Завантажити сертифікат</v>
      </c>
    </row>
    <row r="2617" spans="1:5" x14ac:dyDescent="0.3">
      <c r="A2617" s="2" t="s">
        <v>5347</v>
      </c>
      <c r="B2617" s="2" t="s">
        <v>5</v>
      </c>
      <c r="C2617" s="2" t="s">
        <v>5348</v>
      </c>
      <c r="D2617" s="2" t="s">
        <v>5232</v>
      </c>
      <c r="E2617" s="2" t="str">
        <f>HYPERLINK("https://talan.bank.gov.ua/get-user-certificate/sec1e54vi-ziV7TXobzd","Завантажити сертифікат")</f>
        <v>Завантажити сертифікат</v>
      </c>
    </row>
    <row r="2618" spans="1:5" x14ac:dyDescent="0.3">
      <c r="A2618" s="2" t="s">
        <v>5349</v>
      </c>
      <c r="B2618" s="2" t="s">
        <v>5</v>
      </c>
      <c r="C2618" s="2" t="s">
        <v>5350</v>
      </c>
      <c r="D2618" s="2" t="s">
        <v>5232</v>
      </c>
      <c r="E2618" s="2" t="str">
        <f>HYPERLINK("https://talan.bank.gov.ua/get-user-certificate/sec1eKc5Dxz35aTda6oW","Завантажити сертифікат")</f>
        <v>Завантажити сертифікат</v>
      </c>
    </row>
    <row r="2619" spans="1:5" x14ac:dyDescent="0.3">
      <c r="A2619" s="2" t="s">
        <v>5351</v>
      </c>
      <c r="B2619" s="2" t="s">
        <v>5</v>
      </c>
      <c r="C2619" s="2" t="s">
        <v>5352</v>
      </c>
      <c r="D2619" s="2" t="s">
        <v>5232</v>
      </c>
      <c r="E2619" s="2" t="str">
        <f>HYPERLINK("https://talan.bank.gov.ua/get-user-certificate/sec1e3GPfCEWlhtVtmKA","Завантажити сертифікат")</f>
        <v>Завантажити сертифікат</v>
      </c>
    </row>
    <row r="2620" spans="1:5" x14ac:dyDescent="0.3">
      <c r="A2620" s="2" t="s">
        <v>5353</v>
      </c>
      <c r="B2620" s="2" t="s">
        <v>5</v>
      </c>
      <c r="C2620" s="2" t="s">
        <v>5354</v>
      </c>
      <c r="D2620" s="2" t="s">
        <v>5232</v>
      </c>
      <c r="E2620" s="2" t="str">
        <f>HYPERLINK("https://talan.bank.gov.ua/get-user-certificate/sec1eYKceg8PyOR9uhml","Завантажити сертифікат")</f>
        <v>Завантажити сертифікат</v>
      </c>
    </row>
    <row r="2621" spans="1:5" x14ac:dyDescent="0.3">
      <c r="A2621" s="2" t="s">
        <v>5355</v>
      </c>
      <c r="B2621" s="2" t="s">
        <v>5</v>
      </c>
      <c r="C2621" s="2" t="s">
        <v>5356</v>
      </c>
      <c r="D2621" s="2" t="s">
        <v>5232</v>
      </c>
      <c r="E2621" s="2" t="str">
        <f>HYPERLINK("https://talan.bank.gov.ua/get-user-certificate/sec1eTotjyN0kUfQonT0","Завантажити сертифікат")</f>
        <v>Завантажити сертифікат</v>
      </c>
    </row>
    <row r="2622" spans="1:5" x14ac:dyDescent="0.3">
      <c r="A2622" s="2" t="s">
        <v>5357</v>
      </c>
      <c r="B2622" s="2" t="s">
        <v>5</v>
      </c>
      <c r="C2622" s="2" t="s">
        <v>5358</v>
      </c>
      <c r="D2622" s="2" t="s">
        <v>5232</v>
      </c>
      <c r="E2622" s="2" t="str">
        <f>HYPERLINK("https://talan.bank.gov.ua/get-user-certificate/sec1eORdGS8qpi2TOmPs","Завантажити сертифікат")</f>
        <v>Завантажити сертифікат</v>
      </c>
    </row>
    <row r="2623" spans="1:5" x14ac:dyDescent="0.3">
      <c r="A2623" s="2" t="s">
        <v>5359</v>
      </c>
      <c r="B2623" s="2" t="s">
        <v>5</v>
      </c>
      <c r="C2623" s="2" t="s">
        <v>5360</v>
      </c>
      <c r="D2623" s="2" t="s">
        <v>5232</v>
      </c>
      <c r="E2623" s="2" t="str">
        <f>HYPERLINK("https://talan.bank.gov.ua/get-user-certificate/sec1eZPqiDQPcuXGIdMt","Завантажити сертифікат")</f>
        <v>Завантажити сертифікат</v>
      </c>
    </row>
    <row r="2624" spans="1:5" x14ac:dyDescent="0.3">
      <c r="A2624" s="2" t="s">
        <v>5361</v>
      </c>
      <c r="B2624" s="2" t="s">
        <v>5</v>
      </c>
      <c r="C2624" s="2" t="s">
        <v>5362</v>
      </c>
      <c r="D2624" s="2" t="s">
        <v>5232</v>
      </c>
      <c r="E2624" s="2" t="str">
        <f>HYPERLINK("https://talan.bank.gov.ua/get-user-certificate/sec1eRozle5v7bGRbc7b","Завантажити сертифікат")</f>
        <v>Завантажити сертифікат</v>
      </c>
    </row>
    <row r="2625" spans="1:5" x14ac:dyDescent="0.3">
      <c r="A2625" s="2" t="s">
        <v>5363</v>
      </c>
      <c r="B2625" s="2" t="s">
        <v>5</v>
      </c>
      <c r="C2625" s="2" t="s">
        <v>5364</v>
      </c>
      <c r="D2625" s="2" t="s">
        <v>5232</v>
      </c>
      <c r="E2625" s="2" t="str">
        <f>HYPERLINK("https://talan.bank.gov.ua/get-user-certificate/sec1eVgxA9LW1qVRLyIu","Завантажити сертифікат")</f>
        <v>Завантажити сертифікат</v>
      </c>
    </row>
    <row r="2626" spans="1:5" x14ac:dyDescent="0.3">
      <c r="A2626" s="2" t="s">
        <v>5365</v>
      </c>
      <c r="B2626" s="2" t="s">
        <v>5</v>
      </c>
      <c r="C2626" s="2" t="s">
        <v>5366</v>
      </c>
      <c r="D2626" s="2" t="s">
        <v>5232</v>
      </c>
      <c r="E2626" s="2" t="str">
        <f>HYPERLINK("https://talan.bank.gov.ua/get-user-certificate/sec1eAHNp1QIPugttp7k","Завантажити сертифікат")</f>
        <v>Завантажити сертифікат</v>
      </c>
    </row>
    <row r="2627" spans="1:5" x14ac:dyDescent="0.3">
      <c r="A2627" s="2" t="s">
        <v>5367</v>
      </c>
      <c r="B2627" s="2" t="s">
        <v>5</v>
      </c>
      <c r="C2627" s="2" t="s">
        <v>5368</v>
      </c>
      <c r="D2627" s="2" t="s">
        <v>5232</v>
      </c>
      <c r="E2627" s="2" t="str">
        <f>HYPERLINK("https://talan.bank.gov.ua/get-user-certificate/sec1e3xnFffHqgr6YL4O","Завантажити сертифікат")</f>
        <v>Завантажити сертифікат</v>
      </c>
    </row>
    <row r="2628" spans="1:5" x14ac:dyDescent="0.3">
      <c r="A2628" s="2" t="s">
        <v>5369</v>
      </c>
      <c r="B2628" s="2" t="s">
        <v>5</v>
      </c>
      <c r="C2628" s="2" t="s">
        <v>5370</v>
      </c>
      <c r="D2628" s="2" t="s">
        <v>5232</v>
      </c>
      <c r="E2628" s="2" t="str">
        <f>HYPERLINK("https://talan.bank.gov.ua/get-user-certificate/sec1es9ZWgsJWwdEh-WT","Завантажити сертифікат")</f>
        <v>Завантажити сертифікат</v>
      </c>
    </row>
    <row r="2629" spans="1:5" x14ac:dyDescent="0.3">
      <c r="A2629" s="2" t="s">
        <v>5371</v>
      </c>
      <c r="B2629" s="2" t="s">
        <v>5</v>
      </c>
      <c r="C2629" s="2" t="s">
        <v>5372</v>
      </c>
      <c r="D2629" s="2" t="s">
        <v>5232</v>
      </c>
      <c r="E2629" s="2" t="str">
        <f>HYPERLINK("https://talan.bank.gov.ua/get-user-certificate/sec1ejDftpmAchxTyqEQ","Завантажити сертифікат")</f>
        <v>Завантажити сертифікат</v>
      </c>
    </row>
    <row r="2630" spans="1:5" x14ac:dyDescent="0.3">
      <c r="A2630" s="2" t="s">
        <v>5373</v>
      </c>
      <c r="B2630" s="2" t="s">
        <v>5</v>
      </c>
      <c r="C2630" s="2" t="s">
        <v>5374</v>
      </c>
      <c r="D2630" s="2" t="s">
        <v>5232</v>
      </c>
      <c r="E2630" s="2" t="str">
        <f>HYPERLINK("https://talan.bank.gov.ua/get-user-certificate/sec1ecAVx2FkVekNFp04","Завантажити сертифікат")</f>
        <v>Завантажити сертифікат</v>
      </c>
    </row>
    <row r="2631" spans="1:5" x14ac:dyDescent="0.3">
      <c r="A2631" s="2" t="s">
        <v>5375</v>
      </c>
      <c r="B2631" s="2" t="s">
        <v>5</v>
      </c>
      <c r="C2631" s="2" t="s">
        <v>5376</v>
      </c>
      <c r="D2631" s="2" t="s">
        <v>5232</v>
      </c>
      <c r="E2631" s="2" t="str">
        <f>HYPERLINK("https://talan.bank.gov.ua/get-user-certificate/sec1eQl9D9TO3er-OURj","Завантажити сертифікат")</f>
        <v>Завантажити сертифікат</v>
      </c>
    </row>
    <row r="2632" spans="1:5" x14ac:dyDescent="0.3">
      <c r="A2632" s="2" t="s">
        <v>5377</v>
      </c>
      <c r="B2632" s="2" t="s">
        <v>5</v>
      </c>
      <c r="C2632" s="2" t="s">
        <v>5378</v>
      </c>
      <c r="D2632" s="2" t="s">
        <v>5232</v>
      </c>
      <c r="E2632" s="2" t="str">
        <f>HYPERLINK("https://talan.bank.gov.ua/get-user-certificate/sec1eTddn9bU-Xa0mkC1","Завантажити сертифікат")</f>
        <v>Завантажити сертифікат</v>
      </c>
    </row>
    <row r="2633" spans="1:5" x14ac:dyDescent="0.3">
      <c r="A2633" s="2" t="s">
        <v>5379</v>
      </c>
      <c r="B2633" s="2" t="s">
        <v>5</v>
      </c>
      <c r="C2633" s="2" t="s">
        <v>5380</v>
      </c>
      <c r="D2633" s="2" t="s">
        <v>5232</v>
      </c>
      <c r="E2633" s="2" t="str">
        <f>HYPERLINK("https://talan.bank.gov.ua/get-user-certificate/sec1eeDepyMbjkexUpYv","Завантажити сертифікат")</f>
        <v>Завантажити сертифікат</v>
      </c>
    </row>
    <row r="2634" spans="1:5" x14ac:dyDescent="0.3">
      <c r="A2634" s="2" t="s">
        <v>5381</v>
      </c>
      <c r="B2634" s="2" t="s">
        <v>5</v>
      </c>
      <c r="C2634" s="2" t="s">
        <v>5382</v>
      </c>
      <c r="D2634" s="2" t="s">
        <v>5232</v>
      </c>
      <c r="E2634" s="2" t="str">
        <f>HYPERLINK("https://talan.bank.gov.ua/get-user-certificate/sec1eNpor78rHAvs5gca","Завантажити сертифікат")</f>
        <v>Завантажити сертифікат</v>
      </c>
    </row>
    <row r="2635" spans="1:5" x14ac:dyDescent="0.3">
      <c r="A2635" s="2" t="s">
        <v>5383</v>
      </c>
      <c r="B2635" s="2" t="s">
        <v>5</v>
      </c>
      <c r="C2635" s="2" t="s">
        <v>5384</v>
      </c>
      <c r="D2635" s="2" t="s">
        <v>5232</v>
      </c>
      <c r="E2635" s="2" t="str">
        <f>HYPERLINK("https://talan.bank.gov.ua/get-user-certificate/sec1e8T247VuwXzNikf6","Завантажити сертифікат")</f>
        <v>Завантажити сертифікат</v>
      </c>
    </row>
    <row r="2636" spans="1:5" x14ac:dyDescent="0.3">
      <c r="A2636" s="2" t="s">
        <v>5385</v>
      </c>
      <c r="B2636" s="2" t="s">
        <v>5</v>
      </c>
      <c r="C2636" s="2" t="s">
        <v>5386</v>
      </c>
      <c r="D2636" s="2" t="s">
        <v>5232</v>
      </c>
      <c r="E2636" s="2" t="str">
        <f>HYPERLINK("https://talan.bank.gov.ua/get-user-certificate/sec1eV9PNJ4d1FEHrrWi","Завантажити сертифікат")</f>
        <v>Завантажити сертифікат</v>
      </c>
    </row>
    <row r="2637" spans="1:5" x14ac:dyDescent="0.3">
      <c r="A2637" s="2" t="s">
        <v>5387</v>
      </c>
      <c r="B2637" s="2" t="s">
        <v>5</v>
      </c>
      <c r="C2637" s="2" t="s">
        <v>5388</v>
      </c>
      <c r="D2637" s="2" t="s">
        <v>5232</v>
      </c>
      <c r="E2637" s="2" t="str">
        <f>HYPERLINK("https://talan.bank.gov.ua/get-user-certificate/sec1eTp3INQFWl1enoK0","Завантажити сертифікат")</f>
        <v>Завантажити сертифікат</v>
      </c>
    </row>
    <row r="2638" spans="1:5" x14ac:dyDescent="0.3">
      <c r="A2638" s="2" t="s">
        <v>5389</v>
      </c>
      <c r="B2638" s="2" t="s">
        <v>5</v>
      </c>
      <c r="C2638" s="2" t="s">
        <v>5390</v>
      </c>
      <c r="D2638" s="2" t="s">
        <v>5232</v>
      </c>
      <c r="E2638" s="2" t="str">
        <f>HYPERLINK("https://talan.bank.gov.ua/get-user-certificate/sec1edmgaZHy-OMMikal","Завантажити сертифікат")</f>
        <v>Завантажити сертифікат</v>
      </c>
    </row>
    <row r="2639" spans="1:5" x14ac:dyDescent="0.3">
      <c r="A2639" s="2" t="s">
        <v>5391</v>
      </c>
      <c r="B2639" s="2" t="s">
        <v>5</v>
      </c>
      <c r="C2639" s="2" t="s">
        <v>5392</v>
      </c>
      <c r="D2639" s="2" t="s">
        <v>5232</v>
      </c>
      <c r="E2639" s="2" t="str">
        <f>HYPERLINK("https://talan.bank.gov.ua/get-user-certificate/sec1ewPlRtPigD5y4Ipj","Завантажити сертифікат")</f>
        <v>Завантажити сертифікат</v>
      </c>
    </row>
    <row r="2640" spans="1:5" x14ac:dyDescent="0.3">
      <c r="A2640" s="2" t="s">
        <v>5393</v>
      </c>
      <c r="B2640" s="2" t="s">
        <v>5</v>
      </c>
      <c r="C2640" s="2" t="s">
        <v>5394</v>
      </c>
      <c r="D2640" s="2" t="s">
        <v>5395</v>
      </c>
      <c r="E2640" s="2" t="str">
        <f>HYPERLINK("https://talan.bank.gov.ua/get-user-certificate/sec1eoA3Et0lO_Ukdqbb","Завантажити сертифікат")</f>
        <v>Завантажити сертифікат</v>
      </c>
    </row>
    <row r="2641" spans="1:5" x14ac:dyDescent="0.3">
      <c r="A2641" s="2" t="s">
        <v>5396</v>
      </c>
      <c r="B2641" s="2" t="s">
        <v>5</v>
      </c>
      <c r="C2641" s="2" t="s">
        <v>5397</v>
      </c>
      <c r="D2641" s="2" t="s">
        <v>5398</v>
      </c>
      <c r="E2641" s="2" t="str">
        <f>HYPERLINK("https://talan.bank.gov.ua/get-user-certificate/sec1eLG_7AmPmMjGIaZk","Завантажити сертифікат")</f>
        <v>Завантажити сертифікат</v>
      </c>
    </row>
    <row r="2642" spans="1:5" x14ac:dyDescent="0.3">
      <c r="A2642" s="2" t="s">
        <v>5399</v>
      </c>
      <c r="B2642" s="2" t="s">
        <v>5</v>
      </c>
      <c r="C2642" s="2" t="s">
        <v>5400</v>
      </c>
      <c r="D2642" s="2" t="s">
        <v>5398</v>
      </c>
      <c r="E2642" s="2" t="str">
        <f>HYPERLINK("https://talan.bank.gov.ua/get-user-certificate/sec1eeem8HpyBCb10MEE","Завантажити сертифікат")</f>
        <v>Завантажити сертифікат</v>
      </c>
    </row>
    <row r="2643" spans="1:5" x14ac:dyDescent="0.3">
      <c r="A2643" s="2" t="s">
        <v>5401</v>
      </c>
      <c r="B2643" s="2" t="s">
        <v>5</v>
      </c>
      <c r="C2643" s="2" t="s">
        <v>5402</v>
      </c>
      <c r="D2643" s="2" t="s">
        <v>5398</v>
      </c>
      <c r="E2643" s="2" t="str">
        <f>HYPERLINK("https://talan.bank.gov.ua/get-user-certificate/sec1eFH7Sfnja1Pa2T1_","Завантажити сертифікат")</f>
        <v>Завантажити сертифікат</v>
      </c>
    </row>
    <row r="2644" spans="1:5" x14ac:dyDescent="0.3">
      <c r="A2644" s="2" t="s">
        <v>5403</v>
      </c>
      <c r="B2644" s="2" t="s">
        <v>5</v>
      </c>
      <c r="C2644" s="2" t="s">
        <v>5404</v>
      </c>
      <c r="D2644" s="2" t="s">
        <v>5398</v>
      </c>
      <c r="E2644" s="2" t="str">
        <f>HYPERLINK("https://talan.bank.gov.ua/get-user-certificate/sec1eLewdrnAUNeCJunu","Завантажити сертифікат")</f>
        <v>Завантажити сертифікат</v>
      </c>
    </row>
    <row r="2645" spans="1:5" x14ac:dyDescent="0.3">
      <c r="A2645" s="2" t="s">
        <v>5405</v>
      </c>
      <c r="B2645" s="2" t="s">
        <v>5</v>
      </c>
      <c r="C2645" s="2" t="s">
        <v>5406</v>
      </c>
      <c r="D2645" s="2" t="s">
        <v>5398</v>
      </c>
      <c r="E2645" s="2" t="str">
        <f>HYPERLINK("https://talan.bank.gov.ua/get-user-certificate/sec1eRTtHbd_y1LY3zZX","Завантажити сертифікат")</f>
        <v>Завантажити сертифікат</v>
      </c>
    </row>
    <row r="2646" spans="1:5" x14ac:dyDescent="0.3">
      <c r="A2646" s="2" t="s">
        <v>5407</v>
      </c>
      <c r="B2646" s="2" t="s">
        <v>5</v>
      </c>
      <c r="C2646" s="2" t="s">
        <v>5408</v>
      </c>
      <c r="D2646" s="2" t="s">
        <v>5398</v>
      </c>
      <c r="E2646" s="2" t="str">
        <f>HYPERLINK("https://talan.bank.gov.ua/get-user-certificate/sec1elPDV9CMAJHMf7dV","Завантажити сертифікат")</f>
        <v>Завантажити сертифікат</v>
      </c>
    </row>
    <row r="2647" spans="1:5" x14ac:dyDescent="0.3">
      <c r="A2647" s="2" t="s">
        <v>5409</v>
      </c>
      <c r="B2647" s="2" t="s">
        <v>5</v>
      </c>
      <c r="C2647" s="2" t="s">
        <v>5410</v>
      </c>
      <c r="D2647" s="2" t="s">
        <v>5398</v>
      </c>
      <c r="E2647" s="2" t="str">
        <f>HYPERLINK("https://talan.bank.gov.ua/get-user-certificate/sec1eyjV2seaOxI7fBrg","Завантажити сертифікат")</f>
        <v>Завантажити сертифікат</v>
      </c>
    </row>
    <row r="2648" spans="1:5" x14ac:dyDescent="0.3">
      <c r="A2648" s="2" t="s">
        <v>5411</v>
      </c>
      <c r="B2648" s="2" t="s">
        <v>5</v>
      </c>
      <c r="C2648" s="2" t="s">
        <v>5412</v>
      </c>
      <c r="D2648" s="2" t="s">
        <v>5398</v>
      </c>
      <c r="E2648" s="2" t="str">
        <f>HYPERLINK("https://talan.bank.gov.ua/get-user-certificate/sec1eOE9EupZHAd8SHT-","Завантажити сертифікат")</f>
        <v>Завантажити сертифікат</v>
      </c>
    </row>
    <row r="2649" spans="1:5" x14ac:dyDescent="0.3">
      <c r="A2649" s="2" t="s">
        <v>5413</v>
      </c>
      <c r="B2649" s="2" t="s">
        <v>5</v>
      </c>
      <c r="C2649" s="2" t="s">
        <v>5414</v>
      </c>
      <c r="D2649" s="2" t="s">
        <v>5398</v>
      </c>
      <c r="E2649" s="2" t="str">
        <f>HYPERLINK("https://talan.bank.gov.ua/get-user-certificate/sec1eaeDQfpoDij3KC0x","Завантажити сертифікат")</f>
        <v>Завантажити сертифікат</v>
      </c>
    </row>
    <row r="2650" spans="1:5" x14ac:dyDescent="0.3">
      <c r="A2650" s="2" t="s">
        <v>5415</v>
      </c>
      <c r="B2650" s="2" t="s">
        <v>5</v>
      </c>
      <c r="C2650" s="2" t="s">
        <v>5416</v>
      </c>
      <c r="D2650" s="2" t="s">
        <v>5398</v>
      </c>
      <c r="E2650" s="2" t="str">
        <f>HYPERLINK("https://talan.bank.gov.ua/get-user-certificate/sec1eqQt3c7W5RL7mviZ","Завантажити сертифікат")</f>
        <v>Завантажити сертифікат</v>
      </c>
    </row>
    <row r="2651" spans="1:5" x14ac:dyDescent="0.3">
      <c r="A2651" s="2" t="s">
        <v>5417</v>
      </c>
      <c r="B2651" s="2" t="s">
        <v>5</v>
      </c>
      <c r="C2651" s="2" t="s">
        <v>5418</v>
      </c>
      <c r="D2651" s="2" t="s">
        <v>5398</v>
      </c>
      <c r="E2651" s="2" t="str">
        <f>HYPERLINK("https://talan.bank.gov.ua/get-user-certificate/sec1eTYCaE3UKw6A1_uf","Завантажити сертифікат")</f>
        <v>Завантажити сертифікат</v>
      </c>
    </row>
    <row r="2652" spans="1:5" x14ac:dyDescent="0.3">
      <c r="A2652" s="2" t="s">
        <v>5419</v>
      </c>
      <c r="B2652" s="2" t="s">
        <v>5</v>
      </c>
      <c r="C2652" s="2" t="s">
        <v>5420</v>
      </c>
      <c r="D2652" s="2" t="s">
        <v>5398</v>
      </c>
      <c r="E2652" s="2" t="str">
        <f>HYPERLINK("https://talan.bank.gov.ua/get-user-certificate/sec1eB6R4G6rNXIxeX9R","Завантажити сертифікат")</f>
        <v>Завантажити сертифікат</v>
      </c>
    </row>
    <row r="2653" spans="1:5" x14ac:dyDescent="0.3">
      <c r="A2653" s="2" t="s">
        <v>5421</v>
      </c>
      <c r="B2653" s="2" t="s">
        <v>5</v>
      </c>
      <c r="C2653" s="2" t="s">
        <v>5422</v>
      </c>
      <c r="D2653" s="2" t="s">
        <v>5398</v>
      </c>
      <c r="E2653" s="2" t="str">
        <f>HYPERLINK("https://talan.bank.gov.ua/get-user-certificate/sec1e9pDAIiQ8PEyoLIu","Завантажити сертифікат")</f>
        <v>Завантажити сертифікат</v>
      </c>
    </row>
    <row r="2654" spans="1:5" x14ac:dyDescent="0.3">
      <c r="A2654" s="2" t="s">
        <v>5423</v>
      </c>
      <c r="B2654" s="2" t="s">
        <v>5</v>
      </c>
      <c r="C2654" s="2" t="s">
        <v>5424</v>
      </c>
      <c r="D2654" s="2" t="s">
        <v>5398</v>
      </c>
      <c r="E2654" s="2" t="str">
        <f>HYPERLINK("https://talan.bank.gov.ua/get-user-certificate/sec1ezbA8pqUQ-Ns0l-6","Завантажити сертифікат")</f>
        <v>Завантажити сертифікат</v>
      </c>
    </row>
    <row r="2655" spans="1:5" x14ac:dyDescent="0.3">
      <c r="A2655" s="2" t="s">
        <v>5425</v>
      </c>
      <c r="B2655" s="2" t="s">
        <v>5</v>
      </c>
      <c r="C2655" s="2" t="s">
        <v>5426</v>
      </c>
      <c r="D2655" s="2" t="s">
        <v>5398</v>
      </c>
      <c r="E2655" s="2" t="str">
        <f>HYPERLINK("https://talan.bank.gov.ua/get-user-certificate/sec1e8Q0Tz2J1Lz-Z-0n","Завантажити сертифікат")</f>
        <v>Завантажити сертифікат</v>
      </c>
    </row>
    <row r="2656" spans="1:5" x14ac:dyDescent="0.3">
      <c r="A2656" s="2" t="s">
        <v>5427</v>
      </c>
      <c r="B2656" s="2" t="s">
        <v>5</v>
      </c>
      <c r="C2656" s="2" t="s">
        <v>5428</v>
      </c>
      <c r="D2656" s="2" t="s">
        <v>5398</v>
      </c>
      <c r="E2656" s="2" t="str">
        <f>HYPERLINK("https://talan.bank.gov.ua/get-user-certificate/sec1ehcTxclT_fGSqCMj","Завантажити сертифікат")</f>
        <v>Завантажити сертифікат</v>
      </c>
    </row>
    <row r="2657" spans="1:5" x14ac:dyDescent="0.3">
      <c r="A2657" s="2" t="s">
        <v>5429</v>
      </c>
      <c r="B2657" s="2" t="s">
        <v>5</v>
      </c>
      <c r="C2657" s="2" t="s">
        <v>5430</v>
      </c>
      <c r="D2657" s="2" t="s">
        <v>5398</v>
      </c>
      <c r="E2657" s="2" t="str">
        <f>HYPERLINK("https://talan.bank.gov.ua/get-user-certificate/sec1ed5BuL6QyZlehnmX","Завантажити сертифікат")</f>
        <v>Завантажити сертифікат</v>
      </c>
    </row>
    <row r="2658" spans="1:5" x14ac:dyDescent="0.3">
      <c r="A2658" s="2" t="s">
        <v>5431</v>
      </c>
      <c r="B2658" s="2" t="s">
        <v>5</v>
      </c>
      <c r="C2658" s="2" t="s">
        <v>5432</v>
      </c>
      <c r="D2658" s="2" t="s">
        <v>5398</v>
      </c>
      <c r="E2658" s="2" t="str">
        <f>HYPERLINK("https://talan.bank.gov.ua/get-user-certificate/sec1eHcY3z1kk2MPSuzx","Завантажити сертифікат")</f>
        <v>Завантажити сертифікат</v>
      </c>
    </row>
    <row r="2659" spans="1:5" x14ac:dyDescent="0.3">
      <c r="A2659" s="2" t="s">
        <v>5433</v>
      </c>
      <c r="B2659" s="2" t="s">
        <v>5</v>
      </c>
      <c r="C2659" s="2" t="s">
        <v>5434</v>
      </c>
      <c r="D2659" s="2" t="s">
        <v>5398</v>
      </c>
      <c r="E2659" s="2" t="str">
        <f>HYPERLINK("https://talan.bank.gov.ua/get-user-certificate/sec1e0LfPZb47iWVD1Hb","Завантажити сертифікат")</f>
        <v>Завантажити сертифікат</v>
      </c>
    </row>
    <row r="2660" spans="1:5" x14ac:dyDescent="0.3">
      <c r="A2660" s="2" t="s">
        <v>5435</v>
      </c>
      <c r="B2660" s="2" t="s">
        <v>5</v>
      </c>
      <c r="C2660" s="2" t="s">
        <v>5436</v>
      </c>
      <c r="D2660" s="2" t="s">
        <v>5398</v>
      </c>
      <c r="E2660" s="2" t="str">
        <f>HYPERLINK("https://talan.bank.gov.ua/get-user-certificate/sec1eY01bMbU3qjLDScX","Завантажити сертифікат")</f>
        <v>Завантажити сертифікат</v>
      </c>
    </row>
    <row r="2661" spans="1:5" x14ac:dyDescent="0.3">
      <c r="A2661" s="2" t="s">
        <v>5437</v>
      </c>
      <c r="B2661" s="2" t="s">
        <v>5</v>
      </c>
      <c r="C2661" s="2" t="s">
        <v>5438</v>
      </c>
      <c r="D2661" s="2" t="s">
        <v>5398</v>
      </c>
      <c r="E2661" s="2" t="str">
        <f>HYPERLINK("https://talan.bank.gov.ua/get-user-certificate/sec1eoXJKUNwX5MyvZhI","Завантажити сертифікат")</f>
        <v>Завантажити сертифікат</v>
      </c>
    </row>
    <row r="2662" spans="1:5" x14ac:dyDescent="0.3">
      <c r="A2662" s="2" t="s">
        <v>5439</v>
      </c>
      <c r="B2662" s="2" t="s">
        <v>5</v>
      </c>
      <c r="C2662" s="2" t="s">
        <v>5440</v>
      </c>
      <c r="D2662" s="2" t="s">
        <v>5398</v>
      </c>
      <c r="E2662" s="2" t="str">
        <f>HYPERLINK("https://talan.bank.gov.ua/get-user-certificate/sec1eTFeydaVTNXzT2fH","Завантажити сертифікат")</f>
        <v>Завантажити сертифікат</v>
      </c>
    </row>
    <row r="2663" spans="1:5" x14ac:dyDescent="0.3">
      <c r="A2663" s="2" t="s">
        <v>5441</v>
      </c>
      <c r="B2663" s="2" t="s">
        <v>5</v>
      </c>
      <c r="C2663" s="2" t="s">
        <v>5442</v>
      </c>
      <c r="D2663" s="2" t="s">
        <v>5443</v>
      </c>
      <c r="E2663" s="2" t="str">
        <f>HYPERLINK("https://talan.bank.gov.ua/get-user-certificate/sec1eyF-KNRuZ3g3v4Hm","Завантажити сертифікат")</f>
        <v>Завантажити сертифікат</v>
      </c>
    </row>
    <row r="2664" spans="1:5" x14ac:dyDescent="0.3">
      <c r="A2664" s="2" t="s">
        <v>5444</v>
      </c>
      <c r="B2664" s="2" t="s">
        <v>5</v>
      </c>
      <c r="C2664" s="2" t="s">
        <v>5445</v>
      </c>
      <c r="D2664" s="2" t="s">
        <v>5443</v>
      </c>
      <c r="E2664" s="2" t="str">
        <f>HYPERLINK("https://talan.bank.gov.ua/get-user-certificate/sec1e3hctyCY2NcGVcRr","Завантажити сертифікат")</f>
        <v>Завантажити сертифікат</v>
      </c>
    </row>
    <row r="2665" spans="1:5" x14ac:dyDescent="0.3">
      <c r="A2665" s="2" t="s">
        <v>5446</v>
      </c>
      <c r="B2665" s="2" t="s">
        <v>5</v>
      </c>
      <c r="C2665" s="2" t="s">
        <v>5447</v>
      </c>
      <c r="D2665" s="2" t="s">
        <v>5443</v>
      </c>
      <c r="E2665" s="2" t="str">
        <f>HYPERLINK("https://talan.bank.gov.ua/get-user-certificate/sec1euAZeJ91E3sbRGGJ","Завантажити сертифікат")</f>
        <v>Завантажити сертифікат</v>
      </c>
    </row>
    <row r="2666" spans="1:5" x14ac:dyDescent="0.3">
      <c r="A2666" s="2" t="s">
        <v>5448</v>
      </c>
      <c r="B2666" s="2" t="s">
        <v>5</v>
      </c>
      <c r="C2666" s="2" t="s">
        <v>5449</v>
      </c>
      <c r="D2666" s="2" t="s">
        <v>5443</v>
      </c>
      <c r="E2666" s="2" t="str">
        <f>HYPERLINK("https://talan.bank.gov.ua/get-user-certificate/sec1edN3g6Jmc_zY4feC","Завантажити сертифікат")</f>
        <v>Завантажити сертифікат</v>
      </c>
    </row>
    <row r="2667" spans="1:5" x14ac:dyDescent="0.3">
      <c r="A2667" s="2" t="s">
        <v>5450</v>
      </c>
      <c r="B2667" s="2" t="s">
        <v>5</v>
      </c>
      <c r="C2667" s="2" t="s">
        <v>5451</v>
      </c>
      <c r="D2667" s="2" t="s">
        <v>5443</v>
      </c>
      <c r="E2667" s="2" t="str">
        <f>HYPERLINK("https://talan.bank.gov.ua/get-user-certificate/sec1ezzBa8Rt-WBqyVWX","Завантажити сертифікат")</f>
        <v>Завантажити сертифікат</v>
      </c>
    </row>
    <row r="2668" spans="1:5" x14ac:dyDescent="0.3">
      <c r="A2668" s="2" t="s">
        <v>5452</v>
      </c>
      <c r="B2668" s="2" t="s">
        <v>5</v>
      </c>
      <c r="C2668" s="2" t="s">
        <v>5453</v>
      </c>
      <c r="D2668" s="2" t="s">
        <v>5443</v>
      </c>
      <c r="E2668" s="2" t="str">
        <f>HYPERLINK("https://talan.bank.gov.ua/get-user-certificate/sec1eRKJsmQy0UbjHnB7","Завантажити сертифікат")</f>
        <v>Завантажити сертифікат</v>
      </c>
    </row>
    <row r="2669" spans="1:5" x14ac:dyDescent="0.3">
      <c r="A2669" s="2" t="s">
        <v>5454</v>
      </c>
      <c r="B2669" s="2" t="s">
        <v>5</v>
      </c>
      <c r="C2669" s="2" t="s">
        <v>5455</v>
      </c>
      <c r="D2669" s="2" t="s">
        <v>5456</v>
      </c>
      <c r="E2669" s="2" t="str">
        <f>HYPERLINK("https://talan.bank.gov.ua/get-user-certificate/sec1e0MX6JYzvoYR5LLs","Завантажити сертифікат")</f>
        <v>Завантажити сертифікат</v>
      </c>
    </row>
    <row r="2670" spans="1:5" x14ac:dyDescent="0.3">
      <c r="A2670" s="2" t="s">
        <v>5457</v>
      </c>
      <c r="B2670" s="2" t="s">
        <v>5</v>
      </c>
      <c r="C2670" s="2" t="s">
        <v>5458</v>
      </c>
      <c r="D2670" s="2" t="s">
        <v>5456</v>
      </c>
      <c r="E2670" s="2" t="str">
        <f>HYPERLINK("https://talan.bank.gov.ua/get-user-certificate/sec1evBcm_o_25PiOrkC","Завантажити сертифікат")</f>
        <v>Завантажити сертифікат</v>
      </c>
    </row>
    <row r="2671" spans="1:5" x14ac:dyDescent="0.3">
      <c r="A2671" s="2" t="s">
        <v>5459</v>
      </c>
      <c r="B2671" s="2" t="s">
        <v>5</v>
      </c>
      <c r="C2671" s="2" t="s">
        <v>5460</v>
      </c>
      <c r="D2671" s="2" t="s">
        <v>5456</v>
      </c>
      <c r="E2671" s="2" t="str">
        <f>HYPERLINK("https://talan.bank.gov.ua/get-user-certificate/sec1eo4qUGFmiL9d0MLv","Завантажити сертифікат")</f>
        <v>Завантажити сертифікат</v>
      </c>
    </row>
    <row r="2672" spans="1:5" x14ac:dyDescent="0.3">
      <c r="A2672" s="2" t="s">
        <v>5461</v>
      </c>
      <c r="B2672" s="2" t="s">
        <v>5</v>
      </c>
      <c r="C2672" s="2" t="s">
        <v>5462</v>
      </c>
      <c r="D2672" s="2" t="s">
        <v>5456</v>
      </c>
      <c r="E2672" s="2" t="str">
        <f>HYPERLINK("https://talan.bank.gov.ua/get-user-certificate/sec1e9bLdoenQv7Mp8ej","Завантажити сертифікат")</f>
        <v>Завантажити сертифікат</v>
      </c>
    </row>
    <row r="2673" spans="1:5" x14ac:dyDescent="0.3">
      <c r="A2673" s="2" t="s">
        <v>5463</v>
      </c>
      <c r="B2673" s="2" t="s">
        <v>5</v>
      </c>
      <c r="C2673" s="2" t="s">
        <v>5464</v>
      </c>
      <c r="D2673" s="2" t="s">
        <v>5456</v>
      </c>
      <c r="E2673" s="2" t="str">
        <f>HYPERLINK("https://talan.bank.gov.ua/get-user-certificate/sec1eX7QEMpUBA_mPyhL","Завантажити сертифікат")</f>
        <v>Завантажити сертифікат</v>
      </c>
    </row>
    <row r="2674" spans="1:5" x14ac:dyDescent="0.3">
      <c r="A2674" s="2" t="s">
        <v>5465</v>
      </c>
      <c r="B2674" s="2" t="s">
        <v>5</v>
      </c>
      <c r="C2674" s="2" t="s">
        <v>5466</v>
      </c>
      <c r="D2674" s="2" t="s">
        <v>5456</v>
      </c>
      <c r="E2674" s="2" t="str">
        <f>HYPERLINK("https://talan.bank.gov.ua/get-user-certificate/sec1eaI0hyg2ZE2QoCfD","Завантажити сертифікат")</f>
        <v>Завантажити сертифікат</v>
      </c>
    </row>
    <row r="2675" spans="1:5" x14ac:dyDescent="0.3">
      <c r="A2675" s="2" t="s">
        <v>5467</v>
      </c>
      <c r="B2675" s="2" t="s">
        <v>5</v>
      </c>
      <c r="C2675" s="2" t="s">
        <v>5468</v>
      </c>
      <c r="D2675" s="2" t="s">
        <v>5456</v>
      </c>
      <c r="E2675" s="2" t="str">
        <f>HYPERLINK("https://talan.bank.gov.ua/get-user-certificate/sec1eMkYuOCaM6IoXOpm","Завантажити сертифікат")</f>
        <v>Завантажити сертифікат</v>
      </c>
    </row>
    <row r="2676" spans="1:5" x14ac:dyDescent="0.3">
      <c r="A2676" s="2" t="s">
        <v>5469</v>
      </c>
      <c r="B2676" s="2" t="s">
        <v>5</v>
      </c>
      <c r="C2676" s="2" t="s">
        <v>5470</v>
      </c>
      <c r="D2676" s="2" t="s">
        <v>5456</v>
      </c>
      <c r="E2676" s="2" t="str">
        <f>HYPERLINK("https://talan.bank.gov.ua/get-user-certificate/sec1e_O5OjSwvCy8srdh","Завантажити сертифікат")</f>
        <v>Завантажити сертифікат</v>
      </c>
    </row>
    <row r="2677" spans="1:5" x14ac:dyDescent="0.3">
      <c r="A2677" s="2" t="s">
        <v>5471</v>
      </c>
      <c r="B2677" s="2" t="s">
        <v>5</v>
      </c>
      <c r="C2677" s="2" t="s">
        <v>5472</v>
      </c>
      <c r="D2677" s="2" t="s">
        <v>5456</v>
      </c>
      <c r="E2677" s="2" t="str">
        <f>HYPERLINK("https://talan.bank.gov.ua/get-user-certificate/sec1eSTUci3NBJNyY7Db","Завантажити сертифікат")</f>
        <v>Завантажити сертифікат</v>
      </c>
    </row>
    <row r="2678" spans="1:5" x14ac:dyDescent="0.3">
      <c r="A2678" s="2" t="s">
        <v>5473</v>
      </c>
      <c r="B2678" s="2" t="s">
        <v>5</v>
      </c>
      <c r="C2678" s="2" t="s">
        <v>5474</v>
      </c>
      <c r="D2678" s="2" t="s">
        <v>5456</v>
      </c>
      <c r="E2678" s="2" t="str">
        <f>HYPERLINK("https://talan.bank.gov.ua/get-user-certificate/sec1e38SEjDdPz1KW_E8","Завантажити сертифікат")</f>
        <v>Завантажити сертифікат</v>
      </c>
    </row>
    <row r="2679" spans="1:5" x14ac:dyDescent="0.3">
      <c r="A2679" s="2" t="s">
        <v>5475</v>
      </c>
      <c r="B2679" s="2" t="s">
        <v>5</v>
      </c>
      <c r="C2679" s="2" t="s">
        <v>5476</v>
      </c>
      <c r="D2679" s="2" t="s">
        <v>5456</v>
      </c>
      <c r="E2679" s="2" t="str">
        <f>HYPERLINK("https://talan.bank.gov.ua/get-user-certificate/sec1eGpaOlMJFtJAKbk4","Завантажити сертифікат")</f>
        <v>Завантажити сертифікат</v>
      </c>
    </row>
    <row r="2680" spans="1:5" x14ac:dyDescent="0.3">
      <c r="A2680" s="2" t="s">
        <v>5477</v>
      </c>
      <c r="B2680" s="2" t="s">
        <v>5</v>
      </c>
      <c r="C2680" s="2" t="s">
        <v>5478</v>
      </c>
      <c r="D2680" s="2" t="s">
        <v>5456</v>
      </c>
      <c r="E2680" s="2" t="str">
        <f>HYPERLINK("https://talan.bank.gov.ua/get-user-certificate/sec1eVBF2aMgLAlI46gv","Завантажити сертифікат")</f>
        <v>Завантажити сертифікат</v>
      </c>
    </row>
    <row r="2681" spans="1:5" x14ac:dyDescent="0.3">
      <c r="A2681" s="2" t="s">
        <v>5479</v>
      </c>
      <c r="B2681" s="2" t="s">
        <v>5</v>
      </c>
      <c r="C2681" s="2" t="s">
        <v>5480</v>
      </c>
      <c r="D2681" s="2" t="s">
        <v>5456</v>
      </c>
      <c r="E2681" s="2" t="str">
        <f>HYPERLINK("https://talan.bank.gov.ua/get-user-certificate/sec1egH-s9LXSI0dX3rS","Завантажити сертифікат")</f>
        <v>Завантажити сертифікат</v>
      </c>
    </row>
    <row r="2682" spans="1:5" x14ac:dyDescent="0.3">
      <c r="A2682" s="2" t="s">
        <v>5481</v>
      </c>
      <c r="B2682" s="2" t="s">
        <v>5</v>
      </c>
      <c r="C2682" s="2" t="s">
        <v>5482</v>
      </c>
      <c r="D2682" s="2" t="s">
        <v>5456</v>
      </c>
      <c r="E2682" s="2" t="str">
        <f>HYPERLINK("https://talan.bank.gov.ua/get-user-certificate/sec1eveWVtl1DwEK7KaN","Завантажити сертифікат")</f>
        <v>Завантажити сертифікат</v>
      </c>
    </row>
    <row r="2683" spans="1:5" x14ac:dyDescent="0.3">
      <c r="A2683" s="2" t="s">
        <v>5483</v>
      </c>
      <c r="B2683" s="2" t="s">
        <v>5</v>
      </c>
      <c r="C2683" s="2" t="s">
        <v>5484</v>
      </c>
      <c r="D2683" s="2" t="s">
        <v>5456</v>
      </c>
      <c r="E2683" s="2" t="str">
        <f>HYPERLINK("https://talan.bank.gov.ua/get-user-certificate/sec1enDpng_Cyjd0kPIC","Завантажити сертифікат")</f>
        <v>Завантажити сертифікат</v>
      </c>
    </row>
    <row r="2684" spans="1:5" x14ac:dyDescent="0.3">
      <c r="A2684" s="2" t="s">
        <v>5485</v>
      </c>
      <c r="B2684" s="2" t="s">
        <v>5</v>
      </c>
      <c r="C2684" s="2" t="s">
        <v>290</v>
      </c>
      <c r="D2684" s="2" t="s">
        <v>5456</v>
      </c>
      <c r="E2684" s="2" t="str">
        <f>HYPERLINK("https://talan.bank.gov.ua/get-user-certificate/sec1eid12W7aFdsWATWL","Завантажити сертифікат")</f>
        <v>Завантажити сертифікат</v>
      </c>
    </row>
    <row r="2685" spans="1:5" x14ac:dyDescent="0.3">
      <c r="A2685" s="2" t="s">
        <v>5486</v>
      </c>
      <c r="B2685" s="2" t="s">
        <v>5</v>
      </c>
      <c r="C2685" s="2" t="s">
        <v>5487</v>
      </c>
      <c r="D2685" s="2" t="s">
        <v>5488</v>
      </c>
      <c r="E2685" s="2" t="str">
        <f>HYPERLINK("https://talan.bank.gov.ua/get-user-certificate/sec1eZLQyIMM1rlhaiYx","Завантажити сертифікат")</f>
        <v>Завантажити сертифікат</v>
      </c>
    </row>
    <row r="2686" spans="1:5" x14ac:dyDescent="0.3">
      <c r="A2686" s="2" t="s">
        <v>5489</v>
      </c>
      <c r="B2686" s="2" t="s">
        <v>5</v>
      </c>
      <c r="C2686" s="2" t="s">
        <v>5490</v>
      </c>
      <c r="D2686" s="2" t="s">
        <v>5488</v>
      </c>
      <c r="E2686" s="2" t="str">
        <f>HYPERLINK("https://talan.bank.gov.ua/get-user-certificate/sec1eGr4ZedjtKaJrxfE","Завантажити сертифікат")</f>
        <v>Завантажити сертифікат</v>
      </c>
    </row>
    <row r="2687" spans="1:5" x14ac:dyDescent="0.3">
      <c r="A2687" s="2" t="s">
        <v>5491</v>
      </c>
      <c r="B2687" s="2" t="s">
        <v>5</v>
      </c>
      <c r="C2687" s="2" t="s">
        <v>5492</v>
      </c>
      <c r="D2687" s="2" t="s">
        <v>5488</v>
      </c>
      <c r="E2687" s="2" t="str">
        <f>HYPERLINK("https://talan.bank.gov.ua/get-user-certificate/sec1eqiwPl1aiPEDH_mJ","Завантажити сертифікат")</f>
        <v>Завантажити сертифікат</v>
      </c>
    </row>
    <row r="2688" spans="1:5" x14ac:dyDescent="0.3">
      <c r="A2688" s="2" t="s">
        <v>5493</v>
      </c>
      <c r="B2688" s="2" t="s">
        <v>5</v>
      </c>
      <c r="C2688" s="2" t="s">
        <v>5494</v>
      </c>
      <c r="D2688" s="2" t="s">
        <v>5488</v>
      </c>
      <c r="E2688" s="2" t="str">
        <f>HYPERLINK("https://talan.bank.gov.ua/get-user-certificate/sec1eCfa3Q3rGpuHzsoy","Завантажити сертифікат")</f>
        <v>Завантажити сертифікат</v>
      </c>
    </row>
    <row r="2689" spans="1:5" x14ac:dyDescent="0.3">
      <c r="A2689" s="2" t="s">
        <v>5495</v>
      </c>
      <c r="B2689" s="2" t="s">
        <v>5</v>
      </c>
      <c r="C2689" s="2" t="s">
        <v>5496</v>
      </c>
      <c r="D2689" s="2" t="s">
        <v>5488</v>
      </c>
      <c r="E2689" s="2" t="str">
        <f>HYPERLINK("https://talan.bank.gov.ua/get-user-certificate/sec1e0aV2PA0s-xBubMG","Завантажити сертифікат")</f>
        <v>Завантажити сертифікат</v>
      </c>
    </row>
    <row r="2690" spans="1:5" x14ac:dyDescent="0.3">
      <c r="A2690" s="2" t="s">
        <v>5497</v>
      </c>
      <c r="B2690" s="2" t="s">
        <v>5</v>
      </c>
      <c r="C2690" s="2" t="s">
        <v>5498</v>
      </c>
      <c r="D2690" s="2" t="s">
        <v>5488</v>
      </c>
      <c r="E2690" s="2" t="str">
        <f>HYPERLINK("https://talan.bank.gov.ua/get-user-certificate/sec1eE0kkfdvYVOcehnc","Завантажити сертифікат")</f>
        <v>Завантажити сертифікат</v>
      </c>
    </row>
    <row r="2691" spans="1:5" x14ac:dyDescent="0.3">
      <c r="A2691" s="2" t="s">
        <v>5499</v>
      </c>
      <c r="B2691" s="2" t="s">
        <v>5</v>
      </c>
      <c r="C2691" s="2" t="s">
        <v>5500</v>
      </c>
      <c r="D2691" s="2" t="s">
        <v>5488</v>
      </c>
      <c r="E2691" s="2" t="str">
        <f>HYPERLINK("https://talan.bank.gov.ua/get-user-certificate/sec1eskimYpD10NOOaxP","Завантажити сертифікат")</f>
        <v>Завантажити сертифікат</v>
      </c>
    </row>
    <row r="2692" spans="1:5" x14ac:dyDescent="0.3">
      <c r="A2692" s="2" t="s">
        <v>5501</v>
      </c>
      <c r="B2692" s="2" t="s">
        <v>5</v>
      </c>
      <c r="C2692" s="2" t="s">
        <v>5502</v>
      </c>
      <c r="D2692" s="2" t="s">
        <v>5488</v>
      </c>
      <c r="E2692" s="2" t="str">
        <f>HYPERLINK("https://talan.bank.gov.ua/get-user-certificate/sec1eRYOfnhGdFqxUGhZ","Завантажити сертифікат")</f>
        <v>Завантажити сертифікат</v>
      </c>
    </row>
    <row r="2693" spans="1:5" x14ac:dyDescent="0.3">
      <c r="A2693" s="2" t="s">
        <v>5503</v>
      </c>
      <c r="B2693" s="2" t="s">
        <v>5</v>
      </c>
      <c r="C2693" s="2" t="s">
        <v>5504</v>
      </c>
      <c r="D2693" s="2" t="s">
        <v>5488</v>
      </c>
      <c r="E2693" s="2" t="str">
        <f>HYPERLINK("https://talan.bank.gov.ua/get-user-certificate/sec1eE-cBQN_NM2PtIs8","Завантажити сертифікат")</f>
        <v>Завантажити сертифікат</v>
      </c>
    </row>
    <row r="2694" spans="1:5" x14ac:dyDescent="0.3">
      <c r="A2694" s="2" t="s">
        <v>5505</v>
      </c>
      <c r="B2694" s="2" t="s">
        <v>5</v>
      </c>
      <c r="C2694" s="2" t="s">
        <v>5506</v>
      </c>
      <c r="D2694" s="2" t="s">
        <v>5488</v>
      </c>
      <c r="E2694" s="2" t="str">
        <f>HYPERLINK("https://talan.bank.gov.ua/get-user-certificate/sec1eA9uP31RJj9ayZPr","Завантажити сертифікат")</f>
        <v>Завантажити сертифікат</v>
      </c>
    </row>
    <row r="2695" spans="1:5" x14ac:dyDescent="0.3">
      <c r="A2695" s="2" t="s">
        <v>5507</v>
      </c>
      <c r="B2695" s="2" t="s">
        <v>5</v>
      </c>
      <c r="C2695" s="2" t="s">
        <v>5508</v>
      </c>
      <c r="D2695" s="2" t="s">
        <v>5488</v>
      </c>
      <c r="E2695" s="2" t="str">
        <f>HYPERLINK("https://talan.bank.gov.ua/get-user-certificate/sec1erHFtC4iGU_EHsLX","Завантажити сертифікат")</f>
        <v>Завантажити сертифікат</v>
      </c>
    </row>
    <row r="2696" spans="1:5" x14ac:dyDescent="0.3">
      <c r="A2696" s="2" t="s">
        <v>5509</v>
      </c>
      <c r="B2696" s="2" t="s">
        <v>5</v>
      </c>
      <c r="C2696" s="2" t="s">
        <v>5510</v>
      </c>
      <c r="D2696" s="2" t="s">
        <v>5488</v>
      </c>
      <c r="E2696" s="2" t="str">
        <f>HYPERLINK("https://talan.bank.gov.ua/get-user-certificate/sec1e3q5KP_xGsMZP3Q2","Завантажити сертифікат")</f>
        <v>Завантажити сертифікат</v>
      </c>
    </row>
    <row r="2697" spans="1:5" x14ac:dyDescent="0.3">
      <c r="A2697" s="2" t="s">
        <v>5511</v>
      </c>
      <c r="B2697" s="2" t="s">
        <v>5</v>
      </c>
      <c r="C2697" s="2" t="s">
        <v>5512</v>
      </c>
      <c r="D2697" s="2" t="s">
        <v>5488</v>
      </c>
      <c r="E2697" s="2" t="str">
        <f>HYPERLINK("https://talan.bank.gov.ua/get-user-certificate/sec1esk_ypxLYkFG-eQG","Завантажити сертифікат")</f>
        <v>Завантажити сертифікат</v>
      </c>
    </row>
    <row r="2698" spans="1:5" x14ac:dyDescent="0.3">
      <c r="A2698" s="2" t="s">
        <v>5513</v>
      </c>
      <c r="B2698" s="2" t="s">
        <v>5</v>
      </c>
      <c r="C2698" s="2" t="s">
        <v>5514</v>
      </c>
      <c r="D2698" s="2" t="s">
        <v>5488</v>
      </c>
      <c r="E2698" s="2" t="str">
        <f>HYPERLINK("https://talan.bank.gov.ua/get-user-certificate/sec1euIgvyfqUehKikvW","Завантажити сертифікат")</f>
        <v>Завантажити сертифікат</v>
      </c>
    </row>
    <row r="2699" spans="1:5" x14ac:dyDescent="0.3">
      <c r="A2699" s="2" t="s">
        <v>5515</v>
      </c>
      <c r="B2699" s="2" t="s">
        <v>5</v>
      </c>
      <c r="C2699" s="2" t="s">
        <v>5516</v>
      </c>
      <c r="D2699" s="2" t="s">
        <v>5488</v>
      </c>
      <c r="E2699" s="2" t="str">
        <f>HYPERLINK("https://talan.bank.gov.ua/get-user-certificate/sec1eg_VuZTaY-pSrAPs","Завантажити сертифікат")</f>
        <v>Завантажити сертифікат</v>
      </c>
    </row>
    <row r="2700" spans="1:5" x14ac:dyDescent="0.3">
      <c r="A2700" s="2" t="s">
        <v>5517</v>
      </c>
      <c r="B2700" s="2" t="s">
        <v>5</v>
      </c>
      <c r="C2700" s="2" t="s">
        <v>5518</v>
      </c>
      <c r="D2700" s="2" t="s">
        <v>5488</v>
      </c>
      <c r="E2700" s="2" t="str">
        <f>HYPERLINK("https://talan.bank.gov.ua/get-user-certificate/sec1eK9_6ZXEMoclhFvS","Завантажити сертифікат")</f>
        <v>Завантажити сертифікат</v>
      </c>
    </row>
    <row r="2701" spans="1:5" x14ac:dyDescent="0.3">
      <c r="A2701" s="2" t="s">
        <v>5519</v>
      </c>
      <c r="B2701" s="2" t="s">
        <v>5</v>
      </c>
      <c r="C2701" s="2" t="s">
        <v>5520</v>
      </c>
      <c r="D2701" s="2" t="s">
        <v>5488</v>
      </c>
      <c r="E2701" s="2" t="str">
        <f>HYPERLINK("https://talan.bank.gov.ua/get-user-certificate/sec1e2boJcZnQMWGr0mb","Завантажити сертифікат")</f>
        <v>Завантажити сертифікат</v>
      </c>
    </row>
    <row r="2702" spans="1:5" x14ac:dyDescent="0.3">
      <c r="A2702" s="2" t="s">
        <v>5521</v>
      </c>
      <c r="B2702" s="2" t="s">
        <v>5</v>
      </c>
      <c r="C2702" s="2" t="s">
        <v>5522</v>
      </c>
      <c r="D2702" s="2" t="s">
        <v>5488</v>
      </c>
      <c r="E2702" s="2" t="str">
        <f>HYPERLINK("https://talan.bank.gov.ua/get-user-certificate/sec1eCGnP9RAeMqHfy9t","Завантажити сертифікат")</f>
        <v>Завантажити сертифікат</v>
      </c>
    </row>
    <row r="2703" spans="1:5" x14ac:dyDescent="0.3">
      <c r="A2703" s="2" t="s">
        <v>5523</v>
      </c>
      <c r="B2703" s="2" t="s">
        <v>5</v>
      </c>
      <c r="C2703" s="2" t="s">
        <v>5524</v>
      </c>
      <c r="D2703" s="2" t="s">
        <v>5488</v>
      </c>
      <c r="E2703" s="2" t="str">
        <f>HYPERLINK("https://talan.bank.gov.ua/get-user-certificate/sec1eilRgqgXXwO8z5YW","Завантажити сертифікат")</f>
        <v>Завантажити сертифікат</v>
      </c>
    </row>
    <row r="2704" spans="1:5" x14ac:dyDescent="0.3">
      <c r="A2704" s="2" t="s">
        <v>5525</v>
      </c>
      <c r="B2704" s="2" t="s">
        <v>5</v>
      </c>
      <c r="C2704" s="2" t="s">
        <v>5526</v>
      </c>
      <c r="D2704" s="2" t="s">
        <v>5488</v>
      </c>
      <c r="E2704" s="2" t="str">
        <f>HYPERLINK("https://talan.bank.gov.ua/get-user-certificate/sec1eHH-KlkLYHFQsNIZ","Завантажити сертифікат")</f>
        <v>Завантажити сертифікат</v>
      </c>
    </row>
    <row r="2705" spans="1:5" x14ac:dyDescent="0.3">
      <c r="A2705" s="2" t="s">
        <v>5527</v>
      </c>
      <c r="B2705" s="2" t="s">
        <v>5</v>
      </c>
      <c r="C2705" s="2" t="s">
        <v>5528</v>
      </c>
      <c r="D2705" s="2" t="s">
        <v>5488</v>
      </c>
      <c r="E2705" s="2" t="str">
        <f>HYPERLINK("https://talan.bank.gov.ua/get-user-certificate/sec1eOTFjZY5hWvRg56S","Завантажити сертифікат")</f>
        <v>Завантажити сертифікат</v>
      </c>
    </row>
    <row r="2706" spans="1:5" x14ac:dyDescent="0.3">
      <c r="A2706" s="2" t="s">
        <v>5529</v>
      </c>
      <c r="B2706" s="2" t="s">
        <v>5</v>
      </c>
      <c r="C2706" s="2" t="s">
        <v>5530</v>
      </c>
      <c r="D2706" s="2" t="s">
        <v>5488</v>
      </c>
      <c r="E2706" s="2" t="str">
        <f>HYPERLINK("https://talan.bank.gov.ua/get-user-certificate/sec1euKS3n2V4dHUkKzJ","Завантажити сертифікат")</f>
        <v>Завантажити сертифікат</v>
      </c>
    </row>
    <row r="2707" spans="1:5" x14ac:dyDescent="0.3">
      <c r="A2707" s="2" t="s">
        <v>5531</v>
      </c>
      <c r="B2707" s="2" t="s">
        <v>5</v>
      </c>
      <c r="C2707" s="2" t="s">
        <v>5532</v>
      </c>
      <c r="D2707" s="2" t="s">
        <v>5488</v>
      </c>
      <c r="E2707" s="2" t="str">
        <f>HYPERLINK("https://talan.bank.gov.ua/get-user-certificate/sec1evzVCpA1IfoEU_3n","Завантажити сертифікат")</f>
        <v>Завантажити сертифікат</v>
      </c>
    </row>
    <row r="2708" spans="1:5" x14ac:dyDescent="0.3">
      <c r="A2708" s="2" t="s">
        <v>5533</v>
      </c>
      <c r="B2708" s="2" t="s">
        <v>5</v>
      </c>
      <c r="C2708" s="2" t="s">
        <v>5534</v>
      </c>
      <c r="D2708" s="2" t="s">
        <v>5488</v>
      </c>
      <c r="E2708" s="2" t="str">
        <f>HYPERLINK("https://talan.bank.gov.ua/get-user-certificate/sec1eR0hHMy29_91UwuF","Завантажити сертифікат")</f>
        <v>Завантажити сертифікат</v>
      </c>
    </row>
    <row r="2709" spans="1:5" x14ac:dyDescent="0.3">
      <c r="A2709" s="2" t="s">
        <v>5535</v>
      </c>
      <c r="B2709" s="2" t="s">
        <v>5</v>
      </c>
      <c r="C2709" s="2" t="s">
        <v>5536</v>
      </c>
      <c r="D2709" s="2" t="s">
        <v>5488</v>
      </c>
      <c r="E2709" s="2" t="str">
        <f>HYPERLINK("https://talan.bank.gov.ua/get-user-certificate/sec1ekHd6sR97vjBKYeD","Завантажити сертифікат")</f>
        <v>Завантажити сертифікат</v>
      </c>
    </row>
    <row r="2710" spans="1:5" x14ac:dyDescent="0.3">
      <c r="A2710" s="2" t="s">
        <v>5537</v>
      </c>
      <c r="B2710" s="2" t="s">
        <v>5</v>
      </c>
      <c r="C2710" s="2" t="s">
        <v>5538</v>
      </c>
      <c r="D2710" s="2" t="s">
        <v>5488</v>
      </c>
      <c r="E2710" s="2" t="str">
        <f>HYPERLINK("https://talan.bank.gov.ua/get-user-certificate/sec1emhBYZqz5WqSeIEQ","Завантажити сертифікат")</f>
        <v>Завантажити сертифікат</v>
      </c>
    </row>
    <row r="2711" spans="1:5" x14ac:dyDescent="0.3">
      <c r="A2711" s="2" t="s">
        <v>5539</v>
      </c>
      <c r="B2711" s="2" t="s">
        <v>5</v>
      </c>
      <c r="C2711" s="2" t="s">
        <v>5540</v>
      </c>
      <c r="D2711" s="2" t="s">
        <v>5488</v>
      </c>
      <c r="E2711" s="2" t="str">
        <f>HYPERLINK("https://talan.bank.gov.ua/get-user-certificate/sec1er5fHHeqW8oEA2D0","Завантажити сертифікат")</f>
        <v>Завантажити сертифікат</v>
      </c>
    </row>
    <row r="2712" spans="1:5" x14ac:dyDescent="0.3">
      <c r="A2712" s="2" t="s">
        <v>5541</v>
      </c>
      <c r="B2712" s="2" t="s">
        <v>5</v>
      </c>
      <c r="C2712" s="2" t="s">
        <v>5542</v>
      </c>
      <c r="D2712" s="2" t="s">
        <v>5488</v>
      </c>
      <c r="E2712" s="2" t="str">
        <f>HYPERLINK("https://talan.bank.gov.ua/get-user-certificate/sec1eTHs0bxQehXcxM4S","Завантажити сертифікат")</f>
        <v>Завантажити сертифікат</v>
      </c>
    </row>
    <row r="2713" spans="1:5" x14ac:dyDescent="0.3">
      <c r="A2713" s="2" t="s">
        <v>5543</v>
      </c>
      <c r="B2713" s="2" t="s">
        <v>5</v>
      </c>
      <c r="C2713" s="2" t="s">
        <v>5544</v>
      </c>
      <c r="D2713" s="2" t="s">
        <v>5545</v>
      </c>
      <c r="E2713" s="2" t="str">
        <f>HYPERLINK("https://talan.bank.gov.ua/get-user-certificate/sec1eV3ge8ldzGHnMa-_","Завантажити сертифікат")</f>
        <v>Завантажити сертифікат</v>
      </c>
    </row>
    <row r="2714" spans="1:5" x14ac:dyDescent="0.3">
      <c r="A2714" s="2" t="s">
        <v>5546</v>
      </c>
      <c r="B2714" s="2" t="s">
        <v>5</v>
      </c>
      <c r="C2714" s="2" t="s">
        <v>5547</v>
      </c>
      <c r="D2714" s="2" t="s">
        <v>5545</v>
      </c>
      <c r="E2714" s="2" t="str">
        <f>HYPERLINK("https://talan.bank.gov.ua/get-user-certificate/sec1eY21ustsSuOf0oGc","Завантажити сертифікат")</f>
        <v>Завантажити сертифікат</v>
      </c>
    </row>
    <row r="2715" spans="1:5" x14ac:dyDescent="0.3">
      <c r="A2715" s="2" t="s">
        <v>5548</v>
      </c>
      <c r="B2715" s="2" t="s">
        <v>5</v>
      </c>
      <c r="C2715" s="2" t="s">
        <v>5549</v>
      </c>
      <c r="D2715" s="2" t="s">
        <v>5545</v>
      </c>
      <c r="E2715" s="2" t="str">
        <f>HYPERLINK("https://talan.bank.gov.ua/get-user-certificate/sec1esaOOesdQ1PBPaIJ","Завантажити сертифікат")</f>
        <v>Завантажити сертифікат</v>
      </c>
    </row>
    <row r="2716" spans="1:5" x14ac:dyDescent="0.3">
      <c r="A2716" s="2" t="s">
        <v>5550</v>
      </c>
      <c r="B2716" s="2" t="s">
        <v>5</v>
      </c>
      <c r="C2716" s="2" t="s">
        <v>5551</v>
      </c>
      <c r="D2716" s="2" t="s">
        <v>5545</v>
      </c>
      <c r="E2716" s="2" t="str">
        <f>HYPERLINK("https://talan.bank.gov.ua/get-user-certificate/sec1ej1Pf-J0ktCe7DUZ","Завантажити сертифікат")</f>
        <v>Завантажити сертифікат</v>
      </c>
    </row>
    <row r="2717" spans="1:5" x14ac:dyDescent="0.3">
      <c r="A2717" s="2" t="s">
        <v>5552</v>
      </c>
      <c r="B2717" s="2" t="s">
        <v>5</v>
      </c>
      <c r="C2717" s="2" t="s">
        <v>5553</v>
      </c>
      <c r="D2717" s="2" t="s">
        <v>5545</v>
      </c>
      <c r="E2717" s="2" t="str">
        <f>HYPERLINK("https://talan.bank.gov.ua/get-user-certificate/sec1eaD7bQx27oTFNiDD","Завантажити сертифікат")</f>
        <v>Завантажити сертифікат</v>
      </c>
    </row>
    <row r="2718" spans="1:5" x14ac:dyDescent="0.3">
      <c r="A2718" s="2" t="s">
        <v>5554</v>
      </c>
      <c r="B2718" s="2" t="s">
        <v>5</v>
      </c>
      <c r="C2718" s="2" t="s">
        <v>5555</v>
      </c>
      <c r="D2718" s="2" t="s">
        <v>5545</v>
      </c>
      <c r="E2718" s="2" t="str">
        <f>HYPERLINK("https://talan.bank.gov.ua/get-user-certificate/sec1e5xNl30Lq0Vx402W","Завантажити сертифікат")</f>
        <v>Завантажити сертифікат</v>
      </c>
    </row>
    <row r="2719" spans="1:5" x14ac:dyDescent="0.3">
      <c r="A2719" s="2" t="s">
        <v>5556</v>
      </c>
      <c r="B2719" s="2" t="s">
        <v>5</v>
      </c>
      <c r="C2719" s="2" t="s">
        <v>5557</v>
      </c>
      <c r="D2719" s="2" t="s">
        <v>5545</v>
      </c>
      <c r="E2719" s="2" t="str">
        <f>HYPERLINK("https://talan.bank.gov.ua/get-user-certificate/sec1eqbO-_CzDAmd-RKR","Завантажити сертифікат")</f>
        <v>Завантажити сертифікат</v>
      </c>
    </row>
    <row r="2720" spans="1:5" x14ac:dyDescent="0.3">
      <c r="A2720" s="2" t="s">
        <v>5558</v>
      </c>
      <c r="B2720" s="2" t="s">
        <v>5</v>
      </c>
      <c r="C2720" s="2" t="s">
        <v>5559</v>
      </c>
      <c r="D2720" s="2" t="s">
        <v>5545</v>
      </c>
      <c r="E2720" s="2" t="str">
        <f>HYPERLINK("https://talan.bank.gov.ua/get-user-certificate/sec1exaIG29FPEL-DjGN","Завантажити сертифікат")</f>
        <v>Завантажити сертифікат</v>
      </c>
    </row>
    <row r="2721" spans="1:5" x14ac:dyDescent="0.3">
      <c r="A2721" s="2" t="s">
        <v>5560</v>
      </c>
      <c r="B2721" s="2" t="s">
        <v>5</v>
      </c>
      <c r="C2721" s="2" t="s">
        <v>5561</v>
      </c>
      <c r="D2721" s="2" t="s">
        <v>5545</v>
      </c>
      <c r="E2721" s="2" t="str">
        <f>HYPERLINK("https://talan.bank.gov.ua/get-user-certificate/sec1eO-doGRtPl_sAdVQ","Завантажити сертифікат")</f>
        <v>Завантажити сертифікат</v>
      </c>
    </row>
    <row r="2722" spans="1:5" x14ac:dyDescent="0.3">
      <c r="A2722" s="2" t="s">
        <v>5562</v>
      </c>
      <c r="B2722" s="2" t="s">
        <v>5</v>
      </c>
      <c r="C2722" s="2" t="s">
        <v>5563</v>
      </c>
      <c r="D2722" s="2" t="s">
        <v>5545</v>
      </c>
      <c r="E2722" s="2" t="str">
        <f>HYPERLINK("https://talan.bank.gov.ua/get-user-certificate/sec1eXJevPLWmM8IGFP5","Завантажити сертифікат")</f>
        <v>Завантажити сертифікат</v>
      </c>
    </row>
    <row r="2723" spans="1:5" x14ac:dyDescent="0.3">
      <c r="A2723" s="2" t="s">
        <v>5564</v>
      </c>
      <c r="B2723" s="2" t="s">
        <v>5</v>
      </c>
      <c r="C2723" s="2" t="s">
        <v>5565</v>
      </c>
      <c r="D2723" s="2" t="s">
        <v>5545</v>
      </c>
      <c r="E2723" s="2" t="str">
        <f>HYPERLINK("https://talan.bank.gov.ua/get-user-certificate/sec1eaYqz-Bqxe33WOWa","Завантажити сертифікат")</f>
        <v>Завантажити сертифікат</v>
      </c>
    </row>
    <row r="2724" spans="1:5" x14ac:dyDescent="0.3">
      <c r="A2724" s="2" t="s">
        <v>5566</v>
      </c>
      <c r="B2724" s="2" t="s">
        <v>5</v>
      </c>
      <c r="C2724" s="2" t="s">
        <v>5567</v>
      </c>
      <c r="D2724" s="2" t="s">
        <v>5545</v>
      </c>
      <c r="E2724" s="2" t="str">
        <f>HYPERLINK("https://talan.bank.gov.ua/get-user-certificate/sec1eN3vnyklH-K6S_vH","Завантажити сертифікат")</f>
        <v>Завантажити сертифікат</v>
      </c>
    </row>
    <row r="2725" spans="1:5" x14ac:dyDescent="0.3">
      <c r="A2725" s="2" t="s">
        <v>5568</v>
      </c>
      <c r="B2725" s="2" t="s">
        <v>5</v>
      </c>
      <c r="C2725" s="2" t="s">
        <v>5569</v>
      </c>
      <c r="D2725" s="2" t="s">
        <v>5545</v>
      </c>
      <c r="E2725" s="2" t="str">
        <f>HYPERLINK("https://talan.bank.gov.ua/get-user-certificate/sec1elqzpJV6ISLlPtCx","Завантажити сертифікат")</f>
        <v>Завантажити сертифікат</v>
      </c>
    </row>
    <row r="2726" spans="1:5" x14ac:dyDescent="0.3">
      <c r="A2726" s="2" t="s">
        <v>5570</v>
      </c>
      <c r="B2726" s="2" t="s">
        <v>5</v>
      </c>
      <c r="C2726" s="2" t="s">
        <v>5571</v>
      </c>
      <c r="D2726" s="2" t="s">
        <v>5545</v>
      </c>
      <c r="E2726" s="2" t="str">
        <f>HYPERLINK("https://talan.bank.gov.ua/get-user-certificate/sec1eMk37Snp6VNnxITy","Завантажити сертифікат")</f>
        <v>Завантажити сертифікат</v>
      </c>
    </row>
    <row r="2727" spans="1:5" x14ac:dyDescent="0.3">
      <c r="A2727" s="2" t="s">
        <v>5572</v>
      </c>
      <c r="B2727" s="2" t="s">
        <v>5</v>
      </c>
      <c r="C2727" s="2" t="s">
        <v>5573</v>
      </c>
      <c r="D2727" s="2" t="s">
        <v>5545</v>
      </c>
      <c r="E2727" s="2" t="str">
        <f>HYPERLINK("https://talan.bank.gov.ua/get-user-certificate/sec1evPdFLsX1cj4pkMa","Завантажити сертифікат")</f>
        <v>Завантажити сертифікат</v>
      </c>
    </row>
    <row r="2728" spans="1:5" x14ac:dyDescent="0.3">
      <c r="A2728" s="2" t="s">
        <v>5574</v>
      </c>
      <c r="B2728" s="2" t="s">
        <v>5</v>
      </c>
      <c r="C2728" s="2" t="s">
        <v>5575</v>
      </c>
      <c r="D2728" s="2" t="s">
        <v>5545</v>
      </c>
      <c r="E2728" s="2" t="str">
        <f>HYPERLINK("https://talan.bank.gov.ua/get-user-certificate/sec1eLauH-TeSjUu8r4h","Завантажити сертифікат")</f>
        <v>Завантажити сертифікат</v>
      </c>
    </row>
    <row r="2729" spans="1:5" x14ac:dyDescent="0.3">
      <c r="A2729" s="2" t="s">
        <v>5576</v>
      </c>
      <c r="B2729" s="2" t="s">
        <v>5</v>
      </c>
      <c r="C2729" s="2" t="s">
        <v>5577</v>
      </c>
      <c r="D2729" s="2" t="s">
        <v>5545</v>
      </c>
      <c r="E2729" s="2" t="str">
        <f>HYPERLINK("https://talan.bank.gov.ua/get-user-certificate/sec1eHRc6TJJgEA2MKYT","Завантажити сертифікат")</f>
        <v>Завантажити сертифікат</v>
      </c>
    </row>
    <row r="2730" spans="1:5" x14ac:dyDescent="0.3">
      <c r="A2730" s="2" t="s">
        <v>5578</v>
      </c>
      <c r="B2730" s="2" t="s">
        <v>5</v>
      </c>
      <c r="C2730" s="2" t="s">
        <v>5579</v>
      </c>
      <c r="D2730" s="2" t="s">
        <v>5545</v>
      </c>
      <c r="E2730" s="2" t="str">
        <f>HYPERLINK("https://talan.bank.gov.ua/get-user-certificate/sec1egxobfpuiqNSFAOF","Завантажити сертифікат")</f>
        <v>Завантажити сертифікат</v>
      </c>
    </row>
    <row r="2731" spans="1:5" x14ac:dyDescent="0.3">
      <c r="A2731" s="2" t="s">
        <v>5580</v>
      </c>
      <c r="B2731" s="2" t="s">
        <v>5</v>
      </c>
      <c r="C2731" s="2" t="s">
        <v>5581</v>
      </c>
      <c r="D2731" s="2" t="s">
        <v>5545</v>
      </c>
      <c r="E2731" s="2" t="str">
        <f>HYPERLINK("https://talan.bank.gov.ua/get-user-certificate/sec1eccpejtCABo6sQXa","Завантажити сертифікат")</f>
        <v>Завантажити сертифікат</v>
      </c>
    </row>
    <row r="2732" spans="1:5" x14ac:dyDescent="0.3">
      <c r="A2732" s="2" t="s">
        <v>5582</v>
      </c>
      <c r="B2732" s="2" t="s">
        <v>5</v>
      </c>
      <c r="C2732" s="2" t="s">
        <v>5583</v>
      </c>
      <c r="D2732" s="2" t="s">
        <v>5545</v>
      </c>
      <c r="E2732" s="2" t="str">
        <f>HYPERLINK("https://talan.bank.gov.ua/get-user-certificate/sec1epl8MiNuxVN-cZIO","Завантажити сертифікат")</f>
        <v>Завантажити сертифікат</v>
      </c>
    </row>
    <row r="2733" spans="1:5" x14ac:dyDescent="0.3">
      <c r="A2733" s="2" t="s">
        <v>5584</v>
      </c>
      <c r="B2733" s="2" t="s">
        <v>5</v>
      </c>
      <c r="C2733" s="2" t="s">
        <v>5585</v>
      </c>
      <c r="D2733" s="2" t="s">
        <v>5545</v>
      </c>
      <c r="E2733" s="2" t="str">
        <f>HYPERLINK("https://talan.bank.gov.ua/get-user-certificate/sec1eLbNDfDk-cHACmKA","Завантажити сертифікат")</f>
        <v>Завантажити сертифікат</v>
      </c>
    </row>
    <row r="2734" spans="1:5" x14ac:dyDescent="0.3">
      <c r="A2734" s="2" t="s">
        <v>5586</v>
      </c>
      <c r="B2734" s="2" t="s">
        <v>5</v>
      </c>
      <c r="C2734" s="2" t="s">
        <v>5587</v>
      </c>
      <c r="D2734" s="2" t="s">
        <v>5545</v>
      </c>
      <c r="E2734" s="2" t="str">
        <f>HYPERLINK("https://talan.bank.gov.ua/get-user-certificate/sec1etzGnobETxkVmaqU","Завантажити сертифікат")</f>
        <v>Завантажити сертифікат</v>
      </c>
    </row>
    <row r="2735" spans="1:5" x14ac:dyDescent="0.3">
      <c r="A2735" s="2" t="s">
        <v>5588</v>
      </c>
      <c r="B2735" s="2" t="s">
        <v>5</v>
      </c>
      <c r="C2735" s="2" t="s">
        <v>5589</v>
      </c>
      <c r="D2735" s="2" t="s">
        <v>5545</v>
      </c>
      <c r="E2735" s="2" t="str">
        <f>HYPERLINK("https://talan.bank.gov.ua/get-user-certificate/sec1eHXJmyJ60FAqULPW","Завантажити сертифікат")</f>
        <v>Завантажити сертифікат</v>
      </c>
    </row>
    <row r="2736" spans="1:5" x14ac:dyDescent="0.3">
      <c r="A2736" s="2" t="s">
        <v>5590</v>
      </c>
      <c r="B2736" s="2" t="s">
        <v>5</v>
      </c>
      <c r="C2736" s="2" t="s">
        <v>5591</v>
      </c>
      <c r="D2736" s="2" t="s">
        <v>5545</v>
      </c>
      <c r="E2736" s="2" t="str">
        <f>HYPERLINK("https://talan.bank.gov.ua/get-user-certificate/sec1eFyUhsejP4sbJlWq","Завантажити сертифікат")</f>
        <v>Завантажити сертифікат</v>
      </c>
    </row>
    <row r="2737" spans="1:5" x14ac:dyDescent="0.3">
      <c r="A2737" s="2" t="s">
        <v>5592</v>
      </c>
      <c r="B2737" s="2" t="s">
        <v>5</v>
      </c>
      <c r="C2737" s="2" t="s">
        <v>5593</v>
      </c>
      <c r="D2737" s="2" t="s">
        <v>5545</v>
      </c>
      <c r="E2737" s="2" t="str">
        <f>HYPERLINK("https://talan.bank.gov.ua/get-user-certificate/sec1eJ9OF9u_QNNCOdlf","Завантажити сертифікат")</f>
        <v>Завантажити сертифікат</v>
      </c>
    </row>
    <row r="2738" spans="1:5" x14ac:dyDescent="0.3">
      <c r="A2738" s="2" t="s">
        <v>5594</v>
      </c>
      <c r="B2738" s="2" t="s">
        <v>5</v>
      </c>
      <c r="C2738" s="2" t="s">
        <v>5595</v>
      </c>
      <c r="D2738" s="2" t="s">
        <v>5545</v>
      </c>
      <c r="E2738" s="2" t="str">
        <f>HYPERLINK("https://talan.bank.gov.ua/get-user-certificate/sec1e_k6D0foV7GrXuNF","Завантажити сертифікат")</f>
        <v>Завантажити сертифікат</v>
      </c>
    </row>
    <row r="2739" spans="1:5" x14ac:dyDescent="0.3">
      <c r="A2739" s="2" t="s">
        <v>5596</v>
      </c>
      <c r="B2739" s="2" t="s">
        <v>5</v>
      </c>
      <c r="C2739" s="2" t="s">
        <v>5597</v>
      </c>
      <c r="D2739" s="2" t="s">
        <v>5545</v>
      </c>
      <c r="E2739" s="2" t="str">
        <f>HYPERLINK("https://talan.bank.gov.ua/get-user-certificate/sec1euKDpMgm0EjabYz0","Завантажити сертифікат")</f>
        <v>Завантажити сертифікат</v>
      </c>
    </row>
    <row r="2740" spans="1:5" x14ac:dyDescent="0.3">
      <c r="A2740" s="2" t="s">
        <v>5598</v>
      </c>
      <c r="B2740" s="2" t="s">
        <v>5</v>
      </c>
      <c r="C2740" s="2" t="s">
        <v>5599</v>
      </c>
      <c r="D2740" s="2" t="s">
        <v>5545</v>
      </c>
      <c r="E2740" s="2" t="str">
        <f>HYPERLINK("https://talan.bank.gov.ua/get-user-certificate/sec1evCOxLoa6A3HuqLJ","Завантажити сертифікат")</f>
        <v>Завантажити сертифікат</v>
      </c>
    </row>
    <row r="2741" spans="1:5" x14ac:dyDescent="0.3">
      <c r="A2741" s="2" t="s">
        <v>5600</v>
      </c>
      <c r="B2741" s="2" t="s">
        <v>5</v>
      </c>
      <c r="C2741" s="2" t="s">
        <v>5601</v>
      </c>
      <c r="D2741" s="2" t="s">
        <v>5545</v>
      </c>
      <c r="E2741" s="2" t="str">
        <f>HYPERLINK("https://talan.bank.gov.ua/get-user-certificate/sec1e5Jt8iarOIxuyr6G","Завантажити сертифікат")</f>
        <v>Завантажити сертифікат</v>
      </c>
    </row>
    <row r="2742" spans="1:5" x14ac:dyDescent="0.3">
      <c r="A2742" s="2" t="s">
        <v>5602</v>
      </c>
      <c r="B2742" s="2" t="s">
        <v>5</v>
      </c>
      <c r="C2742" s="2" t="s">
        <v>5603</v>
      </c>
      <c r="D2742" s="2" t="s">
        <v>5545</v>
      </c>
      <c r="E2742" s="2" t="str">
        <f>HYPERLINK("https://talan.bank.gov.ua/get-user-certificate/sec1eXM0McZtVon3cw8Z","Завантажити сертифікат")</f>
        <v>Завантажити сертифікат</v>
      </c>
    </row>
    <row r="2743" spans="1:5" x14ac:dyDescent="0.3">
      <c r="A2743" s="2" t="s">
        <v>5604</v>
      </c>
      <c r="B2743" s="2" t="s">
        <v>5</v>
      </c>
      <c r="C2743" s="2" t="s">
        <v>5605</v>
      </c>
      <c r="D2743" s="2" t="s">
        <v>5545</v>
      </c>
      <c r="E2743" s="2" t="str">
        <f>HYPERLINK("https://talan.bank.gov.ua/get-user-certificate/sec1ePyBDqoSV3DAVjSv","Завантажити сертифікат")</f>
        <v>Завантажити сертифікат</v>
      </c>
    </row>
    <row r="2744" spans="1:5" x14ac:dyDescent="0.3">
      <c r="A2744" s="2" t="s">
        <v>5606</v>
      </c>
      <c r="B2744" s="2" t="s">
        <v>5</v>
      </c>
      <c r="C2744" s="2" t="s">
        <v>5607</v>
      </c>
      <c r="D2744" s="2" t="s">
        <v>5545</v>
      </c>
      <c r="E2744" s="2" t="str">
        <f>HYPERLINK("https://talan.bank.gov.ua/get-user-certificate/sec1e9hyr7yBdlURNrJu","Завантажити сертифікат")</f>
        <v>Завантажити сертифікат</v>
      </c>
    </row>
    <row r="2745" spans="1:5" x14ac:dyDescent="0.3">
      <c r="A2745" s="2" t="s">
        <v>5608</v>
      </c>
      <c r="B2745" s="2" t="s">
        <v>5</v>
      </c>
      <c r="C2745" s="2" t="s">
        <v>5609</v>
      </c>
      <c r="D2745" s="2" t="s">
        <v>5545</v>
      </c>
      <c r="E2745" s="2" t="str">
        <f>HYPERLINK("https://talan.bank.gov.ua/get-user-certificate/sec1eKu1lUtZug9BAoaN","Завантажити сертифікат")</f>
        <v>Завантажити сертифікат</v>
      </c>
    </row>
    <row r="2746" spans="1:5" x14ac:dyDescent="0.3">
      <c r="A2746" s="2" t="s">
        <v>5610</v>
      </c>
      <c r="B2746" s="2" t="s">
        <v>5</v>
      </c>
      <c r="C2746" s="2" t="s">
        <v>5611</v>
      </c>
      <c r="D2746" s="2" t="s">
        <v>5545</v>
      </c>
      <c r="E2746" s="2" t="str">
        <f>HYPERLINK("https://talan.bank.gov.ua/get-user-certificate/sec1eaJbjI3tE8z3Lbz4","Завантажити сертифікат")</f>
        <v>Завантажити сертифікат</v>
      </c>
    </row>
    <row r="2747" spans="1:5" x14ac:dyDescent="0.3">
      <c r="A2747" s="2" t="s">
        <v>5612</v>
      </c>
      <c r="B2747" s="2" t="s">
        <v>5</v>
      </c>
      <c r="C2747" s="2" t="s">
        <v>5613</v>
      </c>
      <c r="D2747" s="2" t="s">
        <v>5545</v>
      </c>
      <c r="E2747" s="2" t="str">
        <f>HYPERLINK("https://talan.bank.gov.ua/get-user-certificate/sec1eyodu5gc6jwjDkcm","Завантажити сертифікат")</f>
        <v>Завантажити сертифікат</v>
      </c>
    </row>
    <row r="2748" spans="1:5" x14ac:dyDescent="0.3">
      <c r="A2748" s="2" t="s">
        <v>5614</v>
      </c>
      <c r="B2748" s="2" t="s">
        <v>5</v>
      </c>
      <c r="C2748" s="2" t="s">
        <v>5615</v>
      </c>
      <c r="D2748" s="2" t="s">
        <v>5545</v>
      </c>
      <c r="E2748" s="2" t="str">
        <f>HYPERLINK("https://talan.bank.gov.ua/get-user-certificate/sec1emkn_zeWh42LMK6I","Завантажити сертифікат")</f>
        <v>Завантажити сертифікат</v>
      </c>
    </row>
    <row r="2749" spans="1:5" x14ac:dyDescent="0.3">
      <c r="A2749" s="2" t="s">
        <v>5616</v>
      </c>
      <c r="B2749" s="2" t="s">
        <v>5</v>
      </c>
      <c r="C2749" s="2" t="s">
        <v>5617</v>
      </c>
      <c r="D2749" s="2" t="s">
        <v>5545</v>
      </c>
      <c r="E2749" s="2" t="str">
        <f>HYPERLINK("https://talan.bank.gov.ua/get-user-certificate/sec1enmJYuAlcmVJUx4w","Завантажити сертифікат")</f>
        <v>Завантажити сертифікат</v>
      </c>
    </row>
    <row r="2750" spans="1:5" x14ac:dyDescent="0.3">
      <c r="A2750" s="2" t="s">
        <v>5618</v>
      </c>
      <c r="B2750" s="2" t="s">
        <v>5</v>
      </c>
      <c r="C2750" s="2" t="s">
        <v>5619</v>
      </c>
      <c r="D2750" s="2" t="s">
        <v>5545</v>
      </c>
      <c r="E2750" s="2" t="str">
        <f>HYPERLINK("https://talan.bank.gov.ua/get-user-certificate/sec1eLQWk5jBw5VV5hKz","Завантажити сертифікат")</f>
        <v>Завантажити сертифікат</v>
      </c>
    </row>
    <row r="2751" spans="1:5" x14ac:dyDescent="0.3">
      <c r="A2751" s="2" t="s">
        <v>5620</v>
      </c>
      <c r="B2751" s="2" t="s">
        <v>5</v>
      </c>
      <c r="C2751" s="2" t="s">
        <v>5621</v>
      </c>
      <c r="D2751" s="2" t="s">
        <v>5545</v>
      </c>
      <c r="E2751" s="2" t="str">
        <f>HYPERLINK("https://talan.bank.gov.ua/get-user-certificate/sec1ehBaSSiOOT8GeCNq","Завантажити сертифікат")</f>
        <v>Завантажити сертифікат</v>
      </c>
    </row>
    <row r="2752" spans="1:5" x14ac:dyDescent="0.3">
      <c r="A2752" s="2" t="s">
        <v>5622</v>
      </c>
      <c r="B2752" s="2" t="s">
        <v>5</v>
      </c>
      <c r="C2752" s="2" t="s">
        <v>5623</v>
      </c>
      <c r="D2752" s="2" t="s">
        <v>5545</v>
      </c>
      <c r="E2752" s="2" t="str">
        <f>HYPERLINK("https://talan.bank.gov.ua/get-user-certificate/sec1eDlJgdp8iJoV6xqR","Завантажити сертифікат")</f>
        <v>Завантажити сертифікат</v>
      </c>
    </row>
    <row r="2753" spans="1:5" x14ac:dyDescent="0.3">
      <c r="A2753" s="2" t="s">
        <v>5624</v>
      </c>
      <c r="B2753" s="2" t="s">
        <v>5</v>
      </c>
      <c r="C2753" s="2" t="s">
        <v>5625</v>
      </c>
      <c r="D2753" s="2" t="s">
        <v>5626</v>
      </c>
      <c r="E2753" s="2" t="str">
        <f>HYPERLINK("https://talan.bank.gov.ua/get-user-certificate/sec1eBc7JU3d7CECPJTw","Завантажити сертифікат")</f>
        <v>Завантажити сертифікат</v>
      </c>
    </row>
    <row r="2754" spans="1:5" x14ac:dyDescent="0.3">
      <c r="A2754" s="2" t="s">
        <v>5627</v>
      </c>
      <c r="B2754" s="2" t="s">
        <v>5</v>
      </c>
      <c r="C2754" s="2" t="s">
        <v>5628</v>
      </c>
      <c r="D2754" s="2" t="s">
        <v>5626</v>
      </c>
      <c r="E2754" s="2" t="str">
        <f>HYPERLINK("https://talan.bank.gov.ua/get-user-certificate/sec1e9ezzk-PoYNLZs_o","Завантажити сертифікат")</f>
        <v>Завантажити сертифікат</v>
      </c>
    </row>
    <row r="2755" spans="1:5" x14ac:dyDescent="0.3">
      <c r="A2755" s="2" t="s">
        <v>5629</v>
      </c>
      <c r="B2755" s="2" t="s">
        <v>5</v>
      </c>
      <c r="C2755" s="2" t="s">
        <v>5630</v>
      </c>
      <c r="D2755" s="2" t="s">
        <v>5626</v>
      </c>
      <c r="E2755" s="2" t="str">
        <f>HYPERLINK("https://talan.bank.gov.ua/get-user-certificate/sec1eTmC0FXFwcu3QRPz","Завантажити сертифікат")</f>
        <v>Завантажити сертифікат</v>
      </c>
    </row>
    <row r="2756" spans="1:5" x14ac:dyDescent="0.3">
      <c r="A2756" s="2" t="s">
        <v>5631</v>
      </c>
      <c r="B2756" s="2" t="s">
        <v>5</v>
      </c>
      <c r="C2756" s="2" t="s">
        <v>5632</v>
      </c>
      <c r="D2756" s="2" t="s">
        <v>5626</v>
      </c>
      <c r="E2756" s="2" t="str">
        <f>HYPERLINK("https://talan.bank.gov.ua/get-user-certificate/sec1e6vuEAEf8gw6QTKL","Завантажити сертифікат")</f>
        <v>Завантажити сертифікат</v>
      </c>
    </row>
    <row r="2757" spans="1:5" x14ac:dyDescent="0.3">
      <c r="A2757" s="2" t="s">
        <v>5633</v>
      </c>
      <c r="B2757" s="2" t="s">
        <v>5</v>
      </c>
      <c r="C2757" s="2" t="s">
        <v>5634</v>
      </c>
      <c r="D2757" s="2" t="s">
        <v>5626</v>
      </c>
      <c r="E2757" s="2" t="str">
        <f>HYPERLINK("https://talan.bank.gov.ua/get-user-certificate/sec1ex4whhepRldJGaMp","Завантажити сертифікат")</f>
        <v>Завантажити сертифікат</v>
      </c>
    </row>
    <row r="2758" spans="1:5" x14ac:dyDescent="0.3">
      <c r="A2758" s="2" t="s">
        <v>5635</v>
      </c>
      <c r="B2758" s="2" t="s">
        <v>5</v>
      </c>
      <c r="C2758" s="2" t="s">
        <v>5636</v>
      </c>
      <c r="D2758" s="2" t="s">
        <v>5626</v>
      </c>
      <c r="E2758" s="2" t="str">
        <f>HYPERLINK("https://talan.bank.gov.ua/get-user-certificate/sec1esvP7FAJclR4BdXL","Завантажити сертифікат")</f>
        <v>Завантажити сертифікат</v>
      </c>
    </row>
    <row r="2759" spans="1:5" x14ac:dyDescent="0.3">
      <c r="A2759" s="2" t="s">
        <v>5637</v>
      </c>
      <c r="B2759" s="2" t="s">
        <v>5</v>
      </c>
      <c r="C2759" s="2" t="s">
        <v>5638</v>
      </c>
      <c r="D2759" s="2" t="s">
        <v>5626</v>
      </c>
      <c r="E2759" s="2" t="str">
        <f>HYPERLINK("https://talan.bank.gov.ua/get-user-certificate/sec1eBRbRXf5JBl500Lg","Завантажити сертифікат")</f>
        <v>Завантажити сертифікат</v>
      </c>
    </row>
    <row r="2760" spans="1:5" x14ac:dyDescent="0.3">
      <c r="A2760" s="2" t="s">
        <v>5639</v>
      </c>
      <c r="B2760" s="2" t="s">
        <v>5</v>
      </c>
      <c r="C2760" s="2" t="s">
        <v>5640</v>
      </c>
      <c r="D2760" s="2" t="s">
        <v>5641</v>
      </c>
      <c r="E2760" s="2" t="str">
        <f>HYPERLINK("https://talan.bank.gov.ua/get-user-certificate/sec1epoos8jwALZhVmXN","Завантажити сертифікат")</f>
        <v>Завантажити сертифікат</v>
      </c>
    </row>
    <row r="2761" spans="1:5" x14ac:dyDescent="0.3">
      <c r="A2761" s="2" t="s">
        <v>5642</v>
      </c>
      <c r="B2761" s="2" t="s">
        <v>5</v>
      </c>
      <c r="C2761" s="2" t="s">
        <v>5643</v>
      </c>
      <c r="D2761" s="2" t="s">
        <v>5641</v>
      </c>
      <c r="E2761" s="2" t="str">
        <f>HYPERLINK("https://talan.bank.gov.ua/get-user-certificate/sec1em0RN46vRWzsj8pO","Завантажити сертифікат")</f>
        <v>Завантажити сертифікат</v>
      </c>
    </row>
    <row r="2762" spans="1:5" x14ac:dyDescent="0.3">
      <c r="A2762" s="2" t="s">
        <v>5644</v>
      </c>
      <c r="B2762" s="2" t="s">
        <v>5</v>
      </c>
      <c r="C2762" s="2" t="s">
        <v>5645</v>
      </c>
      <c r="D2762" s="2" t="s">
        <v>5641</v>
      </c>
      <c r="E2762" s="2" t="str">
        <f>HYPERLINK("https://talan.bank.gov.ua/get-user-certificate/sec1eIZleZ6h9n33nDdv","Завантажити сертифікат")</f>
        <v>Завантажити сертифікат</v>
      </c>
    </row>
    <row r="2763" spans="1:5" x14ac:dyDescent="0.3">
      <c r="A2763" s="2" t="s">
        <v>5646</v>
      </c>
      <c r="B2763" s="2" t="s">
        <v>5</v>
      </c>
      <c r="C2763" s="2" t="s">
        <v>5647</v>
      </c>
      <c r="D2763" s="2" t="s">
        <v>5641</v>
      </c>
      <c r="E2763" s="2" t="str">
        <f>HYPERLINK("https://talan.bank.gov.ua/get-user-certificate/sec1eLCAihCxC0notSVz","Завантажити сертифікат")</f>
        <v>Завантажити сертифікат</v>
      </c>
    </row>
    <row r="2764" spans="1:5" x14ac:dyDescent="0.3">
      <c r="A2764" s="2" t="s">
        <v>5648</v>
      </c>
      <c r="B2764" s="2" t="s">
        <v>5</v>
      </c>
      <c r="C2764" s="2" t="s">
        <v>5649</v>
      </c>
      <c r="D2764" s="2" t="s">
        <v>5641</v>
      </c>
      <c r="E2764" s="2" t="str">
        <f>HYPERLINK("https://talan.bank.gov.ua/get-user-certificate/sec1e5mwKRi2tm_3E-gn","Завантажити сертифікат")</f>
        <v>Завантажити сертифікат</v>
      </c>
    </row>
    <row r="2765" spans="1:5" x14ac:dyDescent="0.3">
      <c r="A2765" s="2" t="s">
        <v>5650</v>
      </c>
      <c r="B2765" s="2" t="s">
        <v>5</v>
      </c>
      <c r="C2765" s="2" t="s">
        <v>5651</v>
      </c>
      <c r="D2765" s="2" t="s">
        <v>5652</v>
      </c>
      <c r="E2765" s="2" t="str">
        <f>HYPERLINK("https://talan.bank.gov.ua/get-user-certificate/sec1eG1TXazErXCCRehD","Завантажити сертифікат")</f>
        <v>Завантажити сертифікат</v>
      </c>
    </row>
    <row r="2766" spans="1:5" x14ac:dyDescent="0.3">
      <c r="A2766" s="2" t="s">
        <v>5653</v>
      </c>
      <c r="B2766" s="2" t="s">
        <v>5</v>
      </c>
      <c r="C2766" s="2" t="s">
        <v>5654</v>
      </c>
      <c r="D2766" s="2" t="s">
        <v>5652</v>
      </c>
      <c r="E2766" s="2" t="str">
        <f>HYPERLINK("https://talan.bank.gov.ua/get-user-certificate/sec1e4sWZ8TlSMkA5OvQ","Завантажити сертифікат")</f>
        <v>Завантажити сертифікат</v>
      </c>
    </row>
    <row r="2767" spans="1:5" x14ac:dyDescent="0.3">
      <c r="A2767" s="2" t="s">
        <v>5655</v>
      </c>
      <c r="B2767" s="2" t="s">
        <v>5</v>
      </c>
      <c r="C2767" s="2" t="s">
        <v>5656</v>
      </c>
      <c r="D2767" s="2" t="s">
        <v>5652</v>
      </c>
      <c r="E2767" s="2" t="str">
        <f>HYPERLINK("https://talan.bank.gov.ua/get-user-certificate/sec1eus_GDgkcCRs0eAR","Завантажити сертифікат")</f>
        <v>Завантажити сертифікат</v>
      </c>
    </row>
    <row r="2768" spans="1:5" x14ac:dyDescent="0.3">
      <c r="A2768" s="2" t="s">
        <v>5657</v>
      </c>
      <c r="B2768" s="2" t="s">
        <v>5</v>
      </c>
      <c r="C2768" s="2" t="s">
        <v>5658</v>
      </c>
      <c r="D2768" s="2" t="s">
        <v>5652</v>
      </c>
      <c r="E2768" s="2" t="str">
        <f>HYPERLINK("https://talan.bank.gov.ua/get-user-certificate/sec1e72KMBiAMTBt8Jvx","Завантажити сертифікат")</f>
        <v>Завантажити сертифікат</v>
      </c>
    </row>
    <row r="2769" spans="1:5" x14ac:dyDescent="0.3">
      <c r="A2769" s="2" t="s">
        <v>5659</v>
      </c>
      <c r="B2769" s="2" t="s">
        <v>5</v>
      </c>
      <c r="C2769" s="2" t="s">
        <v>5660</v>
      </c>
      <c r="D2769" s="2" t="s">
        <v>5652</v>
      </c>
      <c r="E2769" s="2" t="str">
        <f>HYPERLINK("https://talan.bank.gov.ua/get-user-certificate/sec1evFBqR7P6F4ih_F5","Завантажити сертифікат")</f>
        <v>Завантажити сертифікат</v>
      </c>
    </row>
    <row r="2770" spans="1:5" x14ac:dyDescent="0.3">
      <c r="A2770" s="2" t="s">
        <v>5661</v>
      </c>
      <c r="B2770" s="2" t="s">
        <v>5</v>
      </c>
      <c r="C2770" s="2" t="s">
        <v>5662</v>
      </c>
      <c r="D2770" s="2" t="s">
        <v>5652</v>
      </c>
      <c r="E2770" s="2" t="str">
        <f>HYPERLINK("https://talan.bank.gov.ua/get-user-certificate/sec1eKGN4akx4GNkk8aT","Завантажити сертифікат")</f>
        <v>Завантажити сертифікат</v>
      </c>
    </row>
    <row r="2771" spans="1:5" x14ac:dyDescent="0.3">
      <c r="A2771" s="2" t="s">
        <v>5663</v>
      </c>
      <c r="B2771" s="2" t="s">
        <v>5</v>
      </c>
      <c r="C2771" s="2" t="s">
        <v>5664</v>
      </c>
      <c r="D2771" s="2" t="s">
        <v>5652</v>
      </c>
      <c r="E2771" s="2" t="str">
        <f>HYPERLINK("https://talan.bank.gov.ua/get-user-certificate/sec1e1IkMIdZlLZUU0RE","Завантажити сертифікат")</f>
        <v>Завантажити сертифікат</v>
      </c>
    </row>
    <row r="2772" spans="1:5" x14ac:dyDescent="0.3">
      <c r="A2772" s="2" t="s">
        <v>5665</v>
      </c>
      <c r="B2772" s="2" t="s">
        <v>5</v>
      </c>
      <c r="C2772" s="2" t="s">
        <v>5666</v>
      </c>
      <c r="D2772" s="2" t="s">
        <v>5652</v>
      </c>
      <c r="E2772" s="2" t="str">
        <f>HYPERLINK("https://talan.bank.gov.ua/get-user-certificate/sec1eG6rh6GUC6h6tG2U","Завантажити сертифікат")</f>
        <v>Завантажити сертифікат</v>
      </c>
    </row>
    <row r="2773" spans="1:5" x14ac:dyDescent="0.3">
      <c r="A2773" s="2" t="s">
        <v>5667</v>
      </c>
      <c r="B2773" s="2" t="s">
        <v>5</v>
      </c>
      <c r="C2773" s="2" t="s">
        <v>5668</v>
      </c>
      <c r="D2773" s="2" t="s">
        <v>5652</v>
      </c>
      <c r="E2773" s="2" t="str">
        <f>HYPERLINK("https://talan.bank.gov.ua/get-user-certificate/sec1ewgjSp5k5e2GDfT9","Завантажити сертифікат")</f>
        <v>Завантажити сертифікат</v>
      </c>
    </row>
    <row r="2774" spans="1:5" x14ac:dyDescent="0.3">
      <c r="A2774" s="2" t="s">
        <v>5669</v>
      </c>
      <c r="B2774" s="2" t="s">
        <v>5</v>
      </c>
      <c r="C2774" s="2" t="s">
        <v>5670</v>
      </c>
      <c r="D2774" s="2" t="s">
        <v>5652</v>
      </c>
      <c r="E2774" s="2" t="str">
        <f>HYPERLINK("https://talan.bank.gov.ua/get-user-certificate/sec1egtE0hMfTs2KHriY","Завантажити сертифікат")</f>
        <v>Завантажити сертифікат</v>
      </c>
    </row>
    <row r="2775" spans="1:5" x14ac:dyDescent="0.3">
      <c r="A2775" s="2" t="s">
        <v>5671</v>
      </c>
      <c r="B2775" s="2" t="s">
        <v>5</v>
      </c>
      <c r="C2775" s="2" t="s">
        <v>5672</v>
      </c>
      <c r="D2775" s="2" t="s">
        <v>5652</v>
      </c>
      <c r="E2775" s="2" t="str">
        <f>HYPERLINK("https://talan.bank.gov.ua/get-user-certificate/sec1el07OWHDsy1pl7YE","Завантажити сертифікат")</f>
        <v>Завантажити сертифікат</v>
      </c>
    </row>
    <row r="2776" spans="1:5" x14ac:dyDescent="0.3">
      <c r="A2776" s="2" t="s">
        <v>5673</v>
      </c>
      <c r="B2776" s="2" t="s">
        <v>5</v>
      </c>
      <c r="C2776" s="2" t="s">
        <v>5674</v>
      </c>
      <c r="D2776" s="2" t="s">
        <v>5652</v>
      </c>
      <c r="E2776" s="2" t="str">
        <f>HYPERLINK("https://talan.bank.gov.ua/get-user-certificate/sec1epwfHVa9u7sN4rm6","Завантажити сертифікат")</f>
        <v>Завантажити сертифікат</v>
      </c>
    </row>
    <row r="2777" spans="1:5" x14ac:dyDescent="0.3">
      <c r="A2777" s="2" t="s">
        <v>5675</v>
      </c>
      <c r="B2777" s="2" t="s">
        <v>5</v>
      </c>
      <c r="C2777" s="2" t="s">
        <v>5676</v>
      </c>
      <c r="D2777" s="2" t="s">
        <v>5652</v>
      </c>
      <c r="E2777" s="2" t="str">
        <f>HYPERLINK("https://talan.bank.gov.ua/get-user-certificate/sec1eaCaFdXAHuySmJeQ","Завантажити сертифікат")</f>
        <v>Завантажити сертифікат</v>
      </c>
    </row>
    <row r="2778" spans="1:5" x14ac:dyDescent="0.3">
      <c r="A2778" s="2" t="s">
        <v>5677</v>
      </c>
      <c r="B2778" s="2" t="s">
        <v>5</v>
      </c>
      <c r="C2778" s="2" t="s">
        <v>5678</v>
      </c>
      <c r="D2778" s="2" t="s">
        <v>5652</v>
      </c>
      <c r="E2778" s="2" t="str">
        <f>HYPERLINK("https://talan.bank.gov.ua/get-user-certificate/sec1eDs0wIcG3_mhiHuT","Завантажити сертифікат")</f>
        <v>Завантажити сертифікат</v>
      </c>
    </row>
    <row r="2779" spans="1:5" x14ac:dyDescent="0.3">
      <c r="A2779" s="2" t="s">
        <v>5679</v>
      </c>
      <c r="B2779" s="2" t="s">
        <v>5</v>
      </c>
      <c r="C2779" s="2" t="s">
        <v>5680</v>
      </c>
      <c r="D2779" s="2" t="s">
        <v>5652</v>
      </c>
      <c r="E2779" s="2" t="str">
        <f>HYPERLINK("https://talan.bank.gov.ua/get-user-certificate/sec1e8H-pbeuGq-QEisf","Завантажити сертифікат")</f>
        <v>Завантажити сертифікат</v>
      </c>
    </row>
    <row r="2780" spans="1:5" x14ac:dyDescent="0.3">
      <c r="A2780" s="2" t="s">
        <v>5681</v>
      </c>
      <c r="B2780" s="2" t="s">
        <v>5</v>
      </c>
      <c r="C2780" s="2" t="s">
        <v>5682</v>
      </c>
      <c r="D2780" s="2" t="s">
        <v>5652</v>
      </c>
      <c r="E2780" s="2" t="str">
        <f>HYPERLINK("https://talan.bank.gov.ua/get-user-certificate/sec1ecLkyLj5El61u142","Завантажити сертифікат")</f>
        <v>Завантажити сертифікат</v>
      </c>
    </row>
    <row r="2781" spans="1:5" x14ac:dyDescent="0.3">
      <c r="A2781" s="2" t="s">
        <v>5683</v>
      </c>
      <c r="B2781" s="2" t="s">
        <v>5</v>
      </c>
      <c r="C2781" s="2" t="s">
        <v>5684</v>
      </c>
      <c r="D2781" s="2" t="s">
        <v>5652</v>
      </c>
      <c r="E2781" s="2" t="str">
        <f>HYPERLINK("https://talan.bank.gov.ua/get-user-certificate/sec1eCpCZXNSwaHNh9a_","Завантажити сертифікат")</f>
        <v>Завантажити сертифікат</v>
      </c>
    </row>
    <row r="2782" spans="1:5" x14ac:dyDescent="0.3">
      <c r="A2782" s="2" t="s">
        <v>5685</v>
      </c>
      <c r="B2782" s="2" t="s">
        <v>5</v>
      </c>
      <c r="C2782" s="2" t="s">
        <v>5686</v>
      </c>
      <c r="D2782" s="2" t="s">
        <v>5652</v>
      </c>
      <c r="E2782" s="2" t="str">
        <f>HYPERLINK("https://talan.bank.gov.ua/get-user-certificate/sec1eV7-mRNUFZBBz0jK","Завантажити сертифікат")</f>
        <v>Завантажити сертифікат</v>
      </c>
    </row>
    <row r="2783" spans="1:5" x14ac:dyDescent="0.3">
      <c r="A2783" s="2" t="s">
        <v>5687</v>
      </c>
      <c r="B2783" s="2" t="s">
        <v>5</v>
      </c>
      <c r="C2783" s="2" t="s">
        <v>5688</v>
      </c>
      <c r="D2783" s="2" t="s">
        <v>5689</v>
      </c>
      <c r="E2783" s="2" t="str">
        <f>HYPERLINK("https://talan.bank.gov.ua/get-user-certificate/sec1eVhC3Ne7DFEYU3cp","Завантажити сертифікат")</f>
        <v>Завантажити сертифікат</v>
      </c>
    </row>
    <row r="2784" spans="1:5" x14ac:dyDescent="0.3">
      <c r="A2784" s="2" t="s">
        <v>5690</v>
      </c>
      <c r="B2784" s="2" t="s">
        <v>5</v>
      </c>
      <c r="C2784" s="2" t="s">
        <v>5691</v>
      </c>
      <c r="D2784" s="2" t="s">
        <v>5689</v>
      </c>
      <c r="E2784" s="2" t="str">
        <f>HYPERLINK("https://talan.bank.gov.ua/get-user-certificate/sec1emE_DffPK1L-_TnC","Завантажити сертифікат")</f>
        <v>Завантажити сертифікат</v>
      </c>
    </row>
    <row r="2785" spans="1:5" x14ac:dyDescent="0.3">
      <c r="A2785" s="2" t="s">
        <v>5692</v>
      </c>
      <c r="B2785" s="2" t="s">
        <v>5</v>
      </c>
      <c r="C2785" s="2" t="s">
        <v>5693</v>
      </c>
      <c r="D2785" s="2" t="s">
        <v>5689</v>
      </c>
      <c r="E2785" s="2" t="str">
        <f>HYPERLINK("https://talan.bank.gov.ua/get-user-certificate/sec1eanNRkYo13Sm68zK","Завантажити сертифікат")</f>
        <v>Завантажити сертифікат</v>
      </c>
    </row>
    <row r="2786" spans="1:5" x14ac:dyDescent="0.3">
      <c r="A2786" s="2" t="s">
        <v>5694</v>
      </c>
      <c r="B2786" s="2" t="s">
        <v>5</v>
      </c>
      <c r="C2786" s="2" t="s">
        <v>5695</v>
      </c>
      <c r="D2786" s="2" t="s">
        <v>5689</v>
      </c>
      <c r="E2786" s="2" t="str">
        <f>HYPERLINK("https://talan.bank.gov.ua/get-user-certificate/sec1e1DfgM-C3BvPO8TA","Завантажити сертифікат")</f>
        <v>Завантажити сертифікат</v>
      </c>
    </row>
    <row r="2787" spans="1:5" x14ac:dyDescent="0.3">
      <c r="A2787" s="2" t="s">
        <v>5696</v>
      </c>
      <c r="B2787" s="2" t="s">
        <v>5</v>
      </c>
      <c r="C2787" s="2" t="s">
        <v>5697</v>
      </c>
      <c r="D2787" s="2" t="s">
        <v>5689</v>
      </c>
      <c r="E2787" s="2" t="str">
        <f>HYPERLINK("https://talan.bank.gov.ua/get-user-certificate/sec1e2GOjgzaOtcr8itC","Завантажити сертифікат")</f>
        <v>Завантажити сертифікат</v>
      </c>
    </row>
    <row r="2788" spans="1:5" x14ac:dyDescent="0.3">
      <c r="A2788" s="2" t="s">
        <v>5698</v>
      </c>
      <c r="B2788" s="2" t="s">
        <v>5</v>
      </c>
      <c r="C2788" s="2" t="s">
        <v>5699</v>
      </c>
      <c r="D2788" s="2" t="s">
        <v>5689</v>
      </c>
      <c r="E2788" s="2" t="str">
        <f>HYPERLINK("https://talan.bank.gov.ua/get-user-certificate/sec1eBfZUjXUk--AUPz6","Завантажити сертифікат")</f>
        <v>Завантажити сертифікат</v>
      </c>
    </row>
    <row r="2789" spans="1:5" x14ac:dyDescent="0.3">
      <c r="A2789" s="2" t="s">
        <v>5700</v>
      </c>
      <c r="B2789" s="2" t="s">
        <v>5</v>
      </c>
      <c r="C2789" s="2" t="s">
        <v>5701</v>
      </c>
      <c r="D2789" s="2" t="s">
        <v>5689</v>
      </c>
      <c r="E2789" s="2" t="str">
        <f>HYPERLINK("https://talan.bank.gov.ua/get-user-certificate/sec1eWcsieFYl1BionGk","Завантажити сертифікат")</f>
        <v>Завантажити сертифікат</v>
      </c>
    </row>
    <row r="2790" spans="1:5" x14ac:dyDescent="0.3">
      <c r="A2790" s="2" t="s">
        <v>5702</v>
      </c>
      <c r="B2790" s="2" t="s">
        <v>5</v>
      </c>
      <c r="C2790" s="2" t="s">
        <v>5703</v>
      </c>
      <c r="D2790" s="2" t="s">
        <v>5689</v>
      </c>
      <c r="E2790" s="2" t="str">
        <f>HYPERLINK("https://talan.bank.gov.ua/get-user-certificate/sec1emEUbskD3Vr1Jxgy","Завантажити сертифікат")</f>
        <v>Завантажити сертифікат</v>
      </c>
    </row>
    <row r="2791" spans="1:5" x14ac:dyDescent="0.3">
      <c r="A2791" s="2" t="s">
        <v>5704</v>
      </c>
      <c r="B2791" s="2" t="s">
        <v>5</v>
      </c>
      <c r="C2791" s="2" t="s">
        <v>5705</v>
      </c>
      <c r="D2791" s="2" t="s">
        <v>5689</v>
      </c>
      <c r="E2791" s="2" t="str">
        <f>HYPERLINK("https://talan.bank.gov.ua/get-user-certificate/sec1eHIrcdbar5JiqMNR","Завантажити сертифікат")</f>
        <v>Завантажити сертифікат</v>
      </c>
    </row>
    <row r="2792" spans="1:5" x14ac:dyDescent="0.3">
      <c r="A2792" s="2" t="s">
        <v>5706</v>
      </c>
      <c r="B2792" s="2" t="s">
        <v>5</v>
      </c>
      <c r="C2792" s="2" t="s">
        <v>5707</v>
      </c>
      <c r="D2792" s="2" t="s">
        <v>5689</v>
      </c>
      <c r="E2792" s="2" t="str">
        <f>HYPERLINK("https://talan.bank.gov.ua/get-user-certificate/sec1echCt-00_blGQmjc","Завантажити сертифікат")</f>
        <v>Завантажити сертифікат</v>
      </c>
    </row>
    <row r="2793" spans="1:5" x14ac:dyDescent="0.3">
      <c r="A2793" s="2" t="s">
        <v>5708</v>
      </c>
      <c r="B2793" s="2" t="s">
        <v>5</v>
      </c>
      <c r="C2793" s="2" t="s">
        <v>5709</v>
      </c>
      <c r="D2793" s="2" t="s">
        <v>5710</v>
      </c>
      <c r="E2793" s="2" t="str">
        <f>HYPERLINK("https://talan.bank.gov.ua/get-user-certificate/sec1eKVuAqYG0BPCIBXp","Завантажити сертифікат")</f>
        <v>Завантажити сертифікат</v>
      </c>
    </row>
    <row r="2794" spans="1:5" x14ac:dyDescent="0.3">
      <c r="A2794" s="2" t="s">
        <v>5711</v>
      </c>
      <c r="B2794" s="2" t="s">
        <v>5</v>
      </c>
      <c r="C2794" s="2" t="s">
        <v>5712</v>
      </c>
      <c r="D2794" s="2" t="s">
        <v>5713</v>
      </c>
      <c r="E2794" s="2" t="str">
        <f>HYPERLINK("https://talan.bank.gov.ua/get-user-certificate/sec1eaTM-DdNrRmaUR4r","Завантажити сертифікат")</f>
        <v>Завантажити сертифікат</v>
      </c>
    </row>
    <row r="2795" spans="1:5" x14ac:dyDescent="0.3">
      <c r="A2795" s="2" t="s">
        <v>5714</v>
      </c>
      <c r="B2795" s="2" t="s">
        <v>5</v>
      </c>
      <c r="C2795" s="2" t="s">
        <v>5715</v>
      </c>
      <c r="D2795" s="2" t="s">
        <v>5713</v>
      </c>
      <c r="E2795" s="2" t="str">
        <f>HYPERLINK("https://talan.bank.gov.ua/get-user-certificate/sec1eSXn4BYGqYzq2zSd","Завантажити сертифікат")</f>
        <v>Завантажити сертифікат</v>
      </c>
    </row>
    <row r="2796" spans="1:5" x14ac:dyDescent="0.3">
      <c r="A2796" s="2" t="s">
        <v>5716</v>
      </c>
      <c r="B2796" s="2" t="s">
        <v>5</v>
      </c>
      <c r="C2796" s="2" t="s">
        <v>5717</v>
      </c>
      <c r="D2796" s="2" t="s">
        <v>5713</v>
      </c>
      <c r="E2796" s="2" t="str">
        <f>HYPERLINK("https://talan.bank.gov.ua/get-user-certificate/sec1eDxdhGpmyAB8KDEr","Завантажити сертифікат")</f>
        <v>Завантажити сертифікат</v>
      </c>
    </row>
    <row r="2797" spans="1:5" x14ac:dyDescent="0.3">
      <c r="A2797" s="2" t="s">
        <v>5718</v>
      </c>
      <c r="B2797" s="2" t="s">
        <v>5</v>
      </c>
      <c r="C2797" s="2" t="s">
        <v>5719</v>
      </c>
      <c r="D2797" s="2" t="s">
        <v>5713</v>
      </c>
      <c r="E2797" s="2" t="str">
        <f>HYPERLINK("https://talan.bank.gov.ua/get-user-certificate/sec1eCcLGl_zwrd97hDk","Завантажити сертифікат")</f>
        <v>Завантажити сертифікат</v>
      </c>
    </row>
    <row r="2798" spans="1:5" x14ac:dyDescent="0.3">
      <c r="A2798" s="2" t="s">
        <v>5720</v>
      </c>
      <c r="B2798" s="2" t="s">
        <v>5</v>
      </c>
      <c r="C2798" s="2" t="s">
        <v>5721</v>
      </c>
      <c r="D2798" s="2" t="s">
        <v>5713</v>
      </c>
      <c r="E2798" s="2" t="str">
        <f>HYPERLINK("https://talan.bank.gov.ua/get-user-certificate/sec1eomBZVEGN4orvIVo","Завантажити сертифікат")</f>
        <v>Завантажити сертифікат</v>
      </c>
    </row>
    <row r="2799" spans="1:5" x14ac:dyDescent="0.3">
      <c r="A2799" s="2" t="s">
        <v>5722</v>
      </c>
      <c r="B2799" s="2" t="s">
        <v>5</v>
      </c>
      <c r="C2799" s="2" t="s">
        <v>5723</v>
      </c>
      <c r="D2799" s="2" t="s">
        <v>5713</v>
      </c>
      <c r="E2799" s="2" t="str">
        <f>HYPERLINK("https://talan.bank.gov.ua/get-user-certificate/sec1ee4ZGdSVMKQg92eT","Завантажити сертифікат")</f>
        <v>Завантажити сертифікат</v>
      </c>
    </row>
    <row r="2800" spans="1:5" x14ac:dyDescent="0.3">
      <c r="A2800" s="2" t="s">
        <v>5724</v>
      </c>
      <c r="B2800" s="2" t="s">
        <v>5</v>
      </c>
      <c r="C2800" s="2" t="s">
        <v>5725</v>
      </c>
      <c r="D2800" s="2" t="s">
        <v>5713</v>
      </c>
      <c r="E2800" s="2" t="str">
        <f>HYPERLINK("https://talan.bank.gov.ua/get-user-certificate/sec1eDjAK1k7EAjbTsC3","Завантажити сертифікат")</f>
        <v>Завантажити сертифікат</v>
      </c>
    </row>
    <row r="2801" spans="1:5" x14ac:dyDescent="0.3">
      <c r="A2801" s="2" t="s">
        <v>5726</v>
      </c>
      <c r="B2801" s="2" t="s">
        <v>5</v>
      </c>
      <c r="C2801" s="2" t="s">
        <v>5727</v>
      </c>
      <c r="D2801" s="2" t="s">
        <v>5713</v>
      </c>
      <c r="E2801" s="2" t="str">
        <f>HYPERLINK("https://talan.bank.gov.ua/get-user-certificate/sec1e3pJMbgT_cemndTG","Завантажити сертифікат")</f>
        <v>Завантажити сертифікат</v>
      </c>
    </row>
    <row r="2802" spans="1:5" x14ac:dyDescent="0.3">
      <c r="A2802" s="2" t="s">
        <v>5728</v>
      </c>
      <c r="B2802" s="2" t="s">
        <v>5</v>
      </c>
      <c r="C2802" s="2" t="s">
        <v>5729</v>
      </c>
      <c r="D2802" s="2" t="s">
        <v>5713</v>
      </c>
      <c r="E2802" s="2" t="str">
        <f>HYPERLINK("https://talan.bank.gov.ua/get-user-certificate/sec1ebHE94ExBJq0VvXY","Завантажити сертифікат")</f>
        <v>Завантажити сертифікат</v>
      </c>
    </row>
    <row r="2803" spans="1:5" x14ac:dyDescent="0.3">
      <c r="A2803" s="2" t="s">
        <v>5730</v>
      </c>
      <c r="B2803" s="2" t="s">
        <v>5</v>
      </c>
      <c r="C2803" s="2" t="s">
        <v>5731</v>
      </c>
      <c r="D2803" s="2" t="s">
        <v>5713</v>
      </c>
      <c r="E2803" s="2" t="str">
        <f>HYPERLINK("https://talan.bank.gov.ua/get-user-certificate/sec1eN4t08oXAX8Bxwvw","Завантажити сертифікат")</f>
        <v>Завантажити сертифікат</v>
      </c>
    </row>
    <row r="2804" spans="1:5" x14ac:dyDescent="0.3">
      <c r="A2804" s="2" t="s">
        <v>5732</v>
      </c>
      <c r="B2804" s="2" t="s">
        <v>5</v>
      </c>
      <c r="C2804" s="2" t="s">
        <v>5733</v>
      </c>
      <c r="D2804" s="2" t="s">
        <v>5713</v>
      </c>
      <c r="E2804" s="2" t="str">
        <f>HYPERLINK("https://talan.bank.gov.ua/get-user-certificate/sec1eWNr-0tQSsx0Cfg_","Завантажити сертифікат")</f>
        <v>Завантажити сертифікат</v>
      </c>
    </row>
    <row r="2805" spans="1:5" x14ac:dyDescent="0.3">
      <c r="A2805" s="2" t="s">
        <v>5734</v>
      </c>
      <c r="B2805" s="2" t="s">
        <v>5</v>
      </c>
      <c r="C2805" s="2" t="s">
        <v>5735</v>
      </c>
      <c r="D2805" s="2" t="s">
        <v>5713</v>
      </c>
      <c r="E2805" s="2" t="str">
        <f>HYPERLINK("https://talan.bank.gov.ua/get-user-certificate/sec1ednBsxQQmoMRk7iT","Завантажити сертифікат")</f>
        <v>Завантажити сертифікат</v>
      </c>
    </row>
    <row r="2806" spans="1:5" x14ac:dyDescent="0.3">
      <c r="A2806" s="2" t="s">
        <v>5736</v>
      </c>
      <c r="B2806" s="2" t="s">
        <v>5</v>
      </c>
      <c r="C2806" s="2" t="s">
        <v>5737</v>
      </c>
      <c r="D2806" s="2" t="s">
        <v>5713</v>
      </c>
      <c r="E2806" s="2" t="str">
        <f>HYPERLINK("https://talan.bank.gov.ua/get-user-certificate/sec1eNW6PSljk0W5Nzy1","Завантажити сертифікат")</f>
        <v>Завантажити сертифікат</v>
      </c>
    </row>
    <row r="2807" spans="1:5" x14ac:dyDescent="0.3">
      <c r="A2807" s="2" t="s">
        <v>5738</v>
      </c>
      <c r="B2807" s="2" t="s">
        <v>5</v>
      </c>
      <c r="C2807" s="2" t="s">
        <v>5739</v>
      </c>
      <c r="D2807" s="2" t="s">
        <v>5713</v>
      </c>
      <c r="E2807" s="2" t="str">
        <f>HYPERLINK("https://talan.bank.gov.ua/get-user-certificate/sec1edd186L9izkLq3pT","Завантажити сертифікат")</f>
        <v>Завантажити сертифікат</v>
      </c>
    </row>
    <row r="2808" spans="1:5" x14ac:dyDescent="0.3">
      <c r="A2808" s="2" t="s">
        <v>5740</v>
      </c>
      <c r="B2808" s="2" t="s">
        <v>5</v>
      </c>
      <c r="C2808" s="2" t="s">
        <v>5741</v>
      </c>
      <c r="D2808" s="2" t="s">
        <v>5713</v>
      </c>
      <c r="E2808" s="2" t="str">
        <f>HYPERLINK("https://talan.bank.gov.ua/get-user-certificate/sec1eGgyhrYPLIEfzbh8","Завантажити сертифікат")</f>
        <v>Завантажити сертифікат</v>
      </c>
    </row>
    <row r="2809" spans="1:5" x14ac:dyDescent="0.3">
      <c r="A2809" s="2" t="s">
        <v>5742</v>
      </c>
      <c r="B2809" s="2" t="s">
        <v>5</v>
      </c>
      <c r="C2809" s="2" t="s">
        <v>5743</v>
      </c>
      <c r="D2809" s="2" t="s">
        <v>5713</v>
      </c>
      <c r="E2809" s="2" t="str">
        <f>HYPERLINK("https://talan.bank.gov.ua/get-user-certificate/sec1ezHoouqybb02fM_2","Завантажити сертифікат")</f>
        <v>Завантажити сертифікат</v>
      </c>
    </row>
    <row r="2810" spans="1:5" x14ac:dyDescent="0.3">
      <c r="A2810" s="2" t="s">
        <v>5744</v>
      </c>
      <c r="B2810" s="2" t="s">
        <v>5</v>
      </c>
      <c r="C2810" s="2" t="s">
        <v>5745</v>
      </c>
      <c r="D2810" s="2" t="s">
        <v>5713</v>
      </c>
      <c r="E2810" s="2" t="str">
        <f>HYPERLINK("https://talan.bank.gov.ua/get-user-certificate/sec1eGP5ZSA4VX8gVyY9","Завантажити сертифікат")</f>
        <v>Завантажити сертифікат</v>
      </c>
    </row>
    <row r="2811" spans="1:5" x14ac:dyDescent="0.3">
      <c r="A2811" s="2" t="s">
        <v>5746</v>
      </c>
      <c r="B2811" s="2" t="s">
        <v>5</v>
      </c>
      <c r="C2811" s="2" t="s">
        <v>5747</v>
      </c>
      <c r="D2811" s="2" t="s">
        <v>5748</v>
      </c>
      <c r="E2811" s="2" t="str">
        <f>HYPERLINK("https://talan.bank.gov.ua/get-user-certificate/sec1e4I9E0mE8W0ltOV6","Завантажити сертифікат")</f>
        <v>Завантажити сертифікат</v>
      </c>
    </row>
    <row r="2812" spans="1:5" x14ac:dyDescent="0.3">
      <c r="A2812" s="2" t="s">
        <v>5749</v>
      </c>
      <c r="B2812" s="2" t="s">
        <v>5</v>
      </c>
      <c r="C2812" s="2" t="s">
        <v>5750</v>
      </c>
      <c r="D2812" s="2" t="s">
        <v>5748</v>
      </c>
      <c r="E2812" s="2" t="str">
        <f>HYPERLINK("https://talan.bank.gov.ua/get-user-certificate/sec1eax62td4PlgTdfBY","Завантажити сертифікат")</f>
        <v>Завантажити сертифікат</v>
      </c>
    </row>
    <row r="2813" spans="1:5" x14ac:dyDescent="0.3">
      <c r="A2813" s="2" t="s">
        <v>5751</v>
      </c>
      <c r="B2813" s="2" t="s">
        <v>5</v>
      </c>
      <c r="C2813" s="2" t="s">
        <v>5752</v>
      </c>
      <c r="D2813" s="2" t="s">
        <v>5748</v>
      </c>
      <c r="E2813" s="2" t="str">
        <f>HYPERLINK("https://talan.bank.gov.ua/get-user-certificate/sec1eyBiJmuLLVngfsPE","Завантажити сертифікат")</f>
        <v>Завантажити сертифікат</v>
      </c>
    </row>
    <row r="2814" spans="1:5" x14ac:dyDescent="0.3">
      <c r="A2814" s="2" t="s">
        <v>5753</v>
      </c>
      <c r="B2814" s="2" t="s">
        <v>5</v>
      </c>
      <c r="C2814" s="2" t="s">
        <v>5754</v>
      </c>
      <c r="D2814" s="2" t="s">
        <v>5748</v>
      </c>
      <c r="E2814" s="2" t="str">
        <f>HYPERLINK("https://talan.bank.gov.ua/get-user-certificate/sec1eIlXYxv8eNabxBdM","Завантажити сертифікат")</f>
        <v>Завантажити сертифікат</v>
      </c>
    </row>
    <row r="2815" spans="1:5" x14ac:dyDescent="0.3">
      <c r="A2815" s="2" t="s">
        <v>5755</v>
      </c>
      <c r="B2815" s="2" t="s">
        <v>5</v>
      </c>
      <c r="C2815" s="2" t="s">
        <v>5756</v>
      </c>
      <c r="D2815" s="2" t="s">
        <v>5757</v>
      </c>
      <c r="E2815" s="2" t="str">
        <f>HYPERLINK("https://talan.bank.gov.ua/get-user-certificate/sec1e1a1r3yo0Xli19IF","Завантажити сертифікат")</f>
        <v>Завантажити сертифікат</v>
      </c>
    </row>
    <row r="2816" spans="1:5" x14ac:dyDescent="0.3">
      <c r="A2816" s="2" t="s">
        <v>5758</v>
      </c>
      <c r="B2816" s="2" t="s">
        <v>5</v>
      </c>
      <c r="C2816" s="2" t="s">
        <v>5759</v>
      </c>
      <c r="D2816" s="2" t="s">
        <v>5757</v>
      </c>
      <c r="E2816" s="2" t="str">
        <f>HYPERLINK("https://talan.bank.gov.ua/get-user-certificate/sec1eoLsDr-Y7KRQJCpS","Завантажити сертифікат")</f>
        <v>Завантажити сертифікат</v>
      </c>
    </row>
    <row r="2817" spans="1:5" x14ac:dyDescent="0.3">
      <c r="A2817" s="2" t="s">
        <v>5760</v>
      </c>
      <c r="B2817" s="2" t="s">
        <v>5</v>
      </c>
      <c r="C2817" s="2" t="s">
        <v>5761</v>
      </c>
      <c r="D2817" s="2" t="s">
        <v>5757</v>
      </c>
      <c r="E2817" s="2" t="str">
        <f>HYPERLINK("https://talan.bank.gov.ua/get-user-certificate/sec1eK5M-xa1OUDUQB1y","Завантажити сертифікат")</f>
        <v>Завантажити сертифікат</v>
      </c>
    </row>
    <row r="2818" spans="1:5" x14ac:dyDescent="0.3">
      <c r="A2818" s="2" t="s">
        <v>5762</v>
      </c>
      <c r="B2818" s="2" t="s">
        <v>5</v>
      </c>
      <c r="C2818" s="2" t="s">
        <v>5763</v>
      </c>
      <c r="D2818" s="2" t="s">
        <v>5757</v>
      </c>
      <c r="E2818" s="2" t="str">
        <f>HYPERLINK("https://talan.bank.gov.ua/get-user-certificate/sec1e9GHBpHDJr84XW-a","Завантажити сертифікат")</f>
        <v>Завантажити сертифікат</v>
      </c>
    </row>
    <row r="2819" spans="1:5" x14ac:dyDescent="0.3">
      <c r="A2819" s="2" t="s">
        <v>5764</v>
      </c>
      <c r="B2819" s="2" t="s">
        <v>5</v>
      </c>
      <c r="C2819" s="2" t="s">
        <v>5765</v>
      </c>
      <c r="D2819" s="2" t="s">
        <v>5757</v>
      </c>
      <c r="E2819" s="2" t="str">
        <f>HYPERLINK("https://talan.bank.gov.ua/get-user-certificate/sec1eXlGLM2fhsLfpSNr","Завантажити сертифікат")</f>
        <v>Завантажити сертифікат</v>
      </c>
    </row>
    <row r="2820" spans="1:5" x14ac:dyDescent="0.3">
      <c r="A2820" s="2" t="s">
        <v>5766</v>
      </c>
      <c r="B2820" s="2" t="s">
        <v>5</v>
      </c>
      <c r="C2820" s="2" t="s">
        <v>5767</v>
      </c>
      <c r="D2820" s="2" t="s">
        <v>5757</v>
      </c>
      <c r="E2820" s="2" t="str">
        <f>HYPERLINK("https://talan.bank.gov.ua/get-user-certificate/sec1evwpxIsMTKMy4j1h","Завантажити сертифікат")</f>
        <v>Завантажити сертифікат</v>
      </c>
    </row>
    <row r="2821" spans="1:5" x14ac:dyDescent="0.3">
      <c r="A2821" s="2" t="s">
        <v>5768</v>
      </c>
      <c r="B2821" s="2" t="s">
        <v>5</v>
      </c>
      <c r="C2821" s="2" t="s">
        <v>5769</v>
      </c>
      <c r="D2821" s="2" t="s">
        <v>5757</v>
      </c>
      <c r="E2821" s="2" t="str">
        <f>HYPERLINK("https://talan.bank.gov.ua/get-user-certificate/sec1eQxpBXeZo8YlsIVt","Завантажити сертифікат")</f>
        <v>Завантажити сертифікат</v>
      </c>
    </row>
    <row r="2822" spans="1:5" x14ac:dyDescent="0.3">
      <c r="A2822" s="2" t="s">
        <v>5770</v>
      </c>
      <c r="B2822" s="2" t="s">
        <v>5</v>
      </c>
      <c r="C2822" s="2" t="s">
        <v>5771</v>
      </c>
      <c r="D2822" s="2" t="s">
        <v>5757</v>
      </c>
      <c r="E2822" s="2" t="str">
        <f>HYPERLINK("https://talan.bank.gov.ua/get-user-certificate/sec1e7tJOwbDgevT-mmD","Завантажити сертифікат")</f>
        <v>Завантажити сертифікат</v>
      </c>
    </row>
    <row r="2823" spans="1:5" x14ac:dyDescent="0.3">
      <c r="A2823" s="2" t="s">
        <v>5772</v>
      </c>
      <c r="B2823" s="2" t="s">
        <v>5</v>
      </c>
      <c r="C2823" s="2" t="s">
        <v>5773</v>
      </c>
      <c r="D2823" s="2" t="s">
        <v>5757</v>
      </c>
      <c r="E2823" s="2" t="str">
        <f>HYPERLINK("https://talan.bank.gov.ua/get-user-certificate/sec1eRuRrfVYEjQc9leN","Завантажити сертифікат")</f>
        <v>Завантажити сертифікат</v>
      </c>
    </row>
    <row r="2824" spans="1:5" x14ac:dyDescent="0.3">
      <c r="A2824" s="2" t="s">
        <v>5774</v>
      </c>
      <c r="B2824" s="2" t="s">
        <v>5</v>
      </c>
      <c r="C2824" s="2" t="s">
        <v>5775</v>
      </c>
      <c r="D2824" s="2" t="s">
        <v>5776</v>
      </c>
      <c r="E2824" s="2" t="str">
        <f>HYPERLINK("https://talan.bank.gov.ua/get-user-certificate/sec1eqTGPLqdA-4rj5vq","Завантажити сертифікат")</f>
        <v>Завантажити сертифікат</v>
      </c>
    </row>
    <row r="2825" spans="1:5" x14ac:dyDescent="0.3">
      <c r="A2825" s="2" t="s">
        <v>5777</v>
      </c>
      <c r="B2825" s="2" t="s">
        <v>5</v>
      </c>
      <c r="C2825" s="2" t="s">
        <v>5778</v>
      </c>
      <c r="D2825" s="2" t="s">
        <v>5776</v>
      </c>
      <c r="E2825" s="2" t="str">
        <f>HYPERLINK("https://talan.bank.gov.ua/get-user-certificate/sec1e5nF9JKsurGDOvzo","Завантажити сертифікат")</f>
        <v>Завантажити сертифікат</v>
      </c>
    </row>
    <row r="2826" spans="1:5" x14ac:dyDescent="0.3">
      <c r="A2826" s="2" t="s">
        <v>5779</v>
      </c>
      <c r="B2826" s="2" t="s">
        <v>5</v>
      </c>
      <c r="C2826" s="2" t="s">
        <v>5780</v>
      </c>
      <c r="D2826" s="2" t="s">
        <v>5776</v>
      </c>
      <c r="E2826" s="2" t="str">
        <f>HYPERLINK("https://talan.bank.gov.ua/get-user-certificate/sec1eU-d_8ebfu9HzG84","Завантажити сертифікат")</f>
        <v>Завантажити сертифікат</v>
      </c>
    </row>
    <row r="2827" spans="1:5" x14ac:dyDescent="0.3">
      <c r="A2827" s="2" t="s">
        <v>5781</v>
      </c>
      <c r="B2827" s="2" t="s">
        <v>5</v>
      </c>
      <c r="C2827" s="2" t="s">
        <v>5782</v>
      </c>
      <c r="D2827" s="2" t="s">
        <v>5776</v>
      </c>
      <c r="E2827" s="2" t="str">
        <f>HYPERLINK("https://talan.bank.gov.ua/get-user-certificate/sec1e9FnSQOKm0MrpQrx","Завантажити сертифікат")</f>
        <v>Завантажити сертифікат</v>
      </c>
    </row>
    <row r="2828" spans="1:5" x14ac:dyDescent="0.3">
      <c r="A2828" s="2" t="s">
        <v>5783</v>
      </c>
      <c r="B2828" s="2" t="s">
        <v>5</v>
      </c>
      <c r="C2828" s="2" t="s">
        <v>5784</v>
      </c>
      <c r="D2828" s="2" t="s">
        <v>5776</v>
      </c>
      <c r="E2828" s="2" t="str">
        <f>HYPERLINK("https://talan.bank.gov.ua/get-user-certificate/sec1esSWwkAFCpWf9lMA","Завантажити сертифікат")</f>
        <v>Завантажити сертифікат</v>
      </c>
    </row>
    <row r="2829" spans="1:5" x14ac:dyDescent="0.3">
      <c r="A2829" s="2" t="s">
        <v>5785</v>
      </c>
      <c r="B2829" s="2" t="s">
        <v>5</v>
      </c>
      <c r="C2829" s="2" t="s">
        <v>5786</v>
      </c>
      <c r="D2829" s="2" t="s">
        <v>5776</v>
      </c>
      <c r="E2829" s="2" t="str">
        <f>HYPERLINK("https://talan.bank.gov.ua/get-user-certificate/sec1e3DufwbhLxnve50Y","Завантажити сертифікат")</f>
        <v>Завантажити сертифікат</v>
      </c>
    </row>
    <row r="2830" spans="1:5" x14ac:dyDescent="0.3">
      <c r="A2830" s="2" t="s">
        <v>5787</v>
      </c>
      <c r="B2830" s="2" t="s">
        <v>5</v>
      </c>
      <c r="C2830" s="2" t="s">
        <v>5788</v>
      </c>
      <c r="D2830" s="2" t="s">
        <v>5776</v>
      </c>
      <c r="E2830" s="2" t="str">
        <f>HYPERLINK("https://talan.bank.gov.ua/get-user-certificate/sec1eXx8M2TDiNVJyOVT","Завантажити сертифікат")</f>
        <v>Завантажити сертифікат</v>
      </c>
    </row>
    <row r="2831" spans="1:5" x14ac:dyDescent="0.3">
      <c r="A2831" s="2" t="s">
        <v>5789</v>
      </c>
      <c r="B2831" s="2" t="s">
        <v>5</v>
      </c>
      <c r="C2831" s="2" t="s">
        <v>5790</v>
      </c>
      <c r="D2831" s="2" t="s">
        <v>5776</v>
      </c>
      <c r="E2831" s="2" t="str">
        <f>HYPERLINK("https://talan.bank.gov.ua/get-user-certificate/sec1eOQnu9rjT02RHZ8X","Завантажити сертифікат")</f>
        <v>Завантажити сертифікат</v>
      </c>
    </row>
    <row r="2832" spans="1:5" x14ac:dyDescent="0.3">
      <c r="A2832" s="2" t="s">
        <v>5791</v>
      </c>
      <c r="B2832" s="2" t="s">
        <v>5</v>
      </c>
      <c r="C2832" s="2" t="s">
        <v>5792</v>
      </c>
      <c r="D2832" s="2" t="s">
        <v>5776</v>
      </c>
      <c r="E2832" s="2" t="str">
        <f>HYPERLINK("https://talan.bank.gov.ua/get-user-certificate/sec1e2INPkMGCu1QRfBo","Завантажити сертифікат")</f>
        <v>Завантажити сертифікат</v>
      </c>
    </row>
    <row r="2833" spans="1:5" x14ac:dyDescent="0.3">
      <c r="A2833" s="2" t="s">
        <v>5793</v>
      </c>
      <c r="B2833" s="2" t="s">
        <v>5</v>
      </c>
      <c r="C2833" s="2" t="s">
        <v>5794</v>
      </c>
      <c r="D2833" s="2" t="s">
        <v>5776</v>
      </c>
      <c r="E2833" s="2" t="str">
        <f>HYPERLINK("https://talan.bank.gov.ua/get-user-certificate/sec1esm14laALrkPN47F","Завантажити сертифікат")</f>
        <v>Завантажити сертифікат</v>
      </c>
    </row>
    <row r="2834" spans="1:5" x14ac:dyDescent="0.3">
      <c r="A2834" s="2" t="s">
        <v>5795</v>
      </c>
      <c r="B2834" s="2" t="s">
        <v>5</v>
      </c>
      <c r="C2834" s="2" t="s">
        <v>5796</v>
      </c>
      <c r="D2834" s="2" t="s">
        <v>5776</v>
      </c>
      <c r="E2834" s="2" t="str">
        <f>HYPERLINK("https://talan.bank.gov.ua/get-user-certificate/sec1eQqewjfxefNX1VWD","Завантажити сертифікат")</f>
        <v>Завантажити сертифікат</v>
      </c>
    </row>
    <row r="2835" spans="1:5" x14ac:dyDescent="0.3">
      <c r="A2835" s="2" t="s">
        <v>5797</v>
      </c>
      <c r="B2835" s="2" t="s">
        <v>5</v>
      </c>
      <c r="C2835" s="2" t="s">
        <v>5798</v>
      </c>
      <c r="D2835" s="2" t="s">
        <v>5799</v>
      </c>
      <c r="E2835" s="2" t="str">
        <f>HYPERLINK("https://talan.bank.gov.ua/get-user-certificate/sec1eLCt8OZDSUEGP9Ih","Завантажити сертифікат")</f>
        <v>Завантажити сертифікат</v>
      </c>
    </row>
    <row r="2836" spans="1:5" x14ac:dyDescent="0.3">
      <c r="A2836" s="2" t="s">
        <v>5800</v>
      </c>
      <c r="B2836" s="2" t="s">
        <v>5</v>
      </c>
      <c r="C2836" s="2" t="s">
        <v>5801</v>
      </c>
      <c r="D2836" s="2" t="s">
        <v>5799</v>
      </c>
      <c r="E2836" s="2" t="str">
        <f>HYPERLINK("https://talan.bank.gov.ua/get-user-certificate/sec1e3IBnNBabazLQxNH","Завантажити сертифікат")</f>
        <v>Завантажити сертифікат</v>
      </c>
    </row>
    <row r="2837" spans="1:5" x14ac:dyDescent="0.3">
      <c r="A2837" s="2" t="s">
        <v>5802</v>
      </c>
      <c r="B2837" s="2" t="s">
        <v>5</v>
      </c>
      <c r="C2837" s="2" t="s">
        <v>5803</v>
      </c>
      <c r="D2837" s="2" t="s">
        <v>5799</v>
      </c>
      <c r="E2837" s="2" t="str">
        <f>HYPERLINK("https://talan.bank.gov.ua/get-user-certificate/sec1eBRSvRJlePZrSGEL","Завантажити сертифікат")</f>
        <v>Завантажити сертифікат</v>
      </c>
    </row>
    <row r="2838" spans="1:5" x14ac:dyDescent="0.3">
      <c r="A2838" s="2" t="s">
        <v>5804</v>
      </c>
      <c r="B2838" s="2" t="s">
        <v>5</v>
      </c>
      <c r="C2838" s="2" t="s">
        <v>5805</v>
      </c>
      <c r="D2838" s="2" t="s">
        <v>5799</v>
      </c>
      <c r="E2838" s="2" t="str">
        <f>HYPERLINK("https://talan.bank.gov.ua/get-user-certificate/sec1eSI8KJlp_UJtWzPW","Завантажити сертифікат")</f>
        <v>Завантажити сертифікат</v>
      </c>
    </row>
    <row r="2839" spans="1:5" x14ac:dyDescent="0.3">
      <c r="A2839" s="2" t="s">
        <v>5806</v>
      </c>
      <c r="B2839" s="2" t="s">
        <v>5</v>
      </c>
      <c r="C2839" s="2" t="s">
        <v>5807</v>
      </c>
      <c r="D2839" s="2" t="s">
        <v>5799</v>
      </c>
      <c r="E2839" s="2" t="str">
        <f>HYPERLINK("https://talan.bank.gov.ua/get-user-certificate/sec1ebHqSoNH1FK1d7-2","Завантажити сертифікат")</f>
        <v>Завантажити сертифікат</v>
      </c>
    </row>
    <row r="2840" spans="1:5" x14ac:dyDescent="0.3">
      <c r="A2840" s="2" t="s">
        <v>5808</v>
      </c>
      <c r="B2840" s="2" t="s">
        <v>5</v>
      </c>
      <c r="C2840" s="2" t="s">
        <v>5809</v>
      </c>
      <c r="D2840" s="2" t="s">
        <v>5799</v>
      </c>
      <c r="E2840" s="2" t="str">
        <f>HYPERLINK("https://talan.bank.gov.ua/get-user-certificate/sec1e4wAPB1Ecg30ExL-","Завантажити сертифікат")</f>
        <v>Завантажити сертифікат</v>
      </c>
    </row>
    <row r="2841" spans="1:5" x14ac:dyDescent="0.3">
      <c r="A2841" s="2" t="s">
        <v>5810</v>
      </c>
      <c r="B2841" s="2" t="s">
        <v>5</v>
      </c>
      <c r="C2841" s="2" t="s">
        <v>5811</v>
      </c>
      <c r="D2841" s="2" t="s">
        <v>5799</v>
      </c>
      <c r="E2841" s="2" t="str">
        <f>HYPERLINK("https://talan.bank.gov.ua/get-user-certificate/sec1eilUxk9C68hZXkGw","Завантажити сертифікат")</f>
        <v>Завантажити сертифікат</v>
      </c>
    </row>
    <row r="2842" spans="1:5" x14ac:dyDescent="0.3">
      <c r="A2842" s="2" t="s">
        <v>5812</v>
      </c>
      <c r="B2842" s="2" t="s">
        <v>5</v>
      </c>
      <c r="C2842" s="2" t="s">
        <v>5813</v>
      </c>
      <c r="D2842" s="2" t="s">
        <v>5799</v>
      </c>
      <c r="E2842" s="2" t="str">
        <f>HYPERLINK("https://talan.bank.gov.ua/get-user-certificate/sec1ebcPToS13pEudjF4","Завантажити сертифікат")</f>
        <v>Завантажити сертифікат</v>
      </c>
    </row>
    <row r="2843" spans="1:5" x14ac:dyDescent="0.3">
      <c r="A2843" s="2" t="s">
        <v>5814</v>
      </c>
      <c r="B2843" s="2" t="s">
        <v>5</v>
      </c>
      <c r="C2843" s="2" t="s">
        <v>5815</v>
      </c>
      <c r="D2843" s="2" t="s">
        <v>5799</v>
      </c>
      <c r="E2843" s="2" t="str">
        <f>HYPERLINK("https://talan.bank.gov.ua/get-user-certificate/sec1e6rmIy_fdQDcRDim","Завантажити сертифікат")</f>
        <v>Завантажити сертифікат</v>
      </c>
    </row>
    <row r="2844" spans="1:5" x14ac:dyDescent="0.3">
      <c r="A2844" s="2" t="s">
        <v>5816</v>
      </c>
      <c r="B2844" s="2" t="s">
        <v>5</v>
      </c>
      <c r="C2844" s="2" t="s">
        <v>5817</v>
      </c>
      <c r="D2844" s="2" t="s">
        <v>5799</v>
      </c>
      <c r="E2844" s="2" t="str">
        <f>HYPERLINK("https://talan.bank.gov.ua/get-user-certificate/sec1eORPnCaMvUwBHcx6","Завантажити сертифікат")</f>
        <v>Завантажити сертифікат</v>
      </c>
    </row>
    <row r="2845" spans="1:5" x14ac:dyDescent="0.3">
      <c r="A2845" s="2" t="s">
        <v>5818</v>
      </c>
      <c r="B2845" s="2" t="s">
        <v>5</v>
      </c>
      <c r="C2845" s="2" t="s">
        <v>5819</v>
      </c>
      <c r="D2845" s="2" t="s">
        <v>5799</v>
      </c>
      <c r="E2845" s="2" t="str">
        <f>HYPERLINK("https://talan.bank.gov.ua/get-user-certificate/sec1eivR9XAst7Lnqjgl","Завантажити сертифікат")</f>
        <v>Завантажити сертифікат</v>
      </c>
    </row>
    <row r="2846" spans="1:5" x14ac:dyDescent="0.3">
      <c r="A2846" s="2" t="s">
        <v>5820</v>
      </c>
      <c r="B2846" s="2" t="s">
        <v>5</v>
      </c>
      <c r="C2846" s="2" t="s">
        <v>5821</v>
      </c>
      <c r="D2846" s="2" t="s">
        <v>5799</v>
      </c>
      <c r="E2846" s="2" t="str">
        <f>HYPERLINK("https://talan.bank.gov.ua/get-user-certificate/sec1eSwc9y-_F_PRsQMo","Завантажити сертифікат")</f>
        <v>Завантажити сертифікат</v>
      </c>
    </row>
    <row r="2847" spans="1:5" x14ac:dyDescent="0.3">
      <c r="A2847" s="2" t="s">
        <v>5822</v>
      </c>
      <c r="B2847" s="2" t="s">
        <v>5</v>
      </c>
      <c r="C2847" s="2" t="s">
        <v>5823</v>
      </c>
      <c r="D2847" s="2" t="s">
        <v>5799</v>
      </c>
      <c r="E2847" s="2" t="str">
        <f>HYPERLINK("https://talan.bank.gov.ua/get-user-certificate/sec1eRmrz9K-JJgzJOZN","Завантажити сертифікат")</f>
        <v>Завантажити сертифікат</v>
      </c>
    </row>
    <row r="2848" spans="1:5" x14ac:dyDescent="0.3">
      <c r="A2848" s="2" t="s">
        <v>5824</v>
      </c>
      <c r="B2848" s="2" t="s">
        <v>5</v>
      </c>
      <c r="C2848" s="2" t="s">
        <v>5825</v>
      </c>
      <c r="D2848" s="2" t="s">
        <v>5799</v>
      </c>
      <c r="E2848" s="2" t="str">
        <f>HYPERLINK("https://talan.bank.gov.ua/get-user-certificate/sec1erm_EDr8V6VNdWbl","Завантажити сертифікат")</f>
        <v>Завантажити сертифікат</v>
      </c>
    </row>
    <row r="2849" spans="1:5" x14ac:dyDescent="0.3">
      <c r="A2849" s="2" t="s">
        <v>5826</v>
      </c>
      <c r="B2849" s="2" t="s">
        <v>5</v>
      </c>
      <c r="C2849" s="2" t="s">
        <v>5827</v>
      </c>
      <c r="D2849" s="2" t="s">
        <v>5799</v>
      </c>
      <c r="E2849" s="2" t="str">
        <f>HYPERLINK("https://talan.bank.gov.ua/get-user-certificate/sec1emKPmLr4R0ensEWJ","Завантажити сертифікат")</f>
        <v>Завантажити сертифікат</v>
      </c>
    </row>
    <row r="2850" spans="1:5" x14ac:dyDescent="0.3">
      <c r="A2850" s="2" t="s">
        <v>5828</v>
      </c>
      <c r="B2850" s="2" t="s">
        <v>5</v>
      </c>
      <c r="C2850" s="2" t="s">
        <v>5829</v>
      </c>
      <c r="D2850" s="2" t="s">
        <v>5799</v>
      </c>
      <c r="E2850" s="2" t="str">
        <f>HYPERLINK("https://talan.bank.gov.ua/get-user-certificate/sec1eO4zJNd_Bi1ugQ_8","Завантажити сертифікат")</f>
        <v>Завантажити сертифікат</v>
      </c>
    </row>
    <row r="2851" spans="1:5" x14ac:dyDescent="0.3">
      <c r="A2851" s="2" t="s">
        <v>5830</v>
      </c>
      <c r="B2851" s="2" t="s">
        <v>5</v>
      </c>
      <c r="C2851" s="2" t="s">
        <v>5831</v>
      </c>
      <c r="D2851" s="2" t="s">
        <v>5799</v>
      </c>
      <c r="E2851" s="2" t="str">
        <f>HYPERLINK("https://talan.bank.gov.ua/get-user-certificate/sec1e4PevthqVN3zNNiL","Завантажити сертифікат")</f>
        <v>Завантажити сертифікат</v>
      </c>
    </row>
    <row r="2852" spans="1:5" x14ac:dyDescent="0.3">
      <c r="A2852" s="2" t="s">
        <v>5832</v>
      </c>
      <c r="B2852" s="2" t="s">
        <v>5</v>
      </c>
      <c r="C2852" s="2" t="s">
        <v>5833</v>
      </c>
      <c r="D2852" s="2" t="s">
        <v>5799</v>
      </c>
      <c r="E2852" s="2" t="str">
        <f>HYPERLINK("https://talan.bank.gov.ua/get-user-certificate/sec1eD4llBP5WDoGebyN","Завантажити сертифікат")</f>
        <v>Завантажити сертифікат</v>
      </c>
    </row>
    <row r="2853" spans="1:5" x14ac:dyDescent="0.3">
      <c r="A2853" s="2" t="s">
        <v>5834</v>
      </c>
      <c r="B2853" s="2" t="s">
        <v>5</v>
      </c>
      <c r="C2853" s="2" t="s">
        <v>5835</v>
      </c>
      <c r="D2853" s="2" t="s">
        <v>5799</v>
      </c>
      <c r="E2853" s="2" t="str">
        <f>HYPERLINK("https://talan.bank.gov.ua/get-user-certificate/sec1ebDzFeFfKAgn_NT7","Завантажити сертифікат")</f>
        <v>Завантажити сертифікат</v>
      </c>
    </row>
    <row r="2854" spans="1:5" x14ac:dyDescent="0.3">
      <c r="A2854" s="2" t="s">
        <v>5836</v>
      </c>
      <c r="B2854" s="2" t="s">
        <v>5</v>
      </c>
      <c r="C2854" s="2" t="s">
        <v>5837</v>
      </c>
      <c r="D2854" s="2" t="s">
        <v>5799</v>
      </c>
      <c r="E2854" s="2" t="str">
        <f>HYPERLINK("https://talan.bank.gov.ua/get-user-certificate/sec1e_Ulvjb2rG3rkNTN","Завантажити сертифікат")</f>
        <v>Завантажити сертифікат</v>
      </c>
    </row>
    <row r="2855" spans="1:5" x14ac:dyDescent="0.3">
      <c r="A2855" s="2" t="s">
        <v>5838</v>
      </c>
      <c r="B2855" s="2" t="s">
        <v>5</v>
      </c>
      <c r="C2855" s="2" t="s">
        <v>5839</v>
      </c>
      <c r="D2855" s="2" t="s">
        <v>5799</v>
      </c>
      <c r="E2855" s="2" t="str">
        <f>HYPERLINK("https://talan.bank.gov.ua/get-user-certificate/sec1e_QrKPC4l37ftwcP","Завантажити сертифікат")</f>
        <v>Завантажити сертифікат</v>
      </c>
    </row>
    <row r="2856" spans="1:5" x14ac:dyDescent="0.3">
      <c r="A2856" s="2" t="s">
        <v>5840</v>
      </c>
      <c r="B2856" s="2" t="s">
        <v>5</v>
      </c>
      <c r="C2856" s="2" t="s">
        <v>1328</v>
      </c>
      <c r="D2856" s="2" t="s">
        <v>5799</v>
      </c>
      <c r="E2856" s="2" t="str">
        <f>HYPERLINK("https://talan.bank.gov.ua/get-user-certificate/sec1emCHlKynWf9qvnUL","Завантажити сертифікат")</f>
        <v>Завантажити сертифікат</v>
      </c>
    </row>
    <row r="2857" spans="1:5" x14ac:dyDescent="0.3">
      <c r="A2857" s="2" t="s">
        <v>5841</v>
      </c>
      <c r="B2857" s="2" t="s">
        <v>5</v>
      </c>
      <c r="C2857" s="2" t="s">
        <v>5842</v>
      </c>
      <c r="D2857" s="2" t="s">
        <v>5799</v>
      </c>
      <c r="E2857" s="2" t="str">
        <f>HYPERLINK("https://talan.bank.gov.ua/get-user-certificate/sec1eibqcrmycJWAgHIj","Завантажити сертифікат")</f>
        <v>Завантажити сертифікат</v>
      </c>
    </row>
    <row r="2858" spans="1:5" x14ac:dyDescent="0.3">
      <c r="A2858" s="2" t="s">
        <v>5843</v>
      </c>
      <c r="B2858" s="2" t="s">
        <v>5</v>
      </c>
      <c r="C2858" s="2" t="s">
        <v>5844</v>
      </c>
      <c r="D2858" s="2" t="s">
        <v>5845</v>
      </c>
      <c r="E2858" s="2" t="str">
        <f>HYPERLINK("https://talan.bank.gov.ua/get-user-certificate/sec1eVIZU9mDHSjoDf0M","Завантажити сертифікат")</f>
        <v>Завантажити сертифікат</v>
      </c>
    </row>
    <row r="2859" spans="1:5" x14ac:dyDescent="0.3">
      <c r="A2859" s="2" t="s">
        <v>5846</v>
      </c>
      <c r="B2859" s="2" t="s">
        <v>5</v>
      </c>
      <c r="C2859" s="2" t="s">
        <v>5847</v>
      </c>
      <c r="D2859" s="2" t="s">
        <v>5845</v>
      </c>
      <c r="E2859" s="2" t="str">
        <f>HYPERLINK("https://talan.bank.gov.ua/get-user-certificate/sec1eTf-LzgWcpReCXq_","Завантажити сертифікат")</f>
        <v>Завантажити сертифікат</v>
      </c>
    </row>
    <row r="2860" spans="1:5" x14ac:dyDescent="0.3">
      <c r="A2860" s="2" t="s">
        <v>5848</v>
      </c>
      <c r="B2860" s="2" t="s">
        <v>5</v>
      </c>
      <c r="C2860" s="2" t="s">
        <v>5849</v>
      </c>
      <c r="D2860" s="2" t="s">
        <v>5845</v>
      </c>
      <c r="E2860" s="2" t="str">
        <f>HYPERLINK("https://talan.bank.gov.ua/get-user-certificate/sec1eFwmhfxAD7uhpv00","Завантажити сертифікат")</f>
        <v>Завантажити сертифікат</v>
      </c>
    </row>
    <row r="2861" spans="1:5" x14ac:dyDescent="0.3">
      <c r="A2861" s="2" t="s">
        <v>5850</v>
      </c>
      <c r="B2861" s="2" t="s">
        <v>5</v>
      </c>
      <c r="C2861" s="2" t="s">
        <v>5851</v>
      </c>
      <c r="D2861" s="2" t="s">
        <v>5845</v>
      </c>
      <c r="E2861" s="2" t="str">
        <f>HYPERLINK("https://talan.bank.gov.ua/get-user-certificate/sec1enqyUKpYlNznilyS","Завантажити сертифікат")</f>
        <v>Завантажити сертифікат</v>
      </c>
    </row>
    <row r="2862" spans="1:5" x14ac:dyDescent="0.3">
      <c r="A2862" s="2" t="s">
        <v>5852</v>
      </c>
      <c r="B2862" s="2" t="s">
        <v>5</v>
      </c>
      <c r="C2862" s="2" t="s">
        <v>5853</v>
      </c>
      <c r="D2862" s="2" t="s">
        <v>5845</v>
      </c>
      <c r="E2862" s="2" t="str">
        <f>HYPERLINK("https://talan.bank.gov.ua/get-user-certificate/sec1ebftOk9yQoHd-ke4","Завантажити сертифікат")</f>
        <v>Завантажити сертифікат</v>
      </c>
    </row>
    <row r="2863" spans="1:5" x14ac:dyDescent="0.3">
      <c r="A2863" s="2" t="s">
        <v>5854</v>
      </c>
      <c r="B2863" s="2" t="s">
        <v>5</v>
      </c>
      <c r="C2863" s="2" t="s">
        <v>5855</v>
      </c>
      <c r="D2863" s="2" t="s">
        <v>5845</v>
      </c>
      <c r="E2863" s="2" t="str">
        <f>HYPERLINK("https://talan.bank.gov.ua/get-user-certificate/sec1eZ2pW7oePiJJVOA3","Завантажити сертифікат")</f>
        <v>Завантажити сертифікат</v>
      </c>
    </row>
    <row r="2864" spans="1:5" x14ac:dyDescent="0.3">
      <c r="A2864" s="2" t="s">
        <v>5856</v>
      </c>
      <c r="B2864" s="2" t="s">
        <v>5</v>
      </c>
      <c r="C2864" s="2" t="s">
        <v>5857</v>
      </c>
      <c r="D2864" s="2" t="s">
        <v>5845</v>
      </c>
      <c r="E2864" s="2" t="str">
        <f>HYPERLINK("https://talan.bank.gov.ua/get-user-certificate/sec1e3TCYlEFjdyetTwq","Завантажити сертифікат")</f>
        <v>Завантажити сертифікат</v>
      </c>
    </row>
    <row r="2865" spans="1:5" x14ac:dyDescent="0.3">
      <c r="A2865" s="2" t="s">
        <v>5858</v>
      </c>
      <c r="B2865" s="2" t="s">
        <v>5</v>
      </c>
      <c r="C2865" s="2" t="s">
        <v>5859</v>
      </c>
      <c r="D2865" s="2" t="s">
        <v>5845</v>
      </c>
      <c r="E2865" s="2" t="str">
        <f>HYPERLINK("https://talan.bank.gov.ua/get-user-certificate/sec1eKqlPYQ29_EsTibl","Завантажити сертифікат")</f>
        <v>Завантажити сертифікат</v>
      </c>
    </row>
    <row r="2866" spans="1:5" x14ac:dyDescent="0.3">
      <c r="A2866" s="2" t="s">
        <v>5860</v>
      </c>
      <c r="B2866" s="2" t="s">
        <v>5</v>
      </c>
      <c r="C2866" s="2" t="s">
        <v>5861</v>
      </c>
      <c r="D2866" s="2" t="s">
        <v>5862</v>
      </c>
      <c r="E2866" s="2" t="str">
        <f>HYPERLINK("https://talan.bank.gov.ua/get-user-certificate/sec1eyjkHvtqV1OWX9b8","Завантажити сертифікат")</f>
        <v>Завантажити сертифікат</v>
      </c>
    </row>
    <row r="2867" spans="1:5" x14ac:dyDescent="0.3">
      <c r="A2867" s="2" t="s">
        <v>5863</v>
      </c>
      <c r="B2867" s="2" t="s">
        <v>5</v>
      </c>
      <c r="C2867" s="2" t="s">
        <v>5864</v>
      </c>
      <c r="D2867" s="2" t="s">
        <v>5862</v>
      </c>
      <c r="E2867" s="2" t="str">
        <f>HYPERLINK("https://talan.bank.gov.ua/get-user-certificate/sec1eztsVB_O26BhuYoL","Завантажити сертифікат")</f>
        <v>Завантажити сертифікат</v>
      </c>
    </row>
    <row r="2868" spans="1:5" x14ac:dyDescent="0.3">
      <c r="A2868" s="2" t="s">
        <v>5865</v>
      </c>
      <c r="B2868" s="2" t="s">
        <v>5</v>
      </c>
      <c r="C2868" s="2" t="s">
        <v>5866</v>
      </c>
      <c r="D2868" s="2" t="s">
        <v>5862</v>
      </c>
      <c r="E2868" s="2" t="str">
        <f>HYPERLINK("https://talan.bank.gov.ua/get-user-certificate/sec1exHEo5S3Et3uikEZ","Завантажити сертифікат")</f>
        <v>Завантажити сертифікат</v>
      </c>
    </row>
    <row r="2869" spans="1:5" x14ac:dyDescent="0.3">
      <c r="A2869" s="2" t="s">
        <v>5867</v>
      </c>
      <c r="B2869" s="2" t="s">
        <v>5</v>
      </c>
      <c r="C2869" s="2" t="s">
        <v>5868</v>
      </c>
      <c r="D2869" s="2" t="s">
        <v>5862</v>
      </c>
      <c r="E2869" s="2" t="str">
        <f>HYPERLINK("https://talan.bank.gov.ua/get-user-certificate/sec1ezBGonRT8I6MTkmn","Завантажити сертифікат")</f>
        <v>Завантажити сертифікат</v>
      </c>
    </row>
    <row r="2870" spans="1:5" x14ac:dyDescent="0.3">
      <c r="A2870" s="2" t="s">
        <v>5869</v>
      </c>
      <c r="B2870" s="2" t="s">
        <v>5</v>
      </c>
      <c r="C2870" s="2" t="s">
        <v>5870</v>
      </c>
      <c r="D2870" s="2" t="s">
        <v>5862</v>
      </c>
      <c r="E2870" s="2" t="str">
        <f>HYPERLINK("https://talan.bank.gov.ua/get-user-certificate/sec1evlC5hjrOmitW_Qy","Завантажити сертифікат")</f>
        <v>Завантажити сертифікат</v>
      </c>
    </row>
    <row r="2871" spans="1:5" x14ac:dyDescent="0.3">
      <c r="A2871" s="2" t="s">
        <v>5871</v>
      </c>
      <c r="B2871" s="2" t="s">
        <v>5</v>
      </c>
      <c r="C2871" s="2" t="s">
        <v>5872</v>
      </c>
      <c r="D2871" s="2" t="s">
        <v>5862</v>
      </c>
      <c r="E2871" s="2" t="str">
        <f>HYPERLINK("https://talan.bank.gov.ua/get-user-certificate/sec1ev35U8qyh2-_w3u5","Завантажити сертифікат")</f>
        <v>Завантажити сертифікат</v>
      </c>
    </row>
    <row r="2872" spans="1:5" x14ac:dyDescent="0.3">
      <c r="A2872" s="2" t="s">
        <v>5873</v>
      </c>
      <c r="B2872" s="2" t="s">
        <v>5</v>
      </c>
      <c r="C2872" s="2" t="s">
        <v>5874</v>
      </c>
      <c r="D2872" s="2" t="s">
        <v>5862</v>
      </c>
      <c r="E2872" s="2" t="str">
        <f>HYPERLINK("https://talan.bank.gov.ua/get-user-certificate/sec1e0Q3zUXQEO_t448R","Завантажити сертифікат")</f>
        <v>Завантажити сертифікат</v>
      </c>
    </row>
    <row r="2873" spans="1:5" x14ac:dyDescent="0.3">
      <c r="A2873" s="2" t="s">
        <v>5875</v>
      </c>
      <c r="B2873" s="2" t="s">
        <v>5</v>
      </c>
      <c r="C2873" s="2" t="s">
        <v>5876</v>
      </c>
      <c r="D2873" s="2" t="s">
        <v>5862</v>
      </c>
      <c r="E2873" s="2" t="str">
        <f>HYPERLINK("https://talan.bank.gov.ua/get-user-certificate/sec1ePm6HGAcsr6q51OL","Завантажити сертифікат")</f>
        <v>Завантажити сертифікат</v>
      </c>
    </row>
    <row r="2874" spans="1:5" x14ac:dyDescent="0.3">
      <c r="A2874" s="2" t="s">
        <v>5877</v>
      </c>
      <c r="B2874" s="2" t="s">
        <v>5</v>
      </c>
      <c r="C2874" s="2" t="s">
        <v>5878</v>
      </c>
      <c r="D2874" s="2" t="s">
        <v>5862</v>
      </c>
      <c r="E2874" s="2" t="str">
        <f>HYPERLINK("https://talan.bank.gov.ua/get-user-certificate/sec1eNrGUxbwtRVrFzpO","Завантажити сертифікат")</f>
        <v>Завантажити сертифікат</v>
      </c>
    </row>
    <row r="2875" spans="1:5" x14ac:dyDescent="0.3">
      <c r="A2875" s="2" t="s">
        <v>5879</v>
      </c>
      <c r="B2875" s="2" t="s">
        <v>5</v>
      </c>
      <c r="C2875" s="2" t="s">
        <v>5880</v>
      </c>
      <c r="D2875" s="2" t="s">
        <v>5862</v>
      </c>
      <c r="E2875" s="2" t="str">
        <f>HYPERLINK("https://talan.bank.gov.ua/get-user-certificate/sec1eE9P0THqPEYQMG81","Завантажити сертифікат")</f>
        <v>Завантажити сертифікат</v>
      </c>
    </row>
    <row r="2876" spans="1:5" x14ac:dyDescent="0.3">
      <c r="A2876" s="2" t="s">
        <v>5881</v>
      </c>
      <c r="B2876" s="2" t="s">
        <v>5</v>
      </c>
      <c r="C2876" s="2" t="s">
        <v>5882</v>
      </c>
      <c r="D2876" s="2" t="s">
        <v>5862</v>
      </c>
      <c r="E2876" s="2" t="str">
        <f>HYPERLINK("https://talan.bank.gov.ua/get-user-certificate/sec1e2TzKfoo2Ebi7-ex","Завантажити сертифікат")</f>
        <v>Завантажити сертифікат</v>
      </c>
    </row>
    <row r="2877" spans="1:5" x14ac:dyDescent="0.3">
      <c r="A2877" s="2" t="s">
        <v>5883</v>
      </c>
      <c r="B2877" s="2" t="s">
        <v>5</v>
      </c>
      <c r="C2877" s="2" t="s">
        <v>5884</v>
      </c>
      <c r="D2877" s="2" t="s">
        <v>5862</v>
      </c>
      <c r="E2877" s="2" t="str">
        <f>HYPERLINK("https://talan.bank.gov.ua/get-user-certificate/sec1e5PfoiSP6dAAcqAP","Завантажити сертифікат")</f>
        <v>Завантажити сертифікат</v>
      </c>
    </row>
    <row r="2878" spans="1:5" x14ac:dyDescent="0.3">
      <c r="A2878" s="2" t="s">
        <v>5885</v>
      </c>
      <c r="B2878" s="2" t="s">
        <v>5</v>
      </c>
      <c r="C2878" s="2" t="s">
        <v>5886</v>
      </c>
      <c r="D2878" s="2" t="s">
        <v>5862</v>
      </c>
      <c r="E2878" s="2" t="str">
        <f>HYPERLINK("https://talan.bank.gov.ua/get-user-certificate/sec1eI2TgSatv3zzJ2bd","Завантажити сертифікат")</f>
        <v>Завантажити сертифікат</v>
      </c>
    </row>
    <row r="2879" spans="1:5" x14ac:dyDescent="0.3">
      <c r="A2879" s="2" t="s">
        <v>5887</v>
      </c>
      <c r="B2879" s="2" t="s">
        <v>5</v>
      </c>
      <c r="C2879" s="2" t="s">
        <v>5888</v>
      </c>
      <c r="D2879" s="2" t="s">
        <v>5862</v>
      </c>
      <c r="E2879" s="2" t="str">
        <f>HYPERLINK("https://talan.bank.gov.ua/get-user-certificate/sec1e2XHMvlvv8WkyJD-","Завантажити сертифікат")</f>
        <v>Завантажити сертифікат</v>
      </c>
    </row>
    <row r="2880" spans="1:5" x14ac:dyDescent="0.3">
      <c r="A2880" s="2" t="s">
        <v>5889</v>
      </c>
      <c r="B2880" s="2" t="s">
        <v>5</v>
      </c>
      <c r="C2880" s="2" t="s">
        <v>5890</v>
      </c>
      <c r="D2880" s="2" t="s">
        <v>5862</v>
      </c>
      <c r="E2880" s="2" t="str">
        <f>HYPERLINK("https://talan.bank.gov.ua/get-user-certificate/sec1e6Zyr8lTVCs7KF3N","Завантажити сертифікат")</f>
        <v>Завантажити сертифікат</v>
      </c>
    </row>
    <row r="2881" spans="1:5" x14ac:dyDescent="0.3">
      <c r="A2881" s="2" t="s">
        <v>5891</v>
      </c>
      <c r="B2881" s="2" t="s">
        <v>5</v>
      </c>
      <c r="C2881" s="2" t="s">
        <v>5892</v>
      </c>
      <c r="D2881" s="2" t="s">
        <v>5862</v>
      </c>
      <c r="E2881" s="2" t="str">
        <f>HYPERLINK("https://talan.bank.gov.ua/get-user-certificate/sec1eeJ9NnAtvdnQpAjB","Завантажити сертифікат")</f>
        <v>Завантажити сертифікат</v>
      </c>
    </row>
    <row r="2882" spans="1:5" x14ac:dyDescent="0.3">
      <c r="A2882" s="2" t="s">
        <v>5893</v>
      </c>
      <c r="B2882" s="2" t="s">
        <v>5</v>
      </c>
      <c r="C2882" s="2" t="s">
        <v>5894</v>
      </c>
      <c r="D2882" s="2" t="s">
        <v>5862</v>
      </c>
      <c r="E2882" s="2" t="str">
        <f>HYPERLINK("https://talan.bank.gov.ua/get-user-certificate/sec1eiIf5dWqiUKegGhr","Завантажити сертифікат")</f>
        <v>Завантажити сертифікат</v>
      </c>
    </row>
    <row r="2883" spans="1:5" x14ac:dyDescent="0.3">
      <c r="A2883" s="2" t="s">
        <v>5895</v>
      </c>
      <c r="B2883" s="2" t="s">
        <v>5</v>
      </c>
      <c r="C2883" s="2" t="s">
        <v>5896</v>
      </c>
      <c r="D2883" s="2" t="s">
        <v>5862</v>
      </c>
      <c r="E2883" s="2" t="str">
        <f>HYPERLINK("https://talan.bank.gov.ua/get-user-certificate/sec1e-lAIJoSDfNSeC3e","Завантажити сертифікат")</f>
        <v>Завантажити сертифікат</v>
      </c>
    </row>
    <row r="2884" spans="1:5" x14ac:dyDescent="0.3">
      <c r="A2884" s="2" t="s">
        <v>5897</v>
      </c>
      <c r="B2884" s="2" t="s">
        <v>5</v>
      </c>
      <c r="C2884" s="2" t="s">
        <v>5898</v>
      </c>
      <c r="D2884" s="2" t="s">
        <v>5862</v>
      </c>
      <c r="E2884" s="2" t="str">
        <f>HYPERLINK("https://talan.bank.gov.ua/get-user-certificate/sec1elpl5WW4tzL6MSTu","Завантажити сертифікат")</f>
        <v>Завантажити сертифікат</v>
      </c>
    </row>
    <row r="2885" spans="1:5" x14ac:dyDescent="0.3">
      <c r="A2885" s="2" t="s">
        <v>5899</v>
      </c>
      <c r="B2885" s="2" t="s">
        <v>5</v>
      </c>
      <c r="C2885" s="2" t="s">
        <v>5900</v>
      </c>
      <c r="D2885" s="2" t="s">
        <v>5862</v>
      </c>
      <c r="E2885" s="2" t="str">
        <f>HYPERLINK("https://talan.bank.gov.ua/get-user-certificate/sec1eVFTGZc6a41qabMP","Завантажити сертифікат")</f>
        <v>Завантажити сертифікат</v>
      </c>
    </row>
    <row r="2886" spans="1:5" x14ac:dyDescent="0.3">
      <c r="A2886" s="2" t="s">
        <v>5901</v>
      </c>
      <c r="B2886" s="2" t="s">
        <v>5</v>
      </c>
      <c r="C2886" s="2" t="s">
        <v>5902</v>
      </c>
      <c r="D2886" s="2" t="s">
        <v>5862</v>
      </c>
      <c r="E2886" s="2" t="str">
        <f>HYPERLINK("https://talan.bank.gov.ua/get-user-certificate/sec1eYXXSGh7ZpfF7Svc","Завантажити сертифікат")</f>
        <v>Завантажити сертифікат</v>
      </c>
    </row>
    <row r="2887" spans="1:5" x14ac:dyDescent="0.3">
      <c r="A2887" s="2" t="s">
        <v>5903</v>
      </c>
      <c r="B2887" s="2" t="s">
        <v>5</v>
      </c>
      <c r="C2887" s="2" t="s">
        <v>5904</v>
      </c>
      <c r="D2887" s="2" t="s">
        <v>5862</v>
      </c>
      <c r="E2887" s="2" t="str">
        <f>HYPERLINK("https://talan.bank.gov.ua/get-user-certificate/sec1ezCzNkchfSErbpXv","Завантажити сертифікат")</f>
        <v>Завантажити сертифікат</v>
      </c>
    </row>
    <row r="2888" spans="1:5" x14ac:dyDescent="0.3">
      <c r="A2888" s="2" t="s">
        <v>5905</v>
      </c>
      <c r="B2888" s="2" t="s">
        <v>5</v>
      </c>
      <c r="C2888" s="2" t="s">
        <v>5906</v>
      </c>
      <c r="D2888" s="2" t="s">
        <v>5862</v>
      </c>
      <c r="E2888" s="2" t="str">
        <f>HYPERLINK("https://talan.bank.gov.ua/get-user-certificate/sec1enFN9eklOTwzDmVR","Завантажити сертифікат")</f>
        <v>Завантажити сертифікат</v>
      </c>
    </row>
    <row r="2889" spans="1:5" x14ac:dyDescent="0.3">
      <c r="A2889" s="2" t="s">
        <v>5907</v>
      </c>
      <c r="B2889" s="2" t="s">
        <v>5</v>
      </c>
      <c r="C2889" s="2" t="s">
        <v>5908</v>
      </c>
      <c r="D2889" s="2" t="s">
        <v>5862</v>
      </c>
      <c r="E2889" s="2" t="str">
        <f>HYPERLINK("https://talan.bank.gov.ua/get-user-certificate/sec1e4XavvhYb9t2s36e","Завантажити сертифікат")</f>
        <v>Завантажити сертифікат</v>
      </c>
    </row>
    <row r="2890" spans="1:5" x14ac:dyDescent="0.3">
      <c r="A2890" s="2" t="s">
        <v>5909</v>
      </c>
      <c r="B2890" s="2" t="s">
        <v>5</v>
      </c>
      <c r="C2890" s="2" t="s">
        <v>5910</v>
      </c>
      <c r="D2890" s="2" t="s">
        <v>5862</v>
      </c>
      <c r="E2890" s="2" t="str">
        <f>HYPERLINK("https://talan.bank.gov.ua/get-user-certificate/sec1eCSEVuo_32sdSaG_","Завантажити сертифікат")</f>
        <v>Завантажити сертифікат</v>
      </c>
    </row>
    <row r="2891" spans="1:5" x14ac:dyDescent="0.3">
      <c r="A2891" s="2" t="s">
        <v>5911</v>
      </c>
      <c r="B2891" s="2" t="s">
        <v>5</v>
      </c>
      <c r="C2891" s="2" t="s">
        <v>5912</v>
      </c>
      <c r="D2891" s="2" t="s">
        <v>5862</v>
      </c>
      <c r="E2891" s="2" t="str">
        <f>HYPERLINK("https://talan.bank.gov.ua/get-user-certificate/sec1eGT46tG3Sj6ZYDQ5","Завантажити сертифікат")</f>
        <v>Завантажити сертифікат</v>
      </c>
    </row>
    <row r="2892" spans="1:5" x14ac:dyDescent="0.3">
      <c r="A2892" s="2" t="s">
        <v>5913</v>
      </c>
      <c r="B2892" s="2" t="s">
        <v>5</v>
      </c>
      <c r="C2892" s="2" t="s">
        <v>5914</v>
      </c>
      <c r="D2892" s="2" t="s">
        <v>5862</v>
      </c>
      <c r="E2892" s="2" t="str">
        <f>HYPERLINK("https://talan.bank.gov.ua/get-user-certificate/sec1eGqe3bx_Y9qWvBtt","Завантажити сертифікат")</f>
        <v>Завантажити сертифікат</v>
      </c>
    </row>
    <row r="2893" spans="1:5" x14ac:dyDescent="0.3">
      <c r="A2893" s="2" t="s">
        <v>5915</v>
      </c>
      <c r="B2893" s="2" t="s">
        <v>5</v>
      </c>
      <c r="C2893" s="2" t="s">
        <v>5916</v>
      </c>
      <c r="D2893" s="2" t="s">
        <v>5862</v>
      </c>
      <c r="E2893" s="2" t="str">
        <f>HYPERLINK("https://talan.bank.gov.ua/get-user-certificate/sec1eQLEZj2upqDos_q5","Завантажити сертифікат")</f>
        <v>Завантажити сертифікат</v>
      </c>
    </row>
    <row r="2894" spans="1:5" x14ac:dyDescent="0.3">
      <c r="A2894" s="2" t="s">
        <v>5917</v>
      </c>
      <c r="B2894" s="2" t="s">
        <v>5</v>
      </c>
      <c r="C2894" s="2" t="s">
        <v>5918</v>
      </c>
      <c r="D2894" s="2" t="s">
        <v>5862</v>
      </c>
      <c r="E2894" s="2" t="str">
        <f>HYPERLINK("https://talan.bank.gov.ua/get-user-certificate/sec1eykLN-h3VyfV8Ew-","Завантажити сертифікат")</f>
        <v>Завантажити сертифікат</v>
      </c>
    </row>
    <row r="2895" spans="1:5" x14ac:dyDescent="0.3">
      <c r="A2895" s="2" t="s">
        <v>5919</v>
      </c>
      <c r="B2895" s="2" t="s">
        <v>5</v>
      </c>
      <c r="C2895" s="2" t="s">
        <v>5920</v>
      </c>
      <c r="D2895" s="2" t="s">
        <v>5862</v>
      </c>
      <c r="E2895" s="2" t="str">
        <f>HYPERLINK("https://talan.bank.gov.ua/get-user-certificate/sec1eUJAzt2bEEmJ05fW","Завантажити сертифікат")</f>
        <v>Завантажити сертифікат</v>
      </c>
    </row>
    <row r="2896" spans="1:5" x14ac:dyDescent="0.3">
      <c r="A2896" s="2" t="s">
        <v>5921</v>
      </c>
      <c r="B2896" s="2" t="s">
        <v>5</v>
      </c>
      <c r="C2896" s="2" t="s">
        <v>5922</v>
      </c>
      <c r="D2896" s="2" t="s">
        <v>5862</v>
      </c>
      <c r="E2896" s="2" t="str">
        <f>HYPERLINK("https://talan.bank.gov.ua/get-user-certificate/sec1evNJBO86DiJK4yAx","Завантажити сертифікат")</f>
        <v>Завантажити сертифікат</v>
      </c>
    </row>
    <row r="2897" spans="1:5" x14ac:dyDescent="0.3">
      <c r="A2897" s="2" t="s">
        <v>5923</v>
      </c>
      <c r="B2897" s="2" t="s">
        <v>5</v>
      </c>
      <c r="C2897" s="2" t="s">
        <v>5924</v>
      </c>
      <c r="D2897" s="2" t="s">
        <v>5862</v>
      </c>
      <c r="E2897" s="2" t="str">
        <f>HYPERLINK("https://talan.bank.gov.ua/get-user-certificate/sec1e0VdwUrz1zloKhY_","Завантажити сертифікат")</f>
        <v>Завантажити сертифікат</v>
      </c>
    </row>
    <row r="2898" spans="1:5" x14ac:dyDescent="0.3">
      <c r="A2898" s="2" t="s">
        <v>5925</v>
      </c>
      <c r="B2898" s="2" t="s">
        <v>5</v>
      </c>
      <c r="C2898" s="2" t="s">
        <v>5926</v>
      </c>
      <c r="D2898" s="2" t="s">
        <v>5862</v>
      </c>
      <c r="E2898" s="2" t="str">
        <f>HYPERLINK("https://talan.bank.gov.ua/get-user-certificate/sec1e_WkaO7YL9eS6Dtp","Завантажити сертифікат")</f>
        <v>Завантажити сертифікат</v>
      </c>
    </row>
    <row r="2899" spans="1:5" x14ac:dyDescent="0.3">
      <c r="A2899" s="2" t="s">
        <v>5927</v>
      </c>
      <c r="B2899" s="2" t="s">
        <v>5</v>
      </c>
      <c r="C2899" s="2" t="s">
        <v>5928</v>
      </c>
      <c r="D2899" s="2" t="s">
        <v>5862</v>
      </c>
      <c r="E2899" s="2" t="str">
        <f>HYPERLINK("https://talan.bank.gov.ua/get-user-certificate/sec1ehn5PUD-v889hCap","Завантажити сертифікат")</f>
        <v>Завантажити сертифікат</v>
      </c>
    </row>
    <row r="2900" spans="1:5" x14ac:dyDescent="0.3">
      <c r="A2900" s="2" t="s">
        <v>5929</v>
      </c>
      <c r="B2900" s="2" t="s">
        <v>5</v>
      </c>
      <c r="C2900" s="2" t="s">
        <v>5930</v>
      </c>
      <c r="D2900" s="2" t="s">
        <v>5862</v>
      </c>
      <c r="E2900" s="2" t="str">
        <f>HYPERLINK("https://talan.bank.gov.ua/get-user-certificate/sec1eVUue57zrVQGmJIz","Завантажити сертифікат")</f>
        <v>Завантажити сертифікат</v>
      </c>
    </row>
    <row r="2901" spans="1:5" x14ac:dyDescent="0.3">
      <c r="A2901" s="2" t="s">
        <v>5931</v>
      </c>
      <c r="B2901" s="2" t="s">
        <v>5</v>
      </c>
      <c r="C2901" s="2" t="s">
        <v>5932</v>
      </c>
      <c r="D2901" s="2" t="s">
        <v>5862</v>
      </c>
      <c r="E2901" s="2" t="str">
        <f>HYPERLINK("https://talan.bank.gov.ua/get-user-certificate/sec1eHfRyeqBA9ppeYvD","Завантажити сертифікат")</f>
        <v>Завантажити сертифікат</v>
      </c>
    </row>
    <row r="2902" spans="1:5" x14ac:dyDescent="0.3">
      <c r="A2902" s="2" t="s">
        <v>5933</v>
      </c>
      <c r="B2902" s="2" t="s">
        <v>5</v>
      </c>
      <c r="C2902" s="2" t="s">
        <v>5934</v>
      </c>
      <c r="D2902" s="2" t="s">
        <v>5862</v>
      </c>
      <c r="E2902" s="2" t="str">
        <f>HYPERLINK("https://talan.bank.gov.ua/get-user-certificate/sec1ed-biN8t4Qn9l7zT","Завантажити сертифікат")</f>
        <v>Завантажити сертифікат</v>
      </c>
    </row>
    <row r="2903" spans="1:5" x14ac:dyDescent="0.3">
      <c r="A2903" s="2" t="s">
        <v>5935</v>
      </c>
      <c r="B2903" s="2" t="s">
        <v>5</v>
      </c>
      <c r="C2903" s="2" t="s">
        <v>5936</v>
      </c>
      <c r="D2903" s="2" t="s">
        <v>5862</v>
      </c>
      <c r="E2903" s="2" t="str">
        <f>HYPERLINK("https://talan.bank.gov.ua/get-user-certificate/sec1eO1IkskGPli724KL","Завантажити сертифікат")</f>
        <v>Завантажити сертифікат</v>
      </c>
    </row>
    <row r="2904" spans="1:5" x14ac:dyDescent="0.3">
      <c r="A2904" s="2" t="s">
        <v>5937</v>
      </c>
      <c r="B2904" s="2" t="s">
        <v>5</v>
      </c>
      <c r="C2904" s="2" t="s">
        <v>5938</v>
      </c>
      <c r="D2904" s="2" t="s">
        <v>5862</v>
      </c>
      <c r="E2904" s="2" t="str">
        <f>HYPERLINK("https://talan.bank.gov.ua/get-user-certificate/sec1eChHeoyY8iR_jiL7","Завантажити сертифікат")</f>
        <v>Завантажити сертифікат</v>
      </c>
    </row>
    <row r="2905" spans="1:5" x14ac:dyDescent="0.3">
      <c r="A2905" s="2" t="s">
        <v>5939</v>
      </c>
      <c r="B2905" s="2" t="s">
        <v>5</v>
      </c>
      <c r="C2905" s="2" t="s">
        <v>5940</v>
      </c>
      <c r="D2905" s="2" t="s">
        <v>5862</v>
      </c>
      <c r="E2905" s="2" t="str">
        <f>HYPERLINK("https://talan.bank.gov.ua/get-user-certificate/sec1eQA5n4afOKCSOhtN","Завантажити сертифікат")</f>
        <v>Завантажити сертифікат</v>
      </c>
    </row>
    <row r="2906" spans="1:5" x14ac:dyDescent="0.3">
      <c r="A2906" s="2" t="s">
        <v>5941</v>
      </c>
      <c r="B2906" s="2" t="s">
        <v>5</v>
      </c>
      <c r="C2906" s="2" t="s">
        <v>5942</v>
      </c>
      <c r="D2906" s="2" t="s">
        <v>5862</v>
      </c>
      <c r="E2906" s="2" t="str">
        <f>HYPERLINK("https://talan.bank.gov.ua/get-user-certificate/sec1ezroFz0FUFYPQuku","Завантажити сертифікат")</f>
        <v>Завантажити сертифікат</v>
      </c>
    </row>
    <row r="2907" spans="1:5" x14ac:dyDescent="0.3">
      <c r="A2907" s="2" t="s">
        <v>5943</v>
      </c>
      <c r="B2907" s="2" t="s">
        <v>5</v>
      </c>
      <c r="C2907" s="2" t="s">
        <v>5944</v>
      </c>
      <c r="D2907" s="2" t="s">
        <v>5862</v>
      </c>
      <c r="E2907" s="2" t="str">
        <f>HYPERLINK("https://talan.bank.gov.ua/get-user-certificate/sec1eTnC6b5Lvq8Y53YM","Завантажити сертифікат")</f>
        <v>Завантажити сертифікат</v>
      </c>
    </row>
    <row r="2908" spans="1:5" x14ac:dyDescent="0.3">
      <c r="A2908" s="2" t="s">
        <v>5945</v>
      </c>
      <c r="B2908" s="2" t="s">
        <v>5</v>
      </c>
      <c r="C2908" s="2" t="s">
        <v>5946</v>
      </c>
      <c r="D2908" s="2" t="s">
        <v>5862</v>
      </c>
      <c r="E2908" s="2" t="str">
        <f>HYPERLINK("https://talan.bank.gov.ua/get-user-certificate/sec1eSkzYlH9mzRT01ru","Завантажити сертифікат")</f>
        <v>Завантажити сертифікат</v>
      </c>
    </row>
    <row r="2909" spans="1:5" x14ac:dyDescent="0.3">
      <c r="A2909" s="2" t="s">
        <v>5947</v>
      </c>
      <c r="B2909" s="2" t="s">
        <v>5</v>
      </c>
      <c r="C2909" s="2" t="s">
        <v>5948</v>
      </c>
      <c r="D2909" s="2" t="s">
        <v>5862</v>
      </c>
      <c r="E2909" s="2" t="str">
        <f>HYPERLINK("https://talan.bank.gov.ua/get-user-certificate/sec1e6ULDrNdEitONR0X","Завантажити сертифікат")</f>
        <v>Завантажити сертифікат</v>
      </c>
    </row>
    <row r="2910" spans="1:5" x14ac:dyDescent="0.3">
      <c r="A2910" s="2" t="s">
        <v>5949</v>
      </c>
      <c r="B2910" s="2" t="s">
        <v>5</v>
      </c>
      <c r="C2910" s="2" t="s">
        <v>5950</v>
      </c>
      <c r="D2910" s="2" t="s">
        <v>5862</v>
      </c>
      <c r="E2910" s="2" t="str">
        <f>HYPERLINK("https://talan.bank.gov.ua/get-user-certificate/sec1edYI7bvLtQJ1Cy8-","Завантажити сертифікат")</f>
        <v>Завантажити сертифікат</v>
      </c>
    </row>
    <row r="2911" spans="1:5" x14ac:dyDescent="0.3">
      <c r="A2911" s="2" t="s">
        <v>5951</v>
      </c>
      <c r="B2911" s="2" t="s">
        <v>5</v>
      </c>
      <c r="C2911" s="2" t="s">
        <v>5952</v>
      </c>
      <c r="D2911" s="2" t="s">
        <v>5862</v>
      </c>
      <c r="E2911" s="2" t="str">
        <f>HYPERLINK("https://talan.bank.gov.ua/get-user-certificate/sec1eKVM7HuZyO2qIxsY","Завантажити сертифікат")</f>
        <v>Завантажити сертифікат</v>
      </c>
    </row>
    <row r="2912" spans="1:5" x14ac:dyDescent="0.3">
      <c r="A2912" s="2" t="s">
        <v>5953</v>
      </c>
      <c r="B2912" s="2" t="s">
        <v>5</v>
      </c>
      <c r="C2912" s="2" t="s">
        <v>5954</v>
      </c>
      <c r="D2912" s="2" t="s">
        <v>5862</v>
      </c>
      <c r="E2912" s="2" t="str">
        <f>HYPERLINK("https://talan.bank.gov.ua/get-user-certificate/sec1ewG_Xk2uRPBPrwWF","Завантажити сертифікат")</f>
        <v>Завантажити сертифікат</v>
      </c>
    </row>
    <row r="2913" spans="1:5" x14ac:dyDescent="0.3">
      <c r="A2913" s="2" t="s">
        <v>5955</v>
      </c>
      <c r="B2913" s="2" t="s">
        <v>5</v>
      </c>
      <c r="C2913" s="2" t="s">
        <v>5956</v>
      </c>
      <c r="D2913" s="2" t="s">
        <v>5862</v>
      </c>
      <c r="E2913" s="2" t="str">
        <f>HYPERLINK("https://talan.bank.gov.ua/get-user-certificate/sec1eHugDebZo8fhKxQw","Завантажити сертифікат")</f>
        <v>Завантажити сертифікат</v>
      </c>
    </row>
    <row r="2914" spans="1:5" x14ac:dyDescent="0.3">
      <c r="A2914" s="2" t="s">
        <v>5957</v>
      </c>
      <c r="B2914" s="2" t="s">
        <v>5</v>
      </c>
      <c r="C2914" s="2" t="s">
        <v>5958</v>
      </c>
      <c r="D2914" s="2" t="s">
        <v>5862</v>
      </c>
      <c r="E2914" s="2" t="str">
        <f>HYPERLINK("https://talan.bank.gov.ua/get-user-certificate/sec1evaew0qAD4vu4irw","Завантажити сертифікат")</f>
        <v>Завантажити сертифікат</v>
      </c>
    </row>
    <row r="2915" spans="1:5" x14ac:dyDescent="0.3">
      <c r="A2915" s="2" t="s">
        <v>5959</v>
      </c>
      <c r="B2915" s="2" t="s">
        <v>5</v>
      </c>
      <c r="C2915" s="2" t="s">
        <v>5960</v>
      </c>
      <c r="D2915" s="2" t="s">
        <v>5862</v>
      </c>
      <c r="E2915" s="2" t="str">
        <f>HYPERLINK("https://talan.bank.gov.ua/get-user-certificate/sec1eKyNWlTRF9TqdD3Q","Завантажити сертифікат")</f>
        <v>Завантажити сертифікат</v>
      </c>
    </row>
    <row r="2916" spans="1:5" x14ac:dyDescent="0.3">
      <c r="A2916" s="2" t="s">
        <v>5961</v>
      </c>
      <c r="B2916" s="2" t="s">
        <v>5</v>
      </c>
      <c r="C2916" s="2" t="s">
        <v>5962</v>
      </c>
      <c r="D2916" s="2" t="s">
        <v>5862</v>
      </c>
      <c r="E2916" s="2" t="str">
        <f>HYPERLINK("https://talan.bank.gov.ua/get-user-certificate/sec1eBWPuoaaMDTZT0WA","Завантажити сертифікат")</f>
        <v>Завантажити сертифікат</v>
      </c>
    </row>
    <row r="2917" spans="1:5" x14ac:dyDescent="0.3">
      <c r="A2917" s="2" t="s">
        <v>5963</v>
      </c>
      <c r="B2917" s="2" t="s">
        <v>5</v>
      </c>
      <c r="C2917" s="2" t="s">
        <v>5964</v>
      </c>
      <c r="D2917" s="2" t="s">
        <v>5862</v>
      </c>
      <c r="E2917" s="2" t="str">
        <f>HYPERLINK("https://talan.bank.gov.ua/get-user-certificate/sec1eL51nU170C3lxqSS","Завантажити сертифікат")</f>
        <v>Завантажити сертифікат</v>
      </c>
    </row>
    <row r="2918" spans="1:5" x14ac:dyDescent="0.3">
      <c r="A2918" s="2" t="s">
        <v>5965</v>
      </c>
      <c r="B2918" s="2" t="s">
        <v>5</v>
      </c>
      <c r="C2918" s="2" t="s">
        <v>5966</v>
      </c>
      <c r="D2918" s="2" t="s">
        <v>5862</v>
      </c>
      <c r="E2918" s="2" t="str">
        <f>HYPERLINK("https://talan.bank.gov.ua/get-user-certificate/sec1eLXI-RyJv1-FmA5Y","Завантажити сертифікат")</f>
        <v>Завантажити сертифікат</v>
      </c>
    </row>
    <row r="2919" spans="1:5" x14ac:dyDescent="0.3">
      <c r="A2919" s="2" t="s">
        <v>5967</v>
      </c>
      <c r="B2919" s="2" t="s">
        <v>5</v>
      </c>
      <c r="C2919" s="2" t="s">
        <v>5968</v>
      </c>
      <c r="D2919" s="2" t="s">
        <v>5969</v>
      </c>
      <c r="E2919" s="2" t="str">
        <f>HYPERLINK("https://talan.bank.gov.ua/get-user-certificate/sec1eKnj8YL3c4gaENA_","Завантажити сертифікат")</f>
        <v>Завантажити сертифікат</v>
      </c>
    </row>
    <row r="2920" spans="1:5" x14ac:dyDescent="0.3">
      <c r="A2920" s="2" t="s">
        <v>5970</v>
      </c>
      <c r="B2920" s="2" t="s">
        <v>5</v>
      </c>
      <c r="C2920" s="2" t="s">
        <v>5971</v>
      </c>
      <c r="D2920" s="2" t="s">
        <v>5969</v>
      </c>
      <c r="E2920" s="2" t="str">
        <f>HYPERLINK("https://talan.bank.gov.ua/get-user-certificate/sec1ePNpeGLuQ7jVZ0Gp","Завантажити сертифікат")</f>
        <v>Завантажити сертифікат</v>
      </c>
    </row>
    <row r="2921" spans="1:5" x14ac:dyDescent="0.3">
      <c r="A2921" s="2" t="s">
        <v>5972</v>
      </c>
      <c r="B2921" s="2" t="s">
        <v>5</v>
      </c>
      <c r="C2921" s="2" t="s">
        <v>5973</v>
      </c>
      <c r="D2921" s="2" t="s">
        <v>5969</v>
      </c>
      <c r="E2921" s="2" t="str">
        <f>HYPERLINK("https://talan.bank.gov.ua/get-user-certificate/sec1eqQjK7Pogk_DxhbK","Завантажити сертифікат")</f>
        <v>Завантажити сертифікат</v>
      </c>
    </row>
    <row r="2922" spans="1:5" x14ac:dyDescent="0.3">
      <c r="A2922" s="2" t="s">
        <v>5974</v>
      </c>
      <c r="B2922" s="2" t="s">
        <v>5</v>
      </c>
      <c r="C2922" s="2" t="s">
        <v>5975</v>
      </c>
      <c r="D2922" s="2" t="s">
        <v>5969</v>
      </c>
      <c r="E2922" s="2" t="str">
        <f>HYPERLINK("https://talan.bank.gov.ua/get-user-certificate/sec1evgCR54WnVqWL34M","Завантажити сертифікат")</f>
        <v>Завантажити сертифікат</v>
      </c>
    </row>
    <row r="2923" spans="1:5" x14ac:dyDescent="0.3">
      <c r="A2923" s="2" t="s">
        <v>5976</v>
      </c>
      <c r="B2923" s="2" t="s">
        <v>5</v>
      </c>
      <c r="C2923" s="2" t="s">
        <v>5977</v>
      </c>
      <c r="D2923" s="2" t="s">
        <v>5969</v>
      </c>
      <c r="E2923" s="2" t="str">
        <f>HYPERLINK("https://talan.bank.gov.ua/get-user-certificate/sec1e9lKjqsbwVBYnj_H","Завантажити сертифікат")</f>
        <v>Завантажити сертифікат</v>
      </c>
    </row>
    <row r="2924" spans="1:5" x14ac:dyDescent="0.3">
      <c r="A2924" s="2" t="s">
        <v>5978</v>
      </c>
      <c r="B2924" s="2" t="s">
        <v>5</v>
      </c>
      <c r="C2924" s="2" t="s">
        <v>5979</v>
      </c>
      <c r="D2924" s="2" t="s">
        <v>5969</v>
      </c>
      <c r="E2924" s="2" t="str">
        <f>HYPERLINK("https://talan.bank.gov.ua/get-user-certificate/sec1elN_vbsRftiZ1Uo-","Завантажити сертифікат")</f>
        <v>Завантажити сертифікат</v>
      </c>
    </row>
    <row r="2925" spans="1:5" x14ac:dyDescent="0.3">
      <c r="A2925" s="2" t="s">
        <v>5980</v>
      </c>
      <c r="B2925" s="2" t="s">
        <v>5</v>
      </c>
      <c r="C2925" s="2" t="s">
        <v>5981</v>
      </c>
      <c r="D2925" s="2" t="s">
        <v>5969</v>
      </c>
      <c r="E2925" s="2" t="str">
        <f>HYPERLINK("https://talan.bank.gov.ua/get-user-certificate/sec1eP1TvTQ9-TEiCgxu","Завантажити сертифікат")</f>
        <v>Завантажити сертифікат</v>
      </c>
    </row>
    <row r="2926" spans="1:5" x14ac:dyDescent="0.3">
      <c r="A2926" s="2" t="s">
        <v>5982</v>
      </c>
      <c r="B2926" s="2" t="s">
        <v>5</v>
      </c>
      <c r="C2926" s="2" t="s">
        <v>5983</v>
      </c>
      <c r="D2926" s="2" t="s">
        <v>5969</v>
      </c>
      <c r="E2926" s="2" t="str">
        <f>HYPERLINK("https://talan.bank.gov.ua/get-user-certificate/sec1ekHLIHsmmmw-K3Vz","Завантажити сертифікат")</f>
        <v>Завантажити сертифікат</v>
      </c>
    </row>
    <row r="2927" spans="1:5" x14ac:dyDescent="0.3">
      <c r="A2927" s="2" t="s">
        <v>5984</v>
      </c>
      <c r="B2927" s="2" t="s">
        <v>5</v>
      </c>
      <c r="C2927" s="2" t="s">
        <v>5985</v>
      </c>
      <c r="D2927" s="2" t="s">
        <v>5969</v>
      </c>
      <c r="E2927" s="2" t="str">
        <f>HYPERLINK("https://talan.bank.gov.ua/get-user-certificate/sec1eIuzv1wBdnKfUvim","Завантажити сертифікат")</f>
        <v>Завантажити сертифікат</v>
      </c>
    </row>
    <row r="2928" spans="1:5" x14ac:dyDescent="0.3">
      <c r="A2928" s="2" t="s">
        <v>5986</v>
      </c>
      <c r="B2928" s="2" t="s">
        <v>5</v>
      </c>
      <c r="C2928" s="2" t="s">
        <v>5987</v>
      </c>
      <c r="D2928" s="2" t="s">
        <v>5969</v>
      </c>
      <c r="E2928" s="2" t="str">
        <f>HYPERLINK("https://talan.bank.gov.ua/get-user-certificate/sec1eTcuyt7jxa3sxitm","Завантажити сертифікат")</f>
        <v>Завантажити сертифікат</v>
      </c>
    </row>
    <row r="2929" spans="1:5" x14ac:dyDescent="0.3">
      <c r="A2929" s="2" t="s">
        <v>5988</v>
      </c>
      <c r="B2929" s="2" t="s">
        <v>5</v>
      </c>
      <c r="C2929" s="2" t="s">
        <v>5989</v>
      </c>
      <c r="D2929" s="2" t="s">
        <v>5969</v>
      </c>
      <c r="E2929" s="2" t="str">
        <f>HYPERLINK("https://talan.bank.gov.ua/get-user-certificate/sec1esO34QeHE31PRGiL","Завантажити сертифікат")</f>
        <v>Завантажити сертифікат</v>
      </c>
    </row>
    <row r="2930" spans="1:5" x14ac:dyDescent="0.3">
      <c r="A2930" s="2" t="s">
        <v>5990</v>
      </c>
      <c r="B2930" s="2" t="s">
        <v>5</v>
      </c>
      <c r="C2930" s="2" t="s">
        <v>5991</v>
      </c>
      <c r="D2930" s="2" t="s">
        <v>5969</v>
      </c>
      <c r="E2930" s="2" t="str">
        <f>HYPERLINK("https://talan.bank.gov.ua/get-user-certificate/sec1ep0pVUKvrWNfXzxc","Завантажити сертифікат")</f>
        <v>Завантажити сертифікат</v>
      </c>
    </row>
    <row r="2931" spans="1:5" x14ac:dyDescent="0.3">
      <c r="A2931" s="2" t="s">
        <v>5992</v>
      </c>
      <c r="B2931" s="2" t="s">
        <v>5</v>
      </c>
      <c r="C2931" s="2" t="s">
        <v>5993</v>
      </c>
      <c r="D2931" s="2" t="s">
        <v>5969</v>
      </c>
      <c r="E2931" s="2" t="str">
        <f>HYPERLINK("https://talan.bank.gov.ua/get-user-certificate/sec1eYb4oY2iLHNFyzzj","Завантажити сертифікат")</f>
        <v>Завантажити сертифікат</v>
      </c>
    </row>
    <row r="2932" spans="1:5" x14ac:dyDescent="0.3">
      <c r="A2932" s="2" t="s">
        <v>5994</v>
      </c>
      <c r="B2932" s="2" t="s">
        <v>5</v>
      </c>
      <c r="C2932" s="2" t="s">
        <v>5995</v>
      </c>
      <c r="D2932" s="2" t="s">
        <v>5969</v>
      </c>
      <c r="E2932" s="2" t="str">
        <f>HYPERLINK("https://talan.bank.gov.ua/get-user-certificate/sec1epLRUCbaHl0mZR4B","Завантажити сертифікат")</f>
        <v>Завантажити сертифікат</v>
      </c>
    </row>
    <row r="2933" spans="1:5" x14ac:dyDescent="0.3">
      <c r="A2933" s="2" t="s">
        <v>5996</v>
      </c>
      <c r="B2933" s="2" t="s">
        <v>5</v>
      </c>
      <c r="C2933" s="2" t="s">
        <v>5997</v>
      </c>
      <c r="D2933" s="2" t="s">
        <v>5969</v>
      </c>
      <c r="E2933" s="2" t="str">
        <f>HYPERLINK("https://talan.bank.gov.ua/get-user-certificate/sec1eC2PCeRjzDn-sjt8","Завантажити сертифікат")</f>
        <v>Завантажити сертифікат</v>
      </c>
    </row>
    <row r="2934" spans="1:5" x14ac:dyDescent="0.3">
      <c r="A2934" s="2" t="s">
        <v>5998</v>
      </c>
      <c r="B2934" s="2" t="s">
        <v>5</v>
      </c>
      <c r="C2934" s="2" t="s">
        <v>5999</v>
      </c>
      <c r="D2934" s="2" t="s">
        <v>5969</v>
      </c>
      <c r="E2934" s="2" t="str">
        <f>HYPERLINK("https://talan.bank.gov.ua/get-user-certificate/sec1ehtEZ_VSR4sM1GRD","Завантажити сертифікат")</f>
        <v>Завантажити сертифікат</v>
      </c>
    </row>
    <row r="2935" spans="1:5" x14ac:dyDescent="0.3">
      <c r="A2935" s="2" t="s">
        <v>6000</v>
      </c>
      <c r="B2935" s="2" t="s">
        <v>5</v>
      </c>
      <c r="C2935" s="2" t="s">
        <v>6001</v>
      </c>
      <c r="D2935" s="2" t="s">
        <v>5969</v>
      </c>
      <c r="E2935" s="2" t="str">
        <f>HYPERLINK("https://talan.bank.gov.ua/get-user-certificate/sec1exVDWXwyHr8GANHg","Завантажити сертифікат")</f>
        <v>Завантажити сертифікат</v>
      </c>
    </row>
    <row r="2936" spans="1:5" x14ac:dyDescent="0.3">
      <c r="A2936" s="2" t="s">
        <v>6002</v>
      </c>
      <c r="B2936" s="2" t="s">
        <v>5</v>
      </c>
      <c r="C2936" s="2" t="s">
        <v>6003</v>
      </c>
      <c r="D2936" s="2" t="s">
        <v>5969</v>
      </c>
      <c r="E2936" s="2" t="str">
        <f>HYPERLINK("https://talan.bank.gov.ua/get-user-certificate/sec1eYZyWtzote9WCnas","Завантажити сертифікат")</f>
        <v>Завантажити сертифікат</v>
      </c>
    </row>
    <row r="2937" spans="1:5" x14ac:dyDescent="0.3">
      <c r="A2937" s="2" t="s">
        <v>6004</v>
      </c>
      <c r="B2937" s="2" t="s">
        <v>5</v>
      </c>
      <c r="C2937" s="2" t="s">
        <v>6005</v>
      </c>
      <c r="D2937" s="2" t="s">
        <v>5969</v>
      </c>
      <c r="E2937" s="2" t="str">
        <f>HYPERLINK("https://talan.bank.gov.ua/get-user-certificate/sec1e5tcvb_tOs_0Kzq5","Завантажити сертифікат")</f>
        <v>Завантажити сертифікат</v>
      </c>
    </row>
    <row r="2938" spans="1:5" x14ac:dyDescent="0.3">
      <c r="A2938" s="2" t="s">
        <v>6006</v>
      </c>
      <c r="B2938" s="2" t="s">
        <v>5</v>
      </c>
      <c r="C2938" s="2" t="s">
        <v>6007</v>
      </c>
      <c r="D2938" s="2" t="s">
        <v>5969</v>
      </c>
      <c r="E2938" s="2" t="str">
        <f>HYPERLINK("https://talan.bank.gov.ua/get-user-certificate/sec1eUjywjsMxVnMPX1L","Завантажити сертифікат")</f>
        <v>Завантажити сертифікат</v>
      </c>
    </row>
    <row r="2939" spans="1:5" x14ac:dyDescent="0.3">
      <c r="A2939" s="2" t="s">
        <v>6008</v>
      </c>
      <c r="B2939" s="2" t="s">
        <v>5</v>
      </c>
      <c r="C2939" s="2" t="s">
        <v>6009</v>
      </c>
      <c r="D2939" s="2" t="s">
        <v>5969</v>
      </c>
      <c r="E2939" s="2" t="str">
        <f>HYPERLINK("https://talan.bank.gov.ua/get-user-certificate/sec1ef7DRs6njGiO2_hp","Завантажити сертифікат")</f>
        <v>Завантажити сертифікат</v>
      </c>
    </row>
    <row r="2940" spans="1:5" x14ac:dyDescent="0.3">
      <c r="A2940" s="2" t="s">
        <v>6010</v>
      </c>
      <c r="B2940" s="2" t="s">
        <v>5</v>
      </c>
      <c r="C2940" s="2" t="s">
        <v>6011</v>
      </c>
      <c r="D2940" s="2" t="s">
        <v>5969</v>
      </c>
      <c r="E2940" s="2" t="str">
        <f>HYPERLINK("https://talan.bank.gov.ua/get-user-certificate/sec1eYd7M5eSctUi5Wgh","Завантажити сертифікат")</f>
        <v>Завантажити сертифікат</v>
      </c>
    </row>
    <row r="2941" spans="1:5" x14ac:dyDescent="0.3">
      <c r="A2941" s="2" t="s">
        <v>6012</v>
      </c>
      <c r="B2941" s="2" t="s">
        <v>5</v>
      </c>
      <c r="C2941" s="2" t="s">
        <v>6013</v>
      </c>
      <c r="D2941" s="2" t="s">
        <v>5969</v>
      </c>
      <c r="E2941" s="2" t="str">
        <f>HYPERLINK("https://talan.bank.gov.ua/get-user-certificate/sec1ezHqn--sT_VOFwhB","Завантажити сертифікат")</f>
        <v>Завантажити сертифікат</v>
      </c>
    </row>
    <row r="2942" spans="1:5" x14ac:dyDescent="0.3">
      <c r="A2942" s="2" t="s">
        <v>6014</v>
      </c>
      <c r="B2942" s="2" t="s">
        <v>5</v>
      </c>
      <c r="C2942" s="2" t="s">
        <v>6015</v>
      </c>
      <c r="D2942" s="2" t="s">
        <v>5969</v>
      </c>
      <c r="E2942" s="2" t="str">
        <f>HYPERLINK("https://talan.bank.gov.ua/get-user-certificate/sec1eGbs_5jk4k_JG4_H","Завантажити сертифікат")</f>
        <v>Завантажити сертифікат</v>
      </c>
    </row>
    <row r="2943" spans="1:5" x14ac:dyDescent="0.3">
      <c r="A2943" s="2" t="s">
        <v>6016</v>
      </c>
      <c r="B2943" s="2" t="s">
        <v>5</v>
      </c>
      <c r="C2943" s="2" t="s">
        <v>6017</v>
      </c>
      <c r="D2943" s="2" t="s">
        <v>5969</v>
      </c>
      <c r="E2943" s="2" t="str">
        <f>HYPERLINK("https://talan.bank.gov.ua/get-user-certificate/sec1etVzve-YjOKoVynH","Завантажити сертифікат")</f>
        <v>Завантажити сертифікат</v>
      </c>
    </row>
    <row r="2944" spans="1:5" x14ac:dyDescent="0.3">
      <c r="A2944" s="2" t="s">
        <v>6018</v>
      </c>
      <c r="B2944" s="2" t="s">
        <v>5</v>
      </c>
      <c r="C2944" s="2" t="s">
        <v>6019</v>
      </c>
      <c r="D2944" s="2" t="s">
        <v>5969</v>
      </c>
      <c r="E2944" s="2" t="str">
        <f>HYPERLINK("https://talan.bank.gov.ua/get-user-certificate/sec1eEG23iKN_geGYJq0","Завантажити сертифікат")</f>
        <v>Завантажити сертифікат</v>
      </c>
    </row>
    <row r="2945" spans="1:5" x14ac:dyDescent="0.3">
      <c r="A2945" s="2" t="s">
        <v>6020</v>
      </c>
      <c r="B2945" s="2" t="s">
        <v>5</v>
      </c>
      <c r="C2945" s="2" t="s">
        <v>6021</v>
      </c>
      <c r="D2945" s="2" t="s">
        <v>5969</v>
      </c>
      <c r="E2945" s="2" t="str">
        <f>HYPERLINK("https://talan.bank.gov.ua/get-user-certificate/sec1eHvw7RX_Mk3oY0jH","Завантажити сертифікат")</f>
        <v>Завантажити сертифікат</v>
      </c>
    </row>
    <row r="2946" spans="1:5" x14ac:dyDescent="0.3">
      <c r="A2946" s="2" t="s">
        <v>6022</v>
      </c>
      <c r="B2946" s="2" t="s">
        <v>5</v>
      </c>
      <c r="C2946" s="2" t="s">
        <v>6023</v>
      </c>
      <c r="D2946" s="2" t="s">
        <v>5969</v>
      </c>
      <c r="E2946" s="2" t="str">
        <f>HYPERLINK("https://talan.bank.gov.ua/get-user-certificate/sec1eeWTdaj94OT10Xq0","Завантажити сертифікат")</f>
        <v>Завантажити сертифікат</v>
      </c>
    </row>
    <row r="2947" spans="1:5" x14ac:dyDescent="0.3">
      <c r="A2947" s="2" t="s">
        <v>6024</v>
      </c>
      <c r="B2947" s="2" t="s">
        <v>5</v>
      </c>
      <c r="C2947" s="2" t="s">
        <v>6025</v>
      </c>
      <c r="D2947" s="2" t="s">
        <v>5969</v>
      </c>
      <c r="E2947" s="2" t="str">
        <f>HYPERLINK("https://talan.bank.gov.ua/get-user-certificate/sec1ezV1IrfKCVvfKHSa","Завантажити сертифікат")</f>
        <v>Завантажити сертифікат</v>
      </c>
    </row>
    <row r="2948" spans="1:5" x14ac:dyDescent="0.3">
      <c r="A2948" s="2" t="s">
        <v>6026</v>
      </c>
      <c r="B2948" s="2" t="s">
        <v>5</v>
      </c>
      <c r="C2948" s="2" t="s">
        <v>6027</v>
      </c>
      <c r="D2948" s="2" t="s">
        <v>5969</v>
      </c>
      <c r="E2948" s="2" t="str">
        <f>HYPERLINK("https://talan.bank.gov.ua/get-user-certificate/sec1e4UBQO3eA-c0x0Xh","Завантажити сертифікат")</f>
        <v>Завантажити сертифікат</v>
      </c>
    </row>
    <row r="2949" spans="1:5" x14ac:dyDescent="0.3">
      <c r="A2949" s="2" t="s">
        <v>6028</v>
      </c>
      <c r="B2949" s="2" t="s">
        <v>5</v>
      </c>
      <c r="C2949" s="2" t="s">
        <v>6029</v>
      </c>
      <c r="D2949" s="2" t="s">
        <v>5969</v>
      </c>
      <c r="E2949" s="2" t="str">
        <f>HYPERLINK("https://talan.bank.gov.ua/get-user-certificate/sec1eimQCPs50zW2I9tj","Завантажити сертифікат")</f>
        <v>Завантажити сертифікат</v>
      </c>
    </row>
    <row r="2950" spans="1:5" x14ac:dyDescent="0.3">
      <c r="A2950" s="2" t="s">
        <v>6030</v>
      </c>
      <c r="B2950" s="2" t="s">
        <v>5</v>
      </c>
      <c r="C2950" s="2" t="s">
        <v>6031</v>
      </c>
      <c r="D2950" s="2" t="s">
        <v>5969</v>
      </c>
      <c r="E2950" s="2" t="str">
        <f>HYPERLINK("https://talan.bank.gov.ua/get-user-certificate/sec1eMvlrhnU5tW_1iCB","Завантажити сертифікат")</f>
        <v>Завантажити сертифікат</v>
      </c>
    </row>
    <row r="2951" spans="1:5" x14ac:dyDescent="0.3">
      <c r="A2951" s="2" t="s">
        <v>6032</v>
      </c>
      <c r="B2951" s="2" t="s">
        <v>5</v>
      </c>
      <c r="C2951" s="2" t="s">
        <v>6033</v>
      </c>
      <c r="D2951" s="2" t="s">
        <v>5969</v>
      </c>
      <c r="E2951" s="2" t="str">
        <f>HYPERLINK("https://talan.bank.gov.ua/get-user-certificate/sec1e2Fc7-y2HEMNeX3o","Завантажити сертифікат")</f>
        <v>Завантажити сертифікат</v>
      </c>
    </row>
    <row r="2952" spans="1:5" x14ac:dyDescent="0.3">
      <c r="A2952" s="2" t="s">
        <v>6034</v>
      </c>
      <c r="B2952" s="2" t="s">
        <v>5</v>
      </c>
      <c r="C2952" s="2" t="s">
        <v>6035</v>
      </c>
      <c r="D2952" s="2" t="s">
        <v>5969</v>
      </c>
      <c r="E2952" s="2" t="str">
        <f>HYPERLINK("https://talan.bank.gov.ua/get-user-certificate/sec1eoxcOFr7sdAnkSi-","Завантажити сертифікат")</f>
        <v>Завантажити сертифікат</v>
      </c>
    </row>
    <row r="2953" spans="1:5" x14ac:dyDescent="0.3">
      <c r="A2953" s="2" t="s">
        <v>6036</v>
      </c>
      <c r="B2953" s="2" t="s">
        <v>5</v>
      </c>
      <c r="C2953" s="2" t="s">
        <v>6037</v>
      </c>
      <c r="D2953" s="2" t="s">
        <v>5969</v>
      </c>
      <c r="E2953" s="2" t="str">
        <f>HYPERLINK("https://talan.bank.gov.ua/get-user-certificate/sec1e2NGZF0cYDx-7bfC","Завантажити сертифікат")</f>
        <v>Завантажити сертифікат</v>
      </c>
    </row>
    <row r="2954" spans="1:5" x14ac:dyDescent="0.3">
      <c r="A2954" s="2" t="s">
        <v>6038</v>
      </c>
      <c r="B2954" s="2" t="s">
        <v>5</v>
      </c>
      <c r="C2954" s="2" t="s">
        <v>6039</v>
      </c>
      <c r="D2954" s="2" t="s">
        <v>5969</v>
      </c>
      <c r="E2954" s="2" t="str">
        <f>HYPERLINK("https://talan.bank.gov.ua/get-user-certificate/sec1eV9jM64tmSoBL9Ez","Завантажити сертифікат")</f>
        <v>Завантажити сертифікат</v>
      </c>
    </row>
    <row r="2955" spans="1:5" x14ac:dyDescent="0.3">
      <c r="A2955" s="2" t="s">
        <v>6040</v>
      </c>
      <c r="B2955" s="2" t="s">
        <v>5</v>
      </c>
      <c r="C2955" s="2" t="s">
        <v>6041</v>
      </c>
      <c r="D2955" s="2" t="s">
        <v>5969</v>
      </c>
      <c r="E2955" s="2" t="str">
        <f>HYPERLINK("https://talan.bank.gov.ua/get-user-certificate/sec1e9KAk2LUk6qBZICs","Завантажити сертифікат")</f>
        <v>Завантажити сертифікат</v>
      </c>
    </row>
    <row r="2956" spans="1:5" x14ac:dyDescent="0.3">
      <c r="A2956" s="2" t="s">
        <v>6042</v>
      </c>
      <c r="B2956" s="2" t="s">
        <v>5</v>
      </c>
      <c r="C2956" s="2" t="s">
        <v>6043</v>
      </c>
      <c r="D2956" s="2" t="s">
        <v>5969</v>
      </c>
      <c r="E2956" s="2" t="str">
        <f>HYPERLINK("https://talan.bank.gov.ua/get-user-certificate/sec1eIAcz4-B_HbrwN5V","Завантажити сертифікат")</f>
        <v>Завантажити сертифікат</v>
      </c>
    </row>
    <row r="2957" spans="1:5" x14ac:dyDescent="0.3">
      <c r="A2957" s="2" t="s">
        <v>6044</v>
      </c>
      <c r="B2957" s="2" t="s">
        <v>5</v>
      </c>
      <c r="C2957" s="2" t="s">
        <v>6045</v>
      </c>
      <c r="D2957" s="2" t="s">
        <v>5969</v>
      </c>
      <c r="E2957" s="2" t="str">
        <f>HYPERLINK("https://talan.bank.gov.ua/get-user-certificate/sec1eCSA9NIMVPAeR3uz","Завантажити сертифікат")</f>
        <v>Завантажити сертифікат</v>
      </c>
    </row>
    <row r="2958" spans="1:5" x14ac:dyDescent="0.3">
      <c r="A2958" s="2" t="s">
        <v>6046</v>
      </c>
      <c r="B2958" s="2" t="s">
        <v>5</v>
      </c>
      <c r="C2958" s="2" t="s">
        <v>6047</v>
      </c>
      <c r="D2958" s="2" t="s">
        <v>5969</v>
      </c>
      <c r="E2958" s="2" t="str">
        <f>HYPERLINK("https://talan.bank.gov.ua/get-user-certificate/sec1e5X0b4KrN3C0jQOQ","Завантажити сертифікат")</f>
        <v>Завантажити сертифікат</v>
      </c>
    </row>
    <row r="2959" spans="1:5" x14ac:dyDescent="0.3">
      <c r="A2959" s="2" t="s">
        <v>6048</v>
      </c>
      <c r="B2959" s="2" t="s">
        <v>5</v>
      </c>
      <c r="C2959" s="2" t="s">
        <v>6049</v>
      </c>
      <c r="D2959" s="2" t="s">
        <v>5969</v>
      </c>
      <c r="E2959" s="2" t="str">
        <f>HYPERLINK("https://talan.bank.gov.ua/get-user-certificate/sec1ekXENTKLStWECtfJ","Завантажити сертифікат")</f>
        <v>Завантажити сертифікат</v>
      </c>
    </row>
    <row r="2960" spans="1:5" x14ac:dyDescent="0.3">
      <c r="A2960" s="2" t="s">
        <v>6050</v>
      </c>
      <c r="B2960" s="2" t="s">
        <v>5</v>
      </c>
      <c r="C2960" s="2" t="s">
        <v>6051</v>
      </c>
      <c r="D2960" s="2" t="s">
        <v>5969</v>
      </c>
      <c r="E2960" s="2" t="str">
        <f>HYPERLINK("https://talan.bank.gov.ua/get-user-certificate/sec1epUdnCZWktSTPP34","Завантажити сертифікат")</f>
        <v>Завантажити сертифікат</v>
      </c>
    </row>
    <row r="2961" spans="1:5" x14ac:dyDescent="0.3">
      <c r="A2961" s="2" t="s">
        <v>6052</v>
      </c>
      <c r="B2961" s="2" t="s">
        <v>5</v>
      </c>
      <c r="C2961" s="2" t="s">
        <v>6053</v>
      </c>
      <c r="D2961" s="2" t="s">
        <v>5969</v>
      </c>
      <c r="E2961" s="2" t="str">
        <f>HYPERLINK("https://talan.bank.gov.ua/get-user-certificate/sec1eid-hoXO0896rWU1","Завантажити сертифікат")</f>
        <v>Завантажити сертифікат</v>
      </c>
    </row>
    <row r="2962" spans="1:5" x14ac:dyDescent="0.3">
      <c r="A2962" s="2" t="s">
        <v>6054</v>
      </c>
      <c r="B2962" s="2" t="s">
        <v>5</v>
      </c>
      <c r="C2962" s="2" t="s">
        <v>6055</v>
      </c>
      <c r="D2962" s="2" t="s">
        <v>5969</v>
      </c>
      <c r="E2962" s="2" t="str">
        <f>HYPERLINK("https://talan.bank.gov.ua/get-user-certificate/sec1eY38EaTNzdmAHuUh","Завантажити сертифікат")</f>
        <v>Завантажити сертифікат</v>
      </c>
    </row>
    <row r="2963" spans="1:5" x14ac:dyDescent="0.3">
      <c r="A2963" s="2" t="s">
        <v>6056</v>
      </c>
      <c r="B2963" s="2" t="s">
        <v>5</v>
      </c>
      <c r="C2963" s="2" t="s">
        <v>6057</v>
      </c>
      <c r="D2963" s="2" t="s">
        <v>5969</v>
      </c>
      <c r="E2963" s="2" t="str">
        <f>HYPERLINK("https://talan.bank.gov.ua/get-user-certificate/sec1eKV5B6hDD1w50EQV","Завантажити сертифікат")</f>
        <v>Завантажити сертифікат</v>
      </c>
    </row>
    <row r="2964" spans="1:5" x14ac:dyDescent="0.3">
      <c r="A2964" s="2" t="s">
        <v>6058</v>
      </c>
      <c r="B2964" s="2" t="s">
        <v>5</v>
      </c>
      <c r="C2964" s="2" t="s">
        <v>6059</v>
      </c>
      <c r="D2964" s="2" t="s">
        <v>5969</v>
      </c>
      <c r="E2964" s="2" t="str">
        <f>HYPERLINK("https://talan.bank.gov.ua/get-user-certificate/sec1eshl0kyoBcr8LXjv","Завантажити сертифікат")</f>
        <v>Завантажити сертифікат</v>
      </c>
    </row>
    <row r="2965" spans="1:5" x14ac:dyDescent="0.3">
      <c r="A2965" s="2" t="s">
        <v>6060</v>
      </c>
      <c r="B2965" s="2" t="s">
        <v>5</v>
      </c>
      <c r="C2965" s="2" t="s">
        <v>6061</v>
      </c>
      <c r="D2965" s="2" t="s">
        <v>5969</v>
      </c>
      <c r="E2965" s="2" t="str">
        <f>HYPERLINK("https://talan.bank.gov.ua/get-user-certificate/sec1e_k2F91wVcEtJaS_","Завантажити сертифікат")</f>
        <v>Завантажити сертифікат</v>
      </c>
    </row>
    <row r="2966" spans="1:5" x14ac:dyDescent="0.3">
      <c r="A2966" s="2" t="s">
        <v>6062</v>
      </c>
      <c r="B2966" s="2" t="s">
        <v>5</v>
      </c>
      <c r="C2966" s="2" t="s">
        <v>6063</v>
      </c>
      <c r="D2966" s="2" t="s">
        <v>5969</v>
      </c>
      <c r="E2966" s="2" t="str">
        <f>HYPERLINK("https://talan.bank.gov.ua/get-user-certificate/sec1ezLtT8AoQJNUV8xl","Завантажити сертифікат")</f>
        <v>Завантажити сертифікат</v>
      </c>
    </row>
    <row r="2967" spans="1:5" x14ac:dyDescent="0.3">
      <c r="A2967" s="2" t="s">
        <v>6064</v>
      </c>
      <c r="B2967" s="2" t="s">
        <v>5</v>
      </c>
      <c r="C2967" s="2" t="s">
        <v>6065</v>
      </c>
      <c r="D2967" s="2" t="s">
        <v>5969</v>
      </c>
      <c r="E2967" s="2" t="str">
        <f>HYPERLINK("https://talan.bank.gov.ua/get-user-certificate/sec1er0h5yxdLQ0w7iWk","Завантажити сертифікат")</f>
        <v>Завантажити сертифікат</v>
      </c>
    </row>
    <row r="2968" spans="1:5" x14ac:dyDescent="0.3">
      <c r="A2968" s="2" t="s">
        <v>6066</v>
      </c>
      <c r="B2968" s="2" t="s">
        <v>5</v>
      </c>
      <c r="C2968" s="2" t="s">
        <v>6067</v>
      </c>
      <c r="D2968" s="2" t="s">
        <v>5969</v>
      </c>
      <c r="E2968" s="2" t="str">
        <f>HYPERLINK("https://talan.bank.gov.ua/get-user-certificate/sec1eYHpy4dxPpb5dbDQ","Завантажити сертифікат")</f>
        <v>Завантажити сертифікат</v>
      </c>
    </row>
    <row r="2969" spans="1:5" x14ac:dyDescent="0.3">
      <c r="A2969" s="2" t="s">
        <v>6068</v>
      </c>
      <c r="B2969" s="2" t="s">
        <v>5</v>
      </c>
      <c r="C2969" s="2" t="s">
        <v>6069</v>
      </c>
      <c r="D2969" s="2" t="s">
        <v>5969</v>
      </c>
      <c r="E2969" s="2" t="str">
        <f>HYPERLINK("https://talan.bank.gov.ua/get-user-certificate/sec1eTwxNZmmKDhe-0cD","Завантажити сертифікат")</f>
        <v>Завантажити сертифікат</v>
      </c>
    </row>
    <row r="2970" spans="1:5" x14ac:dyDescent="0.3">
      <c r="A2970" s="2" t="s">
        <v>6070</v>
      </c>
      <c r="B2970" s="2" t="s">
        <v>5</v>
      </c>
      <c r="C2970" s="2" t="s">
        <v>6071</v>
      </c>
      <c r="D2970" s="2" t="s">
        <v>5969</v>
      </c>
      <c r="E2970" s="2" t="str">
        <f>HYPERLINK("https://talan.bank.gov.ua/get-user-certificate/sec1ercD0lZB3ylyGB6S","Завантажити сертифікат")</f>
        <v>Завантажити сертифікат</v>
      </c>
    </row>
    <row r="2971" spans="1:5" x14ac:dyDescent="0.3">
      <c r="A2971" s="2" t="s">
        <v>6072</v>
      </c>
      <c r="B2971" s="2" t="s">
        <v>5</v>
      </c>
      <c r="C2971" s="2" t="s">
        <v>6073</v>
      </c>
      <c r="D2971" s="2" t="s">
        <v>5969</v>
      </c>
      <c r="E2971" s="2" t="str">
        <f>HYPERLINK("https://talan.bank.gov.ua/get-user-certificate/sec1ecLcQHz8pN7OP8zd","Завантажити сертифікат")</f>
        <v>Завантажити сертифікат</v>
      </c>
    </row>
    <row r="2972" spans="1:5" x14ac:dyDescent="0.3">
      <c r="A2972" s="2" t="s">
        <v>6074</v>
      </c>
      <c r="B2972" s="2" t="s">
        <v>5</v>
      </c>
      <c r="C2972" s="2" t="s">
        <v>6075</v>
      </c>
      <c r="D2972" s="2" t="s">
        <v>5969</v>
      </c>
      <c r="E2972" s="2" t="str">
        <f>HYPERLINK("https://talan.bank.gov.ua/get-user-certificate/sec1eOTQjVYy0DuUddwd","Завантажити сертифікат")</f>
        <v>Завантажити сертифікат</v>
      </c>
    </row>
    <row r="2973" spans="1:5" x14ac:dyDescent="0.3">
      <c r="A2973" s="2" t="s">
        <v>6076</v>
      </c>
      <c r="B2973" s="2" t="s">
        <v>5</v>
      </c>
      <c r="C2973" s="2" t="s">
        <v>6077</v>
      </c>
      <c r="D2973" s="2" t="s">
        <v>6078</v>
      </c>
      <c r="E2973" s="2" t="str">
        <f>HYPERLINK("https://talan.bank.gov.ua/get-user-certificate/sec1eeF8GmJjHe9oEVWJ","Завантажити сертифікат")</f>
        <v>Завантажити сертифікат</v>
      </c>
    </row>
    <row r="2974" spans="1:5" x14ac:dyDescent="0.3">
      <c r="A2974" s="2" t="s">
        <v>6079</v>
      </c>
      <c r="B2974" s="2" t="s">
        <v>5</v>
      </c>
      <c r="C2974" s="2" t="s">
        <v>6080</v>
      </c>
      <c r="D2974" s="2" t="s">
        <v>6078</v>
      </c>
      <c r="E2974" s="2" t="str">
        <f>HYPERLINK("https://talan.bank.gov.ua/get-user-certificate/sec1eQz5I9r95sjOhVZS","Завантажити сертифікат")</f>
        <v>Завантажити сертифікат</v>
      </c>
    </row>
    <row r="2975" spans="1:5" x14ac:dyDescent="0.3">
      <c r="A2975" s="2" t="s">
        <v>6081</v>
      </c>
      <c r="B2975" s="2" t="s">
        <v>5</v>
      </c>
      <c r="C2975" s="2" t="s">
        <v>6082</v>
      </c>
      <c r="D2975" s="2" t="s">
        <v>6078</v>
      </c>
      <c r="E2975" s="2" t="str">
        <f>HYPERLINK("https://talan.bank.gov.ua/get-user-certificate/sec1eX22Vyk-fPrHWzpG","Завантажити сертифікат")</f>
        <v>Завантажити сертифікат</v>
      </c>
    </row>
    <row r="2976" spans="1:5" x14ac:dyDescent="0.3">
      <c r="A2976" s="2" t="s">
        <v>6083</v>
      </c>
      <c r="B2976" s="2" t="s">
        <v>5</v>
      </c>
      <c r="C2976" s="2" t="s">
        <v>6084</v>
      </c>
      <c r="D2976" s="2" t="s">
        <v>6078</v>
      </c>
      <c r="E2976" s="2" t="str">
        <f>HYPERLINK("https://talan.bank.gov.ua/get-user-certificate/sec1ehZiINSo_hbRPKCZ","Завантажити сертифікат")</f>
        <v>Завантажити сертифікат</v>
      </c>
    </row>
    <row r="2977" spans="1:5" x14ac:dyDescent="0.3">
      <c r="A2977" s="2" t="s">
        <v>6085</v>
      </c>
      <c r="B2977" s="2" t="s">
        <v>5</v>
      </c>
      <c r="C2977" s="2" t="s">
        <v>6086</v>
      </c>
      <c r="D2977" s="2" t="s">
        <v>6078</v>
      </c>
      <c r="E2977" s="2" t="str">
        <f>HYPERLINK("https://talan.bank.gov.ua/get-user-certificate/sec1eQDKevAQ82DoM_Ab","Завантажити сертифікат")</f>
        <v>Завантажити сертифікат</v>
      </c>
    </row>
    <row r="2978" spans="1:5" x14ac:dyDescent="0.3">
      <c r="A2978" s="2" t="s">
        <v>6087</v>
      </c>
      <c r="B2978" s="2" t="s">
        <v>5</v>
      </c>
      <c r="C2978" s="2" t="s">
        <v>6088</v>
      </c>
      <c r="D2978" s="2" t="s">
        <v>6078</v>
      </c>
      <c r="E2978" s="2" t="str">
        <f>HYPERLINK("https://talan.bank.gov.ua/get-user-certificate/sec1eSLz9cAIiWaxTiGB","Завантажити сертифікат")</f>
        <v>Завантажити сертифікат</v>
      </c>
    </row>
    <row r="2979" spans="1:5" x14ac:dyDescent="0.3">
      <c r="A2979" s="2" t="s">
        <v>6089</v>
      </c>
      <c r="B2979" s="2" t="s">
        <v>5</v>
      </c>
      <c r="C2979" s="2" t="s">
        <v>6090</v>
      </c>
      <c r="D2979" s="2" t="s">
        <v>6078</v>
      </c>
      <c r="E2979" s="2" t="str">
        <f>HYPERLINK("https://talan.bank.gov.ua/get-user-certificate/sec1eMtnNbPK25QIHgwP","Завантажити сертифікат")</f>
        <v>Завантажити сертифікат</v>
      </c>
    </row>
    <row r="2980" spans="1:5" x14ac:dyDescent="0.3">
      <c r="A2980" s="2" t="s">
        <v>6091</v>
      </c>
      <c r="B2980" s="2" t="s">
        <v>5</v>
      </c>
      <c r="C2980" s="2" t="s">
        <v>6092</v>
      </c>
      <c r="D2980" s="2" t="s">
        <v>6078</v>
      </c>
      <c r="E2980" s="2" t="str">
        <f>HYPERLINK("https://talan.bank.gov.ua/get-user-certificate/sec1ecl4eO53yIVO4oCG","Завантажити сертифікат")</f>
        <v>Завантажити сертифікат</v>
      </c>
    </row>
    <row r="2981" spans="1:5" x14ac:dyDescent="0.3">
      <c r="A2981" s="2" t="s">
        <v>6093</v>
      </c>
      <c r="B2981" s="2" t="s">
        <v>5</v>
      </c>
      <c r="C2981" s="2" t="s">
        <v>6094</v>
      </c>
      <c r="D2981" s="2" t="s">
        <v>6078</v>
      </c>
      <c r="E2981" s="2" t="str">
        <f>HYPERLINK("https://talan.bank.gov.ua/get-user-certificate/sec1eEZHH1CTLGpdXBFE","Завантажити сертифікат")</f>
        <v>Завантажити сертифікат</v>
      </c>
    </row>
    <row r="2982" spans="1:5" x14ac:dyDescent="0.3">
      <c r="A2982" s="2" t="s">
        <v>6095</v>
      </c>
      <c r="B2982" s="2" t="s">
        <v>5</v>
      </c>
      <c r="C2982" s="2" t="s">
        <v>6096</v>
      </c>
      <c r="D2982" s="2" t="s">
        <v>6078</v>
      </c>
      <c r="E2982" s="2" t="str">
        <f>HYPERLINK("https://talan.bank.gov.ua/get-user-certificate/sec1eWqa3KFNiSUKd3_D","Завантажити сертифікат")</f>
        <v>Завантажити сертифікат</v>
      </c>
    </row>
    <row r="2983" spans="1:5" x14ac:dyDescent="0.3">
      <c r="A2983" s="2" t="s">
        <v>6097</v>
      </c>
      <c r="B2983" s="2" t="s">
        <v>5</v>
      </c>
      <c r="C2983" s="2" t="s">
        <v>6098</v>
      </c>
      <c r="D2983" s="2" t="s">
        <v>6078</v>
      </c>
      <c r="E2983" s="2" t="str">
        <f>HYPERLINK("https://talan.bank.gov.ua/get-user-certificate/sec1eDtsmvlZUNyV0i4s","Завантажити сертифікат")</f>
        <v>Завантажити сертифікат</v>
      </c>
    </row>
    <row r="2984" spans="1:5" x14ac:dyDescent="0.3">
      <c r="A2984" s="2" t="s">
        <v>6099</v>
      </c>
      <c r="B2984" s="2" t="s">
        <v>5</v>
      </c>
      <c r="C2984" s="2" t="s">
        <v>6100</v>
      </c>
      <c r="D2984" s="2" t="s">
        <v>6078</v>
      </c>
      <c r="E2984" s="2" t="str">
        <f>HYPERLINK("https://talan.bank.gov.ua/get-user-certificate/sec1eZM2la6TVE3doMlO","Завантажити сертифікат")</f>
        <v>Завантажити сертифікат</v>
      </c>
    </row>
    <row r="2985" spans="1:5" x14ac:dyDescent="0.3">
      <c r="A2985" s="2" t="s">
        <v>6101</v>
      </c>
      <c r="B2985" s="2" t="s">
        <v>5</v>
      </c>
      <c r="C2985" s="2" t="s">
        <v>6102</v>
      </c>
      <c r="D2985" s="2" t="s">
        <v>6103</v>
      </c>
      <c r="E2985" s="2" t="str">
        <f>HYPERLINK("https://talan.bank.gov.ua/get-user-certificate/sec1e89tiev7wF6FDrGZ","Завантажити сертифікат")</f>
        <v>Завантажити сертифікат</v>
      </c>
    </row>
    <row r="2986" spans="1:5" x14ac:dyDescent="0.3">
      <c r="A2986" s="2" t="s">
        <v>6104</v>
      </c>
      <c r="B2986" s="2" t="s">
        <v>5</v>
      </c>
      <c r="C2986" s="2" t="s">
        <v>6105</v>
      </c>
      <c r="D2986" s="2" t="s">
        <v>6103</v>
      </c>
      <c r="E2986" s="2" t="str">
        <f>HYPERLINK("https://talan.bank.gov.ua/get-user-certificate/sec1eZBiuJS56s6ybgFq","Завантажити сертифікат")</f>
        <v>Завантажити сертифікат</v>
      </c>
    </row>
    <row r="2987" spans="1:5" x14ac:dyDescent="0.3">
      <c r="A2987" s="2" t="s">
        <v>6106</v>
      </c>
      <c r="B2987" s="2" t="s">
        <v>5</v>
      </c>
      <c r="C2987" s="2" t="s">
        <v>6107</v>
      </c>
      <c r="D2987" s="2" t="s">
        <v>6103</v>
      </c>
      <c r="E2987" s="2" t="str">
        <f>HYPERLINK("https://talan.bank.gov.ua/get-user-certificate/sec1exBHUs_vPPSM-i3L","Завантажити сертифікат")</f>
        <v>Завантажити сертифікат</v>
      </c>
    </row>
    <row r="2988" spans="1:5" x14ac:dyDescent="0.3">
      <c r="A2988" s="2" t="s">
        <v>6108</v>
      </c>
      <c r="B2988" s="2" t="s">
        <v>5</v>
      </c>
      <c r="C2988" s="2" t="s">
        <v>6109</v>
      </c>
      <c r="D2988" s="2" t="s">
        <v>6103</v>
      </c>
      <c r="E2988" s="2" t="str">
        <f>HYPERLINK("https://talan.bank.gov.ua/get-user-certificate/sec1ecdZA7PbAJ4l5xko","Завантажити сертифікат")</f>
        <v>Завантажити сертифікат</v>
      </c>
    </row>
    <row r="2989" spans="1:5" x14ac:dyDescent="0.3">
      <c r="A2989" s="2" t="s">
        <v>6110</v>
      </c>
      <c r="B2989" s="2" t="s">
        <v>5</v>
      </c>
      <c r="C2989" s="2" t="s">
        <v>6111</v>
      </c>
      <c r="D2989" s="2" t="s">
        <v>6103</v>
      </c>
      <c r="E2989" s="2" t="str">
        <f>HYPERLINK("https://talan.bank.gov.ua/get-user-certificate/sec1eNz3ylI0_cVjn1pS","Завантажити сертифікат")</f>
        <v>Завантажити сертифікат</v>
      </c>
    </row>
    <row r="2990" spans="1:5" x14ac:dyDescent="0.3">
      <c r="A2990" s="2" t="s">
        <v>6112</v>
      </c>
      <c r="B2990" s="2" t="s">
        <v>5</v>
      </c>
      <c r="C2990" s="2" t="s">
        <v>6113</v>
      </c>
      <c r="D2990" s="2" t="s">
        <v>6103</v>
      </c>
      <c r="E2990" s="2" t="str">
        <f>HYPERLINK("https://talan.bank.gov.ua/get-user-certificate/sec1epnY_oKSr3zCjg7Y","Завантажити сертифікат")</f>
        <v>Завантажити сертифікат</v>
      </c>
    </row>
    <row r="2991" spans="1:5" x14ac:dyDescent="0.3">
      <c r="A2991" s="2" t="s">
        <v>6114</v>
      </c>
      <c r="B2991" s="2" t="s">
        <v>5</v>
      </c>
      <c r="C2991" s="2" t="s">
        <v>6115</v>
      </c>
      <c r="D2991" s="2" t="s">
        <v>6103</v>
      </c>
      <c r="E2991" s="2" t="str">
        <f>HYPERLINK("https://talan.bank.gov.ua/get-user-certificate/sec1eIHuA-8Oz62kqsfm","Завантажити сертифікат")</f>
        <v>Завантажити сертифікат</v>
      </c>
    </row>
    <row r="2992" spans="1:5" x14ac:dyDescent="0.3">
      <c r="A2992" s="2" t="s">
        <v>6116</v>
      </c>
      <c r="B2992" s="2" t="s">
        <v>5</v>
      </c>
      <c r="C2992" s="2" t="s">
        <v>6117</v>
      </c>
      <c r="D2992" s="2" t="s">
        <v>6103</v>
      </c>
      <c r="E2992" s="2" t="str">
        <f>HYPERLINK("https://talan.bank.gov.ua/get-user-certificate/sec1evwHsHWIpHiaCyU9","Завантажити сертифікат")</f>
        <v>Завантажити сертифікат</v>
      </c>
    </row>
    <row r="2993" spans="1:5" x14ac:dyDescent="0.3">
      <c r="A2993" s="2" t="s">
        <v>6118</v>
      </c>
      <c r="B2993" s="2" t="s">
        <v>5</v>
      </c>
      <c r="C2993" s="2" t="s">
        <v>6119</v>
      </c>
      <c r="D2993" s="2" t="s">
        <v>6103</v>
      </c>
      <c r="E2993" s="2" t="str">
        <f>HYPERLINK("https://talan.bank.gov.ua/get-user-certificate/sec1ejXPdMnrQDopsP1t","Завантажити сертифікат")</f>
        <v>Завантажити сертифікат</v>
      </c>
    </row>
    <row r="2994" spans="1:5" x14ac:dyDescent="0.3">
      <c r="A2994" s="2" t="s">
        <v>6120</v>
      </c>
      <c r="B2994" s="2" t="s">
        <v>5</v>
      </c>
      <c r="C2994" s="2" t="s">
        <v>6121</v>
      </c>
      <c r="D2994" s="2" t="s">
        <v>6103</v>
      </c>
      <c r="E2994" s="2" t="str">
        <f>HYPERLINK("https://talan.bank.gov.ua/get-user-certificate/sec1eeCKrAuMpV6YJ5nc","Завантажити сертифікат")</f>
        <v>Завантажити сертифікат</v>
      </c>
    </row>
    <row r="2995" spans="1:5" x14ac:dyDescent="0.3">
      <c r="A2995" s="2" t="s">
        <v>6122</v>
      </c>
      <c r="B2995" s="2" t="s">
        <v>5</v>
      </c>
      <c r="C2995" s="2" t="s">
        <v>6123</v>
      </c>
      <c r="D2995" s="2" t="s">
        <v>6103</v>
      </c>
      <c r="E2995" s="2" t="str">
        <f>HYPERLINK("https://talan.bank.gov.ua/get-user-certificate/sec1eWlNB0mSYxl5g6Y5","Завантажити сертифікат")</f>
        <v>Завантажити сертифікат</v>
      </c>
    </row>
    <row r="2996" spans="1:5" x14ac:dyDescent="0.3">
      <c r="A2996" s="2" t="s">
        <v>6124</v>
      </c>
      <c r="B2996" s="2" t="s">
        <v>5</v>
      </c>
      <c r="C2996" s="2" t="s">
        <v>6125</v>
      </c>
      <c r="D2996" s="2" t="s">
        <v>6103</v>
      </c>
      <c r="E2996" s="2" t="str">
        <f>HYPERLINK("https://talan.bank.gov.ua/get-user-certificate/sec1eAONh5r-_PFjbzQJ","Завантажити сертифікат")</f>
        <v>Завантажити сертифікат</v>
      </c>
    </row>
    <row r="2997" spans="1:5" x14ac:dyDescent="0.3">
      <c r="A2997" s="2" t="s">
        <v>6126</v>
      </c>
      <c r="B2997" s="2" t="s">
        <v>5</v>
      </c>
      <c r="C2997" s="2" t="s">
        <v>6127</v>
      </c>
      <c r="D2997" s="2" t="s">
        <v>6103</v>
      </c>
      <c r="E2997" s="2" t="str">
        <f>HYPERLINK("https://talan.bank.gov.ua/get-user-certificate/sec1eDmFbgP2RM5Do0Ux","Завантажити сертифікат")</f>
        <v>Завантажити сертифікат</v>
      </c>
    </row>
    <row r="2998" spans="1:5" x14ac:dyDescent="0.3">
      <c r="A2998" s="2" t="s">
        <v>6128</v>
      </c>
      <c r="B2998" s="2" t="s">
        <v>5</v>
      </c>
      <c r="C2998" s="2" t="s">
        <v>6129</v>
      </c>
      <c r="D2998" s="2" t="s">
        <v>6103</v>
      </c>
      <c r="E2998" s="2" t="str">
        <f>HYPERLINK("https://talan.bank.gov.ua/get-user-certificate/sec1e3u5YRAJH94aKleu","Завантажити сертифікат")</f>
        <v>Завантажити сертифікат</v>
      </c>
    </row>
    <row r="2999" spans="1:5" x14ac:dyDescent="0.3">
      <c r="A2999" s="2" t="s">
        <v>6130</v>
      </c>
      <c r="B2999" s="2" t="s">
        <v>5</v>
      </c>
      <c r="C2999" s="2" t="s">
        <v>6131</v>
      </c>
      <c r="D2999" s="2" t="s">
        <v>6103</v>
      </c>
      <c r="E2999" s="2" t="str">
        <f>HYPERLINK("https://talan.bank.gov.ua/get-user-certificate/sec1eH47bLvqQNWx_WaA","Завантажити сертифікат")</f>
        <v>Завантажити сертифікат</v>
      </c>
    </row>
    <row r="3000" spans="1:5" x14ac:dyDescent="0.3">
      <c r="A3000" s="2" t="s">
        <v>6132</v>
      </c>
      <c r="B3000" s="2" t="s">
        <v>5</v>
      </c>
      <c r="C3000" s="2" t="s">
        <v>6133</v>
      </c>
      <c r="D3000" s="2" t="s">
        <v>6103</v>
      </c>
      <c r="E3000" s="2" t="str">
        <f>HYPERLINK("https://talan.bank.gov.ua/get-user-certificate/sec1e-XqW1r-ixDVkGDJ","Завантажити сертифікат")</f>
        <v>Завантажити сертифікат</v>
      </c>
    </row>
    <row r="3001" spans="1:5" x14ac:dyDescent="0.3">
      <c r="A3001" s="2" t="s">
        <v>6134</v>
      </c>
      <c r="B3001" s="2" t="s">
        <v>5</v>
      </c>
      <c r="C3001" s="2" t="s">
        <v>6135</v>
      </c>
      <c r="D3001" s="2" t="s">
        <v>6136</v>
      </c>
      <c r="E3001" s="2" t="str">
        <f>HYPERLINK("https://talan.bank.gov.ua/get-user-certificate/sec1e1tlc4yKC1vPH8xG","Завантажити сертифікат")</f>
        <v>Завантажити сертифікат</v>
      </c>
    </row>
    <row r="3002" spans="1:5" x14ac:dyDescent="0.3">
      <c r="A3002" s="2" t="s">
        <v>6137</v>
      </c>
      <c r="B3002" s="2" t="s">
        <v>5</v>
      </c>
      <c r="C3002" s="2" t="s">
        <v>6138</v>
      </c>
      <c r="D3002" s="2" t="s">
        <v>6136</v>
      </c>
      <c r="E3002" s="2" t="str">
        <f>HYPERLINK("https://talan.bank.gov.ua/get-user-certificate/sec1ePVK7MKzjoX_TsAc","Завантажити сертифікат")</f>
        <v>Завантажити сертифікат</v>
      </c>
    </row>
    <row r="3003" spans="1:5" x14ac:dyDescent="0.3">
      <c r="A3003" s="2" t="s">
        <v>6139</v>
      </c>
      <c r="B3003" s="2" t="s">
        <v>5</v>
      </c>
      <c r="C3003" s="2" t="s">
        <v>6140</v>
      </c>
      <c r="D3003" s="2" t="s">
        <v>6136</v>
      </c>
      <c r="E3003" s="2" t="str">
        <f>HYPERLINK("https://talan.bank.gov.ua/get-user-certificate/sec1ehEKJTGug0iuMjrm","Завантажити сертифікат")</f>
        <v>Завантажити сертифікат</v>
      </c>
    </row>
    <row r="3004" spans="1:5" x14ac:dyDescent="0.3">
      <c r="A3004" s="2" t="s">
        <v>6141</v>
      </c>
      <c r="B3004" s="2" t="s">
        <v>5</v>
      </c>
      <c r="C3004" s="2" t="s">
        <v>6142</v>
      </c>
      <c r="D3004" s="2" t="s">
        <v>6143</v>
      </c>
      <c r="E3004" s="2" t="str">
        <f>HYPERLINK("https://talan.bank.gov.ua/get-user-certificate/sec1eNJt-XmMqEmDn7dt","Завантажити сертифікат")</f>
        <v>Завантажити сертифікат</v>
      </c>
    </row>
    <row r="3005" spans="1:5" x14ac:dyDescent="0.3">
      <c r="A3005" s="2" t="s">
        <v>6144</v>
      </c>
      <c r="B3005" s="2" t="s">
        <v>5</v>
      </c>
      <c r="C3005" s="2" t="s">
        <v>6145</v>
      </c>
      <c r="D3005" s="2" t="s">
        <v>6143</v>
      </c>
      <c r="E3005" s="2" t="str">
        <f>HYPERLINK("https://talan.bank.gov.ua/get-user-certificate/sec1eFInPtIN5NhikX8I","Завантажити сертифікат")</f>
        <v>Завантажити сертифікат</v>
      </c>
    </row>
    <row r="3006" spans="1:5" x14ac:dyDescent="0.3">
      <c r="A3006" s="2" t="s">
        <v>6146</v>
      </c>
      <c r="B3006" s="2" t="s">
        <v>5</v>
      </c>
      <c r="C3006" s="2" t="s">
        <v>6147</v>
      </c>
      <c r="D3006" s="2" t="s">
        <v>6143</v>
      </c>
      <c r="E3006" s="2" t="str">
        <f>HYPERLINK("https://talan.bank.gov.ua/get-user-certificate/sec1emszx2P_iddhLEPX","Завантажити сертифікат")</f>
        <v>Завантажити сертифікат</v>
      </c>
    </row>
    <row r="3007" spans="1:5" x14ac:dyDescent="0.3">
      <c r="A3007" s="2" t="s">
        <v>6148</v>
      </c>
      <c r="B3007" s="2" t="s">
        <v>5</v>
      </c>
      <c r="C3007" s="2" t="s">
        <v>6149</v>
      </c>
      <c r="D3007" s="2" t="s">
        <v>6143</v>
      </c>
      <c r="E3007" s="2" t="str">
        <f>HYPERLINK("https://talan.bank.gov.ua/get-user-certificate/sec1eEyxiy-fH3W2kyFi","Завантажити сертифікат")</f>
        <v>Завантажити сертифікат</v>
      </c>
    </row>
    <row r="3008" spans="1:5" x14ac:dyDescent="0.3">
      <c r="A3008" s="2" t="s">
        <v>6150</v>
      </c>
      <c r="B3008" s="2" t="s">
        <v>5</v>
      </c>
      <c r="C3008" s="2" t="s">
        <v>6151</v>
      </c>
      <c r="D3008" s="2" t="s">
        <v>6143</v>
      </c>
      <c r="E3008" s="2" t="str">
        <f>HYPERLINK("https://talan.bank.gov.ua/get-user-certificate/sec1emrTyHSXWetos2F7","Завантажити сертифікат")</f>
        <v>Завантажити сертифікат</v>
      </c>
    </row>
    <row r="3009" spans="1:5" x14ac:dyDescent="0.3">
      <c r="A3009" s="2" t="s">
        <v>6152</v>
      </c>
      <c r="B3009" s="2" t="s">
        <v>5</v>
      </c>
      <c r="C3009" s="2" t="s">
        <v>6153</v>
      </c>
      <c r="D3009" s="2" t="s">
        <v>6143</v>
      </c>
      <c r="E3009" s="2" t="str">
        <f>HYPERLINK("https://talan.bank.gov.ua/get-user-certificate/sec1eGDU3nJ8Emuk4Pda","Завантажити сертифікат")</f>
        <v>Завантажити сертифікат</v>
      </c>
    </row>
    <row r="3010" spans="1:5" x14ac:dyDescent="0.3">
      <c r="A3010" s="2" t="s">
        <v>6154</v>
      </c>
      <c r="B3010" s="2" t="s">
        <v>5</v>
      </c>
      <c r="C3010" s="2" t="s">
        <v>6155</v>
      </c>
      <c r="D3010" s="2" t="s">
        <v>6143</v>
      </c>
      <c r="E3010" s="2" t="str">
        <f>HYPERLINK("https://talan.bank.gov.ua/get-user-certificate/sec1eHKBJux-ESl0WxJm","Завантажити сертифікат")</f>
        <v>Завантажити сертифікат</v>
      </c>
    </row>
    <row r="3011" spans="1:5" x14ac:dyDescent="0.3">
      <c r="A3011" s="2" t="s">
        <v>6156</v>
      </c>
      <c r="B3011" s="2" t="s">
        <v>5</v>
      </c>
      <c r="C3011" s="2" t="s">
        <v>6157</v>
      </c>
      <c r="D3011" s="2" t="s">
        <v>6143</v>
      </c>
      <c r="E3011" s="2" t="str">
        <f>HYPERLINK("https://talan.bank.gov.ua/get-user-certificate/sec1eVTHtlgPn7aUXPd2","Завантажити сертифікат")</f>
        <v>Завантажити сертифікат</v>
      </c>
    </row>
    <row r="3012" spans="1:5" x14ac:dyDescent="0.3">
      <c r="A3012" s="2" t="s">
        <v>6158</v>
      </c>
      <c r="B3012" s="2" t="s">
        <v>5</v>
      </c>
      <c r="C3012" s="2" t="s">
        <v>6159</v>
      </c>
      <c r="D3012" s="2" t="s">
        <v>6143</v>
      </c>
      <c r="E3012" s="2" t="str">
        <f>HYPERLINK("https://talan.bank.gov.ua/get-user-certificate/sec1eEwJStcd6blr4jFp","Завантажити сертифікат")</f>
        <v>Завантажити сертифікат</v>
      </c>
    </row>
    <row r="3013" spans="1:5" x14ac:dyDescent="0.3">
      <c r="A3013" s="2" t="s">
        <v>6160</v>
      </c>
      <c r="B3013" s="2" t="s">
        <v>5</v>
      </c>
      <c r="C3013" s="2" t="s">
        <v>6161</v>
      </c>
      <c r="D3013" s="2" t="s">
        <v>6143</v>
      </c>
      <c r="E3013" s="2" t="str">
        <f>HYPERLINK("https://talan.bank.gov.ua/get-user-certificate/sec1eqJU6lKm3ox-Xej1","Завантажити сертифікат")</f>
        <v>Завантажити сертифікат</v>
      </c>
    </row>
    <row r="3014" spans="1:5" x14ac:dyDescent="0.3">
      <c r="A3014" s="2" t="s">
        <v>6162</v>
      </c>
      <c r="B3014" s="2" t="s">
        <v>5</v>
      </c>
      <c r="C3014" s="2" t="s">
        <v>6163</v>
      </c>
      <c r="D3014" s="2" t="s">
        <v>6143</v>
      </c>
      <c r="E3014" s="2" t="str">
        <f>HYPERLINK("https://talan.bank.gov.ua/get-user-certificate/sec1epvWxhLA5kMpwqZu","Завантажити сертифікат")</f>
        <v>Завантажити сертифікат</v>
      </c>
    </row>
    <row r="3015" spans="1:5" x14ac:dyDescent="0.3">
      <c r="A3015" s="2" t="s">
        <v>6164</v>
      </c>
      <c r="B3015" s="2" t="s">
        <v>5</v>
      </c>
      <c r="C3015" s="2" t="s">
        <v>6165</v>
      </c>
      <c r="D3015" s="2" t="s">
        <v>6143</v>
      </c>
      <c r="E3015" s="2" t="str">
        <f>HYPERLINK("https://talan.bank.gov.ua/get-user-certificate/sec1el_B60f-L95n5uZY","Завантажити сертифікат")</f>
        <v>Завантажити сертифікат</v>
      </c>
    </row>
    <row r="3016" spans="1:5" x14ac:dyDescent="0.3">
      <c r="A3016" s="2" t="s">
        <v>6166</v>
      </c>
      <c r="B3016" s="2" t="s">
        <v>5</v>
      </c>
      <c r="C3016" s="2" t="s">
        <v>6167</v>
      </c>
      <c r="D3016" s="2" t="s">
        <v>6143</v>
      </c>
      <c r="E3016" s="2" t="str">
        <f>HYPERLINK("https://talan.bank.gov.ua/get-user-certificate/sec1eje_3UZ4mEQXhVCa","Завантажити сертифікат")</f>
        <v>Завантажити сертифікат</v>
      </c>
    </row>
    <row r="3017" spans="1:5" x14ac:dyDescent="0.3">
      <c r="A3017" s="2" t="s">
        <v>6168</v>
      </c>
      <c r="B3017" s="2" t="s">
        <v>5</v>
      </c>
      <c r="C3017" s="2" t="s">
        <v>6169</v>
      </c>
      <c r="D3017" s="2" t="s">
        <v>6143</v>
      </c>
      <c r="E3017" s="2" t="str">
        <f>HYPERLINK("https://talan.bank.gov.ua/get-user-certificate/sec1e7wgR3KrLaz0hfxn","Завантажити сертифікат")</f>
        <v>Завантажити сертифікат</v>
      </c>
    </row>
    <row r="3018" spans="1:5" x14ac:dyDescent="0.3">
      <c r="A3018" s="2" t="s">
        <v>6170</v>
      </c>
      <c r="B3018" s="2" t="s">
        <v>5</v>
      </c>
      <c r="C3018" s="2" t="s">
        <v>6171</v>
      </c>
      <c r="D3018" s="2" t="s">
        <v>6143</v>
      </c>
      <c r="E3018" s="2" t="str">
        <f>HYPERLINK("https://talan.bank.gov.ua/get-user-certificate/sec1eLCKKTl8gDBSThC1","Завантажити сертифікат")</f>
        <v>Завантажити сертифікат</v>
      </c>
    </row>
    <row r="3019" spans="1:5" x14ac:dyDescent="0.3">
      <c r="A3019" s="2" t="s">
        <v>6172</v>
      </c>
      <c r="B3019" s="2" t="s">
        <v>5</v>
      </c>
      <c r="C3019" s="2" t="s">
        <v>6173</v>
      </c>
      <c r="D3019" s="2" t="s">
        <v>6143</v>
      </c>
      <c r="E3019" s="2" t="str">
        <f>HYPERLINK("https://talan.bank.gov.ua/get-user-certificate/sec1eaUQYr1cBt_zAySQ","Завантажити сертифікат")</f>
        <v>Завантажити сертифікат</v>
      </c>
    </row>
    <row r="3020" spans="1:5" x14ac:dyDescent="0.3">
      <c r="A3020" s="2" t="s">
        <v>6174</v>
      </c>
      <c r="B3020" s="2" t="s">
        <v>5</v>
      </c>
      <c r="C3020" s="2" t="s">
        <v>6175</v>
      </c>
      <c r="D3020" s="2" t="s">
        <v>6143</v>
      </c>
      <c r="E3020" s="2" t="str">
        <f>HYPERLINK("https://talan.bank.gov.ua/get-user-certificate/sec1ezt3tcOoWBuswQ6z","Завантажити сертифікат")</f>
        <v>Завантажити сертифікат</v>
      </c>
    </row>
    <row r="3021" spans="1:5" x14ac:dyDescent="0.3">
      <c r="A3021" s="2" t="s">
        <v>6176</v>
      </c>
      <c r="B3021" s="2" t="s">
        <v>5</v>
      </c>
      <c r="C3021" s="2" t="s">
        <v>6177</v>
      </c>
      <c r="D3021" s="2" t="s">
        <v>6143</v>
      </c>
      <c r="E3021" s="2" t="str">
        <f>HYPERLINK("https://talan.bank.gov.ua/get-user-certificate/sec1eSte3QCj1k9-neyM","Завантажити сертифікат")</f>
        <v>Завантажити сертифікат</v>
      </c>
    </row>
    <row r="3022" spans="1:5" x14ac:dyDescent="0.3">
      <c r="A3022" s="2" t="s">
        <v>6178</v>
      </c>
      <c r="B3022" s="2" t="s">
        <v>5</v>
      </c>
      <c r="C3022" s="2" t="s">
        <v>6179</v>
      </c>
      <c r="D3022" s="2" t="s">
        <v>6143</v>
      </c>
      <c r="E3022" s="2" t="str">
        <f>HYPERLINK("https://talan.bank.gov.ua/get-user-certificate/sec1e6HyT9bHJz47Jiqj","Завантажити сертифікат")</f>
        <v>Завантажити сертифікат</v>
      </c>
    </row>
    <row r="3023" spans="1:5" x14ac:dyDescent="0.3">
      <c r="A3023" s="2" t="s">
        <v>6180</v>
      </c>
      <c r="B3023" s="2" t="s">
        <v>5</v>
      </c>
      <c r="C3023" s="2" t="s">
        <v>6181</v>
      </c>
      <c r="D3023" s="2" t="s">
        <v>6143</v>
      </c>
      <c r="E3023" s="2" t="str">
        <f>HYPERLINK("https://talan.bank.gov.ua/get-user-certificate/sec1ekmrjsjb15VuQBiU","Завантажити сертифікат")</f>
        <v>Завантажити сертифікат</v>
      </c>
    </row>
    <row r="3024" spans="1:5" x14ac:dyDescent="0.3">
      <c r="A3024" s="2" t="s">
        <v>6182</v>
      </c>
      <c r="B3024" s="2" t="s">
        <v>5</v>
      </c>
      <c r="C3024" s="2" t="s">
        <v>6183</v>
      </c>
      <c r="D3024" s="2" t="s">
        <v>6143</v>
      </c>
      <c r="E3024" s="2" t="str">
        <f>HYPERLINK("https://talan.bank.gov.ua/get-user-certificate/sec1eGBsNcfkvgTg0QdS","Завантажити сертифікат")</f>
        <v>Завантажити сертифікат</v>
      </c>
    </row>
    <row r="3025" spans="1:5" x14ac:dyDescent="0.3">
      <c r="A3025" s="2" t="s">
        <v>6184</v>
      </c>
      <c r="B3025" s="2" t="s">
        <v>5</v>
      </c>
      <c r="C3025" s="2" t="s">
        <v>6185</v>
      </c>
      <c r="D3025" s="2" t="s">
        <v>6143</v>
      </c>
      <c r="E3025" s="2" t="str">
        <f>HYPERLINK("https://talan.bank.gov.ua/get-user-certificate/sec1eJaCwsexuPl_MYhI","Завантажити сертифікат")</f>
        <v>Завантажити сертифікат</v>
      </c>
    </row>
    <row r="3026" spans="1:5" x14ac:dyDescent="0.3">
      <c r="A3026" s="2" t="s">
        <v>6186</v>
      </c>
      <c r="B3026" s="2" t="s">
        <v>5</v>
      </c>
      <c r="C3026" s="2" t="s">
        <v>6187</v>
      </c>
      <c r="D3026" s="2" t="s">
        <v>6143</v>
      </c>
      <c r="E3026" s="2" t="str">
        <f>HYPERLINK("https://talan.bank.gov.ua/get-user-certificate/sec1eVLQ76lC9OmQIxJf","Завантажити сертифікат")</f>
        <v>Завантажити сертифікат</v>
      </c>
    </row>
    <row r="3027" spans="1:5" x14ac:dyDescent="0.3">
      <c r="A3027" s="2" t="s">
        <v>6188</v>
      </c>
      <c r="B3027" s="2" t="s">
        <v>5</v>
      </c>
      <c r="C3027" s="2" t="s">
        <v>6189</v>
      </c>
      <c r="D3027" s="2" t="s">
        <v>6143</v>
      </c>
      <c r="E3027" s="2" t="str">
        <f>HYPERLINK("https://talan.bank.gov.ua/get-user-certificate/sec1ev0KJoCKf_q6befT","Завантажити сертифікат")</f>
        <v>Завантажити сертифікат</v>
      </c>
    </row>
    <row r="3028" spans="1:5" x14ac:dyDescent="0.3">
      <c r="A3028" s="2" t="s">
        <v>6190</v>
      </c>
      <c r="B3028" s="2" t="s">
        <v>5</v>
      </c>
      <c r="C3028" s="2" t="s">
        <v>6191</v>
      </c>
      <c r="D3028" s="2" t="s">
        <v>6143</v>
      </c>
      <c r="E3028" s="2" t="str">
        <f>HYPERLINK("https://talan.bank.gov.ua/get-user-certificate/sec1eeKLM9BFZQOiWMvN","Завантажити сертифікат")</f>
        <v>Завантажити сертифікат</v>
      </c>
    </row>
    <row r="3029" spans="1:5" x14ac:dyDescent="0.3">
      <c r="A3029" s="2" t="s">
        <v>6192</v>
      </c>
      <c r="B3029" s="2" t="s">
        <v>5</v>
      </c>
      <c r="C3029" s="2" t="s">
        <v>6193</v>
      </c>
      <c r="D3029" s="2" t="s">
        <v>6143</v>
      </c>
      <c r="E3029" s="2" t="str">
        <f>HYPERLINK("https://talan.bank.gov.ua/get-user-certificate/sec1ewfsXAITh2jJpLJy","Завантажити сертифікат")</f>
        <v>Завантажити сертифікат</v>
      </c>
    </row>
    <row r="3030" spans="1:5" x14ac:dyDescent="0.3">
      <c r="A3030" s="2" t="s">
        <v>6194</v>
      </c>
      <c r="B3030" s="2" t="s">
        <v>5</v>
      </c>
      <c r="C3030" s="2" t="s">
        <v>6195</v>
      </c>
      <c r="D3030" s="2" t="s">
        <v>6143</v>
      </c>
      <c r="E3030" s="2" t="str">
        <f>HYPERLINK("https://talan.bank.gov.ua/get-user-certificate/sec1eHjvT0CE5M6RSoKv","Завантажити сертифікат")</f>
        <v>Завантажити сертифікат</v>
      </c>
    </row>
    <row r="3031" spans="1:5" x14ac:dyDescent="0.3">
      <c r="A3031" s="2" t="s">
        <v>6196</v>
      </c>
      <c r="B3031" s="2" t="s">
        <v>5</v>
      </c>
      <c r="C3031" s="2" t="s">
        <v>6197</v>
      </c>
      <c r="D3031" s="2" t="s">
        <v>6143</v>
      </c>
      <c r="E3031" s="2" t="str">
        <f>HYPERLINK("https://talan.bank.gov.ua/get-user-certificate/sec1ec1zYxL5T_Ad0L_n","Завантажити сертифікат")</f>
        <v>Завантажити сертифікат</v>
      </c>
    </row>
    <row r="3032" spans="1:5" x14ac:dyDescent="0.3">
      <c r="A3032" s="2" t="s">
        <v>6198</v>
      </c>
      <c r="B3032" s="2" t="s">
        <v>5</v>
      </c>
      <c r="C3032" s="2" t="s">
        <v>6199</v>
      </c>
      <c r="D3032" s="2" t="s">
        <v>6143</v>
      </c>
      <c r="E3032" s="2" t="str">
        <f>HYPERLINK("https://talan.bank.gov.ua/get-user-certificate/sec1eROtTPbAcnU4hLkU","Завантажити сертифікат")</f>
        <v>Завантажити сертифікат</v>
      </c>
    </row>
    <row r="3033" spans="1:5" x14ac:dyDescent="0.3">
      <c r="A3033" s="2" t="s">
        <v>6200</v>
      </c>
      <c r="B3033" s="2" t="s">
        <v>5</v>
      </c>
      <c r="C3033" s="2" t="s">
        <v>6201</v>
      </c>
      <c r="D3033" s="2" t="s">
        <v>6143</v>
      </c>
      <c r="E3033" s="2" t="str">
        <f>HYPERLINK("https://talan.bank.gov.ua/get-user-certificate/sec1eTh1ACkDLOTlB6av","Завантажити сертифікат")</f>
        <v>Завантажити сертифікат</v>
      </c>
    </row>
    <row r="3034" spans="1:5" x14ac:dyDescent="0.3">
      <c r="A3034" s="2" t="s">
        <v>6202</v>
      </c>
      <c r="B3034" s="2" t="s">
        <v>5</v>
      </c>
      <c r="C3034" s="2" t="s">
        <v>6203</v>
      </c>
      <c r="D3034" s="2" t="s">
        <v>6143</v>
      </c>
      <c r="E3034" s="2" t="str">
        <f>HYPERLINK("https://talan.bank.gov.ua/get-user-certificate/sec1etrTDjFKwtKRp3uP","Завантажити сертифікат")</f>
        <v>Завантажити сертифікат</v>
      </c>
    </row>
    <row r="3035" spans="1:5" x14ac:dyDescent="0.3">
      <c r="A3035" s="2" t="s">
        <v>6204</v>
      </c>
      <c r="B3035" s="2" t="s">
        <v>5</v>
      </c>
      <c r="C3035" s="2" t="s">
        <v>6205</v>
      </c>
      <c r="D3035" s="2" t="s">
        <v>6143</v>
      </c>
      <c r="E3035" s="2" t="str">
        <f>HYPERLINK("https://talan.bank.gov.ua/get-user-certificate/sec1eG_cQwQnu0sd95bQ","Завантажити сертифікат")</f>
        <v>Завантажити сертифікат</v>
      </c>
    </row>
    <row r="3036" spans="1:5" x14ac:dyDescent="0.3">
      <c r="A3036" s="2" t="s">
        <v>6206</v>
      </c>
      <c r="B3036" s="2" t="s">
        <v>5</v>
      </c>
      <c r="C3036" s="2" t="s">
        <v>6207</v>
      </c>
      <c r="D3036" s="2" t="s">
        <v>6143</v>
      </c>
      <c r="E3036" s="2" t="str">
        <f>HYPERLINK("https://talan.bank.gov.ua/get-user-certificate/sec1em1PGijRRQZ82w25","Завантажити сертифікат")</f>
        <v>Завантажити сертифікат</v>
      </c>
    </row>
    <row r="3037" spans="1:5" x14ac:dyDescent="0.3">
      <c r="A3037" s="2" t="s">
        <v>6208</v>
      </c>
      <c r="B3037" s="2" t="s">
        <v>5</v>
      </c>
      <c r="C3037" s="2" t="s">
        <v>6209</v>
      </c>
      <c r="D3037" s="2" t="s">
        <v>6143</v>
      </c>
      <c r="E3037" s="2" t="str">
        <f>HYPERLINK("https://talan.bank.gov.ua/get-user-certificate/sec1e8anCGC6VMCgVch6","Завантажити сертифікат")</f>
        <v>Завантажити сертифікат</v>
      </c>
    </row>
    <row r="3038" spans="1:5" x14ac:dyDescent="0.3">
      <c r="A3038" s="2" t="s">
        <v>6210</v>
      </c>
      <c r="B3038" s="2" t="s">
        <v>5</v>
      </c>
      <c r="C3038" s="2" t="s">
        <v>6211</v>
      </c>
      <c r="D3038" s="2" t="s">
        <v>6143</v>
      </c>
      <c r="E3038" s="2" t="str">
        <f>HYPERLINK("https://talan.bank.gov.ua/get-user-certificate/sec1ephsi6_jMrx7PNvR","Завантажити сертифікат")</f>
        <v>Завантажити сертифікат</v>
      </c>
    </row>
    <row r="3039" spans="1:5" x14ac:dyDescent="0.3">
      <c r="A3039" s="2" t="s">
        <v>6212</v>
      </c>
      <c r="B3039" s="2" t="s">
        <v>5</v>
      </c>
      <c r="C3039" s="2" t="s">
        <v>6213</v>
      </c>
      <c r="D3039" s="2" t="s">
        <v>6214</v>
      </c>
      <c r="E3039" s="2" t="str">
        <f>HYPERLINK("https://talan.bank.gov.ua/get-user-certificate/sec1e_INruJtFB8OLuP_","Завантажити сертифікат")</f>
        <v>Завантажити сертифікат</v>
      </c>
    </row>
    <row r="3040" spans="1:5" x14ac:dyDescent="0.3">
      <c r="A3040" s="2" t="s">
        <v>6215</v>
      </c>
      <c r="B3040" s="2" t="s">
        <v>5</v>
      </c>
      <c r="C3040" s="2" t="s">
        <v>6216</v>
      </c>
      <c r="D3040" s="2" t="s">
        <v>6214</v>
      </c>
      <c r="E3040" s="2" t="str">
        <f>HYPERLINK("https://talan.bank.gov.ua/get-user-certificate/sec1eG1UVEgXyyiae9Vi","Завантажити сертифікат")</f>
        <v>Завантажити сертифікат</v>
      </c>
    </row>
    <row r="3041" spans="1:5" x14ac:dyDescent="0.3">
      <c r="A3041" s="2" t="s">
        <v>6217</v>
      </c>
      <c r="B3041" s="2" t="s">
        <v>5</v>
      </c>
      <c r="C3041" s="2" t="s">
        <v>6218</v>
      </c>
      <c r="D3041" s="2" t="s">
        <v>6214</v>
      </c>
      <c r="E3041" s="2" t="str">
        <f>HYPERLINK("https://talan.bank.gov.ua/get-user-certificate/sec1eDWtn_KNRKNH8RHm","Завантажити сертифікат")</f>
        <v>Завантажити сертифікат</v>
      </c>
    </row>
    <row r="3042" spans="1:5" x14ac:dyDescent="0.3">
      <c r="A3042" s="2" t="s">
        <v>6219</v>
      </c>
      <c r="B3042" s="2" t="s">
        <v>5</v>
      </c>
      <c r="C3042" s="2" t="s">
        <v>6220</v>
      </c>
      <c r="D3042" s="2" t="s">
        <v>6214</v>
      </c>
      <c r="E3042" s="2" t="str">
        <f>HYPERLINK("https://talan.bank.gov.ua/get-user-certificate/sec1e6jX_zal5NOic9CE","Завантажити сертифікат")</f>
        <v>Завантажити сертифікат</v>
      </c>
    </row>
    <row r="3043" spans="1:5" x14ac:dyDescent="0.3">
      <c r="A3043" s="2" t="s">
        <v>6221</v>
      </c>
      <c r="B3043" s="2" t="s">
        <v>5</v>
      </c>
      <c r="C3043" s="2" t="s">
        <v>6222</v>
      </c>
      <c r="D3043" s="2" t="s">
        <v>6214</v>
      </c>
      <c r="E3043" s="2" t="str">
        <f>HYPERLINK("https://talan.bank.gov.ua/get-user-certificate/sec1e7f8xKeyjAMm1vrw","Завантажити сертифікат")</f>
        <v>Завантажити сертифікат</v>
      </c>
    </row>
    <row r="3044" spans="1:5" x14ac:dyDescent="0.3">
      <c r="A3044" s="2" t="s">
        <v>6223</v>
      </c>
      <c r="B3044" s="2" t="s">
        <v>5</v>
      </c>
      <c r="C3044" s="2" t="s">
        <v>6224</v>
      </c>
      <c r="D3044" s="2" t="s">
        <v>6214</v>
      </c>
      <c r="E3044" s="2" t="str">
        <f>HYPERLINK("https://talan.bank.gov.ua/get-user-certificate/sec1eUxyA6wAnct7HJVF","Завантажити сертифікат")</f>
        <v>Завантажити сертифікат</v>
      </c>
    </row>
    <row r="3045" spans="1:5" x14ac:dyDescent="0.3">
      <c r="A3045" s="2" t="s">
        <v>6225</v>
      </c>
      <c r="B3045" s="2" t="s">
        <v>5</v>
      </c>
      <c r="C3045" s="2" t="s">
        <v>6226</v>
      </c>
      <c r="D3045" s="2" t="s">
        <v>6214</v>
      </c>
      <c r="E3045" s="2" t="str">
        <f>HYPERLINK("https://talan.bank.gov.ua/get-user-certificate/sec1esQwrolh1z0IOjOf","Завантажити сертифікат")</f>
        <v>Завантажити сертифікат</v>
      </c>
    </row>
    <row r="3046" spans="1:5" x14ac:dyDescent="0.3">
      <c r="A3046" s="2" t="s">
        <v>6227</v>
      </c>
      <c r="B3046" s="2" t="s">
        <v>5</v>
      </c>
      <c r="C3046" s="2" t="s">
        <v>6228</v>
      </c>
      <c r="D3046" s="2" t="s">
        <v>6214</v>
      </c>
      <c r="E3046" s="2" t="str">
        <f>HYPERLINK("https://talan.bank.gov.ua/get-user-certificate/sec1eMDPSIMYzvG46QmY","Завантажити сертифікат")</f>
        <v>Завантажити сертифікат</v>
      </c>
    </row>
    <row r="3047" spans="1:5" x14ac:dyDescent="0.3">
      <c r="A3047" s="2" t="s">
        <v>6229</v>
      </c>
      <c r="B3047" s="2" t="s">
        <v>5</v>
      </c>
      <c r="C3047" s="2" t="s">
        <v>6230</v>
      </c>
      <c r="D3047" s="2" t="s">
        <v>6231</v>
      </c>
      <c r="E3047" s="2" t="str">
        <f>HYPERLINK("https://talan.bank.gov.ua/get-user-certificate/sec1e-hBHApX88he4Zfz","Завантажити сертифікат")</f>
        <v>Завантажити сертифікат</v>
      </c>
    </row>
    <row r="3048" spans="1:5" x14ac:dyDescent="0.3">
      <c r="A3048" s="2" t="s">
        <v>6232</v>
      </c>
      <c r="B3048" s="2" t="s">
        <v>5</v>
      </c>
      <c r="C3048" s="2" t="s">
        <v>6233</v>
      </c>
      <c r="D3048" s="2" t="s">
        <v>6231</v>
      </c>
      <c r="E3048" s="2" t="str">
        <f>HYPERLINK("https://talan.bank.gov.ua/get-user-certificate/sec1eMQSMi_8b3LYI_DJ","Завантажити сертифікат")</f>
        <v>Завантажити сертифікат</v>
      </c>
    </row>
    <row r="3049" spans="1:5" x14ac:dyDescent="0.3">
      <c r="A3049" s="2" t="s">
        <v>6234</v>
      </c>
      <c r="B3049" s="2" t="s">
        <v>5</v>
      </c>
      <c r="C3049" s="2" t="s">
        <v>6235</v>
      </c>
      <c r="D3049" s="2" t="s">
        <v>6231</v>
      </c>
      <c r="E3049" s="2" t="str">
        <f>HYPERLINK("https://talan.bank.gov.ua/get-user-certificate/sec1eDcxSO072CCTm38t","Завантажити сертифікат")</f>
        <v>Завантажити сертифікат</v>
      </c>
    </row>
    <row r="3050" spans="1:5" x14ac:dyDescent="0.3">
      <c r="A3050" s="2" t="s">
        <v>6236</v>
      </c>
      <c r="B3050" s="2" t="s">
        <v>5</v>
      </c>
      <c r="C3050" s="2" t="s">
        <v>6237</v>
      </c>
      <c r="D3050" s="2" t="s">
        <v>6231</v>
      </c>
      <c r="E3050" s="2" t="str">
        <f>HYPERLINK("https://talan.bank.gov.ua/get-user-certificate/sec1ey5JABv4NV5cU6Mw","Завантажити сертифікат")</f>
        <v>Завантажити сертифікат</v>
      </c>
    </row>
    <row r="3051" spans="1:5" x14ac:dyDescent="0.3">
      <c r="A3051" s="2" t="s">
        <v>6238</v>
      </c>
      <c r="B3051" s="2" t="s">
        <v>5</v>
      </c>
      <c r="C3051" s="2" t="s">
        <v>6239</v>
      </c>
      <c r="D3051" s="2" t="s">
        <v>6231</v>
      </c>
      <c r="E3051" s="2" t="str">
        <f>HYPERLINK("https://talan.bank.gov.ua/get-user-certificate/sec1eQOsRdI7rdYaKHrI","Завантажити сертифікат")</f>
        <v>Завантажити сертифікат</v>
      </c>
    </row>
    <row r="3052" spans="1:5" x14ac:dyDescent="0.3">
      <c r="A3052" s="2" t="s">
        <v>6240</v>
      </c>
      <c r="B3052" s="2" t="s">
        <v>5</v>
      </c>
      <c r="C3052" s="2" t="s">
        <v>6241</v>
      </c>
      <c r="D3052" s="2" t="s">
        <v>6231</v>
      </c>
      <c r="E3052" s="2" t="str">
        <f>HYPERLINK("https://talan.bank.gov.ua/get-user-certificate/sec1eFh6n-yFThfH424x","Завантажити сертифікат")</f>
        <v>Завантажити сертифікат</v>
      </c>
    </row>
    <row r="3053" spans="1:5" x14ac:dyDescent="0.3">
      <c r="A3053" s="2" t="s">
        <v>6242</v>
      </c>
      <c r="B3053" s="2" t="s">
        <v>5</v>
      </c>
      <c r="C3053" s="2" t="s">
        <v>6243</v>
      </c>
      <c r="D3053" s="2" t="s">
        <v>6231</v>
      </c>
      <c r="E3053" s="2" t="str">
        <f>HYPERLINK("https://talan.bank.gov.ua/get-user-certificate/sec1eqchgdTBIeuHAWJc","Завантажити сертифікат")</f>
        <v>Завантажити сертифікат</v>
      </c>
    </row>
    <row r="3054" spans="1:5" x14ac:dyDescent="0.3">
      <c r="A3054" s="2" t="s">
        <v>6244</v>
      </c>
      <c r="B3054" s="2" t="s">
        <v>5</v>
      </c>
      <c r="C3054" s="2" t="s">
        <v>6245</v>
      </c>
      <c r="D3054" s="2" t="s">
        <v>6231</v>
      </c>
      <c r="E3054" s="2" t="str">
        <f>HYPERLINK("https://talan.bank.gov.ua/get-user-certificate/sec1e8UeHHWVaRpB0WQA","Завантажити сертифікат")</f>
        <v>Завантажити сертифікат</v>
      </c>
    </row>
    <row r="3055" spans="1:5" x14ac:dyDescent="0.3">
      <c r="A3055" s="2" t="s">
        <v>6246</v>
      </c>
      <c r="B3055" s="2" t="s">
        <v>5</v>
      </c>
      <c r="C3055" s="2" t="s">
        <v>6247</v>
      </c>
      <c r="D3055" s="2" t="s">
        <v>6231</v>
      </c>
      <c r="E3055" s="2" t="str">
        <f>HYPERLINK("https://talan.bank.gov.ua/get-user-certificate/sec1ejpao3qHJrvlJq3q","Завантажити сертифікат")</f>
        <v>Завантажити сертифікат</v>
      </c>
    </row>
    <row r="3056" spans="1:5" x14ac:dyDescent="0.3">
      <c r="A3056" s="2" t="s">
        <v>6248</v>
      </c>
      <c r="B3056" s="2" t="s">
        <v>5</v>
      </c>
      <c r="C3056" s="2" t="s">
        <v>6249</v>
      </c>
      <c r="D3056" s="2" t="s">
        <v>6231</v>
      </c>
      <c r="E3056" s="2" t="str">
        <f>HYPERLINK("https://talan.bank.gov.ua/get-user-certificate/sec1eLpuh1aFJ7aiirz7","Завантажити сертифікат")</f>
        <v>Завантажити сертифікат</v>
      </c>
    </row>
    <row r="3057" spans="1:5" x14ac:dyDescent="0.3">
      <c r="A3057" s="2" t="s">
        <v>6250</v>
      </c>
      <c r="B3057" s="2" t="s">
        <v>5</v>
      </c>
      <c r="C3057" s="2" t="s">
        <v>6251</v>
      </c>
      <c r="D3057" s="2" t="s">
        <v>6231</v>
      </c>
      <c r="E3057" s="2" t="str">
        <f>HYPERLINK("https://talan.bank.gov.ua/get-user-certificate/sec1ePTaq6pKbNVdYmn2","Завантажити сертифікат")</f>
        <v>Завантажити сертифікат</v>
      </c>
    </row>
    <row r="3058" spans="1:5" x14ac:dyDescent="0.3">
      <c r="A3058" s="2" t="s">
        <v>6252</v>
      </c>
      <c r="B3058" s="2" t="s">
        <v>5</v>
      </c>
      <c r="C3058" s="2" t="s">
        <v>6253</v>
      </c>
      <c r="D3058" s="2" t="s">
        <v>6231</v>
      </c>
      <c r="E3058" s="2" t="str">
        <f>HYPERLINK("https://talan.bank.gov.ua/get-user-certificate/sec1ebX1jI7b1rzPEL0n","Завантажити сертифікат")</f>
        <v>Завантажити сертифікат</v>
      </c>
    </row>
    <row r="3059" spans="1:5" x14ac:dyDescent="0.3">
      <c r="A3059" s="2" t="s">
        <v>6254</v>
      </c>
      <c r="B3059" s="2" t="s">
        <v>5</v>
      </c>
      <c r="C3059" s="2" t="s">
        <v>6255</v>
      </c>
      <c r="D3059" s="2" t="s">
        <v>6231</v>
      </c>
      <c r="E3059" s="2" t="str">
        <f>HYPERLINK("https://talan.bank.gov.ua/get-user-certificate/sec1eCa5dkqFYX2ls5nG","Завантажити сертифікат")</f>
        <v>Завантажити сертифікат</v>
      </c>
    </row>
    <row r="3060" spans="1:5" x14ac:dyDescent="0.3">
      <c r="A3060" s="2" t="s">
        <v>6256</v>
      </c>
      <c r="B3060" s="2" t="s">
        <v>5</v>
      </c>
      <c r="C3060" s="2" t="s">
        <v>6257</v>
      </c>
      <c r="D3060" s="2" t="s">
        <v>6231</v>
      </c>
      <c r="E3060" s="2" t="str">
        <f>HYPERLINK("https://talan.bank.gov.ua/get-user-certificate/sec1elCkSmM5j3JBGPlU","Завантажити сертифікат")</f>
        <v>Завантажити сертифікат</v>
      </c>
    </row>
    <row r="3061" spans="1:5" x14ac:dyDescent="0.3">
      <c r="A3061" s="2" t="s">
        <v>6258</v>
      </c>
      <c r="B3061" s="2" t="s">
        <v>5</v>
      </c>
      <c r="C3061" s="2" t="s">
        <v>6259</v>
      </c>
      <c r="D3061" s="2" t="s">
        <v>6231</v>
      </c>
      <c r="E3061" s="2" t="str">
        <f>HYPERLINK("https://talan.bank.gov.ua/get-user-certificate/sec1efWa1mQxhX1SVjVg","Завантажити сертифікат")</f>
        <v>Завантажити сертифікат</v>
      </c>
    </row>
    <row r="3062" spans="1:5" x14ac:dyDescent="0.3">
      <c r="A3062" s="2" t="s">
        <v>6260</v>
      </c>
      <c r="B3062" s="2" t="s">
        <v>5</v>
      </c>
      <c r="C3062" s="2" t="s">
        <v>6261</v>
      </c>
      <c r="D3062" s="2" t="s">
        <v>6262</v>
      </c>
      <c r="E3062" s="2" t="str">
        <f>HYPERLINK("https://talan.bank.gov.ua/get-user-certificate/sec1eT9hdQr-mNXW-r5-","Завантажити сертифікат")</f>
        <v>Завантажити сертифікат</v>
      </c>
    </row>
    <row r="3063" spans="1:5" x14ac:dyDescent="0.3">
      <c r="A3063" s="2" t="s">
        <v>6263</v>
      </c>
      <c r="B3063" s="2" t="s">
        <v>5</v>
      </c>
      <c r="C3063" s="2" t="s">
        <v>6264</v>
      </c>
      <c r="D3063" s="2" t="s">
        <v>6262</v>
      </c>
      <c r="E3063" s="2" t="str">
        <f>HYPERLINK("https://talan.bank.gov.ua/get-user-certificate/sec1eKAdqADjsQv1pLVS","Завантажити сертифікат")</f>
        <v>Завантажити сертифікат</v>
      </c>
    </row>
    <row r="3064" spans="1:5" x14ac:dyDescent="0.3">
      <c r="A3064" s="2" t="s">
        <v>6265</v>
      </c>
      <c r="B3064" s="2" t="s">
        <v>5</v>
      </c>
      <c r="C3064" s="2" t="s">
        <v>6266</v>
      </c>
      <c r="D3064" s="2" t="s">
        <v>6262</v>
      </c>
      <c r="E3064" s="2" t="str">
        <f>HYPERLINK("https://talan.bank.gov.ua/get-user-certificate/sec1erHDXhMcXojCOsRC","Завантажити сертифікат")</f>
        <v>Завантажити сертифікат</v>
      </c>
    </row>
    <row r="3065" spans="1:5" x14ac:dyDescent="0.3">
      <c r="A3065" s="2" t="s">
        <v>6267</v>
      </c>
      <c r="B3065" s="2" t="s">
        <v>5</v>
      </c>
      <c r="C3065" s="2" t="s">
        <v>6268</v>
      </c>
      <c r="D3065" s="2" t="s">
        <v>6262</v>
      </c>
      <c r="E3065" s="2" t="str">
        <f>HYPERLINK("https://talan.bank.gov.ua/get-user-certificate/sec1eqxV0Ad0S0wO7x7W","Завантажити сертифікат")</f>
        <v>Завантажити сертифікат</v>
      </c>
    </row>
    <row r="3066" spans="1:5" x14ac:dyDescent="0.3">
      <c r="A3066" s="2" t="s">
        <v>6269</v>
      </c>
      <c r="B3066" s="2" t="s">
        <v>5</v>
      </c>
      <c r="C3066" s="2" t="s">
        <v>6270</v>
      </c>
      <c r="D3066" s="2" t="s">
        <v>6262</v>
      </c>
      <c r="E3066" s="2" t="str">
        <f>HYPERLINK("https://talan.bank.gov.ua/get-user-certificate/sec1e8pxiZWXybYgzSn5","Завантажити сертифікат")</f>
        <v>Завантажити сертифікат</v>
      </c>
    </row>
    <row r="3067" spans="1:5" x14ac:dyDescent="0.3">
      <c r="A3067" s="2" t="s">
        <v>6271</v>
      </c>
      <c r="B3067" s="2" t="s">
        <v>5</v>
      </c>
      <c r="C3067" s="2" t="s">
        <v>6272</v>
      </c>
      <c r="D3067" s="2" t="s">
        <v>6262</v>
      </c>
      <c r="E3067" s="2" t="str">
        <f>HYPERLINK("https://talan.bank.gov.ua/get-user-certificate/sec1ehxtiSaFNancFmrE","Завантажити сертифікат")</f>
        <v>Завантажити сертифікат</v>
      </c>
    </row>
    <row r="3068" spans="1:5" x14ac:dyDescent="0.3">
      <c r="A3068" s="2" t="s">
        <v>6273</v>
      </c>
      <c r="B3068" s="2" t="s">
        <v>5</v>
      </c>
      <c r="C3068" s="2" t="s">
        <v>6274</v>
      </c>
      <c r="D3068" s="2" t="s">
        <v>6262</v>
      </c>
      <c r="E3068" s="2" t="str">
        <f>HYPERLINK("https://talan.bank.gov.ua/get-user-certificate/sec1eMaX5IFlKxZdOgRa","Завантажити сертифікат")</f>
        <v>Завантажити сертифікат</v>
      </c>
    </row>
    <row r="3069" spans="1:5" x14ac:dyDescent="0.3">
      <c r="A3069" s="2" t="s">
        <v>6275</v>
      </c>
      <c r="B3069" s="2" t="s">
        <v>5</v>
      </c>
      <c r="C3069" s="2" t="s">
        <v>6276</v>
      </c>
      <c r="D3069" s="2" t="s">
        <v>6262</v>
      </c>
      <c r="E3069" s="2" t="str">
        <f>HYPERLINK("https://talan.bank.gov.ua/get-user-certificate/sec1erqZfc6Jb4Ct5_ec","Завантажити сертифікат")</f>
        <v>Завантажити сертифікат</v>
      </c>
    </row>
    <row r="3070" spans="1:5" x14ac:dyDescent="0.3">
      <c r="A3070" s="2" t="s">
        <v>6277</v>
      </c>
      <c r="B3070" s="2" t="s">
        <v>5</v>
      </c>
      <c r="C3070" s="2" t="s">
        <v>6278</v>
      </c>
      <c r="D3070" s="2" t="s">
        <v>6262</v>
      </c>
      <c r="E3070" s="2" t="str">
        <f>HYPERLINK("https://talan.bank.gov.ua/get-user-certificate/sec1e3v3Pfctj3SyAEcm","Завантажити сертифікат")</f>
        <v>Завантажити сертифікат</v>
      </c>
    </row>
    <row r="3071" spans="1:5" x14ac:dyDescent="0.3">
      <c r="A3071" s="2" t="s">
        <v>6279</v>
      </c>
      <c r="B3071" s="2" t="s">
        <v>5</v>
      </c>
      <c r="C3071" s="2" t="s">
        <v>6280</v>
      </c>
      <c r="D3071" s="2" t="s">
        <v>6262</v>
      </c>
      <c r="E3071" s="2" t="str">
        <f>HYPERLINK("https://talan.bank.gov.ua/get-user-certificate/sec1eWzbj_pvC8s5e2o8","Завантажити сертифікат")</f>
        <v>Завантажити сертифікат</v>
      </c>
    </row>
    <row r="3072" spans="1:5" x14ac:dyDescent="0.3">
      <c r="A3072" s="2" t="s">
        <v>6281</v>
      </c>
      <c r="B3072" s="2" t="s">
        <v>5</v>
      </c>
      <c r="C3072" s="2" t="s">
        <v>6282</v>
      </c>
      <c r="D3072" s="2" t="s">
        <v>6262</v>
      </c>
      <c r="E3072" s="2" t="str">
        <f>HYPERLINK("https://talan.bank.gov.ua/get-user-certificate/sec1eG8qfqKOslw6Ln31","Завантажити сертифікат")</f>
        <v>Завантажити сертифікат</v>
      </c>
    </row>
    <row r="3073" spans="1:5" x14ac:dyDescent="0.3">
      <c r="A3073" s="2" t="s">
        <v>6283</v>
      </c>
      <c r="B3073" s="2" t="s">
        <v>5</v>
      </c>
      <c r="C3073" s="2" t="s">
        <v>6284</v>
      </c>
      <c r="D3073" s="2" t="s">
        <v>6262</v>
      </c>
      <c r="E3073" s="2" t="str">
        <f>HYPERLINK("https://talan.bank.gov.ua/get-user-certificate/sec1eqI7zwM_lhogKDRL","Завантажити сертифікат")</f>
        <v>Завантажити сертифікат</v>
      </c>
    </row>
    <row r="3074" spans="1:5" x14ac:dyDescent="0.3">
      <c r="A3074" s="2" t="s">
        <v>6285</v>
      </c>
      <c r="B3074" s="2" t="s">
        <v>5</v>
      </c>
      <c r="C3074" s="2" t="s">
        <v>6286</v>
      </c>
      <c r="D3074" s="2" t="s">
        <v>6262</v>
      </c>
      <c r="E3074" s="2" t="str">
        <f>HYPERLINK("https://talan.bank.gov.ua/get-user-certificate/sec1eEt-7-xYyjmVm5ku","Завантажити сертифікат")</f>
        <v>Завантажити сертифікат</v>
      </c>
    </row>
    <row r="3075" spans="1:5" x14ac:dyDescent="0.3">
      <c r="A3075" s="2" t="s">
        <v>6287</v>
      </c>
      <c r="B3075" s="2" t="s">
        <v>5</v>
      </c>
      <c r="C3075" s="2" t="s">
        <v>6288</v>
      </c>
      <c r="D3075" s="2" t="s">
        <v>6262</v>
      </c>
      <c r="E3075" s="2" t="str">
        <f>HYPERLINK("https://talan.bank.gov.ua/get-user-certificate/sec1ee8OvQZEY1erhgX-","Завантажити сертифікат")</f>
        <v>Завантажити сертифікат</v>
      </c>
    </row>
    <row r="3076" spans="1:5" x14ac:dyDescent="0.3">
      <c r="A3076" s="2" t="s">
        <v>6289</v>
      </c>
      <c r="B3076" s="2" t="s">
        <v>5</v>
      </c>
      <c r="C3076" s="2" t="s">
        <v>6290</v>
      </c>
      <c r="D3076" s="2" t="s">
        <v>6262</v>
      </c>
      <c r="E3076" s="2" t="str">
        <f>HYPERLINK("https://talan.bank.gov.ua/get-user-certificate/sec1e2bWKOYo_HZpt172","Завантажити сертифікат")</f>
        <v>Завантажити сертифікат</v>
      </c>
    </row>
    <row r="3077" spans="1:5" x14ac:dyDescent="0.3">
      <c r="A3077" s="2" t="s">
        <v>6291</v>
      </c>
      <c r="B3077" s="2" t="s">
        <v>5</v>
      </c>
      <c r="C3077" s="2" t="s">
        <v>6292</v>
      </c>
      <c r="D3077" s="2" t="s">
        <v>6293</v>
      </c>
      <c r="E3077" s="2" t="str">
        <f>HYPERLINK("https://talan.bank.gov.ua/get-user-certificate/sec1eTgYZmwo0Hrk-iXI","Завантажити сертифікат")</f>
        <v>Завантажити сертифікат</v>
      </c>
    </row>
    <row r="3078" spans="1:5" x14ac:dyDescent="0.3">
      <c r="A3078" s="2" t="s">
        <v>6294</v>
      </c>
      <c r="B3078" s="2" t="s">
        <v>5</v>
      </c>
      <c r="C3078" s="2" t="s">
        <v>6295</v>
      </c>
      <c r="D3078" s="2" t="s">
        <v>6293</v>
      </c>
      <c r="E3078" s="2" t="str">
        <f>HYPERLINK("https://talan.bank.gov.ua/get-user-certificate/sec1eQy1PFoWjwgl0N6I","Завантажити сертифікат")</f>
        <v>Завантажити сертифікат</v>
      </c>
    </row>
    <row r="3079" spans="1:5" x14ac:dyDescent="0.3">
      <c r="A3079" s="2" t="s">
        <v>6296</v>
      </c>
      <c r="B3079" s="2" t="s">
        <v>5</v>
      </c>
      <c r="C3079" s="2" t="s">
        <v>6297</v>
      </c>
      <c r="D3079" s="2" t="s">
        <v>6293</v>
      </c>
      <c r="E3079" s="2" t="str">
        <f>HYPERLINK("https://talan.bank.gov.ua/get-user-certificate/sec1erKhrbtYGYD2PXNu","Завантажити сертифікат")</f>
        <v>Завантажити сертифікат</v>
      </c>
    </row>
    <row r="3080" spans="1:5" x14ac:dyDescent="0.3">
      <c r="A3080" s="2" t="s">
        <v>6298</v>
      </c>
      <c r="B3080" s="2" t="s">
        <v>5</v>
      </c>
      <c r="C3080" s="2" t="s">
        <v>6299</v>
      </c>
      <c r="D3080" s="2" t="s">
        <v>6293</v>
      </c>
      <c r="E3080" s="2" t="str">
        <f>HYPERLINK("https://talan.bank.gov.ua/get-user-certificate/sec1eNnIousu5VlpryJE","Завантажити сертифікат")</f>
        <v>Завантажити сертифікат</v>
      </c>
    </row>
    <row r="3081" spans="1:5" x14ac:dyDescent="0.3">
      <c r="A3081" s="2" t="s">
        <v>6300</v>
      </c>
      <c r="B3081" s="2" t="s">
        <v>5</v>
      </c>
      <c r="C3081" s="2" t="s">
        <v>6301</v>
      </c>
      <c r="D3081" s="2" t="s">
        <v>6293</v>
      </c>
      <c r="E3081" s="2" t="str">
        <f>HYPERLINK("https://talan.bank.gov.ua/get-user-certificate/sec1eVXr7fl5BO3V3IXh","Завантажити сертифікат")</f>
        <v>Завантажити сертифікат</v>
      </c>
    </row>
    <row r="3082" spans="1:5" x14ac:dyDescent="0.3">
      <c r="A3082" s="2" t="s">
        <v>6302</v>
      </c>
      <c r="B3082" s="2" t="s">
        <v>5</v>
      </c>
      <c r="C3082" s="2" t="s">
        <v>6303</v>
      </c>
      <c r="D3082" s="2" t="s">
        <v>6304</v>
      </c>
      <c r="E3082" s="2" t="str">
        <f>HYPERLINK("https://talan.bank.gov.ua/get-user-certificate/sec1eylgBOWTCe0rQ-_B","Завантажити сертифікат")</f>
        <v>Завантажити сертифікат</v>
      </c>
    </row>
    <row r="3083" spans="1:5" x14ac:dyDescent="0.3">
      <c r="A3083" s="2" t="s">
        <v>6305</v>
      </c>
      <c r="B3083" s="2" t="s">
        <v>5</v>
      </c>
      <c r="C3083" s="2" t="s">
        <v>6306</v>
      </c>
      <c r="D3083" s="2" t="s">
        <v>6304</v>
      </c>
      <c r="E3083" s="2" t="str">
        <f>HYPERLINK("https://talan.bank.gov.ua/get-user-certificate/sec1eYwBL0LP3itRFHNe","Завантажити сертифікат")</f>
        <v>Завантажити сертифікат</v>
      </c>
    </row>
    <row r="3084" spans="1:5" x14ac:dyDescent="0.3">
      <c r="A3084" s="2" t="s">
        <v>6307</v>
      </c>
      <c r="B3084" s="2" t="s">
        <v>5</v>
      </c>
      <c r="C3084" s="2" t="s">
        <v>6308</v>
      </c>
      <c r="D3084" s="2" t="s">
        <v>6304</v>
      </c>
      <c r="E3084" s="2" t="str">
        <f>HYPERLINK("https://talan.bank.gov.ua/get-user-certificate/sec1egTh0UBCFghye2FZ","Завантажити сертифікат")</f>
        <v>Завантажити сертифікат</v>
      </c>
    </row>
    <row r="3085" spans="1:5" x14ac:dyDescent="0.3">
      <c r="A3085" s="2" t="s">
        <v>6309</v>
      </c>
      <c r="B3085" s="2" t="s">
        <v>5</v>
      </c>
      <c r="C3085" s="2" t="s">
        <v>6310</v>
      </c>
      <c r="D3085" s="2" t="s">
        <v>6304</v>
      </c>
      <c r="E3085" s="2" t="str">
        <f>HYPERLINK("https://talan.bank.gov.ua/get-user-certificate/sec1ekIvjY4r-G8O2Lai","Завантажити сертифікат")</f>
        <v>Завантажити сертифікат</v>
      </c>
    </row>
    <row r="3086" spans="1:5" x14ac:dyDescent="0.3">
      <c r="A3086" s="2" t="s">
        <v>6311</v>
      </c>
      <c r="B3086" s="2" t="s">
        <v>5</v>
      </c>
      <c r="C3086" s="2" t="s">
        <v>6312</v>
      </c>
      <c r="D3086" s="2" t="s">
        <v>6313</v>
      </c>
      <c r="E3086" s="2" t="str">
        <f>HYPERLINK("https://talan.bank.gov.ua/get-user-certificate/sec1evBLoQLaqUAZAj-Y","Завантажити сертифікат")</f>
        <v>Завантажити сертифікат</v>
      </c>
    </row>
    <row r="3087" spans="1:5" x14ac:dyDescent="0.3">
      <c r="A3087" s="2" t="s">
        <v>6314</v>
      </c>
      <c r="B3087" s="2" t="s">
        <v>5</v>
      </c>
      <c r="C3087" s="2" t="s">
        <v>6315</v>
      </c>
      <c r="D3087" s="2" t="s">
        <v>6313</v>
      </c>
      <c r="E3087" s="2" t="str">
        <f>HYPERLINK("https://talan.bank.gov.ua/get-user-certificate/sec1e_Qyu4wOnY3w40RJ","Завантажити сертифікат")</f>
        <v>Завантажити сертифікат</v>
      </c>
    </row>
    <row r="3088" spans="1:5" x14ac:dyDescent="0.3">
      <c r="A3088" s="2" t="s">
        <v>6316</v>
      </c>
      <c r="B3088" s="2" t="s">
        <v>5</v>
      </c>
      <c r="C3088" s="2" t="s">
        <v>6317</v>
      </c>
      <c r="D3088" s="2" t="s">
        <v>6313</v>
      </c>
      <c r="E3088" s="2" t="str">
        <f>HYPERLINK("https://talan.bank.gov.ua/get-user-certificate/sec1eHX3cxhYsMtG-yWx","Завантажити сертифікат")</f>
        <v>Завантажити сертифікат</v>
      </c>
    </row>
    <row r="3089" spans="1:5" x14ac:dyDescent="0.3">
      <c r="A3089" s="2" t="s">
        <v>6318</v>
      </c>
      <c r="B3089" s="2" t="s">
        <v>5</v>
      </c>
      <c r="C3089" s="2" t="s">
        <v>6319</v>
      </c>
      <c r="D3089" s="2" t="s">
        <v>6313</v>
      </c>
      <c r="E3089" s="2" t="str">
        <f>HYPERLINK("https://talan.bank.gov.ua/get-user-certificate/sec1eOWekEIo57mF7T1X","Завантажити сертифікат")</f>
        <v>Завантажити сертифікат</v>
      </c>
    </row>
    <row r="3090" spans="1:5" x14ac:dyDescent="0.3">
      <c r="A3090" s="2" t="s">
        <v>6320</v>
      </c>
      <c r="B3090" s="2" t="s">
        <v>5</v>
      </c>
      <c r="C3090" s="2" t="s">
        <v>6321</v>
      </c>
      <c r="D3090" s="2" t="s">
        <v>6313</v>
      </c>
      <c r="E3090" s="2" t="str">
        <f>HYPERLINK("https://talan.bank.gov.ua/get-user-certificate/sec1epuojovUgTeizG5l","Завантажити сертифікат")</f>
        <v>Завантажити сертифікат</v>
      </c>
    </row>
    <row r="3091" spans="1:5" x14ac:dyDescent="0.3">
      <c r="A3091" s="2" t="s">
        <v>6322</v>
      </c>
      <c r="B3091" s="2" t="s">
        <v>5</v>
      </c>
      <c r="C3091" s="2" t="s">
        <v>6323</v>
      </c>
      <c r="D3091" s="2" t="s">
        <v>6313</v>
      </c>
      <c r="E3091" s="2" t="str">
        <f>HYPERLINK("https://talan.bank.gov.ua/get-user-certificate/sec1erqAUXfmkBxl-aQ2","Завантажити сертифікат")</f>
        <v>Завантажити сертифікат</v>
      </c>
    </row>
    <row r="3092" spans="1:5" x14ac:dyDescent="0.3">
      <c r="A3092" s="2" t="s">
        <v>6324</v>
      </c>
      <c r="B3092" s="2" t="s">
        <v>5</v>
      </c>
      <c r="C3092" s="2" t="s">
        <v>6325</v>
      </c>
      <c r="D3092" s="2" t="s">
        <v>6313</v>
      </c>
      <c r="E3092" s="2" t="str">
        <f>HYPERLINK("https://talan.bank.gov.ua/get-user-certificate/sec1eOGC4EN5w6t7DuvM","Завантажити сертифікат")</f>
        <v>Завантажити сертифікат</v>
      </c>
    </row>
    <row r="3093" spans="1:5" x14ac:dyDescent="0.3">
      <c r="A3093" s="2" t="s">
        <v>6326</v>
      </c>
      <c r="B3093" s="2" t="s">
        <v>5</v>
      </c>
      <c r="C3093" s="2" t="s">
        <v>6327</v>
      </c>
      <c r="D3093" s="2" t="s">
        <v>6313</v>
      </c>
      <c r="E3093" s="2" t="str">
        <f>HYPERLINK("https://talan.bank.gov.ua/get-user-certificate/sec1exuMPJ0LMEu7wES6","Завантажити сертифікат")</f>
        <v>Завантажити сертифікат</v>
      </c>
    </row>
    <row r="3094" spans="1:5" x14ac:dyDescent="0.3">
      <c r="A3094" s="2" t="s">
        <v>6328</v>
      </c>
      <c r="B3094" s="2" t="s">
        <v>5</v>
      </c>
      <c r="C3094" s="2" t="s">
        <v>6329</v>
      </c>
      <c r="D3094" s="2" t="s">
        <v>6313</v>
      </c>
      <c r="E3094" s="2" t="str">
        <f>HYPERLINK("https://talan.bank.gov.ua/get-user-certificate/sec1eDSJbLCmzN92Gm8U","Завантажити сертифікат")</f>
        <v>Завантажити сертифікат</v>
      </c>
    </row>
    <row r="3095" spans="1:5" x14ac:dyDescent="0.3">
      <c r="A3095" s="2" t="s">
        <v>6330</v>
      </c>
      <c r="B3095" s="2" t="s">
        <v>5</v>
      </c>
      <c r="C3095" s="2" t="s">
        <v>6331</v>
      </c>
      <c r="D3095" s="2" t="s">
        <v>6313</v>
      </c>
      <c r="E3095" s="2" t="str">
        <f>HYPERLINK("https://talan.bank.gov.ua/get-user-certificate/sec1eTawUakTUWpcqHNb","Завантажити сертифікат")</f>
        <v>Завантажити сертифікат</v>
      </c>
    </row>
    <row r="3096" spans="1:5" x14ac:dyDescent="0.3">
      <c r="A3096" s="2" t="s">
        <v>6332</v>
      </c>
      <c r="B3096" s="2" t="s">
        <v>5</v>
      </c>
      <c r="C3096" s="2" t="s">
        <v>6333</v>
      </c>
      <c r="D3096" s="2" t="s">
        <v>6313</v>
      </c>
      <c r="E3096" s="2" t="str">
        <f>HYPERLINK("https://talan.bank.gov.ua/get-user-certificate/sec1eMazUbCXYD8UCJv-","Завантажити сертифікат")</f>
        <v>Завантажити сертифікат</v>
      </c>
    </row>
    <row r="3097" spans="1:5" x14ac:dyDescent="0.3">
      <c r="A3097" s="2" t="s">
        <v>6334</v>
      </c>
      <c r="B3097" s="2" t="s">
        <v>5</v>
      </c>
      <c r="C3097" s="2" t="s">
        <v>6335</v>
      </c>
      <c r="D3097" s="2" t="s">
        <v>6313</v>
      </c>
      <c r="E3097" s="2" t="str">
        <f>HYPERLINK("https://talan.bank.gov.ua/get-user-certificate/sec1eKb5YSHz9fftQ2H6","Завантажити сертифікат")</f>
        <v>Завантажити сертифікат</v>
      </c>
    </row>
    <row r="3098" spans="1:5" x14ac:dyDescent="0.3">
      <c r="A3098" s="2" t="s">
        <v>6336</v>
      </c>
      <c r="B3098" s="2" t="s">
        <v>5</v>
      </c>
      <c r="C3098" s="2" t="s">
        <v>6337</v>
      </c>
      <c r="D3098" s="2" t="s">
        <v>6313</v>
      </c>
      <c r="E3098" s="2" t="str">
        <f>HYPERLINK("https://talan.bank.gov.ua/get-user-certificate/sec1eySkx4RD_5vEiMIk","Завантажити сертифікат")</f>
        <v>Завантажити сертифікат</v>
      </c>
    </row>
    <row r="3099" spans="1:5" x14ac:dyDescent="0.3">
      <c r="A3099" s="2" t="s">
        <v>6338</v>
      </c>
      <c r="B3099" s="2" t="s">
        <v>5</v>
      </c>
      <c r="C3099" s="2" t="s">
        <v>6339</v>
      </c>
      <c r="D3099" s="2" t="s">
        <v>6313</v>
      </c>
      <c r="E3099" s="2" t="str">
        <f>HYPERLINK("https://talan.bank.gov.ua/get-user-certificate/sec1ema20B-8lom566ZS","Завантажити сертифікат")</f>
        <v>Завантажити сертифікат</v>
      </c>
    </row>
    <row r="3100" spans="1:5" x14ac:dyDescent="0.3">
      <c r="A3100" s="2" t="s">
        <v>6340</v>
      </c>
      <c r="B3100" s="2" t="s">
        <v>5</v>
      </c>
      <c r="C3100" s="2" t="s">
        <v>6341</v>
      </c>
      <c r="D3100" s="2" t="s">
        <v>6313</v>
      </c>
      <c r="E3100" s="2" t="str">
        <f>HYPERLINK("https://talan.bank.gov.ua/get-user-certificate/sec1ehCeiG9giVieClDV","Завантажити сертифікат")</f>
        <v>Завантажити сертифікат</v>
      </c>
    </row>
    <row r="3101" spans="1:5" x14ac:dyDescent="0.3">
      <c r="A3101" s="2" t="s">
        <v>6342</v>
      </c>
      <c r="B3101" s="2" t="s">
        <v>5</v>
      </c>
      <c r="C3101" s="2" t="s">
        <v>6343</v>
      </c>
      <c r="D3101" s="2" t="s">
        <v>6313</v>
      </c>
      <c r="E3101" s="2" t="str">
        <f>HYPERLINK("https://talan.bank.gov.ua/get-user-certificate/sec1eDAE4CiuL4BvL-Tu","Завантажити сертифікат")</f>
        <v>Завантажити сертифікат</v>
      </c>
    </row>
    <row r="3102" spans="1:5" x14ac:dyDescent="0.3">
      <c r="A3102" s="2" t="s">
        <v>6344</v>
      </c>
      <c r="B3102" s="2" t="s">
        <v>5</v>
      </c>
      <c r="C3102" s="2" t="s">
        <v>6345</v>
      </c>
      <c r="D3102" s="2" t="s">
        <v>6313</v>
      </c>
      <c r="E3102" s="2" t="str">
        <f>HYPERLINK("https://talan.bank.gov.ua/get-user-certificate/sec1eAW-yhNJm6v1ST2m","Завантажити сертифікат")</f>
        <v>Завантажити сертифікат</v>
      </c>
    </row>
    <row r="3103" spans="1:5" x14ac:dyDescent="0.3">
      <c r="A3103" s="2" t="s">
        <v>6346</v>
      </c>
      <c r="B3103" s="2" t="s">
        <v>5</v>
      </c>
      <c r="C3103" s="2" t="s">
        <v>6347</v>
      </c>
      <c r="D3103" s="2" t="s">
        <v>6313</v>
      </c>
      <c r="E3103" s="2" t="str">
        <f>HYPERLINK("https://talan.bank.gov.ua/get-user-certificate/sec1eUbLMkltzTAV4Gzm","Завантажити сертифікат")</f>
        <v>Завантажити сертифікат</v>
      </c>
    </row>
    <row r="3104" spans="1:5" x14ac:dyDescent="0.3">
      <c r="A3104" s="2" t="s">
        <v>6348</v>
      </c>
      <c r="B3104" s="2" t="s">
        <v>5</v>
      </c>
      <c r="C3104" s="2" t="s">
        <v>6349</v>
      </c>
      <c r="D3104" s="2" t="s">
        <v>6313</v>
      </c>
      <c r="E3104" s="2" t="str">
        <f>HYPERLINK("https://talan.bank.gov.ua/get-user-certificate/sec1eRPhHeNofeZRqyTf","Завантажити сертифікат")</f>
        <v>Завантажити сертифікат</v>
      </c>
    </row>
    <row r="3105" spans="1:5" x14ac:dyDescent="0.3">
      <c r="A3105" s="2" t="s">
        <v>6350</v>
      </c>
      <c r="B3105" s="2" t="s">
        <v>5</v>
      </c>
      <c r="C3105" s="2" t="s">
        <v>6351</v>
      </c>
      <c r="D3105" s="2" t="s">
        <v>6313</v>
      </c>
      <c r="E3105" s="2" t="str">
        <f>HYPERLINK("https://talan.bank.gov.ua/get-user-certificate/sec1eF0fnidknXJDP82D","Завантажити сертифікат")</f>
        <v>Завантажити сертифікат</v>
      </c>
    </row>
    <row r="3106" spans="1:5" x14ac:dyDescent="0.3">
      <c r="A3106" s="2" t="s">
        <v>6352</v>
      </c>
      <c r="B3106" s="2" t="s">
        <v>5</v>
      </c>
      <c r="C3106" s="2" t="s">
        <v>6353</v>
      </c>
      <c r="D3106" s="2" t="s">
        <v>6313</v>
      </c>
      <c r="E3106" s="2" t="str">
        <f>HYPERLINK("https://talan.bank.gov.ua/get-user-certificate/sec1es6D29Wc_3xxiKmb","Завантажити сертифікат")</f>
        <v>Завантажити сертифікат</v>
      </c>
    </row>
    <row r="3107" spans="1:5" x14ac:dyDescent="0.3">
      <c r="A3107" s="2" t="s">
        <v>6354</v>
      </c>
      <c r="B3107" s="2" t="s">
        <v>5</v>
      </c>
      <c r="C3107" s="2" t="s">
        <v>6355</v>
      </c>
      <c r="D3107" s="2" t="s">
        <v>6313</v>
      </c>
      <c r="E3107" s="2" t="str">
        <f>HYPERLINK("https://talan.bank.gov.ua/get-user-certificate/sec1erB4J6XzJZNQc1yc","Завантажити сертифікат")</f>
        <v>Завантажити сертифікат</v>
      </c>
    </row>
    <row r="3108" spans="1:5" x14ac:dyDescent="0.3">
      <c r="A3108" s="2" t="s">
        <v>6356</v>
      </c>
      <c r="B3108" s="2" t="s">
        <v>5</v>
      </c>
      <c r="C3108" s="2" t="s">
        <v>6357</v>
      </c>
      <c r="D3108" s="2" t="s">
        <v>6313</v>
      </c>
      <c r="E3108" s="2" t="str">
        <f>HYPERLINK("https://talan.bank.gov.ua/get-user-certificate/sec1eJneLCRyz41yW83Z","Завантажити сертифікат")</f>
        <v>Завантажити сертифікат</v>
      </c>
    </row>
    <row r="3109" spans="1:5" x14ac:dyDescent="0.3">
      <c r="A3109" s="2" t="s">
        <v>6358</v>
      </c>
      <c r="B3109" s="2" t="s">
        <v>5</v>
      </c>
      <c r="C3109" s="2" t="s">
        <v>6359</v>
      </c>
      <c r="D3109" s="2" t="s">
        <v>6313</v>
      </c>
      <c r="E3109" s="2" t="str">
        <f>HYPERLINK("https://talan.bank.gov.ua/get-user-certificate/sec1eOynYeGuuAe_4ceo","Завантажити сертифікат")</f>
        <v>Завантажити сертифікат</v>
      </c>
    </row>
    <row r="3110" spans="1:5" x14ac:dyDescent="0.3">
      <c r="A3110" s="2" t="s">
        <v>6360</v>
      </c>
      <c r="B3110" s="2" t="s">
        <v>5</v>
      </c>
      <c r="C3110" s="2" t="s">
        <v>6361</v>
      </c>
      <c r="D3110" s="2" t="s">
        <v>6313</v>
      </c>
      <c r="E3110" s="2" t="str">
        <f>HYPERLINK("https://talan.bank.gov.ua/get-user-certificate/sec1ejNhEpbEcHtUAuhz","Завантажити сертифікат")</f>
        <v>Завантажити сертифікат</v>
      </c>
    </row>
    <row r="3111" spans="1:5" x14ac:dyDescent="0.3">
      <c r="A3111" s="2" t="s">
        <v>6362</v>
      </c>
      <c r="B3111" s="2" t="s">
        <v>5</v>
      </c>
      <c r="C3111" s="2" t="s">
        <v>6363</v>
      </c>
      <c r="D3111" s="2" t="s">
        <v>6313</v>
      </c>
      <c r="E3111" s="2" t="str">
        <f>HYPERLINK("https://talan.bank.gov.ua/get-user-certificate/sec1eYCI4qPBVLopB8nB","Завантажити сертифікат")</f>
        <v>Завантажити сертифікат</v>
      </c>
    </row>
    <row r="3112" spans="1:5" x14ac:dyDescent="0.3">
      <c r="A3112" s="2" t="s">
        <v>6364</v>
      </c>
      <c r="B3112" s="2" t="s">
        <v>5</v>
      </c>
      <c r="C3112" s="2" t="s">
        <v>6365</v>
      </c>
      <c r="D3112" s="2" t="s">
        <v>6366</v>
      </c>
      <c r="E3112" s="2" t="str">
        <f>HYPERLINK("https://talan.bank.gov.ua/get-user-certificate/sec1ez9ukkVmKFk297T8","Завантажити сертифікат")</f>
        <v>Завантажити сертифікат</v>
      </c>
    </row>
    <row r="3113" spans="1:5" x14ac:dyDescent="0.3">
      <c r="A3113" s="2" t="s">
        <v>6367</v>
      </c>
      <c r="B3113" s="2" t="s">
        <v>5</v>
      </c>
      <c r="C3113" s="2" t="s">
        <v>6368</v>
      </c>
      <c r="D3113" s="2" t="s">
        <v>6366</v>
      </c>
      <c r="E3113" s="2" t="str">
        <f>HYPERLINK("https://talan.bank.gov.ua/get-user-certificate/sec1eX-ApmBaigxl2PkL","Завантажити сертифікат")</f>
        <v>Завантажити сертифікат</v>
      </c>
    </row>
    <row r="3114" spans="1:5" x14ac:dyDescent="0.3">
      <c r="A3114" s="2" t="s">
        <v>6369</v>
      </c>
      <c r="B3114" s="2" t="s">
        <v>5</v>
      </c>
      <c r="C3114" s="2" t="s">
        <v>6370</v>
      </c>
      <c r="D3114" s="2" t="s">
        <v>6366</v>
      </c>
      <c r="E3114" s="2" t="str">
        <f>HYPERLINK("https://talan.bank.gov.ua/get-user-certificate/sec1eJC0LyNOayAPjDD4","Завантажити сертифікат")</f>
        <v>Завантажити сертифікат</v>
      </c>
    </row>
    <row r="3115" spans="1:5" x14ac:dyDescent="0.3">
      <c r="A3115" s="2" t="s">
        <v>6371</v>
      </c>
      <c r="B3115" s="2" t="s">
        <v>5</v>
      </c>
      <c r="C3115" s="2" t="s">
        <v>6372</v>
      </c>
      <c r="D3115" s="2" t="s">
        <v>6366</v>
      </c>
      <c r="E3115" s="2" t="str">
        <f>HYPERLINK("https://talan.bank.gov.ua/get-user-certificate/sec1eyvc5vEu6mO_NhJR","Завантажити сертифікат")</f>
        <v>Завантажити сертифікат</v>
      </c>
    </row>
    <row r="3116" spans="1:5" x14ac:dyDescent="0.3">
      <c r="A3116" s="2" t="s">
        <v>6373</v>
      </c>
      <c r="B3116" s="2" t="s">
        <v>5</v>
      </c>
      <c r="C3116" s="2" t="s">
        <v>6374</v>
      </c>
      <c r="D3116" s="2" t="s">
        <v>6366</v>
      </c>
      <c r="E3116" s="2" t="str">
        <f>HYPERLINK("https://talan.bank.gov.ua/get-user-certificate/sec1e6XtROEa3IUgIThl","Завантажити сертифікат")</f>
        <v>Завантажити сертифікат</v>
      </c>
    </row>
    <row r="3117" spans="1:5" x14ac:dyDescent="0.3">
      <c r="A3117" s="2" t="s">
        <v>6375</v>
      </c>
      <c r="B3117" s="2" t="s">
        <v>5</v>
      </c>
      <c r="C3117" s="2" t="s">
        <v>6376</v>
      </c>
      <c r="D3117" s="2" t="s">
        <v>6366</v>
      </c>
      <c r="E3117" s="2" t="str">
        <f>HYPERLINK("https://talan.bank.gov.ua/get-user-certificate/sec1e09s-3yiMJsUiJ_C","Завантажити сертифікат")</f>
        <v>Завантажити сертифікат</v>
      </c>
    </row>
    <row r="3118" spans="1:5" x14ac:dyDescent="0.3">
      <c r="A3118" s="2" t="s">
        <v>6377</v>
      </c>
      <c r="B3118" s="2" t="s">
        <v>5</v>
      </c>
      <c r="C3118" s="2" t="s">
        <v>6378</v>
      </c>
      <c r="D3118" s="2" t="s">
        <v>6366</v>
      </c>
      <c r="E3118" s="2" t="str">
        <f>HYPERLINK("https://talan.bank.gov.ua/get-user-certificate/sec1es7bXEvmDhSAwGtZ","Завантажити сертифікат")</f>
        <v>Завантажити сертифікат</v>
      </c>
    </row>
    <row r="3119" spans="1:5" x14ac:dyDescent="0.3">
      <c r="A3119" s="2" t="s">
        <v>6379</v>
      </c>
      <c r="B3119" s="2" t="s">
        <v>5</v>
      </c>
      <c r="C3119" s="2" t="s">
        <v>6380</v>
      </c>
      <c r="D3119" s="2" t="s">
        <v>6381</v>
      </c>
      <c r="E3119" s="2" t="str">
        <f>HYPERLINK("https://talan.bank.gov.ua/get-user-certificate/sec1e4tZpYGV8vrDaOIq","Завантажити сертифікат")</f>
        <v>Завантажити сертифікат</v>
      </c>
    </row>
    <row r="3120" spans="1:5" x14ac:dyDescent="0.3">
      <c r="A3120" s="2" t="s">
        <v>6382</v>
      </c>
      <c r="B3120" s="2" t="s">
        <v>5</v>
      </c>
      <c r="C3120" s="2" t="s">
        <v>6383</v>
      </c>
      <c r="D3120" s="2" t="s">
        <v>6381</v>
      </c>
      <c r="E3120" s="2" t="str">
        <f>HYPERLINK("https://talan.bank.gov.ua/get-user-certificate/sec1eWnrzOIrYG8dnCz7","Завантажити сертифікат")</f>
        <v>Завантажити сертифікат</v>
      </c>
    </row>
    <row r="3121" spans="1:5" x14ac:dyDescent="0.3">
      <c r="A3121" s="2" t="s">
        <v>6384</v>
      </c>
      <c r="B3121" s="2" t="s">
        <v>5</v>
      </c>
      <c r="C3121" s="2" t="s">
        <v>6385</v>
      </c>
      <c r="D3121" s="2" t="s">
        <v>6381</v>
      </c>
      <c r="E3121" s="2" t="str">
        <f>HYPERLINK("https://talan.bank.gov.ua/get-user-certificate/sec1eiEABbCVDYdFs3kL","Завантажити сертифікат")</f>
        <v>Завантажити сертифікат</v>
      </c>
    </row>
    <row r="3122" spans="1:5" x14ac:dyDescent="0.3">
      <c r="A3122" s="2" t="s">
        <v>6386</v>
      </c>
      <c r="B3122" s="2" t="s">
        <v>5</v>
      </c>
      <c r="C3122" s="2" t="s">
        <v>6387</v>
      </c>
      <c r="D3122" s="2" t="s">
        <v>6381</v>
      </c>
      <c r="E3122" s="2" t="str">
        <f>HYPERLINK("https://talan.bank.gov.ua/get-user-certificate/sec1enuT044EL_2e7RB6","Завантажити сертифікат")</f>
        <v>Завантажити сертифікат</v>
      </c>
    </row>
    <row r="3123" spans="1:5" x14ac:dyDescent="0.3">
      <c r="A3123" s="2" t="s">
        <v>6388</v>
      </c>
      <c r="B3123" s="2" t="s">
        <v>5</v>
      </c>
      <c r="C3123" s="2" t="s">
        <v>6389</v>
      </c>
      <c r="D3123" s="2" t="s">
        <v>6381</v>
      </c>
      <c r="E3123" s="2" t="str">
        <f>HYPERLINK("https://talan.bank.gov.ua/get-user-certificate/sec1eMl_O-e4Qa6j6nEz","Завантажити сертифікат")</f>
        <v>Завантажити сертифікат</v>
      </c>
    </row>
    <row r="3124" spans="1:5" x14ac:dyDescent="0.3">
      <c r="A3124" s="2" t="s">
        <v>6390</v>
      </c>
      <c r="B3124" s="2" t="s">
        <v>5</v>
      </c>
      <c r="C3124" s="2" t="s">
        <v>6391</v>
      </c>
      <c r="D3124" s="2" t="s">
        <v>6381</v>
      </c>
      <c r="E3124" s="2" t="str">
        <f>HYPERLINK("https://talan.bank.gov.ua/get-user-certificate/sec1emt9ZnxTScT-q2S9","Завантажити сертифікат")</f>
        <v>Завантажити сертифікат</v>
      </c>
    </row>
    <row r="3125" spans="1:5" x14ac:dyDescent="0.3">
      <c r="A3125" s="2" t="s">
        <v>6392</v>
      </c>
      <c r="B3125" s="2" t="s">
        <v>5</v>
      </c>
      <c r="C3125" s="2" t="s">
        <v>6393</v>
      </c>
      <c r="D3125" s="2" t="s">
        <v>6381</v>
      </c>
      <c r="E3125" s="2" t="str">
        <f>HYPERLINK("https://talan.bank.gov.ua/get-user-certificate/sec1e2LsjFVrNynALVii","Завантажити сертифікат")</f>
        <v>Завантажити сертифікат</v>
      </c>
    </row>
    <row r="3126" spans="1:5" x14ac:dyDescent="0.3">
      <c r="A3126" s="2" t="s">
        <v>6394</v>
      </c>
      <c r="B3126" s="2" t="s">
        <v>5</v>
      </c>
      <c r="C3126" s="2" t="s">
        <v>6395</v>
      </c>
      <c r="D3126" s="2" t="s">
        <v>6381</v>
      </c>
      <c r="E3126" s="2" t="str">
        <f>HYPERLINK("https://talan.bank.gov.ua/get-user-certificate/sec1eAYowR9TeM1TjGG7","Завантажити сертифікат")</f>
        <v>Завантажити сертифікат</v>
      </c>
    </row>
    <row r="3127" spans="1:5" x14ac:dyDescent="0.3">
      <c r="A3127" s="2" t="s">
        <v>6396</v>
      </c>
      <c r="B3127" s="2" t="s">
        <v>5</v>
      </c>
      <c r="C3127" s="2" t="s">
        <v>6397</v>
      </c>
      <c r="D3127" s="2" t="s">
        <v>6381</v>
      </c>
      <c r="E3127" s="2" t="str">
        <f>HYPERLINK("https://talan.bank.gov.ua/get-user-certificate/sec1exsbF3rTJgz6gp0J","Завантажити сертифікат")</f>
        <v>Завантажити сертифікат</v>
      </c>
    </row>
    <row r="3128" spans="1:5" x14ac:dyDescent="0.3">
      <c r="A3128" s="2" t="s">
        <v>6398</v>
      </c>
      <c r="B3128" s="2" t="s">
        <v>5</v>
      </c>
      <c r="C3128" s="2" t="s">
        <v>6399</v>
      </c>
      <c r="D3128" s="2" t="s">
        <v>6381</v>
      </c>
      <c r="E3128" s="2" t="str">
        <f>HYPERLINK("https://talan.bank.gov.ua/get-user-certificate/sec1e9ZvM7fn20V3ffz6","Завантажити сертифікат")</f>
        <v>Завантажити сертифікат</v>
      </c>
    </row>
    <row r="3129" spans="1:5" x14ac:dyDescent="0.3">
      <c r="A3129" s="2" t="s">
        <v>6400</v>
      </c>
      <c r="B3129" s="2" t="s">
        <v>5</v>
      </c>
      <c r="C3129" s="2" t="s">
        <v>6401</v>
      </c>
      <c r="D3129" s="2" t="s">
        <v>6381</v>
      </c>
      <c r="E3129" s="2" t="str">
        <f>HYPERLINK("https://talan.bank.gov.ua/get-user-certificate/sec1eBxCEM77R-BMPcz4","Завантажити сертифікат")</f>
        <v>Завантажити сертифікат</v>
      </c>
    </row>
    <row r="3130" spans="1:5" x14ac:dyDescent="0.3">
      <c r="A3130" s="2" t="s">
        <v>6402</v>
      </c>
      <c r="B3130" s="2" t="s">
        <v>5</v>
      </c>
      <c r="C3130" s="2" t="s">
        <v>6403</v>
      </c>
      <c r="D3130" s="2" t="s">
        <v>6381</v>
      </c>
      <c r="E3130" s="2" t="str">
        <f>HYPERLINK("https://talan.bank.gov.ua/get-user-certificate/sec1e_2jOc1wfQS4N9UH","Завантажити сертифікат")</f>
        <v>Завантажити сертифікат</v>
      </c>
    </row>
    <row r="3131" spans="1:5" x14ac:dyDescent="0.3">
      <c r="A3131" s="2" t="s">
        <v>6404</v>
      </c>
      <c r="B3131" s="2" t="s">
        <v>5</v>
      </c>
      <c r="C3131" s="2" t="s">
        <v>6405</v>
      </c>
      <c r="D3131" s="2" t="s">
        <v>6381</v>
      </c>
      <c r="E3131" s="2" t="str">
        <f>HYPERLINK("https://talan.bank.gov.ua/get-user-certificate/sec1e8yUPTo35mU13Tyk","Завантажити сертифікат")</f>
        <v>Завантажити сертифікат</v>
      </c>
    </row>
    <row r="3132" spans="1:5" x14ac:dyDescent="0.3">
      <c r="A3132" s="2" t="s">
        <v>6406</v>
      </c>
      <c r="B3132" s="2" t="s">
        <v>5</v>
      </c>
      <c r="C3132" s="2" t="s">
        <v>6407</v>
      </c>
      <c r="D3132" s="2" t="s">
        <v>6381</v>
      </c>
      <c r="E3132" s="2" t="str">
        <f>HYPERLINK("https://talan.bank.gov.ua/get-user-certificate/sec1emexT6DVy49d33bW","Завантажити сертифікат")</f>
        <v>Завантажити сертифікат</v>
      </c>
    </row>
    <row r="3133" spans="1:5" x14ac:dyDescent="0.3">
      <c r="A3133" s="2" t="s">
        <v>6408</v>
      </c>
      <c r="B3133" s="2" t="s">
        <v>5</v>
      </c>
      <c r="C3133" s="2" t="s">
        <v>6409</v>
      </c>
      <c r="D3133" s="2" t="s">
        <v>6381</v>
      </c>
      <c r="E3133" s="2" t="str">
        <f>HYPERLINK("https://talan.bank.gov.ua/get-user-certificate/sec1ehxwoFveHQZHg3O-","Завантажити сертифікат")</f>
        <v>Завантажити сертифікат</v>
      </c>
    </row>
    <row r="3134" spans="1:5" x14ac:dyDescent="0.3">
      <c r="A3134" s="2" t="s">
        <v>6410</v>
      </c>
      <c r="B3134" s="2" t="s">
        <v>5</v>
      </c>
      <c r="C3134" s="2" t="s">
        <v>6411</v>
      </c>
      <c r="D3134" s="2" t="s">
        <v>6381</v>
      </c>
      <c r="E3134" s="2" t="str">
        <f>HYPERLINK("https://talan.bank.gov.ua/get-user-certificate/sec1eW4YV6uuJlSaSbgT","Завантажити сертифікат")</f>
        <v>Завантажити сертифікат</v>
      </c>
    </row>
    <row r="3135" spans="1:5" x14ac:dyDescent="0.3">
      <c r="A3135" s="2" t="s">
        <v>6412</v>
      </c>
      <c r="B3135" s="2" t="s">
        <v>5</v>
      </c>
      <c r="C3135" s="2" t="s">
        <v>6413</v>
      </c>
      <c r="D3135" s="2" t="s">
        <v>6381</v>
      </c>
      <c r="E3135" s="2" t="str">
        <f>HYPERLINK("https://talan.bank.gov.ua/get-user-certificate/sec1eV8djBlwfbGVRD3c","Завантажити сертифікат")</f>
        <v>Завантажити сертифікат</v>
      </c>
    </row>
    <row r="3136" spans="1:5" x14ac:dyDescent="0.3">
      <c r="A3136" s="2" t="s">
        <v>6414</v>
      </c>
      <c r="B3136" s="2" t="s">
        <v>5</v>
      </c>
      <c r="C3136" s="2" t="s">
        <v>6415</v>
      </c>
      <c r="D3136" s="2" t="s">
        <v>6381</v>
      </c>
      <c r="E3136" s="2" t="str">
        <f>HYPERLINK("https://talan.bank.gov.ua/get-user-certificate/sec1elkRMNdG5nnrYmSg","Завантажити сертифікат")</f>
        <v>Завантажити сертифікат</v>
      </c>
    </row>
    <row r="3137" spans="1:5" x14ac:dyDescent="0.3">
      <c r="A3137" s="2" t="s">
        <v>6416</v>
      </c>
      <c r="B3137" s="2" t="s">
        <v>5</v>
      </c>
      <c r="C3137" s="2" t="s">
        <v>6417</v>
      </c>
      <c r="D3137" s="2" t="s">
        <v>6381</v>
      </c>
      <c r="E3137" s="2" t="str">
        <f>HYPERLINK("https://talan.bank.gov.ua/get-user-certificate/sec1eoxZbkuhYS_KkyKb","Завантажити сертифікат")</f>
        <v>Завантажити сертифікат</v>
      </c>
    </row>
    <row r="3138" spans="1:5" x14ac:dyDescent="0.3">
      <c r="A3138" s="2" t="s">
        <v>6418</v>
      </c>
      <c r="B3138" s="2" t="s">
        <v>5</v>
      </c>
      <c r="C3138" s="2" t="s">
        <v>6419</v>
      </c>
      <c r="D3138" s="2" t="s">
        <v>6381</v>
      </c>
      <c r="E3138" s="2" t="str">
        <f>HYPERLINK("https://talan.bank.gov.ua/get-user-certificate/sec1ePZrjNeQ7gd7ELsv","Завантажити сертифікат")</f>
        <v>Завантажити сертифікат</v>
      </c>
    </row>
    <row r="3139" spans="1:5" x14ac:dyDescent="0.3">
      <c r="A3139" s="2" t="s">
        <v>6420</v>
      </c>
      <c r="B3139" s="2" t="s">
        <v>5</v>
      </c>
      <c r="C3139" s="2" t="s">
        <v>6421</v>
      </c>
      <c r="D3139" s="2" t="s">
        <v>6381</v>
      </c>
      <c r="E3139" s="2" t="str">
        <f>HYPERLINK("https://talan.bank.gov.ua/get-user-certificate/sec1eNx01QDvmv9LyVsY","Завантажити сертифікат")</f>
        <v>Завантажити сертифікат</v>
      </c>
    </row>
    <row r="3140" spans="1:5" x14ac:dyDescent="0.3">
      <c r="A3140" s="2" t="s">
        <v>6422</v>
      </c>
      <c r="B3140" s="2" t="s">
        <v>5</v>
      </c>
      <c r="C3140" s="2" t="s">
        <v>6423</v>
      </c>
      <c r="D3140" s="2" t="s">
        <v>6381</v>
      </c>
      <c r="E3140" s="2" t="str">
        <f>HYPERLINK("https://talan.bank.gov.ua/get-user-certificate/sec1e7d4S0ne03Sm5iKq","Завантажити сертифікат")</f>
        <v>Завантажити сертифікат</v>
      </c>
    </row>
    <row r="3141" spans="1:5" x14ac:dyDescent="0.3">
      <c r="A3141" s="2" t="s">
        <v>6424</v>
      </c>
      <c r="B3141" s="2" t="s">
        <v>5</v>
      </c>
      <c r="C3141" s="2" t="s">
        <v>6425</v>
      </c>
      <c r="D3141" s="2" t="s">
        <v>6381</v>
      </c>
      <c r="E3141" s="2" t="str">
        <f>HYPERLINK("https://talan.bank.gov.ua/get-user-certificate/sec1excjOdwP_DOeKypo","Завантажити сертифікат")</f>
        <v>Завантажити сертифікат</v>
      </c>
    </row>
    <row r="3142" spans="1:5" x14ac:dyDescent="0.3">
      <c r="A3142" s="2" t="s">
        <v>6426</v>
      </c>
      <c r="B3142" s="2" t="s">
        <v>5</v>
      </c>
      <c r="C3142" s="2" t="s">
        <v>6427</v>
      </c>
      <c r="D3142" s="2" t="s">
        <v>6381</v>
      </c>
      <c r="E3142" s="2" t="str">
        <f>HYPERLINK("https://talan.bank.gov.ua/get-user-certificate/sec1eSidRhVQL4zGbLLc","Завантажити сертифікат")</f>
        <v>Завантажити сертифікат</v>
      </c>
    </row>
    <row r="3143" spans="1:5" x14ac:dyDescent="0.3">
      <c r="A3143" s="2" t="s">
        <v>6428</v>
      </c>
      <c r="B3143" s="2" t="s">
        <v>5</v>
      </c>
      <c r="C3143" s="2" t="s">
        <v>6429</v>
      </c>
      <c r="D3143" s="2" t="s">
        <v>6381</v>
      </c>
      <c r="E3143" s="2" t="str">
        <f>HYPERLINK("https://talan.bank.gov.ua/get-user-certificate/sec1epA8nRf-XgOZpUXm","Завантажити сертифікат")</f>
        <v>Завантажити сертифікат</v>
      </c>
    </row>
    <row r="3144" spans="1:5" x14ac:dyDescent="0.3">
      <c r="A3144" s="2" t="s">
        <v>6430</v>
      </c>
      <c r="B3144" s="2" t="s">
        <v>5</v>
      </c>
      <c r="C3144" s="2" t="s">
        <v>6431</v>
      </c>
      <c r="D3144" s="2" t="s">
        <v>6381</v>
      </c>
      <c r="E3144" s="2" t="str">
        <f>HYPERLINK("https://talan.bank.gov.ua/get-user-certificate/sec1e2MH2KGmnQ_OncdP","Завантажити сертифікат")</f>
        <v>Завантажити сертифікат</v>
      </c>
    </row>
    <row r="3145" spans="1:5" x14ac:dyDescent="0.3">
      <c r="A3145" s="2" t="s">
        <v>6432</v>
      </c>
      <c r="B3145" s="2" t="s">
        <v>5</v>
      </c>
      <c r="C3145" s="2" t="s">
        <v>6433</v>
      </c>
      <c r="D3145" s="2" t="s">
        <v>6381</v>
      </c>
      <c r="E3145" s="2" t="str">
        <f>HYPERLINK("https://talan.bank.gov.ua/get-user-certificate/sec1e3TLNzm8PVLJpX3p","Завантажити сертифікат")</f>
        <v>Завантажити сертифікат</v>
      </c>
    </row>
    <row r="3146" spans="1:5" x14ac:dyDescent="0.3">
      <c r="A3146" s="2" t="s">
        <v>6434</v>
      </c>
      <c r="B3146" s="2" t="s">
        <v>5</v>
      </c>
      <c r="C3146" s="2" t="s">
        <v>6435</v>
      </c>
      <c r="D3146" s="2" t="s">
        <v>6381</v>
      </c>
      <c r="E3146" s="2" t="str">
        <f>HYPERLINK("https://talan.bank.gov.ua/get-user-certificate/sec1ekw_uUEKZljTGrQJ","Завантажити сертифікат")</f>
        <v>Завантажити сертифікат</v>
      </c>
    </row>
    <row r="3147" spans="1:5" x14ac:dyDescent="0.3">
      <c r="A3147" s="2" t="s">
        <v>6436</v>
      </c>
      <c r="B3147" s="2" t="s">
        <v>5</v>
      </c>
      <c r="C3147" s="2" t="s">
        <v>6437</v>
      </c>
      <c r="D3147" s="2" t="s">
        <v>6381</v>
      </c>
      <c r="E3147" s="2" t="str">
        <f>HYPERLINK("https://talan.bank.gov.ua/get-user-certificate/sec1eAsH-ENd82_x-1vV","Завантажити сертифікат")</f>
        <v>Завантажити сертифікат</v>
      </c>
    </row>
    <row r="3148" spans="1:5" x14ac:dyDescent="0.3">
      <c r="A3148" s="2" t="s">
        <v>6438</v>
      </c>
      <c r="B3148" s="2" t="s">
        <v>5</v>
      </c>
      <c r="C3148" s="2" t="s">
        <v>6439</v>
      </c>
      <c r="D3148" s="2" t="s">
        <v>6381</v>
      </c>
      <c r="E3148" s="2" t="str">
        <f>HYPERLINK("https://talan.bank.gov.ua/get-user-certificate/sec1e944VA8IjLq-6hLv","Завантажити сертифікат")</f>
        <v>Завантажити сертифікат</v>
      </c>
    </row>
    <row r="3149" spans="1:5" x14ac:dyDescent="0.3">
      <c r="A3149" s="2" t="s">
        <v>6440</v>
      </c>
      <c r="B3149" s="2" t="s">
        <v>5</v>
      </c>
      <c r="C3149" s="2" t="s">
        <v>6441</v>
      </c>
      <c r="D3149" s="2" t="s">
        <v>6381</v>
      </c>
      <c r="E3149" s="2" t="str">
        <f>HYPERLINK("https://talan.bank.gov.ua/get-user-certificate/sec1e-OwV9ieRtCVQVhb","Завантажити сертифікат")</f>
        <v>Завантажити сертифікат</v>
      </c>
    </row>
    <row r="3150" spans="1:5" x14ac:dyDescent="0.3">
      <c r="A3150" s="2" t="s">
        <v>6442</v>
      </c>
      <c r="B3150" s="2" t="s">
        <v>5</v>
      </c>
      <c r="C3150" s="2" t="s">
        <v>6443</v>
      </c>
      <c r="D3150" s="2" t="s">
        <v>6381</v>
      </c>
      <c r="E3150" s="2" t="str">
        <f>HYPERLINK("https://talan.bank.gov.ua/get-user-certificate/sec1erUJ6Yc4C3Vp2vXG","Завантажити сертифікат")</f>
        <v>Завантажити сертифікат</v>
      </c>
    </row>
    <row r="3151" spans="1:5" x14ac:dyDescent="0.3">
      <c r="A3151" s="2" t="s">
        <v>6444</v>
      </c>
      <c r="B3151" s="2" t="s">
        <v>5</v>
      </c>
      <c r="C3151" s="2" t="s">
        <v>6445</v>
      </c>
      <c r="D3151" s="2" t="s">
        <v>6381</v>
      </c>
      <c r="E3151" s="2" t="str">
        <f>HYPERLINK("https://talan.bank.gov.ua/get-user-certificate/sec1e_L_LrdR5q5ob4dw","Завантажити сертифікат")</f>
        <v>Завантажити сертифікат</v>
      </c>
    </row>
    <row r="3152" spans="1:5" x14ac:dyDescent="0.3">
      <c r="A3152" s="2" t="s">
        <v>6446</v>
      </c>
      <c r="B3152" s="2" t="s">
        <v>5</v>
      </c>
      <c r="C3152" s="2" t="s">
        <v>6447</v>
      </c>
      <c r="D3152" s="2" t="s">
        <v>6381</v>
      </c>
      <c r="E3152" s="2" t="str">
        <f>HYPERLINK("https://talan.bank.gov.ua/get-user-certificate/sec1eO5jyU6KOiVgQKs6","Завантажити сертифікат")</f>
        <v>Завантажити сертифікат</v>
      </c>
    </row>
    <row r="3153" spans="1:5" x14ac:dyDescent="0.3">
      <c r="A3153" s="2" t="s">
        <v>6448</v>
      </c>
      <c r="B3153" s="2" t="s">
        <v>5</v>
      </c>
      <c r="C3153" s="2" t="s">
        <v>6449</v>
      </c>
      <c r="D3153" s="2" t="s">
        <v>6450</v>
      </c>
      <c r="E3153" s="2" t="str">
        <f>HYPERLINK("https://talan.bank.gov.ua/get-user-certificate/sec1e2AihG56Nr92VSkj","Завантажити сертифікат")</f>
        <v>Завантажити сертифікат</v>
      </c>
    </row>
    <row r="3154" spans="1:5" x14ac:dyDescent="0.3">
      <c r="A3154" s="2" t="s">
        <v>6451</v>
      </c>
      <c r="B3154" s="2" t="s">
        <v>5</v>
      </c>
      <c r="C3154" s="2" t="s">
        <v>6452</v>
      </c>
      <c r="D3154" s="2" t="s">
        <v>6450</v>
      </c>
      <c r="E3154" s="2" t="str">
        <f>HYPERLINK("https://talan.bank.gov.ua/get-user-certificate/sec1e_MfWWknjuhvs_QI","Завантажити сертифікат")</f>
        <v>Завантажити сертифікат</v>
      </c>
    </row>
    <row r="3155" spans="1:5" x14ac:dyDescent="0.3">
      <c r="A3155" s="2" t="s">
        <v>6453</v>
      </c>
      <c r="B3155" s="2" t="s">
        <v>5</v>
      </c>
      <c r="C3155" s="2" t="s">
        <v>6454</v>
      </c>
      <c r="D3155" s="2" t="s">
        <v>6450</v>
      </c>
      <c r="E3155" s="2" t="str">
        <f>HYPERLINK("https://talan.bank.gov.ua/get-user-certificate/sec1egMphic9cvjJZrvy","Завантажити сертифікат")</f>
        <v>Завантажити сертифікат</v>
      </c>
    </row>
    <row r="3156" spans="1:5" x14ac:dyDescent="0.3">
      <c r="A3156" s="2" t="s">
        <v>6455</v>
      </c>
      <c r="B3156" s="2" t="s">
        <v>5</v>
      </c>
      <c r="C3156" s="2" t="s">
        <v>6456</v>
      </c>
      <c r="D3156" s="2" t="s">
        <v>6450</v>
      </c>
      <c r="E3156" s="2" t="str">
        <f>HYPERLINK("https://talan.bank.gov.ua/get-user-certificate/sec1eO7jiV1Iej29ae4U","Завантажити сертифікат")</f>
        <v>Завантажити сертифікат</v>
      </c>
    </row>
    <row r="3157" spans="1:5" x14ac:dyDescent="0.3">
      <c r="A3157" s="2" t="s">
        <v>6457</v>
      </c>
      <c r="B3157" s="2" t="s">
        <v>5</v>
      </c>
      <c r="C3157" s="2" t="s">
        <v>6458</v>
      </c>
      <c r="D3157" s="2" t="s">
        <v>6450</v>
      </c>
      <c r="E3157" s="2" t="str">
        <f>HYPERLINK("https://talan.bank.gov.ua/get-user-certificate/sec1eQYxSAwHcTDIeooC","Завантажити сертифікат")</f>
        <v>Завантажити сертифікат</v>
      </c>
    </row>
    <row r="3158" spans="1:5" x14ac:dyDescent="0.3">
      <c r="A3158" s="2" t="s">
        <v>6459</v>
      </c>
      <c r="B3158" s="2" t="s">
        <v>5</v>
      </c>
      <c r="C3158" s="2" t="s">
        <v>6460</v>
      </c>
      <c r="D3158" s="2" t="s">
        <v>6450</v>
      </c>
      <c r="E3158" s="2" t="str">
        <f>HYPERLINK("https://talan.bank.gov.ua/get-user-certificate/sec1e7f1t2t438ubJIA6","Завантажити сертифікат")</f>
        <v>Завантажити сертифікат</v>
      </c>
    </row>
    <row r="3159" spans="1:5" x14ac:dyDescent="0.3">
      <c r="A3159" s="2" t="s">
        <v>6461</v>
      </c>
      <c r="B3159" s="2" t="s">
        <v>5</v>
      </c>
      <c r="C3159" s="2" t="s">
        <v>6462</v>
      </c>
      <c r="D3159" s="2" t="s">
        <v>6450</v>
      </c>
      <c r="E3159" s="2" t="str">
        <f>HYPERLINK("https://talan.bank.gov.ua/get-user-certificate/sec1eahZtDBjqXb4MOng","Завантажити сертифікат")</f>
        <v>Завантажити сертифікат</v>
      </c>
    </row>
    <row r="3160" spans="1:5" x14ac:dyDescent="0.3">
      <c r="A3160" s="2" t="s">
        <v>6463</v>
      </c>
      <c r="B3160" s="2" t="s">
        <v>5</v>
      </c>
      <c r="C3160" s="2" t="s">
        <v>6464</v>
      </c>
      <c r="D3160" s="2" t="s">
        <v>6450</v>
      </c>
      <c r="E3160" s="2" t="str">
        <f>HYPERLINK("https://talan.bank.gov.ua/get-user-certificate/sec1ei4aYIVLzx3KkmDx","Завантажити сертифікат")</f>
        <v>Завантажити сертифікат</v>
      </c>
    </row>
    <row r="3161" spans="1:5" x14ac:dyDescent="0.3">
      <c r="A3161" s="2" t="s">
        <v>6465</v>
      </c>
      <c r="B3161" s="2" t="s">
        <v>5</v>
      </c>
      <c r="C3161" s="2" t="s">
        <v>6466</v>
      </c>
      <c r="D3161" s="2" t="s">
        <v>6450</v>
      </c>
      <c r="E3161" s="2" t="str">
        <f>HYPERLINK("https://talan.bank.gov.ua/get-user-certificate/sec1ea1EGlvAKQ2K9_Wt","Завантажити сертифікат")</f>
        <v>Завантажити сертифікат</v>
      </c>
    </row>
    <row r="3162" spans="1:5" x14ac:dyDescent="0.3">
      <c r="A3162" s="2" t="s">
        <v>6467</v>
      </c>
      <c r="B3162" s="2" t="s">
        <v>5</v>
      </c>
      <c r="C3162" s="2" t="s">
        <v>6468</v>
      </c>
      <c r="D3162" s="2" t="s">
        <v>6450</v>
      </c>
      <c r="E3162" s="2" t="str">
        <f>HYPERLINK("https://talan.bank.gov.ua/get-user-certificate/sec1eoyuWSw92XGQ9cuk","Завантажити сертифікат")</f>
        <v>Завантажити сертифікат</v>
      </c>
    </row>
    <row r="3163" spans="1:5" x14ac:dyDescent="0.3">
      <c r="A3163" s="2" t="s">
        <v>6469</v>
      </c>
      <c r="B3163" s="2" t="s">
        <v>5</v>
      </c>
      <c r="C3163" s="2" t="s">
        <v>6470</v>
      </c>
      <c r="D3163" s="2" t="s">
        <v>6450</v>
      </c>
      <c r="E3163" s="2" t="str">
        <f>HYPERLINK("https://talan.bank.gov.ua/get-user-certificate/sec1eXBSpgsmuqsJrvl3","Завантажити сертифікат")</f>
        <v>Завантажити сертифікат</v>
      </c>
    </row>
    <row r="3164" spans="1:5" x14ac:dyDescent="0.3">
      <c r="A3164" s="2" t="s">
        <v>6471</v>
      </c>
      <c r="B3164" s="2" t="s">
        <v>5</v>
      </c>
      <c r="C3164" s="2" t="s">
        <v>6472</v>
      </c>
      <c r="D3164" s="2" t="s">
        <v>6450</v>
      </c>
      <c r="E3164" s="2" t="str">
        <f>HYPERLINK("https://talan.bank.gov.ua/get-user-certificate/sec1e4zdYwBIbpccbE2I","Завантажити сертифікат")</f>
        <v>Завантажити сертифікат</v>
      </c>
    </row>
    <row r="3165" spans="1:5" x14ac:dyDescent="0.3">
      <c r="A3165" s="2" t="s">
        <v>6473</v>
      </c>
      <c r="B3165" s="2" t="s">
        <v>5</v>
      </c>
      <c r="C3165" s="2" t="s">
        <v>6474</v>
      </c>
      <c r="D3165" s="2" t="s">
        <v>6450</v>
      </c>
      <c r="E3165" s="2" t="str">
        <f>HYPERLINK("https://talan.bank.gov.ua/get-user-certificate/sec1eJW16qqYWFqEE5om","Завантажити сертифікат")</f>
        <v>Завантажити сертифікат</v>
      </c>
    </row>
    <row r="3166" spans="1:5" x14ac:dyDescent="0.3">
      <c r="A3166" s="2" t="s">
        <v>6475</v>
      </c>
      <c r="B3166" s="2" t="s">
        <v>5</v>
      </c>
      <c r="C3166" s="2" t="s">
        <v>6476</v>
      </c>
      <c r="D3166" s="2" t="s">
        <v>6450</v>
      </c>
      <c r="E3166" s="2" t="str">
        <f>HYPERLINK("https://talan.bank.gov.ua/get-user-certificate/sec1egEnX61nmzZgOI_F","Завантажити сертифікат")</f>
        <v>Завантажити сертифікат</v>
      </c>
    </row>
    <row r="3167" spans="1:5" x14ac:dyDescent="0.3">
      <c r="A3167" s="2" t="s">
        <v>6477</v>
      </c>
      <c r="B3167" s="2" t="s">
        <v>5</v>
      </c>
      <c r="C3167" s="2" t="s">
        <v>6478</v>
      </c>
      <c r="D3167" s="2" t="s">
        <v>6450</v>
      </c>
      <c r="E3167" s="2" t="str">
        <f>HYPERLINK("https://talan.bank.gov.ua/get-user-certificate/sec1el_e_B-os3BNtxOU","Завантажити сертифікат")</f>
        <v>Завантажити сертифікат</v>
      </c>
    </row>
    <row r="3168" spans="1:5" x14ac:dyDescent="0.3">
      <c r="A3168" s="2" t="s">
        <v>6479</v>
      </c>
      <c r="B3168" s="2" t="s">
        <v>5</v>
      </c>
      <c r="C3168" s="2" t="s">
        <v>6480</v>
      </c>
      <c r="D3168" s="2" t="s">
        <v>6450</v>
      </c>
      <c r="E3168" s="2" t="str">
        <f>HYPERLINK("https://talan.bank.gov.ua/get-user-certificate/sec1eDX8Tlj27JZ2ydr4","Завантажити сертифікат")</f>
        <v>Завантажити сертифікат</v>
      </c>
    </row>
    <row r="3169" spans="1:5" x14ac:dyDescent="0.3">
      <c r="A3169" s="2" t="s">
        <v>6481</v>
      </c>
      <c r="B3169" s="2" t="s">
        <v>5</v>
      </c>
      <c r="C3169" s="2" t="s">
        <v>6482</v>
      </c>
      <c r="D3169" s="2" t="s">
        <v>6450</v>
      </c>
      <c r="E3169" s="2" t="str">
        <f>HYPERLINK("https://talan.bank.gov.ua/get-user-certificate/sec1ebUhtinH_M82EFjD","Завантажити сертифікат")</f>
        <v>Завантажити сертифікат</v>
      </c>
    </row>
    <row r="3170" spans="1:5" x14ac:dyDescent="0.3">
      <c r="A3170" s="2" t="s">
        <v>6483</v>
      </c>
      <c r="B3170" s="2" t="s">
        <v>5</v>
      </c>
      <c r="C3170" s="2" t="s">
        <v>6484</v>
      </c>
      <c r="D3170" s="2" t="s">
        <v>6485</v>
      </c>
      <c r="E3170" s="2" t="str">
        <f>HYPERLINK("https://talan.bank.gov.ua/get-user-certificate/sec1eiUzwGk2VaUs5Rjm","Завантажити сертифікат")</f>
        <v>Завантажити сертифікат</v>
      </c>
    </row>
    <row r="3171" spans="1:5" x14ac:dyDescent="0.3">
      <c r="A3171" s="2" t="s">
        <v>6486</v>
      </c>
      <c r="B3171" s="2" t="s">
        <v>5</v>
      </c>
      <c r="C3171" s="2" t="s">
        <v>6487</v>
      </c>
      <c r="D3171" s="2" t="s">
        <v>6485</v>
      </c>
      <c r="E3171" s="2" t="str">
        <f>HYPERLINK("https://talan.bank.gov.ua/get-user-certificate/sec1e_M9ghaw7xal-V2-","Завантажити сертифікат")</f>
        <v>Завантажити сертифікат</v>
      </c>
    </row>
    <row r="3172" spans="1:5" x14ac:dyDescent="0.3">
      <c r="A3172" s="2" t="s">
        <v>6488</v>
      </c>
      <c r="B3172" s="2" t="s">
        <v>5</v>
      </c>
      <c r="C3172" s="2" t="s">
        <v>6489</v>
      </c>
      <c r="D3172" s="2" t="s">
        <v>6485</v>
      </c>
      <c r="E3172" s="2" t="str">
        <f>HYPERLINK("https://talan.bank.gov.ua/get-user-certificate/sec1eEEzVzSIJQFKWIm3","Завантажити сертифікат")</f>
        <v>Завантажити сертифікат</v>
      </c>
    </row>
    <row r="3173" spans="1:5" x14ac:dyDescent="0.3">
      <c r="A3173" s="2" t="s">
        <v>6490</v>
      </c>
      <c r="B3173" s="2" t="s">
        <v>5</v>
      </c>
      <c r="C3173" s="2" t="s">
        <v>6491</v>
      </c>
      <c r="D3173" s="2" t="s">
        <v>6485</v>
      </c>
      <c r="E3173" s="2" t="str">
        <f>HYPERLINK("https://talan.bank.gov.ua/get-user-certificate/sec1eyf0tMu_rKxTzA88","Завантажити сертифікат")</f>
        <v>Завантажити сертифікат</v>
      </c>
    </row>
    <row r="3174" spans="1:5" x14ac:dyDescent="0.3">
      <c r="A3174" s="2" t="s">
        <v>6492</v>
      </c>
      <c r="B3174" s="2" t="s">
        <v>5</v>
      </c>
      <c r="C3174" s="2" t="s">
        <v>6493</v>
      </c>
      <c r="D3174" s="2" t="s">
        <v>6485</v>
      </c>
      <c r="E3174" s="2" t="str">
        <f>HYPERLINK("https://talan.bank.gov.ua/get-user-certificate/sec1ed9do485BwiASTro","Завантажити сертифікат")</f>
        <v>Завантажити сертифікат</v>
      </c>
    </row>
    <row r="3175" spans="1:5" x14ac:dyDescent="0.3">
      <c r="A3175" s="2" t="s">
        <v>6494</v>
      </c>
      <c r="B3175" s="2" t="s">
        <v>5</v>
      </c>
      <c r="C3175" s="2" t="s">
        <v>6495</v>
      </c>
      <c r="D3175" s="2" t="s">
        <v>6485</v>
      </c>
      <c r="E3175" s="2" t="str">
        <f>HYPERLINK("https://talan.bank.gov.ua/get-user-certificate/sec1e2aZFkseAuM8dD2l","Завантажити сертифікат")</f>
        <v>Завантажити сертифікат</v>
      </c>
    </row>
    <row r="3176" spans="1:5" x14ac:dyDescent="0.3">
      <c r="A3176" s="2" t="s">
        <v>6496</v>
      </c>
      <c r="B3176" s="2" t="s">
        <v>5</v>
      </c>
      <c r="C3176" s="2" t="s">
        <v>6497</v>
      </c>
      <c r="D3176" s="2" t="s">
        <v>6485</v>
      </c>
      <c r="E3176" s="2" t="str">
        <f>HYPERLINK("https://talan.bank.gov.ua/get-user-certificate/sec1eeXqSMaRAEbvzoVP","Завантажити сертифікат")</f>
        <v>Завантажити сертифікат</v>
      </c>
    </row>
    <row r="3177" spans="1:5" x14ac:dyDescent="0.3">
      <c r="A3177" s="2" t="s">
        <v>6498</v>
      </c>
      <c r="B3177" s="2" t="s">
        <v>5</v>
      </c>
      <c r="C3177" s="2" t="s">
        <v>6499</v>
      </c>
      <c r="D3177" s="2" t="s">
        <v>6485</v>
      </c>
      <c r="E3177" s="2" t="str">
        <f>HYPERLINK("https://talan.bank.gov.ua/get-user-certificate/sec1e9rJLye49w6fd7it","Завантажити сертифікат")</f>
        <v>Завантажити сертифікат</v>
      </c>
    </row>
    <row r="3178" spans="1:5" x14ac:dyDescent="0.3">
      <c r="A3178" s="2" t="s">
        <v>6500</v>
      </c>
      <c r="B3178" s="2" t="s">
        <v>5</v>
      </c>
      <c r="C3178" s="2" t="s">
        <v>6501</v>
      </c>
      <c r="D3178" s="2" t="s">
        <v>6502</v>
      </c>
      <c r="E3178" s="2" t="str">
        <f>HYPERLINK("https://talan.bank.gov.ua/get-user-certificate/sec1enIN9MliE_fUmLpp","Завантажити сертифікат")</f>
        <v>Завантажити сертифікат</v>
      </c>
    </row>
    <row r="3179" spans="1:5" x14ac:dyDescent="0.3">
      <c r="A3179" s="2" t="s">
        <v>6503</v>
      </c>
      <c r="B3179" s="2" t="s">
        <v>5</v>
      </c>
      <c r="C3179" s="2" t="s">
        <v>6504</v>
      </c>
      <c r="D3179" s="2" t="s">
        <v>6502</v>
      </c>
      <c r="E3179" s="2" t="str">
        <f>HYPERLINK("https://talan.bank.gov.ua/get-user-certificate/sec1ejJpZvUzDrxMBP7V","Завантажити сертифікат")</f>
        <v>Завантажити сертифікат</v>
      </c>
    </row>
    <row r="3180" spans="1:5" x14ac:dyDescent="0.3">
      <c r="A3180" s="2" t="s">
        <v>6505</v>
      </c>
      <c r="B3180" s="2" t="s">
        <v>5</v>
      </c>
      <c r="C3180" s="2" t="s">
        <v>6506</v>
      </c>
      <c r="D3180" s="2" t="s">
        <v>6502</v>
      </c>
      <c r="E3180" s="2" t="str">
        <f>HYPERLINK("https://talan.bank.gov.ua/get-user-certificate/sec1ezR5NDMn0ayZF3y2","Завантажити сертифікат")</f>
        <v>Завантажити сертифікат</v>
      </c>
    </row>
    <row r="3181" spans="1:5" x14ac:dyDescent="0.3">
      <c r="A3181" s="2" t="s">
        <v>6507</v>
      </c>
      <c r="B3181" s="2" t="s">
        <v>5</v>
      </c>
      <c r="C3181" s="2" t="s">
        <v>6508</v>
      </c>
      <c r="D3181" s="2" t="s">
        <v>6502</v>
      </c>
      <c r="E3181" s="2" t="str">
        <f>HYPERLINK("https://talan.bank.gov.ua/get-user-certificate/sec1ep5PNdBByFHsAff_","Завантажити сертифікат")</f>
        <v>Завантажити сертифікат</v>
      </c>
    </row>
    <row r="3182" spans="1:5" x14ac:dyDescent="0.3">
      <c r="A3182" s="2" t="s">
        <v>6509</v>
      </c>
      <c r="B3182" s="2" t="s">
        <v>5</v>
      </c>
      <c r="C3182" s="2" t="s">
        <v>6510</v>
      </c>
      <c r="D3182" s="2" t="s">
        <v>6502</v>
      </c>
      <c r="E3182" s="2" t="str">
        <f>HYPERLINK("https://talan.bank.gov.ua/get-user-certificate/sec1erL1w86JhW4ocsPr","Завантажити сертифікат")</f>
        <v>Завантажити сертифікат</v>
      </c>
    </row>
    <row r="3183" spans="1:5" x14ac:dyDescent="0.3">
      <c r="A3183" s="2" t="s">
        <v>6511</v>
      </c>
      <c r="B3183" s="2" t="s">
        <v>5</v>
      </c>
      <c r="C3183" s="2" t="s">
        <v>6512</v>
      </c>
      <c r="D3183" s="2" t="s">
        <v>6502</v>
      </c>
      <c r="E3183" s="2" t="str">
        <f>HYPERLINK("https://talan.bank.gov.ua/get-user-certificate/sec1eW4iShIpQf8RM7Ek","Завантажити сертифікат")</f>
        <v>Завантажити сертифікат</v>
      </c>
    </row>
    <row r="3184" spans="1:5" x14ac:dyDescent="0.3">
      <c r="A3184" s="2" t="s">
        <v>6513</v>
      </c>
      <c r="B3184" s="2" t="s">
        <v>5</v>
      </c>
      <c r="C3184" s="2" t="s">
        <v>6514</v>
      </c>
      <c r="D3184" s="2" t="s">
        <v>6502</v>
      </c>
      <c r="E3184" s="2" t="str">
        <f>HYPERLINK("https://talan.bank.gov.ua/get-user-certificate/sec1eKdtwzVdGLXO5Wes","Завантажити сертифікат")</f>
        <v>Завантажити сертифікат</v>
      </c>
    </row>
    <row r="3185" spans="1:5" x14ac:dyDescent="0.3">
      <c r="A3185" s="2" t="s">
        <v>6515</v>
      </c>
      <c r="B3185" s="2" t="s">
        <v>5</v>
      </c>
      <c r="C3185" s="2" t="s">
        <v>6516</v>
      </c>
      <c r="D3185" s="2" t="s">
        <v>6502</v>
      </c>
      <c r="E3185" s="2" t="str">
        <f>HYPERLINK("https://talan.bank.gov.ua/get-user-certificate/sec1ezWvkSrxwW0u8_UO","Завантажити сертифікат")</f>
        <v>Завантажити сертифікат</v>
      </c>
    </row>
    <row r="3186" spans="1:5" x14ac:dyDescent="0.3">
      <c r="A3186" s="2" t="s">
        <v>6517</v>
      </c>
      <c r="B3186" s="2" t="s">
        <v>5</v>
      </c>
      <c r="C3186" s="2" t="s">
        <v>6518</v>
      </c>
      <c r="D3186" s="2" t="s">
        <v>6502</v>
      </c>
      <c r="E3186" s="2" t="str">
        <f>HYPERLINK("https://talan.bank.gov.ua/get-user-certificate/sec1eOOy-4EGaZnrdO6C","Завантажити сертифікат")</f>
        <v>Завантажити сертифікат</v>
      </c>
    </row>
    <row r="3187" spans="1:5" x14ac:dyDescent="0.3">
      <c r="A3187" s="2" t="s">
        <v>6519</v>
      </c>
      <c r="B3187" s="2" t="s">
        <v>5</v>
      </c>
      <c r="C3187" s="2" t="s">
        <v>6520</v>
      </c>
      <c r="D3187" s="2" t="s">
        <v>6502</v>
      </c>
      <c r="E3187" s="2" t="str">
        <f>HYPERLINK("https://talan.bank.gov.ua/get-user-certificate/sec1e3eP15jsrlmWCajg","Завантажити сертифікат")</f>
        <v>Завантажити сертифікат</v>
      </c>
    </row>
    <row r="3188" spans="1:5" x14ac:dyDescent="0.3">
      <c r="A3188" s="2" t="s">
        <v>6521</v>
      </c>
      <c r="B3188" s="2" t="s">
        <v>5</v>
      </c>
      <c r="C3188" s="2" t="s">
        <v>6522</v>
      </c>
      <c r="D3188" s="2" t="s">
        <v>6502</v>
      </c>
      <c r="E3188" s="2" t="str">
        <f>HYPERLINK("https://talan.bank.gov.ua/get-user-certificate/sec1equqqh6MbIYOhbPz","Завантажити сертифікат")</f>
        <v>Завантажити сертифікат</v>
      </c>
    </row>
    <row r="3189" spans="1:5" x14ac:dyDescent="0.3">
      <c r="A3189" s="2" t="s">
        <v>6523</v>
      </c>
      <c r="B3189" s="2" t="s">
        <v>5</v>
      </c>
      <c r="C3189" s="2" t="s">
        <v>6524</v>
      </c>
      <c r="D3189" s="2" t="s">
        <v>6502</v>
      </c>
      <c r="E3189" s="2" t="str">
        <f>HYPERLINK("https://talan.bank.gov.ua/get-user-certificate/sec1eC6TEJvuFe3P7X7l","Завантажити сертифікат")</f>
        <v>Завантажити сертифікат</v>
      </c>
    </row>
    <row r="3190" spans="1:5" x14ac:dyDescent="0.3">
      <c r="A3190" s="2" t="s">
        <v>6525</v>
      </c>
      <c r="B3190" s="2" t="s">
        <v>5</v>
      </c>
      <c r="C3190" s="2" t="s">
        <v>6526</v>
      </c>
      <c r="D3190" s="2" t="s">
        <v>6502</v>
      </c>
      <c r="E3190" s="2" t="str">
        <f>HYPERLINK("https://talan.bank.gov.ua/get-user-certificate/sec1e1xS1ygfOt-4B0Bq","Завантажити сертифікат")</f>
        <v>Завантажити сертифікат</v>
      </c>
    </row>
    <row r="3191" spans="1:5" x14ac:dyDescent="0.3">
      <c r="A3191" s="2" t="s">
        <v>6527</v>
      </c>
      <c r="B3191" s="2" t="s">
        <v>5</v>
      </c>
      <c r="C3191" s="2" t="s">
        <v>6528</v>
      </c>
      <c r="D3191" s="2" t="s">
        <v>6502</v>
      </c>
      <c r="E3191" s="2" t="str">
        <f>HYPERLINK("https://talan.bank.gov.ua/get-user-certificate/sec1eSi9o2MqGxZVVfL5","Завантажити сертифікат")</f>
        <v>Завантажити сертифікат</v>
      </c>
    </row>
    <row r="3192" spans="1:5" x14ac:dyDescent="0.3">
      <c r="A3192" s="2" t="s">
        <v>6529</v>
      </c>
      <c r="B3192" s="2" t="s">
        <v>5</v>
      </c>
      <c r="C3192" s="2" t="s">
        <v>6530</v>
      </c>
      <c r="D3192" s="2" t="s">
        <v>6502</v>
      </c>
      <c r="E3192" s="2" t="str">
        <f>HYPERLINK("https://talan.bank.gov.ua/get-user-certificate/sec1eJPzjUF83T9W-fTA","Завантажити сертифікат")</f>
        <v>Завантажити сертифікат</v>
      </c>
    </row>
    <row r="3193" spans="1:5" x14ac:dyDescent="0.3">
      <c r="A3193" s="2" t="s">
        <v>6531</v>
      </c>
      <c r="B3193" s="2" t="s">
        <v>5</v>
      </c>
      <c r="C3193" s="2" t="s">
        <v>6532</v>
      </c>
      <c r="D3193" s="2" t="s">
        <v>6502</v>
      </c>
      <c r="E3193" s="2" t="str">
        <f>HYPERLINK("https://talan.bank.gov.ua/get-user-certificate/sec1e5wL-bE70ccAsnuH","Завантажити сертифікат")</f>
        <v>Завантажити сертифікат</v>
      </c>
    </row>
    <row r="3194" spans="1:5" x14ac:dyDescent="0.3">
      <c r="A3194" s="2" t="s">
        <v>6533</v>
      </c>
      <c r="B3194" s="2" t="s">
        <v>5</v>
      </c>
      <c r="C3194" s="2" t="s">
        <v>6534</v>
      </c>
      <c r="D3194" s="2" t="s">
        <v>6502</v>
      </c>
      <c r="E3194" s="2" t="str">
        <f>HYPERLINK("https://talan.bank.gov.ua/get-user-certificate/sec1ewtoPpYC-8qXwnZD","Завантажити сертифікат")</f>
        <v>Завантажити сертифікат</v>
      </c>
    </row>
    <row r="3195" spans="1:5" x14ac:dyDescent="0.3">
      <c r="A3195" s="2" t="s">
        <v>6535</v>
      </c>
      <c r="B3195" s="2" t="s">
        <v>5</v>
      </c>
      <c r="C3195" s="2" t="s">
        <v>6536</v>
      </c>
      <c r="D3195" s="2" t="s">
        <v>6502</v>
      </c>
      <c r="E3195" s="2" t="str">
        <f>HYPERLINK("https://talan.bank.gov.ua/get-user-certificate/sec1egzDFmD0qvd6biDG","Завантажити сертифікат")</f>
        <v>Завантажити сертифікат</v>
      </c>
    </row>
    <row r="3196" spans="1:5" x14ac:dyDescent="0.3">
      <c r="A3196" s="2" t="s">
        <v>6537</v>
      </c>
      <c r="B3196" s="2" t="s">
        <v>5</v>
      </c>
      <c r="C3196" s="2" t="s">
        <v>6538</v>
      </c>
      <c r="D3196" s="2" t="s">
        <v>6502</v>
      </c>
      <c r="E3196" s="2" t="str">
        <f>HYPERLINK("https://talan.bank.gov.ua/get-user-certificate/sec1e7F8JFh73kISFp1_","Завантажити сертифікат")</f>
        <v>Завантажити сертифікат</v>
      </c>
    </row>
    <row r="3197" spans="1:5" x14ac:dyDescent="0.3">
      <c r="A3197" s="2" t="s">
        <v>6539</v>
      </c>
      <c r="B3197" s="2" t="s">
        <v>5</v>
      </c>
      <c r="C3197" s="2" t="s">
        <v>6540</v>
      </c>
      <c r="D3197" s="2" t="s">
        <v>6502</v>
      </c>
      <c r="E3197" s="2" t="str">
        <f>HYPERLINK("https://talan.bank.gov.ua/get-user-certificate/sec1eJR-5whdo__Nl--x","Завантажити сертифікат")</f>
        <v>Завантажити сертифікат</v>
      </c>
    </row>
    <row r="3198" spans="1:5" x14ac:dyDescent="0.3">
      <c r="A3198" s="2" t="s">
        <v>6541</v>
      </c>
      <c r="B3198" s="2" t="s">
        <v>5</v>
      </c>
      <c r="C3198" s="2" t="s">
        <v>6542</v>
      </c>
      <c r="D3198" s="2" t="s">
        <v>6502</v>
      </c>
      <c r="E3198" s="2" t="str">
        <f>HYPERLINK("https://talan.bank.gov.ua/get-user-certificate/sec1e6Hv1GAKmz8hZErv","Завантажити сертифікат")</f>
        <v>Завантажити сертифікат</v>
      </c>
    </row>
    <row r="3199" spans="1:5" x14ac:dyDescent="0.3">
      <c r="A3199" s="2" t="s">
        <v>6543</v>
      </c>
      <c r="B3199" s="2" t="s">
        <v>5</v>
      </c>
      <c r="C3199" s="2" t="s">
        <v>6544</v>
      </c>
      <c r="D3199" s="2" t="s">
        <v>6502</v>
      </c>
      <c r="E3199" s="2" t="str">
        <f>HYPERLINK("https://talan.bank.gov.ua/get-user-certificate/sec1ezsWcLEJfQDZv5fm","Завантажити сертифікат")</f>
        <v>Завантажити сертифікат</v>
      </c>
    </row>
    <row r="3200" spans="1:5" x14ac:dyDescent="0.3">
      <c r="A3200" s="2" t="s">
        <v>6545</v>
      </c>
      <c r="B3200" s="2" t="s">
        <v>5</v>
      </c>
      <c r="C3200" s="2" t="s">
        <v>6546</v>
      </c>
      <c r="D3200" s="2" t="s">
        <v>6502</v>
      </c>
      <c r="E3200" s="2" t="str">
        <f>HYPERLINK("https://talan.bank.gov.ua/get-user-certificate/sec1ezpUwJ6F_0Gw_NCh","Завантажити сертифікат")</f>
        <v>Завантажити сертифікат</v>
      </c>
    </row>
    <row r="3201" spans="1:5" x14ac:dyDescent="0.3">
      <c r="A3201" s="2" t="s">
        <v>6547</v>
      </c>
      <c r="B3201" s="2" t="s">
        <v>5</v>
      </c>
      <c r="C3201" s="2" t="s">
        <v>6548</v>
      </c>
      <c r="D3201" s="2" t="s">
        <v>6502</v>
      </c>
      <c r="E3201" s="2" t="str">
        <f>HYPERLINK("https://talan.bank.gov.ua/get-user-certificate/sec1ekGiUm-_2FKfJSOj","Завантажити сертифікат")</f>
        <v>Завантажити сертифікат</v>
      </c>
    </row>
    <row r="3202" spans="1:5" x14ac:dyDescent="0.3">
      <c r="A3202" s="2" t="s">
        <v>6549</v>
      </c>
      <c r="B3202" s="2" t="s">
        <v>5</v>
      </c>
      <c r="C3202" s="2" t="s">
        <v>6550</v>
      </c>
      <c r="D3202" s="2" t="s">
        <v>6502</v>
      </c>
      <c r="E3202" s="2" t="str">
        <f>HYPERLINK("https://talan.bank.gov.ua/get-user-certificate/sec1eYueLKvq8hZmwWpa","Завантажити сертифікат")</f>
        <v>Завантажити сертифікат</v>
      </c>
    </row>
    <row r="3203" spans="1:5" x14ac:dyDescent="0.3">
      <c r="A3203" s="2" t="s">
        <v>6551</v>
      </c>
      <c r="B3203" s="2" t="s">
        <v>5</v>
      </c>
      <c r="C3203" s="2" t="s">
        <v>6552</v>
      </c>
      <c r="D3203" s="2" t="s">
        <v>6502</v>
      </c>
      <c r="E3203" s="2" t="str">
        <f>HYPERLINK("https://talan.bank.gov.ua/get-user-certificate/sec1eA2R-p8vuRGofnmO","Завантажити сертифікат")</f>
        <v>Завантажити сертифікат</v>
      </c>
    </row>
    <row r="3204" spans="1:5" x14ac:dyDescent="0.3">
      <c r="A3204" s="2" t="s">
        <v>6553</v>
      </c>
      <c r="B3204" s="2" t="s">
        <v>5</v>
      </c>
      <c r="C3204" s="2" t="s">
        <v>6554</v>
      </c>
      <c r="D3204" s="2" t="s">
        <v>6502</v>
      </c>
      <c r="E3204" s="2" t="str">
        <f>HYPERLINK("https://talan.bank.gov.ua/get-user-certificate/sec1eQ5hkYkSUKis3kFn","Завантажити сертифікат")</f>
        <v>Завантажити сертифікат</v>
      </c>
    </row>
    <row r="3205" spans="1:5" x14ac:dyDescent="0.3">
      <c r="A3205" s="2" t="s">
        <v>6555</v>
      </c>
      <c r="B3205" s="2" t="s">
        <v>5</v>
      </c>
      <c r="C3205" s="2" t="s">
        <v>6556</v>
      </c>
      <c r="D3205" s="2" t="s">
        <v>6502</v>
      </c>
      <c r="E3205" s="2" t="str">
        <f>HYPERLINK("https://talan.bank.gov.ua/get-user-certificate/sec1ezllhjxyFFfU-bgS","Завантажити сертифікат")</f>
        <v>Завантажити сертифікат</v>
      </c>
    </row>
    <row r="3206" spans="1:5" x14ac:dyDescent="0.3">
      <c r="A3206" s="2" t="s">
        <v>6557</v>
      </c>
      <c r="B3206" s="2" t="s">
        <v>5</v>
      </c>
      <c r="C3206" s="2" t="s">
        <v>6558</v>
      </c>
      <c r="D3206" s="2" t="s">
        <v>6502</v>
      </c>
      <c r="E3206" s="2" t="str">
        <f>HYPERLINK("https://talan.bank.gov.ua/get-user-certificate/sec1efjyGzHcNsxQI4Ek","Завантажити сертифікат")</f>
        <v>Завантажити сертифікат</v>
      </c>
    </row>
    <row r="3207" spans="1:5" x14ac:dyDescent="0.3">
      <c r="A3207" s="2" t="s">
        <v>6559</v>
      </c>
      <c r="B3207" s="2" t="s">
        <v>5</v>
      </c>
      <c r="C3207" s="2" t="s">
        <v>6560</v>
      </c>
      <c r="D3207" s="2" t="s">
        <v>6502</v>
      </c>
      <c r="E3207" s="2" t="str">
        <f>HYPERLINK("https://talan.bank.gov.ua/get-user-certificate/sec1end8JahmeYVGsEiF","Завантажити сертифікат")</f>
        <v>Завантажити сертифікат</v>
      </c>
    </row>
    <row r="3208" spans="1:5" x14ac:dyDescent="0.3">
      <c r="A3208" s="2" t="s">
        <v>6561</v>
      </c>
      <c r="B3208" s="2" t="s">
        <v>5</v>
      </c>
      <c r="C3208" s="2" t="s">
        <v>6562</v>
      </c>
      <c r="D3208" s="2" t="s">
        <v>6502</v>
      </c>
      <c r="E3208" s="2" t="str">
        <f>HYPERLINK("https://talan.bank.gov.ua/get-user-certificate/sec1esg1lXZNhx73860k","Завантажити сертифікат")</f>
        <v>Завантажити сертифікат</v>
      </c>
    </row>
    <row r="3209" spans="1:5" x14ac:dyDescent="0.3">
      <c r="A3209" s="2" t="s">
        <v>6563</v>
      </c>
      <c r="B3209" s="2" t="s">
        <v>5</v>
      </c>
      <c r="C3209" s="2" t="s">
        <v>6564</v>
      </c>
      <c r="D3209" s="2" t="s">
        <v>6502</v>
      </c>
      <c r="E3209" s="2" t="str">
        <f>HYPERLINK("https://talan.bank.gov.ua/get-user-certificate/sec1epmLKlkAl8UmCfqY","Завантажити сертифікат")</f>
        <v>Завантажити сертифікат</v>
      </c>
    </row>
    <row r="3210" spans="1:5" x14ac:dyDescent="0.3">
      <c r="A3210" s="2" t="s">
        <v>6565</v>
      </c>
      <c r="B3210" s="2" t="s">
        <v>5</v>
      </c>
      <c r="C3210" s="2" t="s">
        <v>6566</v>
      </c>
      <c r="D3210" s="2" t="s">
        <v>6502</v>
      </c>
      <c r="E3210" s="2" t="str">
        <f>HYPERLINK("https://talan.bank.gov.ua/get-user-certificate/sec1eJfy4DgXJVRtItFp","Завантажити сертифікат")</f>
        <v>Завантажити сертифікат</v>
      </c>
    </row>
    <row r="3211" spans="1:5" x14ac:dyDescent="0.3">
      <c r="A3211" s="2" t="s">
        <v>6567</v>
      </c>
      <c r="B3211" s="2" t="s">
        <v>5</v>
      </c>
      <c r="C3211" s="2" t="s">
        <v>6568</v>
      </c>
      <c r="D3211" s="2" t="s">
        <v>6502</v>
      </c>
      <c r="E3211" s="2" t="str">
        <f>HYPERLINK("https://talan.bank.gov.ua/get-user-certificate/sec1e6HY3Rc1a5z6VD5r","Завантажити сертифікат")</f>
        <v>Завантажити сертифікат</v>
      </c>
    </row>
    <row r="3212" spans="1:5" x14ac:dyDescent="0.3">
      <c r="A3212" s="2" t="s">
        <v>6569</v>
      </c>
      <c r="B3212" s="2" t="s">
        <v>5</v>
      </c>
      <c r="C3212" s="2" t="s">
        <v>6570</v>
      </c>
      <c r="D3212" s="2" t="s">
        <v>6502</v>
      </c>
      <c r="E3212" s="2" t="str">
        <f>HYPERLINK("https://talan.bank.gov.ua/get-user-certificate/sec1eaVwoRpjJPWcOzW_","Завантажити сертифікат")</f>
        <v>Завантажити сертифікат</v>
      </c>
    </row>
    <row r="3213" spans="1:5" x14ac:dyDescent="0.3">
      <c r="A3213" s="2" t="s">
        <v>6571</v>
      </c>
      <c r="B3213" s="2" t="s">
        <v>5</v>
      </c>
      <c r="C3213" s="2" t="s">
        <v>6572</v>
      </c>
      <c r="D3213" s="2" t="s">
        <v>6502</v>
      </c>
      <c r="E3213" s="2" t="str">
        <f>HYPERLINK("https://talan.bank.gov.ua/get-user-certificate/sec1eSZ2FS9iLE8dnkLL","Завантажити сертифікат")</f>
        <v>Завантажити сертифікат</v>
      </c>
    </row>
    <row r="3214" spans="1:5" x14ac:dyDescent="0.3">
      <c r="A3214" s="2" t="s">
        <v>6573</v>
      </c>
      <c r="B3214" s="2" t="s">
        <v>5</v>
      </c>
      <c r="C3214" s="2" t="s">
        <v>6574</v>
      </c>
      <c r="D3214" s="2" t="s">
        <v>6502</v>
      </c>
      <c r="E3214" s="2" t="str">
        <f>HYPERLINK("https://talan.bank.gov.ua/get-user-certificate/sec1ehWsARmjtyCDMEwP","Завантажити сертифікат")</f>
        <v>Завантажити сертифікат</v>
      </c>
    </row>
    <row r="3215" spans="1:5" x14ac:dyDescent="0.3">
      <c r="A3215" s="2" t="s">
        <v>6575</v>
      </c>
      <c r="B3215" s="2" t="s">
        <v>5</v>
      </c>
      <c r="C3215" s="2" t="s">
        <v>6576</v>
      </c>
      <c r="D3215" s="2" t="s">
        <v>6502</v>
      </c>
      <c r="E3215" s="2" t="str">
        <f>HYPERLINK("https://talan.bank.gov.ua/get-user-certificate/sec1e4MDJT3scuWpUaZw","Завантажити сертифікат")</f>
        <v>Завантажити сертифікат</v>
      </c>
    </row>
    <row r="3216" spans="1:5" x14ac:dyDescent="0.3">
      <c r="A3216" s="2" t="s">
        <v>6577</v>
      </c>
      <c r="B3216" s="2" t="s">
        <v>5</v>
      </c>
      <c r="C3216" s="2" t="s">
        <v>6578</v>
      </c>
      <c r="D3216" s="2" t="s">
        <v>6502</v>
      </c>
      <c r="E3216" s="2" t="str">
        <f>HYPERLINK("https://talan.bank.gov.ua/get-user-certificate/sec1eQ4xYFcfGYovOI2p","Завантажити сертифікат")</f>
        <v>Завантажити сертифікат</v>
      </c>
    </row>
    <row r="3217" spans="1:5" x14ac:dyDescent="0.3">
      <c r="A3217" s="2" t="s">
        <v>6579</v>
      </c>
      <c r="B3217" s="2" t="s">
        <v>5</v>
      </c>
      <c r="C3217" s="2" t="s">
        <v>6580</v>
      </c>
      <c r="D3217" s="2" t="s">
        <v>6502</v>
      </c>
      <c r="E3217" s="2" t="str">
        <f>HYPERLINK("https://talan.bank.gov.ua/get-user-certificate/sec1eBaniNcka4slAkBX","Завантажити сертифікат")</f>
        <v>Завантажити сертифікат</v>
      </c>
    </row>
    <row r="3218" spans="1:5" x14ac:dyDescent="0.3">
      <c r="A3218" s="2" t="s">
        <v>6581</v>
      </c>
      <c r="B3218" s="2" t="s">
        <v>5</v>
      </c>
      <c r="C3218" s="2" t="s">
        <v>6582</v>
      </c>
      <c r="D3218" s="2" t="s">
        <v>6583</v>
      </c>
      <c r="E3218" s="2" t="str">
        <f>HYPERLINK("https://talan.bank.gov.ua/get-user-certificate/sec1e73seGKHN6a81XHz","Завантажити сертифікат")</f>
        <v>Завантажити сертифікат</v>
      </c>
    </row>
    <row r="3219" spans="1:5" x14ac:dyDescent="0.3">
      <c r="A3219" s="2" t="s">
        <v>6584</v>
      </c>
      <c r="B3219" s="2" t="s">
        <v>5</v>
      </c>
      <c r="C3219" s="2" t="s">
        <v>6585</v>
      </c>
      <c r="D3219" s="2" t="s">
        <v>6583</v>
      </c>
      <c r="E3219" s="2" t="str">
        <f>HYPERLINK("https://talan.bank.gov.ua/get-user-certificate/sec1elAmGMmnsBDJq8sQ","Завантажити сертифікат")</f>
        <v>Завантажити сертифікат</v>
      </c>
    </row>
    <row r="3220" spans="1:5" x14ac:dyDescent="0.3">
      <c r="A3220" s="2" t="s">
        <v>6586</v>
      </c>
      <c r="B3220" s="2" t="s">
        <v>5</v>
      </c>
      <c r="C3220" s="2" t="s">
        <v>6587</v>
      </c>
      <c r="D3220" s="2" t="s">
        <v>6583</v>
      </c>
      <c r="E3220" s="2" t="str">
        <f>HYPERLINK("https://talan.bank.gov.ua/get-user-certificate/sec1eZPpnFa18oTdRaXd","Завантажити сертифікат")</f>
        <v>Завантажити сертифікат</v>
      </c>
    </row>
    <row r="3221" spans="1:5" x14ac:dyDescent="0.3">
      <c r="A3221" s="2" t="s">
        <v>6588</v>
      </c>
      <c r="B3221" s="2" t="s">
        <v>5</v>
      </c>
      <c r="C3221" s="2" t="s">
        <v>6589</v>
      </c>
      <c r="D3221" s="2" t="s">
        <v>6583</v>
      </c>
      <c r="E3221" s="2" t="str">
        <f>HYPERLINK("https://talan.bank.gov.ua/get-user-certificate/sec1eU-ReRlCITcA0gD4","Завантажити сертифікат")</f>
        <v>Завантажити сертифікат</v>
      </c>
    </row>
    <row r="3222" spans="1:5" x14ac:dyDescent="0.3">
      <c r="A3222" s="2" t="s">
        <v>6590</v>
      </c>
      <c r="B3222" s="2" t="s">
        <v>5</v>
      </c>
      <c r="C3222" s="2" t="s">
        <v>6591</v>
      </c>
      <c r="D3222" s="2" t="s">
        <v>6583</v>
      </c>
      <c r="E3222" s="2" t="str">
        <f>HYPERLINK("https://talan.bank.gov.ua/get-user-certificate/sec1ey2ogikJGgv5YkIW","Завантажити сертифікат")</f>
        <v>Завантажити сертифікат</v>
      </c>
    </row>
    <row r="3223" spans="1:5" x14ac:dyDescent="0.3">
      <c r="A3223" s="2" t="s">
        <v>6592</v>
      </c>
      <c r="B3223" s="2" t="s">
        <v>5</v>
      </c>
      <c r="C3223" s="2" t="s">
        <v>6593</v>
      </c>
      <c r="D3223" s="2" t="s">
        <v>6583</v>
      </c>
      <c r="E3223" s="2" t="str">
        <f>HYPERLINK("https://talan.bank.gov.ua/get-user-certificate/sec1evHxSsG-Mb5cUcbS","Завантажити сертифікат")</f>
        <v>Завантажити сертифікат</v>
      </c>
    </row>
    <row r="3224" spans="1:5" x14ac:dyDescent="0.3">
      <c r="A3224" s="2" t="s">
        <v>6594</v>
      </c>
      <c r="B3224" s="2" t="s">
        <v>5</v>
      </c>
      <c r="C3224" s="2" t="s">
        <v>6595</v>
      </c>
      <c r="D3224" s="2" t="s">
        <v>6583</v>
      </c>
      <c r="E3224" s="2" t="str">
        <f>HYPERLINK("https://talan.bank.gov.ua/get-user-certificate/sec1eoqEY5T_Euo4iBXM","Завантажити сертифікат")</f>
        <v>Завантажити сертифікат</v>
      </c>
    </row>
    <row r="3225" spans="1:5" x14ac:dyDescent="0.3">
      <c r="A3225" s="2" t="s">
        <v>6596</v>
      </c>
      <c r="B3225" s="2" t="s">
        <v>5</v>
      </c>
      <c r="C3225" s="2" t="s">
        <v>6597</v>
      </c>
      <c r="D3225" s="2" t="s">
        <v>6583</v>
      </c>
      <c r="E3225" s="2" t="str">
        <f>HYPERLINK("https://talan.bank.gov.ua/get-user-certificate/sec1elRiDG4n0YiULifR","Завантажити сертифікат")</f>
        <v>Завантажити сертифікат</v>
      </c>
    </row>
    <row r="3226" spans="1:5" x14ac:dyDescent="0.3">
      <c r="A3226" s="2" t="s">
        <v>6598</v>
      </c>
      <c r="B3226" s="2" t="s">
        <v>5</v>
      </c>
      <c r="C3226" s="2" t="s">
        <v>6599</v>
      </c>
      <c r="D3226" s="2" t="s">
        <v>6583</v>
      </c>
      <c r="E3226" s="2" t="str">
        <f>HYPERLINK("https://talan.bank.gov.ua/get-user-certificate/sec1ergRagYdKck_-9sX","Завантажити сертифікат")</f>
        <v>Завантажити сертифікат</v>
      </c>
    </row>
    <row r="3227" spans="1:5" x14ac:dyDescent="0.3">
      <c r="A3227" s="2" t="s">
        <v>6600</v>
      </c>
      <c r="B3227" s="2" t="s">
        <v>5</v>
      </c>
      <c r="C3227" s="2" t="s">
        <v>6601</v>
      </c>
      <c r="D3227" s="2" t="s">
        <v>6583</v>
      </c>
      <c r="E3227" s="2" t="str">
        <f>HYPERLINK("https://talan.bank.gov.ua/get-user-certificate/sec1e9jVwCVOCfBrLjNL","Завантажити сертифікат")</f>
        <v>Завантажити сертифікат</v>
      </c>
    </row>
    <row r="3228" spans="1:5" x14ac:dyDescent="0.3">
      <c r="A3228" s="2" t="s">
        <v>6602</v>
      </c>
      <c r="B3228" s="2" t="s">
        <v>5</v>
      </c>
      <c r="C3228" s="2" t="s">
        <v>6603</v>
      </c>
      <c r="D3228" s="2" t="s">
        <v>6583</v>
      </c>
      <c r="E3228" s="2" t="str">
        <f>HYPERLINK("https://talan.bank.gov.ua/get-user-certificate/sec1egzK0xSKs1XvzSuZ","Завантажити сертифікат")</f>
        <v>Завантажити сертифікат</v>
      </c>
    </row>
    <row r="3229" spans="1:5" x14ac:dyDescent="0.3">
      <c r="A3229" s="2" t="s">
        <v>6604</v>
      </c>
      <c r="B3229" s="2" t="s">
        <v>5</v>
      </c>
      <c r="C3229" s="2" t="s">
        <v>6605</v>
      </c>
      <c r="D3229" s="2" t="s">
        <v>6583</v>
      </c>
      <c r="E3229" s="2" t="str">
        <f>HYPERLINK("https://talan.bank.gov.ua/get-user-certificate/sec1e_ZIxiNmmHACJj38","Завантажити сертифікат")</f>
        <v>Завантажити сертифікат</v>
      </c>
    </row>
    <row r="3230" spans="1:5" x14ac:dyDescent="0.3">
      <c r="A3230" s="2" t="s">
        <v>6606</v>
      </c>
      <c r="B3230" s="2" t="s">
        <v>5</v>
      </c>
      <c r="C3230" s="2" t="s">
        <v>6607</v>
      </c>
      <c r="D3230" s="2" t="s">
        <v>6583</v>
      </c>
      <c r="E3230" s="2" t="str">
        <f>HYPERLINK("https://talan.bank.gov.ua/get-user-certificate/sec1eNsHjOs3vPVZiNKV","Завантажити сертифікат")</f>
        <v>Завантажити сертифікат</v>
      </c>
    </row>
    <row r="3231" spans="1:5" x14ac:dyDescent="0.3">
      <c r="A3231" s="2" t="s">
        <v>6608</v>
      </c>
      <c r="B3231" s="2" t="s">
        <v>5</v>
      </c>
      <c r="C3231" s="2" t="s">
        <v>6609</v>
      </c>
      <c r="D3231" s="2" t="s">
        <v>6583</v>
      </c>
      <c r="E3231" s="2" t="str">
        <f>HYPERLINK("https://talan.bank.gov.ua/get-user-certificate/sec1e3Wf0lpqT2J_b-JG","Завантажити сертифікат")</f>
        <v>Завантажити сертифікат</v>
      </c>
    </row>
    <row r="3232" spans="1:5" x14ac:dyDescent="0.3">
      <c r="A3232" s="2" t="s">
        <v>6610</v>
      </c>
      <c r="B3232" s="2" t="s">
        <v>5</v>
      </c>
      <c r="C3232" s="2" t="s">
        <v>6611</v>
      </c>
      <c r="D3232" s="2" t="s">
        <v>6583</v>
      </c>
      <c r="E3232" s="2" t="str">
        <f>HYPERLINK("https://talan.bank.gov.ua/get-user-certificate/sec1eZAJ55ieaIzv8ZZf","Завантажити сертифікат")</f>
        <v>Завантажити сертифікат</v>
      </c>
    </row>
    <row r="3233" spans="1:5" x14ac:dyDescent="0.3">
      <c r="A3233" s="2" t="s">
        <v>6612</v>
      </c>
      <c r="B3233" s="2" t="s">
        <v>5</v>
      </c>
      <c r="C3233" s="2" t="s">
        <v>6613</v>
      </c>
      <c r="D3233" s="2" t="s">
        <v>6583</v>
      </c>
      <c r="E3233" s="2" t="str">
        <f>HYPERLINK("https://talan.bank.gov.ua/get-user-certificate/sec1e9VwHTFhJLb35qgu","Завантажити сертифікат")</f>
        <v>Завантажити сертифікат</v>
      </c>
    </row>
    <row r="3234" spans="1:5" x14ac:dyDescent="0.3">
      <c r="A3234" s="2" t="s">
        <v>6614</v>
      </c>
      <c r="B3234" s="2" t="s">
        <v>5</v>
      </c>
      <c r="C3234" s="2" t="s">
        <v>6615</v>
      </c>
      <c r="D3234" s="2" t="s">
        <v>6583</v>
      </c>
      <c r="E3234" s="2" t="str">
        <f>HYPERLINK("https://talan.bank.gov.ua/get-user-certificate/sec1exGH0-q0N-i41uzR","Завантажити сертифікат")</f>
        <v>Завантажити сертифікат</v>
      </c>
    </row>
    <row r="3235" spans="1:5" x14ac:dyDescent="0.3">
      <c r="A3235" s="2" t="s">
        <v>6616</v>
      </c>
      <c r="B3235" s="2" t="s">
        <v>5</v>
      </c>
      <c r="C3235" s="2" t="s">
        <v>6617</v>
      </c>
      <c r="D3235" s="2" t="s">
        <v>6583</v>
      </c>
      <c r="E3235" s="2" t="str">
        <f>HYPERLINK("https://talan.bank.gov.ua/get-user-certificate/sec1eMZ7QnVWXbMv2xQm","Завантажити сертифікат")</f>
        <v>Завантажити сертифікат</v>
      </c>
    </row>
    <row r="3236" spans="1:5" x14ac:dyDescent="0.3">
      <c r="A3236" s="2" t="s">
        <v>6618</v>
      </c>
      <c r="B3236" s="2" t="s">
        <v>5</v>
      </c>
      <c r="C3236" s="2" t="s">
        <v>6619</v>
      </c>
      <c r="D3236" s="2" t="s">
        <v>6583</v>
      </c>
      <c r="E3236" s="2" t="str">
        <f>HYPERLINK("https://talan.bank.gov.ua/get-user-certificate/sec1eySh_PEBTG5c5K-i","Завантажити сертифікат")</f>
        <v>Завантажити сертифікат</v>
      </c>
    </row>
    <row r="3237" spans="1:5" x14ac:dyDescent="0.3">
      <c r="A3237" s="2" t="s">
        <v>6620</v>
      </c>
      <c r="B3237" s="2" t="s">
        <v>5</v>
      </c>
      <c r="C3237" s="2" t="s">
        <v>6621</v>
      </c>
      <c r="D3237" s="2" t="s">
        <v>6583</v>
      </c>
      <c r="E3237" s="2" t="str">
        <f>HYPERLINK("https://talan.bank.gov.ua/get-user-certificate/sec1e18cvzSA0j45zMqL","Завантажити сертифікат")</f>
        <v>Завантажити сертифікат</v>
      </c>
    </row>
    <row r="3238" spans="1:5" x14ac:dyDescent="0.3">
      <c r="A3238" s="2" t="s">
        <v>6622</v>
      </c>
      <c r="B3238" s="2" t="s">
        <v>5</v>
      </c>
      <c r="C3238" s="2" t="s">
        <v>6623</v>
      </c>
      <c r="D3238" s="2" t="s">
        <v>6583</v>
      </c>
      <c r="E3238" s="2" t="str">
        <f>HYPERLINK("https://talan.bank.gov.ua/get-user-certificate/sec1ey8316ePhDygxV1v","Завантажити сертифікат")</f>
        <v>Завантажити сертифікат</v>
      </c>
    </row>
    <row r="3239" spans="1:5" x14ac:dyDescent="0.3">
      <c r="A3239" s="2" t="s">
        <v>6624</v>
      </c>
      <c r="B3239" s="2" t="s">
        <v>5</v>
      </c>
      <c r="C3239" s="2" t="s">
        <v>6625</v>
      </c>
      <c r="D3239" s="2" t="s">
        <v>6583</v>
      </c>
      <c r="E3239" s="2" t="str">
        <f>HYPERLINK("https://talan.bank.gov.ua/get-user-certificate/sec1e9SDWDu74fST1eXo","Завантажити сертифікат")</f>
        <v>Завантажити сертифікат</v>
      </c>
    </row>
    <row r="3240" spans="1:5" x14ac:dyDescent="0.3">
      <c r="A3240" s="2" t="s">
        <v>6626</v>
      </c>
      <c r="B3240" s="2" t="s">
        <v>5</v>
      </c>
      <c r="C3240" s="2" t="s">
        <v>6627</v>
      </c>
      <c r="D3240" s="2" t="s">
        <v>6583</v>
      </c>
      <c r="E3240" s="2" t="str">
        <f>HYPERLINK("https://talan.bank.gov.ua/get-user-certificate/sec1e1oyk7QzcxzCnjkG","Завантажити сертифікат")</f>
        <v>Завантажити сертифікат</v>
      </c>
    </row>
    <row r="3241" spans="1:5" x14ac:dyDescent="0.3">
      <c r="A3241" s="2" t="s">
        <v>6628</v>
      </c>
      <c r="B3241" s="2" t="s">
        <v>5</v>
      </c>
      <c r="C3241" s="2" t="s">
        <v>6629</v>
      </c>
      <c r="D3241" s="2" t="s">
        <v>6583</v>
      </c>
      <c r="E3241" s="2" t="str">
        <f>HYPERLINK("https://talan.bank.gov.ua/get-user-certificate/sec1enqgr8MeFIdr8L3u","Завантажити сертифікат")</f>
        <v>Завантажити сертифікат</v>
      </c>
    </row>
    <row r="3242" spans="1:5" x14ac:dyDescent="0.3">
      <c r="A3242" s="2" t="s">
        <v>6630</v>
      </c>
      <c r="B3242" s="2" t="s">
        <v>5</v>
      </c>
      <c r="C3242" s="2" t="s">
        <v>6631</v>
      </c>
      <c r="D3242" s="2" t="s">
        <v>6583</v>
      </c>
      <c r="E3242" s="2" t="str">
        <f>HYPERLINK("https://talan.bank.gov.ua/get-user-certificate/sec1ed-DLOQYkhEy4Yl_","Завантажити сертифікат")</f>
        <v>Завантажити сертифікат</v>
      </c>
    </row>
    <row r="3243" spans="1:5" x14ac:dyDescent="0.3">
      <c r="A3243" s="2" t="s">
        <v>6632</v>
      </c>
      <c r="B3243" s="2" t="s">
        <v>5</v>
      </c>
      <c r="C3243" s="2" t="s">
        <v>6633</v>
      </c>
      <c r="D3243" s="2" t="s">
        <v>6583</v>
      </c>
      <c r="E3243" s="2" t="str">
        <f>HYPERLINK("https://talan.bank.gov.ua/get-user-certificate/sec1e3E6fwneE-ZoSPNE","Завантажити сертифікат")</f>
        <v>Завантажити сертифікат</v>
      </c>
    </row>
    <row r="3244" spans="1:5" x14ac:dyDescent="0.3">
      <c r="A3244" s="2" t="s">
        <v>6634</v>
      </c>
      <c r="B3244" s="2" t="s">
        <v>5</v>
      </c>
      <c r="C3244" s="2" t="s">
        <v>6635</v>
      </c>
      <c r="D3244" s="2" t="s">
        <v>6583</v>
      </c>
      <c r="E3244" s="2" t="str">
        <f>HYPERLINK("https://talan.bank.gov.ua/get-user-certificate/sec1ev-ge3EPOmnlv2hQ","Завантажити сертифікат")</f>
        <v>Завантажити сертифікат</v>
      </c>
    </row>
    <row r="3245" spans="1:5" x14ac:dyDescent="0.3">
      <c r="A3245" s="2" t="s">
        <v>6636</v>
      </c>
      <c r="B3245" s="2" t="s">
        <v>5</v>
      </c>
      <c r="C3245" s="2" t="s">
        <v>6637</v>
      </c>
      <c r="D3245" s="2" t="s">
        <v>6583</v>
      </c>
      <c r="E3245" s="2" t="str">
        <f>HYPERLINK("https://talan.bank.gov.ua/get-user-certificate/sec1eXtmLU1c377KHKX4","Завантажити сертифікат")</f>
        <v>Завантажити сертифікат</v>
      </c>
    </row>
    <row r="3246" spans="1:5" x14ac:dyDescent="0.3">
      <c r="A3246" s="2" t="s">
        <v>6638</v>
      </c>
      <c r="B3246" s="2" t="s">
        <v>5</v>
      </c>
      <c r="C3246" s="2" t="s">
        <v>6639</v>
      </c>
      <c r="D3246" s="2" t="s">
        <v>6583</v>
      </c>
      <c r="E3246" s="2" t="str">
        <f>HYPERLINK("https://talan.bank.gov.ua/get-user-certificate/sec1ebs-8xNqaf9uPFhc","Завантажити сертифікат")</f>
        <v>Завантажити сертифікат</v>
      </c>
    </row>
    <row r="3247" spans="1:5" x14ac:dyDescent="0.3">
      <c r="A3247" s="2" t="s">
        <v>6640</v>
      </c>
      <c r="B3247" s="2" t="s">
        <v>5</v>
      </c>
      <c r="C3247" s="2" t="s">
        <v>6641</v>
      </c>
      <c r="D3247" s="2" t="s">
        <v>6583</v>
      </c>
      <c r="E3247" s="2" t="str">
        <f>HYPERLINK("https://talan.bank.gov.ua/get-user-certificate/sec1e3k7QzDe9mWqOi5M","Завантажити сертифікат")</f>
        <v>Завантажити сертифікат</v>
      </c>
    </row>
    <row r="3248" spans="1:5" x14ac:dyDescent="0.3">
      <c r="A3248" s="2" t="s">
        <v>6642</v>
      </c>
      <c r="B3248" s="2" t="s">
        <v>5</v>
      </c>
      <c r="C3248" s="2" t="s">
        <v>6643</v>
      </c>
      <c r="D3248" s="2" t="s">
        <v>6583</v>
      </c>
      <c r="E3248" s="2" t="str">
        <f>HYPERLINK("https://talan.bank.gov.ua/get-user-certificate/sec1exptajtdeQxi9glC","Завантажити сертифікат")</f>
        <v>Завантажити сертифікат</v>
      </c>
    </row>
    <row r="3249" spans="1:5" x14ac:dyDescent="0.3">
      <c r="A3249" s="2" t="s">
        <v>6644</v>
      </c>
      <c r="B3249" s="2" t="s">
        <v>5</v>
      </c>
      <c r="C3249" s="2" t="s">
        <v>6645</v>
      </c>
      <c r="D3249" s="2" t="s">
        <v>6583</v>
      </c>
      <c r="E3249" s="2" t="str">
        <f>HYPERLINK("https://talan.bank.gov.ua/get-user-certificate/sec1esqrIsHANeYsMcpx","Завантажити сертифікат")</f>
        <v>Завантажити сертифікат</v>
      </c>
    </row>
    <row r="3250" spans="1:5" x14ac:dyDescent="0.3">
      <c r="A3250" s="2" t="s">
        <v>6646</v>
      </c>
      <c r="B3250" s="2" t="s">
        <v>5</v>
      </c>
      <c r="C3250" s="2" t="s">
        <v>6647</v>
      </c>
      <c r="D3250" s="2" t="s">
        <v>6583</v>
      </c>
      <c r="E3250" s="2" t="str">
        <f>HYPERLINK("https://talan.bank.gov.ua/get-user-certificate/sec1eIfTmQSPW66m0EJj","Завантажити сертифікат")</f>
        <v>Завантажити сертифікат</v>
      </c>
    </row>
    <row r="3251" spans="1:5" x14ac:dyDescent="0.3">
      <c r="A3251" s="2" t="s">
        <v>6648</v>
      </c>
      <c r="B3251" s="2" t="s">
        <v>5</v>
      </c>
      <c r="C3251" s="2" t="s">
        <v>6649</v>
      </c>
      <c r="D3251" s="2" t="s">
        <v>6583</v>
      </c>
      <c r="E3251" s="2" t="str">
        <f>HYPERLINK("https://talan.bank.gov.ua/get-user-certificate/sec1e6ZSDvRsViDJqkxR","Завантажити сертифікат")</f>
        <v>Завантажити сертифікат</v>
      </c>
    </row>
    <row r="3252" spans="1:5" x14ac:dyDescent="0.3">
      <c r="A3252" s="2" t="s">
        <v>6650</v>
      </c>
      <c r="B3252" s="2" t="s">
        <v>5</v>
      </c>
      <c r="C3252" s="2" t="s">
        <v>6651</v>
      </c>
      <c r="D3252" s="2" t="s">
        <v>6583</v>
      </c>
      <c r="E3252" s="2" t="str">
        <f>HYPERLINK("https://talan.bank.gov.ua/get-user-certificate/sec1eGDD7in4OX8ATV_5","Завантажити сертифікат")</f>
        <v>Завантажити сертифікат</v>
      </c>
    </row>
    <row r="3253" spans="1:5" x14ac:dyDescent="0.3">
      <c r="A3253" s="2" t="s">
        <v>6652</v>
      </c>
      <c r="B3253" s="2" t="s">
        <v>5</v>
      </c>
      <c r="C3253" s="2" t="s">
        <v>6653</v>
      </c>
      <c r="D3253" s="2" t="s">
        <v>6583</v>
      </c>
      <c r="E3253" s="2" t="str">
        <f>HYPERLINK("https://talan.bank.gov.ua/get-user-certificate/sec1eERyAR5ZkwUsEHZy","Завантажити сертифікат")</f>
        <v>Завантажити сертифікат</v>
      </c>
    </row>
    <row r="3254" spans="1:5" x14ac:dyDescent="0.3">
      <c r="A3254" s="2" t="s">
        <v>6654</v>
      </c>
      <c r="B3254" s="2" t="s">
        <v>5</v>
      </c>
      <c r="C3254" s="2" t="s">
        <v>6655</v>
      </c>
      <c r="D3254" s="2" t="s">
        <v>6583</v>
      </c>
      <c r="E3254" s="2" t="str">
        <f>HYPERLINK("https://talan.bank.gov.ua/get-user-certificate/sec1ecLjQB5KvNws6DzK","Завантажити сертифікат")</f>
        <v>Завантажити сертифікат</v>
      </c>
    </row>
    <row r="3255" spans="1:5" x14ac:dyDescent="0.3">
      <c r="A3255" s="2" t="s">
        <v>6656</v>
      </c>
      <c r="B3255" s="2" t="s">
        <v>5</v>
      </c>
      <c r="C3255" s="2" t="s">
        <v>6657</v>
      </c>
      <c r="D3255" s="2" t="s">
        <v>6583</v>
      </c>
      <c r="E3255" s="2" t="str">
        <f>HYPERLINK("https://talan.bank.gov.ua/get-user-certificate/sec1e1SzP39RVxzNdNb6","Завантажити сертифікат")</f>
        <v>Завантажити сертифікат</v>
      </c>
    </row>
    <row r="3256" spans="1:5" x14ac:dyDescent="0.3">
      <c r="A3256" s="2" t="s">
        <v>6658</v>
      </c>
      <c r="B3256" s="2" t="s">
        <v>5</v>
      </c>
      <c r="C3256" s="2" t="s">
        <v>6659</v>
      </c>
      <c r="D3256" s="2" t="s">
        <v>6583</v>
      </c>
      <c r="E3256" s="2" t="str">
        <f>HYPERLINK("https://talan.bank.gov.ua/get-user-certificate/sec1e47xLuBmo0LV91b3","Завантажити сертифікат")</f>
        <v>Завантажити сертифікат</v>
      </c>
    </row>
    <row r="3257" spans="1:5" x14ac:dyDescent="0.3">
      <c r="A3257" s="2" t="s">
        <v>6660</v>
      </c>
      <c r="B3257" s="2" t="s">
        <v>5</v>
      </c>
      <c r="C3257" s="2" t="s">
        <v>6661</v>
      </c>
      <c r="D3257" s="2" t="s">
        <v>6583</v>
      </c>
      <c r="E3257" s="2" t="str">
        <f>HYPERLINK("https://talan.bank.gov.ua/get-user-certificate/sec1e7Txpj006ncWNX3i","Завантажити сертифікат")</f>
        <v>Завантажити сертифікат</v>
      </c>
    </row>
    <row r="3258" spans="1:5" x14ac:dyDescent="0.3">
      <c r="A3258" s="2" t="s">
        <v>6662</v>
      </c>
      <c r="B3258" s="2" t="s">
        <v>5</v>
      </c>
      <c r="C3258" s="2" t="s">
        <v>6663</v>
      </c>
      <c r="D3258" s="2" t="s">
        <v>6583</v>
      </c>
      <c r="E3258" s="2" t="str">
        <f>HYPERLINK("https://talan.bank.gov.ua/get-user-certificate/sec1eSuVcU6P65rlTYle","Завантажити сертифікат")</f>
        <v>Завантажити сертифікат</v>
      </c>
    </row>
    <row r="3259" spans="1:5" x14ac:dyDescent="0.3">
      <c r="A3259" s="2" t="s">
        <v>6664</v>
      </c>
      <c r="B3259" s="2" t="s">
        <v>5</v>
      </c>
      <c r="C3259" s="2" t="s">
        <v>6665</v>
      </c>
      <c r="D3259" s="2" t="s">
        <v>6583</v>
      </c>
      <c r="E3259" s="2" t="str">
        <f>HYPERLINK("https://talan.bank.gov.ua/get-user-certificate/sec1eAQ6MnMg7SzqRUUC","Завантажити сертифікат")</f>
        <v>Завантажити сертифікат</v>
      </c>
    </row>
    <row r="3260" spans="1:5" x14ac:dyDescent="0.3">
      <c r="A3260" s="2" t="s">
        <v>6666</v>
      </c>
      <c r="B3260" s="2" t="s">
        <v>5</v>
      </c>
      <c r="C3260" s="2" t="s">
        <v>6667</v>
      </c>
      <c r="D3260" s="2" t="s">
        <v>6583</v>
      </c>
      <c r="E3260" s="2" t="str">
        <f>HYPERLINK("https://talan.bank.gov.ua/get-user-certificate/sec1eYWN76P4IalFW5XF","Завантажити сертифікат")</f>
        <v>Завантажити сертифікат</v>
      </c>
    </row>
    <row r="3261" spans="1:5" x14ac:dyDescent="0.3">
      <c r="A3261" s="2" t="s">
        <v>6668</v>
      </c>
      <c r="B3261" s="2" t="s">
        <v>5</v>
      </c>
      <c r="C3261" s="2" t="s">
        <v>6669</v>
      </c>
      <c r="D3261" s="2" t="s">
        <v>6583</v>
      </c>
      <c r="E3261" s="2" t="str">
        <f>HYPERLINK("https://talan.bank.gov.ua/get-user-certificate/sec1eSJ2KsiaeTaZAaXB","Завантажити сертифікат")</f>
        <v>Завантажити сертифікат</v>
      </c>
    </row>
    <row r="3262" spans="1:5" x14ac:dyDescent="0.3">
      <c r="A3262" s="2" t="s">
        <v>6670</v>
      </c>
      <c r="B3262" s="2" t="s">
        <v>5</v>
      </c>
      <c r="C3262" s="2" t="s">
        <v>6671</v>
      </c>
      <c r="D3262" s="2" t="s">
        <v>6583</v>
      </c>
      <c r="E3262" s="2" t="str">
        <f>HYPERLINK("https://talan.bank.gov.ua/get-user-certificate/sec1eeDglqL2ODOHCV2i","Завантажити сертифікат")</f>
        <v>Завантажити сертифікат</v>
      </c>
    </row>
    <row r="3263" spans="1:5" x14ac:dyDescent="0.3">
      <c r="A3263" s="2" t="s">
        <v>6672</v>
      </c>
      <c r="B3263" s="2" t="s">
        <v>5</v>
      </c>
      <c r="C3263" s="2" t="s">
        <v>6673</v>
      </c>
      <c r="D3263" s="2" t="s">
        <v>6583</v>
      </c>
      <c r="E3263" s="2" t="str">
        <f>HYPERLINK("https://talan.bank.gov.ua/get-user-certificate/sec1eNL_6es7ByqNC37a","Завантажити сертифікат")</f>
        <v>Завантажити сертифікат</v>
      </c>
    </row>
    <row r="3264" spans="1:5" x14ac:dyDescent="0.3">
      <c r="A3264" s="2" t="s">
        <v>6674</v>
      </c>
      <c r="B3264" s="2" t="s">
        <v>5</v>
      </c>
      <c r="C3264" s="2" t="s">
        <v>6675</v>
      </c>
      <c r="D3264" s="2" t="s">
        <v>6583</v>
      </c>
      <c r="E3264" s="2" t="str">
        <f>HYPERLINK("https://talan.bank.gov.ua/get-user-certificate/sec1esczCNXWdwB8W_yi","Завантажити сертифікат")</f>
        <v>Завантажити сертифікат</v>
      </c>
    </row>
    <row r="3265" spans="1:5" x14ac:dyDescent="0.3">
      <c r="A3265" s="2" t="s">
        <v>6676</v>
      </c>
      <c r="B3265" s="2" t="s">
        <v>5</v>
      </c>
      <c r="C3265" s="2" t="s">
        <v>6677</v>
      </c>
      <c r="D3265" s="2" t="s">
        <v>6583</v>
      </c>
      <c r="E3265" s="2" t="str">
        <f>HYPERLINK("https://talan.bank.gov.ua/get-user-certificate/sec1eyahUVuD60aHZ23W","Завантажити сертифікат")</f>
        <v>Завантажити сертифікат</v>
      </c>
    </row>
    <row r="3266" spans="1:5" x14ac:dyDescent="0.3">
      <c r="A3266" s="2" t="s">
        <v>6678</v>
      </c>
      <c r="B3266" s="2" t="s">
        <v>5</v>
      </c>
      <c r="C3266" s="2" t="s">
        <v>6679</v>
      </c>
      <c r="D3266" s="2" t="s">
        <v>6583</v>
      </c>
      <c r="E3266" s="2" t="str">
        <f>HYPERLINK("https://talan.bank.gov.ua/get-user-certificate/sec1eAcEjbArWeUbgRNi","Завантажити сертифікат")</f>
        <v>Завантажити сертифікат</v>
      </c>
    </row>
    <row r="3267" spans="1:5" x14ac:dyDescent="0.3">
      <c r="A3267" s="2" t="s">
        <v>6680</v>
      </c>
      <c r="B3267" s="2" t="s">
        <v>5</v>
      </c>
      <c r="C3267" s="2" t="s">
        <v>6681</v>
      </c>
      <c r="D3267" s="2" t="s">
        <v>6583</v>
      </c>
      <c r="E3267" s="2" t="str">
        <f>HYPERLINK("https://talan.bank.gov.ua/get-user-certificate/sec1eokCl7M3_k1WJJ5q","Завантажити сертифікат")</f>
        <v>Завантажити сертифікат</v>
      </c>
    </row>
    <row r="3268" spans="1:5" x14ac:dyDescent="0.3">
      <c r="A3268" s="2" t="s">
        <v>6682</v>
      </c>
      <c r="B3268" s="2" t="s">
        <v>5</v>
      </c>
      <c r="C3268" s="2" t="s">
        <v>6683</v>
      </c>
      <c r="D3268" s="2" t="s">
        <v>6583</v>
      </c>
      <c r="E3268" s="2" t="str">
        <f>HYPERLINK("https://talan.bank.gov.ua/get-user-certificate/sec1eGb6JCIjH6T3AVit","Завантажити сертифікат")</f>
        <v>Завантажити сертифікат</v>
      </c>
    </row>
    <row r="3269" spans="1:5" x14ac:dyDescent="0.3">
      <c r="A3269" s="2" t="s">
        <v>6684</v>
      </c>
      <c r="B3269" s="2" t="s">
        <v>5</v>
      </c>
      <c r="C3269" s="2" t="s">
        <v>6685</v>
      </c>
      <c r="D3269" s="2" t="s">
        <v>6583</v>
      </c>
      <c r="E3269" s="2" t="str">
        <f>HYPERLINK("https://talan.bank.gov.ua/get-user-certificate/sec1eSl0r-pgEuBl4y0Y","Завантажити сертифікат")</f>
        <v>Завантажити сертифікат</v>
      </c>
    </row>
    <row r="3270" spans="1:5" x14ac:dyDescent="0.3">
      <c r="A3270" s="2" t="s">
        <v>6686</v>
      </c>
      <c r="B3270" s="2" t="s">
        <v>5</v>
      </c>
      <c r="C3270" s="2" t="s">
        <v>6687</v>
      </c>
      <c r="D3270" s="2" t="s">
        <v>6583</v>
      </c>
      <c r="E3270" s="2" t="str">
        <f>HYPERLINK("https://talan.bank.gov.ua/get-user-certificate/sec1emgfvxlwVF9HWo4d","Завантажити сертифікат")</f>
        <v>Завантажити сертифікат</v>
      </c>
    </row>
    <row r="3271" spans="1:5" x14ac:dyDescent="0.3">
      <c r="A3271" s="2" t="s">
        <v>6688</v>
      </c>
      <c r="B3271" s="2" t="s">
        <v>5</v>
      </c>
      <c r="C3271" s="2" t="s">
        <v>6689</v>
      </c>
      <c r="D3271" s="2" t="s">
        <v>6583</v>
      </c>
      <c r="E3271" s="2" t="str">
        <f>HYPERLINK("https://talan.bank.gov.ua/get-user-certificate/sec1eMjn1APCaHvCxUxJ","Завантажити сертифікат")</f>
        <v>Завантажити сертифікат</v>
      </c>
    </row>
    <row r="3272" spans="1:5" x14ac:dyDescent="0.3">
      <c r="A3272" s="2" t="s">
        <v>6690</v>
      </c>
      <c r="B3272" s="2" t="s">
        <v>5</v>
      </c>
      <c r="C3272" s="2" t="s">
        <v>6691</v>
      </c>
      <c r="D3272" s="2" t="s">
        <v>6583</v>
      </c>
      <c r="E3272" s="2" t="str">
        <f>HYPERLINK("https://talan.bank.gov.ua/get-user-certificate/sec1eCrI6jnYO8WzgmUP","Завантажити сертифікат")</f>
        <v>Завантажити сертифікат</v>
      </c>
    </row>
    <row r="3273" spans="1:5" x14ac:dyDescent="0.3">
      <c r="A3273" s="2" t="s">
        <v>6692</v>
      </c>
      <c r="B3273" s="2" t="s">
        <v>5</v>
      </c>
      <c r="C3273" s="2" t="s">
        <v>6693</v>
      </c>
      <c r="D3273" s="2" t="s">
        <v>6583</v>
      </c>
      <c r="E3273" s="2" t="str">
        <f>HYPERLINK("https://talan.bank.gov.ua/get-user-certificate/sec1eT8txoEM4bkEyMlt","Завантажити сертифікат")</f>
        <v>Завантажити сертифікат</v>
      </c>
    </row>
    <row r="3274" spans="1:5" x14ac:dyDescent="0.3">
      <c r="A3274" s="2" t="s">
        <v>6694</v>
      </c>
      <c r="B3274" s="2" t="s">
        <v>5</v>
      </c>
      <c r="C3274" s="2" t="s">
        <v>6695</v>
      </c>
      <c r="D3274" s="2" t="s">
        <v>6583</v>
      </c>
      <c r="E3274" s="2" t="str">
        <f>HYPERLINK("https://talan.bank.gov.ua/get-user-certificate/sec1e27tG7-xCFiLvz2X","Завантажити сертифікат")</f>
        <v>Завантажити сертифікат</v>
      </c>
    </row>
    <row r="3275" spans="1:5" x14ac:dyDescent="0.3">
      <c r="A3275" s="2" t="s">
        <v>6696</v>
      </c>
      <c r="B3275" s="2" t="s">
        <v>5</v>
      </c>
      <c r="C3275" s="2" t="s">
        <v>6697</v>
      </c>
      <c r="D3275" s="2" t="s">
        <v>6583</v>
      </c>
      <c r="E3275" s="2" t="str">
        <f>HYPERLINK("https://talan.bank.gov.ua/get-user-certificate/sec1eR6-tnQcQAgW7TVz","Завантажити сертифікат")</f>
        <v>Завантажити сертифікат</v>
      </c>
    </row>
    <row r="3276" spans="1:5" x14ac:dyDescent="0.3">
      <c r="A3276" s="2" t="s">
        <v>6698</v>
      </c>
      <c r="B3276" s="2" t="s">
        <v>5</v>
      </c>
      <c r="C3276" s="2" t="s">
        <v>6699</v>
      </c>
      <c r="D3276" s="2" t="s">
        <v>6583</v>
      </c>
      <c r="E3276" s="2" t="str">
        <f>HYPERLINK("https://talan.bank.gov.ua/get-user-certificate/sec1euc2Zp1tm_dFAety","Завантажити сертифікат")</f>
        <v>Завантажити сертифікат</v>
      </c>
    </row>
    <row r="3277" spans="1:5" x14ac:dyDescent="0.3">
      <c r="A3277" s="2" t="s">
        <v>6700</v>
      </c>
      <c r="B3277" s="2" t="s">
        <v>5</v>
      </c>
      <c r="C3277" s="2" t="s">
        <v>6701</v>
      </c>
      <c r="D3277" s="2" t="s">
        <v>6583</v>
      </c>
      <c r="E3277" s="2" t="str">
        <f>HYPERLINK("https://talan.bank.gov.ua/get-user-certificate/sec1evlNzWUmOppU3puT","Завантажити сертифікат")</f>
        <v>Завантажити сертифікат</v>
      </c>
    </row>
    <row r="3278" spans="1:5" x14ac:dyDescent="0.3">
      <c r="A3278" s="2" t="s">
        <v>6702</v>
      </c>
      <c r="B3278" s="2" t="s">
        <v>5</v>
      </c>
      <c r="C3278" s="2" t="s">
        <v>6703</v>
      </c>
      <c r="D3278" s="2" t="s">
        <v>6583</v>
      </c>
      <c r="E3278" s="2" t="str">
        <f>HYPERLINK("https://talan.bank.gov.ua/get-user-certificate/sec1eFLIlMAExIY-wsFI","Завантажити сертифікат")</f>
        <v>Завантажити сертифікат</v>
      </c>
    </row>
    <row r="3279" spans="1:5" x14ac:dyDescent="0.3">
      <c r="A3279" s="2" t="s">
        <v>6704</v>
      </c>
      <c r="B3279" s="2" t="s">
        <v>5</v>
      </c>
      <c r="C3279" s="2" t="s">
        <v>6705</v>
      </c>
      <c r="D3279" s="2" t="s">
        <v>6583</v>
      </c>
      <c r="E3279" s="2" t="str">
        <f>HYPERLINK("https://talan.bank.gov.ua/get-user-certificate/sec1eLBL-cKSpLuQfM_9","Завантажити сертифікат")</f>
        <v>Завантажити сертифікат</v>
      </c>
    </row>
    <row r="3280" spans="1:5" x14ac:dyDescent="0.3">
      <c r="A3280" s="2" t="s">
        <v>6706</v>
      </c>
      <c r="B3280" s="2" t="s">
        <v>5</v>
      </c>
      <c r="C3280" s="2" t="s">
        <v>6707</v>
      </c>
      <c r="D3280" s="2" t="s">
        <v>6583</v>
      </c>
      <c r="E3280" s="2" t="str">
        <f>HYPERLINK("https://talan.bank.gov.ua/get-user-certificate/sec1eT0eIpiHb07mHnRZ","Завантажити сертифікат")</f>
        <v>Завантажити сертифікат</v>
      </c>
    </row>
    <row r="3281" spans="1:5" x14ac:dyDescent="0.3">
      <c r="A3281" s="2" t="s">
        <v>6708</v>
      </c>
      <c r="B3281" s="2" t="s">
        <v>5</v>
      </c>
      <c r="C3281" s="2" t="s">
        <v>6709</v>
      </c>
      <c r="D3281" s="2" t="s">
        <v>6583</v>
      </c>
      <c r="E3281" s="2" t="str">
        <f>HYPERLINK("https://talan.bank.gov.ua/get-user-certificate/sec1ejq6luK8XIrGLOyY","Завантажити сертифікат")</f>
        <v>Завантажити сертифікат</v>
      </c>
    </row>
    <row r="3282" spans="1:5" x14ac:dyDescent="0.3">
      <c r="A3282" s="2" t="s">
        <v>6710</v>
      </c>
      <c r="B3282" s="2" t="s">
        <v>5</v>
      </c>
      <c r="C3282" s="2" t="s">
        <v>6711</v>
      </c>
      <c r="D3282" s="2" t="s">
        <v>6583</v>
      </c>
      <c r="E3282" s="2" t="str">
        <f>HYPERLINK("https://talan.bank.gov.ua/get-user-certificate/sec1ew2Gpak1wpzeXMjG","Завантажити сертифікат")</f>
        <v>Завантажити сертифікат</v>
      </c>
    </row>
    <row r="3283" spans="1:5" x14ac:dyDescent="0.3">
      <c r="A3283" s="2" t="s">
        <v>6712</v>
      </c>
      <c r="B3283" s="2" t="s">
        <v>5</v>
      </c>
      <c r="C3283" s="2" t="s">
        <v>6713</v>
      </c>
      <c r="D3283" s="2" t="s">
        <v>6583</v>
      </c>
      <c r="E3283" s="2" t="str">
        <f>HYPERLINK("https://talan.bank.gov.ua/get-user-certificate/sec1elp9bwzTqEeZTH9W","Завантажити сертифікат")</f>
        <v>Завантажити сертифікат</v>
      </c>
    </row>
    <row r="3284" spans="1:5" x14ac:dyDescent="0.3">
      <c r="A3284" s="2" t="s">
        <v>6714</v>
      </c>
      <c r="B3284" s="2" t="s">
        <v>5</v>
      </c>
      <c r="C3284" s="2" t="s">
        <v>3056</v>
      </c>
      <c r="D3284" s="2" t="s">
        <v>6583</v>
      </c>
      <c r="E3284" s="2" t="str">
        <f>HYPERLINK("https://talan.bank.gov.ua/get-user-certificate/sec1eZ8P7u3BktkV0u3S","Завантажити сертифікат")</f>
        <v>Завантажити сертифікат</v>
      </c>
    </row>
    <row r="3285" spans="1:5" x14ac:dyDescent="0.3">
      <c r="A3285" s="2" t="s">
        <v>6715</v>
      </c>
      <c r="B3285" s="2" t="s">
        <v>5</v>
      </c>
      <c r="C3285" s="2" t="s">
        <v>6716</v>
      </c>
      <c r="D3285" s="2" t="s">
        <v>6583</v>
      </c>
      <c r="E3285" s="2" t="str">
        <f>HYPERLINK("https://talan.bank.gov.ua/get-user-certificate/sec1e2Ld2XYCDk0exAUB","Завантажити сертифікат")</f>
        <v>Завантажити сертифікат</v>
      </c>
    </row>
    <row r="3286" spans="1:5" x14ac:dyDescent="0.3">
      <c r="A3286" s="2" t="s">
        <v>6717</v>
      </c>
      <c r="B3286" s="2" t="s">
        <v>5</v>
      </c>
      <c r="C3286" s="2" t="s">
        <v>6718</v>
      </c>
      <c r="D3286" s="2" t="s">
        <v>6583</v>
      </c>
      <c r="E3286" s="2" t="str">
        <f>HYPERLINK("https://talan.bank.gov.ua/get-user-certificate/sec1e-2znHVfErmuS9FR","Завантажити сертифікат")</f>
        <v>Завантажити сертифікат</v>
      </c>
    </row>
    <row r="3287" spans="1:5" x14ac:dyDescent="0.3">
      <c r="A3287" s="2" t="s">
        <v>6719</v>
      </c>
      <c r="B3287" s="2" t="s">
        <v>5</v>
      </c>
      <c r="C3287" s="2" t="s">
        <v>6720</v>
      </c>
      <c r="D3287" s="2" t="s">
        <v>6583</v>
      </c>
      <c r="E3287" s="2" t="str">
        <f>HYPERLINK("https://talan.bank.gov.ua/get-user-certificate/sec1eUHc87PcefMkoIwz","Завантажити сертифікат")</f>
        <v>Завантажити сертифікат</v>
      </c>
    </row>
    <row r="3288" spans="1:5" x14ac:dyDescent="0.3">
      <c r="A3288" s="2" t="s">
        <v>6721</v>
      </c>
      <c r="B3288" s="2" t="s">
        <v>5</v>
      </c>
      <c r="C3288" s="2" t="s">
        <v>6722</v>
      </c>
      <c r="D3288" s="2" t="s">
        <v>6583</v>
      </c>
      <c r="E3288" s="2" t="str">
        <f>HYPERLINK("https://talan.bank.gov.ua/get-user-certificate/sec1eYxkm85ijFTyGxHJ","Завантажити сертифікат")</f>
        <v>Завантажити сертифікат</v>
      </c>
    </row>
    <row r="3289" spans="1:5" x14ac:dyDescent="0.3">
      <c r="A3289" s="2" t="s">
        <v>6723</v>
      </c>
      <c r="B3289" s="2" t="s">
        <v>5</v>
      </c>
      <c r="C3289" s="2" t="s">
        <v>6724</v>
      </c>
      <c r="D3289" s="2" t="s">
        <v>6583</v>
      </c>
      <c r="E3289" s="2" t="str">
        <f>HYPERLINK("https://talan.bank.gov.ua/get-user-certificate/sec1eTGzKB6vAhFitMy-","Завантажити сертифікат")</f>
        <v>Завантажити сертифікат</v>
      </c>
    </row>
    <row r="3290" spans="1:5" x14ac:dyDescent="0.3">
      <c r="A3290" s="2" t="s">
        <v>6725</v>
      </c>
      <c r="B3290" s="2" t="s">
        <v>5</v>
      </c>
      <c r="C3290" s="2" t="s">
        <v>6726</v>
      </c>
      <c r="D3290" s="2" t="s">
        <v>6727</v>
      </c>
      <c r="E3290" s="2" t="str">
        <f>HYPERLINK("https://talan.bank.gov.ua/get-user-certificate/sec1eVKbvlC5k4TJ8BWz","Завантажити сертифікат")</f>
        <v>Завантажити сертифікат</v>
      </c>
    </row>
    <row r="3291" spans="1:5" x14ac:dyDescent="0.3">
      <c r="A3291" s="2" t="s">
        <v>6728</v>
      </c>
      <c r="B3291" s="2" t="s">
        <v>5</v>
      </c>
      <c r="C3291" s="2" t="s">
        <v>6729</v>
      </c>
      <c r="D3291" s="2" t="s">
        <v>6727</v>
      </c>
      <c r="E3291" s="2" t="str">
        <f>HYPERLINK("https://talan.bank.gov.ua/get-user-certificate/sec1ea8uO_D7p9jIoe7i","Завантажити сертифікат")</f>
        <v>Завантажити сертифікат</v>
      </c>
    </row>
    <row r="3292" spans="1:5" x14ac:dyDescent="0.3">
      <c r="A3292" s="2" t="s">
        <v>6730</v>
      </c>
      <c r="B3292" s="2" t="s">
        <v>5</v>
      </c>
      <c r="C3292" s="2" t="s">
        <v>6731</v>
      </c>
      <c r="D3292" s="2" t="s">
        <v>6727</v>
      </c>
      <c r="E3292" s="2" t="str">
        <f>HYPERLINK("https://talan.bank.gov.ua/get-user-certificate/sec1eUFGzVVDYfR2kuGr","Завантажити сертифікат")</f>
        <v>Завантажити сертифікат</v>
      </c>
    </row>
    <row r="3293" spans="1:5" x14ac:dyDescent="0.3">
      <c r="A3293" s="2" t="s">
        <v>6732</v>
      </c>
      <c r="B3293" s="2" t="s">
        <v>5</v>
      </c>
      <c r="C3293" s="2" t="s">
        <v>6733</v>
      </c>
      <c r="D3293" s="2" t="s">
        <v>6727</v>
      </c>
      <c r="E3293" s="2" t="str">
        <f>HYPERLINK("https://talan.bank.gov.ua/get-user-certificate/sec1ePDWOGZ5yBjamTow","Завантажити сертифікат")</f>
        <v>Завантажити сертифікат</v>
      </c>
    </row>
    <row r="3294" spans="1:5" x14ac:dyDescent="0.3">
      <c r="A3294" s="2" t="s">
        <v>6734</v>
      </c>
      <c r="B3294" s="2" t="s">
        <v>5</v>
      </c>
      <c r="C3294" s="2" t="s">
        <v>6735</v>
      </c>
      <c r="D3294" s="2" t="s">
        <v>6727</v>
      </c>
      <c r="E3294" s="2" t="str">
        <f>HYPERLINK("https://talan.bank.gov.ua/get-user-certificate/sec1etSFtApqsreYNYKg","Завантажити сертифікат")</f>
        <v>Завантажити сертифікат</v>
      </c>
    </row>
    <row r="3295" spans="1:5" x14ac:dyDescent="0.3">
      <c r="A3295" s="2" t="s">
        <v>6736</v>
      </c>
      <c r="B3295" s="2" t="s">
        <v>5</v>
      </c>
      <c r="C3295" s="2" t="s">
        <v>6737</v>
      </c>
      <c r="D3295" s="2" t="s">
        <v>6727</v>
      </c>
      <c r="E3295" s="2" t="str">
        <f>HYPERLINK("https://talan.bank.gov.ua/get-user-certificate/sec1e5gUSlWQTge6dm5j","Завантажити сертифікат")</f>
        <v>Завантажити сертифікат</v>
      </c>
    </row>
    <row r="3296" spans="1:5" x14ac:dyDescent="0.3">
      <c r="A3296" s="2" t="s">
        <v>6738</v>
      </c>
      <c r="B3296" s="2" t="s">
        <v>5</v>
      </c>
      <c r="C3296" s="2" t="s">
        <v>6739</v>
      </c>
      <c r="D3296" s="2" t="s">
        <v>6727</v>
      </c>
      <c r="E3296" s="2" t="str">
        <f>HYPERLINK("https://talan.bank.gov.ua/get-user-certificate/sec1eLihlBUO8B7xKer5","Завантажити сертифікат")</f>
        <v>Завантажити сертифікат</v>
      </c>
    </row>
    <row r="3297" spans="1:5" x14ac:dyDescent="0.3">
      <c r="A3297" s="2" t="s">
        <v>6740</v>
      </c>
      <c r="B3297" s="2" t="s">
        <v>5</v>
      </c>
      <c r="C3297" s="2" t="s">
        <v>6741</v>
      </c>
      <c r="D3297" s="2" t="s">
        <v>6727</v>
      </c>
      <c r="E3297" s="2" t="str">
        <f>HYPERLINK("https://talan.bank.gov.ua/get-user-certificate/sec1eFNCcDZlHUzurc6A","Завантажити сертифікат")</f>
        <v>Завантажити сертифікат</v>
      </c>
    </row>
    <row r="3298" spans="1:5" x14ac:dyDescent="0.3">
      <c r="A3298" s="2" t="s">
        <v>6742</v>
      </c>
      <c r="B3298" s="2" t="s">
        <v>5</v>
      </c>
      <c r="C3298" s="2" t="s">
        <v>6743</v>
      </c>
      <c r="D3298" s="2" t="s">
        <v>6744</v>
      </c>
      <c r="E3298" s="2" t="str">
        <f>HYPERLINK("https://talan.bank.gov.ua/get-user-certificate/sec1eYgfosLwrLCX-2jg","Завантажити сертифікат")</f>
        <v>Завантажити сертифікат</v>
      </c>
    </row>
    <row r="3299" spans="1:5" x14ac:dyDescent="0.3">
      <c r="A3299" s="2" t="s">
        <v>6745</v>
      </c>
      <c r="B3299" s="2" t="s">
        <v>5</v>
      </c>
      <c r="C3299" s="2" t="s">
        <v>6746</v>
      </c>
      <c r="D3299" s="2" t="s">
        <v>6744</v>
      </c>
      <c r="E3299" s="2" t="str">
        <f>HYPERLINK("https://talan.bank.gov.ua/get-user-certificate/sec1ednh3e3HR5iTUa8m","Завантажити сертифікат")</f>
        <v>Завантажити сертифікат</v>
      </c>
    </row>
    <row r="3300" spans="1:5" x14ac:dyDescent="0.3">
      <c r="A3300" s="2" t="s">
        <v>6747</v>
      </c>
      <c r="B3300" s="2" t="s">
        <v>5</v>
      </c>
      <c r="C3300" s="2" t="s">
        <v>6748</v>
      </c>
      <c r="D3300" s="2" t="s">
        <v>6744</v>
      </c>
      <c r="E3300" s="2" t="str">
        <f>HYPERLINK("https://talan.bank.gov.ua/get-user-certificate/sec1e8ZGlXT4UTqi3zky","Завантажити сертифікат")</f>
        <v>Завантажити сертифікат</v>
      </c>
    </row>
    <row r="3301" spans="1:5" x14ac:dyDescent="0.3">
      <c r="A3301" s="2" t="s">
        <v>6749</v>
      </c>
      <c r="B3301" s="2" t="s">
        <v>5</v>
      </c>
      <c r="C3301" s="2" t="s">
        <v>6750</v>
      </c>
      <c r="D3301" s="2" t="s">
        <v>6744</v>
      </c>
      <c r="E3301" s="2" t="str">
        <f>HYPERLINK("https://talan.bank.gov.ua/get-user-certificate/sec1e5uU6JnpS1vjO5ot","Завантажити сертифікат")</f>
        <v>Завантажити сертифікат</v>
      </c>
    </row>
    <row r="3302" spans="1:5" x14ac:dyDescent="0.3">
      <c r="A3302" s="2" t="s">
        <v>6751</v>
      </c>
      <c r="B3302" s="2" t="s">
        <v>5</v>
      </c>
      <c r="C3302" s="2" t="s">
        <v>6752</v>
      </c>
      <c r="D3302" s="2" t="s">
        <v>6744</v>
      </c>
      <c r="E3302" s="2" t="str">
        <f>HYPERLINK("https://talan.bank.gov.ua/get-user-certificate/sec1eq78WkYLE_4zcQX8","Завантажити сертифікат")</f>
        <v>Завантажити сертифікат</v>
      </c>
    </row>
    <row r="3303" spans="1:5" x14ac:dyDescent="0.3">
      <c r="A3303" s="2" t="s">
        <v>6753</v>
      </c>
      <c r="B3303" s="2" t="s">
        <v>5</v>
      </c>
      <c r="C3303" s="2" t="s">
        <v>6754</v>
      </c>
      <c r="D3303" s="2" t="s">
        <v>6744</v>
      </c>
      <c r="E3303" s="2" t="str">
        <f>HYPERLINK("https://talan.bank.gov.ua/get-user-certificate/sec1eHty80MwsuMnz8-v","Завантажити сертифікат")</f>
        <v>Завантажити сертифікат</v>
      </c>
    </row>
    <row r="3304" spans="1:5" x14ac:dyDescent="0.3">
      <c r="A3304" s="2" t="s">
        <v>6755</v>
      </c>
      <c r="B3304" s="2" t="s">
        <v>5</v>
      </c>
      <c r="C3304" s="2" t="s">
        <v>6756</v>
      </c>
      <c r="D3304" s="2" t="s">
        <v>6744</v>
      </c>
      <c r="E3304" s="2" t="str">
        <f>HYPERLINK("https://talan.bank.gov.ua/get-user-certificate/sec1edPXLFRgpu33BOqv","Завантажити сертифікат")</f>
        <v>Завантажити сертифікат</v>
      </c>
    </row>
    <row r="3305" spans="1:5" x14ac:dyDescent="0.3">
      <c r="A3305" s="2" t="s">
        <v>6757</v>
      </c>
      <c r="B3305" s="2" t="s">
        <v>5</v>
      </c>
      <c r="C3305" s="2" t="s">
        <v>6758</v>
      </c>
      <c r="D3305" s="2" t="s">
        <v>6744</v>
      </c>
      <c r="E3305" s="2" t="str">
        <f>HYPERLINK("https://talan.bank.gov.ua/get-user-certificate/sec1e3gbs52f-qZqONUy","Завантажити сертифікат")</f>
        <v>Завантажити сертифікат</v>
      </c>
    </row>
    <row r="3306" spans="1:5" x14ac:dyDescent="0.3">
      <c r="A3306" s="2" t="s">
        <v>6759</v>
      </c>
      <c r="B3306" s="2" t="s">
        <v>5</v>
      </c>
      <c r="C3306" s="2" t="s">
        <v>6760</v>
      </c>
      <c r="D3306" s="2" t="s">
        <v>6744</v>
      </c>
      <c r="E3306" s="2" t="str">
        <f>HYPERLINK("https://talan.bank.gov.ua/get-user-certificate/sec1eOPfC9DZmeIYpuRL","Завантажити сертифікат")</f>
        <v>Завантажити сертифікат</v>
      </c>
    </row>
    <row r="3307" spans="1:5" x14ac:dyDescent="0.3">
      <c r="A3307" s="2" t="s">
        <v>6761</v>
      </c>
      <c r="B3307" s="2" t="s">
        <v>5</v>
      </c>
      <c r="C3307" s="2" t="s">
        <v>6762</v>
      </c>
      <c r="D3307" s="2" t="s">
        <v>6744</v>
      </c>
      <c r="E3307" s="2" t="str">
        <f>HYPERLINK("https://talan.bank.gov.ua/get-user-certificate/sec1e9tVV3A4fAsmvPX5","Завантажити сертифікат")</f>
        <v>Завантажити сертифікат</v>
      </c>
    </row>
    <row r="3308" spans="1:5" x14ac:dyDescent="0.3">
      <c r="A3308" s="2" t="s">
        <v>6763</v>
      </c>
      <c r="B3308" s="2" t="s">
        <v>5</v>
      </c>
      <c r="C3308" s="2" t="s">
        <v>6764</v>
      </c>
      <c r="D3308" s="2" t="s">
        <v>6744</v>
      </c>
      <c r="E3308" s="2" t="str">
        <f>HYPERLINK("https://talan.bank.gov.ua/get-user-certificate/sec1e_MUIabttZXYQbuM","Завантажити сертифікат")</f>
        <v>Завантажити сертифікат</v>
      </c>
    </row>
    <row r="3309" spans="1:5" x14ac:dyDescent="0.3">
      <c r="A3309" s="2" t="s">
        <v>6765</v>
      </c>
      <c r="B3309" s="2" t="s">
        <v>5</v>
      </c>
      <c r="C3309" s="2" t="s">
        <v>6766</v>
      </c>
      <c r="D3309" s="2" t="s">
        <v>6744</v>
      </c>
      <c r="E3309" s="2" t="str">
        <f>HYPERLINK("https://talan.bank.gov.ua/get-user-certificate/sec1et6IYxpOOBn7C45U","Завантажити сертифікат")</f>
        <v>Завантажити сертифікат</v>
      </c>
    </row>
    <row r="3310" spans="1:5" x14ac:dyDescent="0.3">
      <c r="A3310" s="2" t="s">
        <v>6767</v>
      </c>
      <c r="B3310" s="2" t="s">
        <v>5</v>
      </c>
      <c r="C3310" s="2" t="s">
        <v>6768</v>
      </c>
      <c r="D3310" s="2" t="s">
        <v>6744</v>
      </c>
      <c r="E3310" s="2" t="str">
        <f>HYPERLINK("https://talan.bank.gov.ua/get-user-certificate/sec1ewCmCoB0NxU4liAD","Завантажити сертифікат")</f>
        <v>Завантажити сертифікат</v>
      </c>
    </row>
    <row r="3311" spans="1:5" x14ac:dyDescent="0.3">
      <c r="A3311" s="2" t="s">
        <v>6769</v>
      </c>
      <c r="B3311" s="2" t="s">
        <v>5</v>
      </c>
      <c r="C3311" s="2" t="s">
        <v>6770</v>
      </c>
      <c r="D3311" s="2" t="s">
        <v>6744</v>
      </c>
      <c r="E3311" s="2" t="str">
        <f>HYPERLINK("https://talan.bank.gov.ua/get-user-certificate/sec1ehLXrON7nutS5hqJ","Завантажити сертифікат")</f>
        <v>Завантажити сертифікат</v>
      </c>
    </row>
    <row r="3312" spans="1:5" x14ac:dyDescent="0.3">
      <c r="A3312" s="2" t="s">
        <v>6771</v>
      </c>
      <c r="B3312" s="2" t="s">
        <v>5</v>
      </c>
      <c r="C3312" s="2" t="s">
        <v>6772</v>
      </c>
      <c r="D3312" s="2" t="s">
        <v>6744</v>
      </c>
      <c r="E3312" s="2" t="str">
        <f>HYPERLINK("https://talan.bank.gov.ua/get-user-certificate/sec1e471Fygqdiz5Vzkz","Завантажити сертифікат")</f>
        <v>Завантажити сертифікат</v>
      </c>
    </row>
    <row r="3313" spans="1:5" x14ac:dyDescent="0.3">
      <c r="A3313" s="2" t="s">
        <v>6773</v>
      </c>
      <c r="B3313" s="2" t="s">
        <v>5</v>
      </c>
      <c r="C3313" s="2" t="s">
        <v>6774</v>
      </c>
      <c r="D3313" s="2" t="s">
        <v>6744</v>
      </c>
      <c r="E3313" s="2" t="str">
        <f>HYPERLINK("https://talan.bank.gov.ua/get-user-certificate/sec1ejNAPo242rhmX9WK","Завантажити сертифікат")</f>
        <v>Завантажити сертифікат</v>
      </c>
    </row>
    <row r="3314" spans="1:5" x14ac:dyDescent="0.3">
      <c r="A3314" s="2" t="s">
        <v>6775</v>
      </c>
      <c r="B3314" s="2" t="s">
        <v>5</v>
      </c>
      <c r="C3314" s="2" t="s">
        <v>6776</v>
      </c>
      <c r="D3314" s="2" t="s">
        <v>6744</v>
      </c>
      <c r="E3314" s="2" t="str">
        <f>HYPERLINK("https://talan.bank.gov.ua/get-user-certificate/sec1ewNqfwmX2ULO_7AI","Завантажити сертифікат")</f>
        <v>Завантажити сертифікат</v>
      </c>
    </row>
    <row r="3315" spans="1:5" x14ac:dyDescent="0.3">
      <c r="A3315" s="2" t="s">
        <v>6777</v>
      </c>
      <c r="B3315" s="2" t="s">
        <v>5</v>
      </c>
      <c r="C3315" s="2" t="s">
        <v>6778</v>
      </c>
      <c r="D3315" s="2" t="s">
        <v>6744</v>
      </c>
      <c r="E3315" s="2" t="str">
        <f>HYPERLINK("https://talan.bank.gov.ua/get-user-certificate/sec1exHw2PDcz2eoowvc","Завантажити сертифікат")</f>
        <v>Завантажити сертифікат</v>
      </c>
    </row>
    <row r="3316" spans="1:5" x14ac:dyDescent="0.3">
      <c r="A3316" s="2" t="s">
        <v>6779</v>
      </c>
      <c r="B3316" s="2" t="s">
        <v>5</v>
      </c>
      <c r="C3316" s="2" t="s">
        <v>6780</v>
      </c>
      <c r="D3316" s="2" t="s">
        <v>6744</v>
      </c>
      <c r="E3316" s="2" t="str">
        <f>HYPERLINK("https://talan.bank.gov.ua/get-user-certificate/sec1etVhaVjrqxL8ex38","Завантажити сертифікат")</f>
        <v>Завантажити сертифікат</v>
      </c>
    </row>
    <row r="3317" spans="1:5" x14ac:dyDescent="0.3">
      <c r="A3317" s="2" t="s">
        <v>6781</v>
      </c>
      <c r="B3317" s="2" t="s">
        <v>5</v>
      </c>
      <c r="C3317" s="2" t="s">
        <v>6782</v>
      </c>
      <c r="D3317" s="2" t="s">
        <v>6744</v>
      </c>
      <c r="E3317" s="2" t="str">
        <f>HYPERLINK("https://talan.bank.gov.ua/get-user-certificate/sec1ebO1AuJnarhjVVbz","Завантажити сертифікат")</f>
        <v>Завантажити сертифікат</v>
      </c>
    </row>
    <row r="3318" spans="1:5" x14ac:dyDescent="0.3">
      <c r="A3318" s="2" t="s">
        <v>6783</v>
      </c>
      <c r="B3318" s="2" t="s">
        <v>5</v>
      </c>
      <c r="C3318" s="2" t="s">
        <v>6784</v>
      </c>
      <c r="D3318" s="2" t="s">
        <v>6744</v>
      </c>
      <c r="E3318" s="2" t="str">
        <f>HYPERLINK("https://talan.bank.gov.ua/get-user-certificate/sec1e-4YT4M4gkJtzZ7D","Завантажити сертифікат")</f>
        <v>Завантажити сертифікат</v>
      </c>
    </row>
    <row r="3319" spans="1:5" x14ac:dyDescent="0.3">
      <c r="A3319" s="2" t="s">
        <v>6785</v>
      </c>
      <c r="B3319" s="2" t="s">
        <v>5</v>
      </c>
      <c r="C3319" s="2" t="s">
        <v>6786</v>
      </c>
      <c r="D3319" s="2" t="s">
        <v>6744</v>
      </c>
      <c r="E3319" s="2" t="str">
        <f>HYPERLINK("https://talan.bank.gov.ua/get-user-certificate/sec1eSLNRAHQfhe-buy_","Завантажити сертифікат")</f>
        <v>Завантажити сертифікат</v>
      </c>
    </row>
    <row r="3320" spans="1:5" x14ac:dyDescent="0.3">
      <c r="A3320" s="2" t="s">
        <v>6787</v>
      </c>
      <c r="B3320" s="2" t="s">
        <v>5</v>
      </c>
      <c r="C3320" s="2" t="s">
        <v>6788</v>
      </c>
      <c r="D3320" s="2" t="s">
        <v>6744</v>
      </c>
      <c r="E3320" s="2" t="str">
        <f>HYPERLINK("https://talan.bank.gov.ua/get-user-certificate/sec1eKguvFDuws6IUgbW","Завантажити сертифікат")</f>
        <v>Завантажити сертифікат</v>
      </c>
    </row>
    <row r="3321" spans="1:5" x14ac:dyDescent="0.3">
      <c r="A3321" s="2" t="s">
        <v>6789</v>
      </c>
      <c r="B3321" s="2" t="s">
        <v>5</v>
      </c>
      <c r="C3321" s="2" t="s">
        <v>6790</v>
      </c>
      <c r="D3321" s="2" t="s">
        <v>6744</v>
      </c>
      <c r="E3321" s="2" t="str">
        <f>HYPERLINK("https://talan.bank.gov.ua/get-user-certificate/sec1e_pyHuhp_krqqdQB","Завантажити сертифікат")</f>
        <v>Завантажити сертифікат</v>
      </c>
    </row>
    <row r="3322" spans="1:5" x14ac:dyDescent="0.3">
      <c r="A3322" s="2" t="s">
        <v>6791</v>
      </c>
      <c r="B3322" s="2" t="s">
        <v>5</v>
      </c>
      <c r="C3322" s="2" t="s">
        <v>6792</v>
      </c>
      <c r="D3322" s="2" t="s">
        <v>6744</v>
      </c>
      <c r="E3322" s="2" t="str">
        <f>HYPERLINK("https://talan.bank.gov.ua/get-user-certificate/sec1eLemNuP6njxOvkPy","Завантажити сертифікат")</f>
        <v>Завантажити сертифікат</v>
      </c>
    </row>
    <row r="3323" spans="1:5" x14ac:dyDescent="0.3">
      <c r="A3323" s="2" t="s">
        <v>6793</v>
      </c>
      <c r="B3323" s="2" t="s">
        <v>5</v>
      </c>
      <c r="C3323" s="2" t="s">
        <v>6794</v>
      </c>
      <c r="D3323" s="2" t="s">
        <v>6795</v>
      </c>
      <c r="E3323" s="2" t="str">
        <f>HYPERLINK("https://talan.bank.gov.ua/get-user-certificate/sec1eSvPrvIALW8s7lx7","Завантажити сертифікат")</f>
        <v>Завантажити сертифікат</v>
      </c>
    </row>
    <row r="3324" spans="1:5" x14ac:dyDescent="0.3">
      <c r="A3324" s="2" t="s">
        <v>6796</v>
      </c>
      <c r="B3324" s="2" t="s">
        <v>5</v>
      </c>
      <c r="C3324" s="2" t="s">
        <v>6797</v>
      </c>
      <c r="D3324" s="2" t="s">
        <v>6795</v>
      </c>
      <c r="E3324" s="2" t="str">
        <f>HYPERLINK("https://talan.bank.gov.ua/get-user-certificate/sec1eNgk7QK30CctKZqK","Завантажити сертифікат")</f>
        <v>Завантажити сертифікат</v>
      </c>
    </row>
    <row r="3325" spans="1:5" x14ac:dyDescent="0.3">
      <c r="A3325" s="2" t="s">
        <v>6798</v>
      </c>
      <c r="B3325" s="2" t="s">
        <v>5</v>
      </c>
      <c r="C3325" s="2" t="s">
        <v>6799</v>
      </c>
      <c r="D3325" s="2" t="s">
        <v>6800</v>
      </c>
      <c r="E3325" s="2" t="str">
        <f>HYPERLINK("https://talan.bank.gov.ua/get-user-certificate/sec1e0UuRYvsJEdq_MXD","Завантажити сертифікат")</f>
        <v>Завантажити сертифікат</v>
      </c>
    </row>
    <row r="3326" spans="1:5" x14ac:dyDescent="0.3">
      <c r="A3326" s="2" t="s">
        <v>6801</v>
      </c>
      <c r="B3326" s="2" t="s">
        <v>5</v>
      </c>
      <c r="C3326" s="2" t="s">
        <v>6802</v>
      </c>
      <c r="D3326" s="2" t="s">
        <v>6800</v>
      </c>
      <c r="E3326" s="2" t="str">
        <f>HYPERLINK("https://talan.bank.gov.ua/get-user-certificate/sec1eyAbK8f_1Lyy6NFI","Завантажити сертифікат")</f>
        <v>Завантажити сертифікат</v>
      </c>
    </row>
    <row r="3327" spans="1:5" x14ac:dyDescent="0.3">
      <c r="A3327" s="2" t="s">
        <v>6803</v>
      </c>
      <c r="B3327" s="2" t="s">
        <v>5</v>
      </c>
      <c r="C3327" s="2" t="s">
        <v>6804</v>
      </c>
      <c r="D3327" s="2" t="s">
        <v>6800</v>
      </c>
      <c r="E3327" s="2" t="str">
        <f>HYPERLINK("https://talan.bank.gov.ua/get-user-certificate/sec1e6X8YT7gZ9eGJh9L","Завантажити сертифікат")</f>
        <v>Завантажити сертифікат</v>
      </c>
    </row>
    <row r="3328" spans="1:5" x14ac:dyDescent="0.3">
      <c r="A3328" s="2" t="s">
        <v>6805</v>
      </c>
      <c r="B3328" s="2" t="s">
        <v>5</v>
      </c>
      <c r="C3328" s="2" t="s">
        <v>6806</v>
      </c>
      <c r="D3328" s="2" t="s">
        <v>6800</v>
      </c>
      <c r="E3328" s="2" t="str">
        <f>HYPERLINK("https://talan.bank.gov.ua/get-user-certificate/sec1eWHRA_m-qpJHfyb3","Завантажити сертифікат")</f>
        <v>Завантажити сертифікат</v>
      </c>
    </row>
    <row r="3329" spans="1:5" x14ac:dyDescent="0.3">
      <c r="A3329" s="2" t="s">
        <v>6807</v>
      </c>
      <c r="B3329" s="2" t="s">
        <v>5</v>
      </c>
      <c r="C3329" s="2" t="s">
        <v>6808</v>
      </c>
      <c r="D3329" s="2" t="s">
        <v>6800</v>
      </c>
      <c r="E3329" s="2" t="str">
        <f>HYPERLINK("https://talan.bank.gov.ua/get-user-certificate/sec1ey37Aigr8oU5VpM1","Завантажити сертифікат")</f>
        <v>Завантажити сертифікат</v>
      </c>
    </row>
    <row r="3330" spans="1:5" x14ac:dyDescent="0.3">
      <c r="A3330" s="2" t="s">
        <v>6809</v>
      </c>
      <c r="B3330" s="2" t="s">
        <v>5</v>
      </c>
      <c r="C3330" s="2" t="s">
        <v>6810</v>
      </c>
      <c r="D3330" s="2" t="s">
        <v>6800</v>
      </c>
      <c r="E3330" s="2" t="str">
        <f>HYPERLINK("https://talan.bank.gov.ua/get-user-certificate/sec1ed8ASDdoVfkoihSl","Завантажити сертифікат")</f>
        <v>Завантажити сертифікат</v>
      </c>
    </row>
    <row r="3331" spans="1:5" x14ac:dyDescent="0.3">
      <c r="A3331" s="2" t="s">
        <v>6811</v>
      </c>
      <c r="B3331" s="2" t="s">
        <v>5</v>
      </c>
      <c r="C3331" s="2" t="s">
        <v>6812</v>
      </c>
      <c r="D3331" s="2" t="s">
        <v>6800</v>
      </c>
      <c r="E3331" s="2" t="str">
        <f>HYPERLINK("https://talan.bank.gov.ua/get-user-certificate/sec1e8YpboYVnWrUo0yH","Завантажити сертифікат")</f>
        <v>Завантажити сертифікат</v>
      </c>
    </row>
    <row r="3332" spans="1:5" x14ac:dyDescent="0.3">
      <c r="A3332" s="2" t="s">
        <v>6813</v>
      </c>
      <c r="B3332" s="2" t="s">
        <v>5</v>
      </c>
      <c r="C3332" s="2" t="s">
        <v>6814</v>
      </c>
      <c r="D3332" s="2" t="s">
        <v>6800</v>
      </c>
      <c r="E3332" s="2" t="str">
        <f>HYPERLINK("https://talan.bank.gov.ua/get-user-certificate/sec1eJ3df4hUmu3Foivn","Завантажити сертифікат")</f>
        <v>Завантажити сертифікат</v>
      </c>
    </row>
    <row r="3333" spans="1:5" x14ac:dyDescent="0.3">
      <c r="A3333" s="2" t="s">
        <v>6815</v>
      </c>
      <c r="B3333" s="2" t="s">
        <v>5</v>
      </c>
      <c r="C3333" s="2" t="s">
        <v>6816</v>
      </c>
      <c r="D3333" s="2" t="s">
        <v>6800</v>
      </c>
      <c r="E3333" s="2" t="str">
        <f>HYPERLINK("https://talan.bank.gov.ua/get-user-certificate/sec1eONXmNvupJ2ZivCN","Завантажити сертифікат")</f>
        <v>Завантажити сертифікат</v>
      </c>
    </row>
    <row r="3334" spans="1:5" x14ac:dyDescent="0.3">
      <c r="A3334" s="2" t="s">
        <v>6817</v>
      </c>
      <c r="B3334" s="2" t="s">
        <v>5</v>
      </c>
      <c r="C3334" s="2" t="s">
        <v>6818</v>
      </c>
      <c r="D3334" s="2" t="s">
        <v>6800</v>
      </c>
      <c r="E3334" s="2" t="str">
        <f>HYPERLINK("https://talan.bank.gov.ua/get-user-certificate/sec1e98VjOT6Fg79N_-a","Завантажити сертифікат")</f>
        <v>Завантажити сертифікат</v>
      </c>
    </row>
    <row r="3335" spans="1:5" x14ac:dyDescent="0.3">
      <c r="A3335" s="2" t="s">
        <v>6819</v>
      </c>
      <c r="B3335" s="2" t="s">
        <v>5</v>
      </c>
      <c r="C3335" s="2" t="s">
        <v>6820</v>
      </c>
      <c r="D3335" s="2" t="s">
        <v>6821</v>
      </c>
      <c r="E3335" s="2" t="str">
        <f>HYPERLINK("https://talan.bank.gov.ua/get-user-certificate/sec1e90qlI-Q6V3dm4eH","Завантажити сертифікат")</f>
        <v>Завантажити сертифікат</v>
      </c>
    </row>
    <row r="3336" spans="1:5" x14ac:dyDescent="0.3">
      <c r="A3336" s="2" t="s">
        <v>6822</v>
      </c>
      <c r="B3336" s="2" t="s">
        <v>5</v>
      </c>
      <c r="C3336" s="2" t="s">
        <v>6823</v>
      </c>
      <c r="D3336" s="2" t="s">
        <v>6821</v>
      </c>
      <c r="E3336" s="2" t="str">
        <f>HYPERLINK("https://talan.bank.gov.ua/get-user-certificate/sec1eKAUBQPK_wCU_-7K","Завантажити сертифікат")</f>
        <v>Завантажити сертифікат</v>
      </c>
    </row>
    <row r="3337" spans="1:5" x14ac:dyDescent="0.3">
      <c r="A3337" s="2" t="s">
        <v>6824</v>
      </c>
      <c r="B3337" s="2" t="s">
        <v>5</v>
      </c>
      <c r="C3337" s="2" t="s">
        <v>6825</v>
      </c>
      <c r="D3337" s="2" t="s">
        <v>6821</v>
      </c>
      <c r="E3337" s="2" t="str">
        <f>HYPERLINK("https://talan.bank.gov.ua/get-user-certificate/sec1eTEIamzmYX3LGAVM","Завантажити сертифікат")</f>
        <v>Завантажити сертифікат</v>
      </c>
    </row>
    <row r="3338" spans="1:5" x14ac:dyDescent="0.3">
      <c r="A3338" s="2" t="s">
        <v>6826</v>
      </c>
      <c r="B3338" s="2" t="s">
        <v>5</v>
      </c>
      <c r="C3338" s="2" t="s">
        <v>6827</v>
      </c>
      <c r="D3338" s="2" t="s">
        <v>6821</v>
      </c>
      <c r="E3338" s="2" t="str">
        <f>HYPERLINK("https://talan.bank.gov.ua/get-user-certificate/sec1eiE3G4W42VP12dU8","Завантажити сертифікат")</f>
        <v>Завантажити сертифікат</v>
      </c>
    </row>
    <row r="3339" spans="1:5" x14ac:dyDescent="0.3">
      <c r="A3339" s="2" t="s">
        <v>6828</v>
      </c>
      <c r="B3339" s="2" t="s">
        <v>5</v>
      </c>
      <c r="C3339" s="2" t="s">
        <v>6829</v>
      </c>
      <c r="D3339" s="2" t="s">
        <v>6821</v>
      </c>
      <c r="E3339" s="2" t="str">
        <f>HYPERLINK("https://talan.bank.gov.ua/get-user-certificate/sec1eZs1-zETz6hU2yLA","Завантажити сертифікат")</f>
        <v>Завантажити сертифікат</v>
      </c>
    </row>
    <row r="3340" spans="1:5" x14ac:dyDescent="0.3">
      <c r="A3340" s="2" t="s">
        <v>6830</v>
      </c>
      <c r="B3340" s="2" t="s">
        <v>5</v>
      </c>
      <c r="C3340" s="2" t="s">
        <v>6831</v>
      </c>
      <c r="D3340" s="2" t="s">
        <v>6821</v>
      </c>
      <c r="E3340" s="2" t="str">
        <f>HYPERLINK("https://talan.bank.gov.ua/get-user-certificate/sec1e4WZ7yY9dQ1hx4Z0","Завантажити сертифікат")</f>
        <v>Завантажити сертифікат</v>
      </c>
    </row>
    <row r="3341" spans="1:5" x14ac:dyDescent="0.3">
      <c r="A3341" s="2" t="s">
        <v>6832</v>
      </c>
      <c r="B3341" s="2" t="s">
        <v>5</v>
      </c>
      <c r="C3341" s="2" t="s">
        <v>6833</v>
      </c>
      <c r="D3341" s="2" t="s">
        <v>6821</v>
      </c>
      <c r="E3341" s="2" t="str">
        <f>HYPERLINK("https://talan.bank.gov.ua/get-user-certificate/sec1eBbxg7yxn8j9KBx2","Завантажити сертифікат")</f>
        <v>Завантажити сертифікат</v>
      </c>
    </row>
    <row r="3342" spans="1:5" x14ac:dyDescent="0.3">
      <c r="A3342" s="2" t="s">
        <v>6834</v>
      </c>
      <c r="B3342" s="2" t="s">
        <v>5</v>
      </c>
      <c r="C3342" s="2" t="s">
        <v>6835</v>
      </c>
      <c r="D3342" s="2" t="s">
        <v>6821</v>
      </c>
      <c r="E3342" s="2" t="str">
        <f>HYPERLINK("https://talan.bank.gov.ua/get-user-certificate/sec1eQdzGVrsHvVgPAnk","Завантажити сертифікат")</f>
        <v>Завантажити сертифікат</v>
      </c>
    </row>
    <row r="3343" spans="1:5" x14ac:dyDescent="0.3">
      <c r="A3343" s="2" t="s">
        <v>6836</v>
      </c>
      <c r="B3343" s="2" t="s">
        <v>5</v>
      </c>
      <c r="C3343" s="2" t="s">
        <v>6837</v>
      </c>
      <c r="D3343" s="2" t="s">
        <v>6821</v>
      </c>
      <c r="E3343" s="2" t="str">
        <f>HYPERLINK("https://talan.bank.gov.ua/get-user-certificate/sec1eA56Fk995j919dQx","Завантажити сертифікат")</f>
        <v>Завантажити сертифікат</v>
      </c>
    </row>
    <row r="3344" spans="1:5" x14ac:dyDescent="0.3">
      <c r="A3344" s="2" t="s">
        <v>6838</v>
      </c>
      <c r="B3344" s="2" t="s">
        <v>5</v>
      </c>
      <c r="C3344" s="2" t="s">
        <v>6839</v>
      </c>
      <c r="D3344" s="2" t="s">
        <v>6821</v>
      </c>
      <c r="E3344" s="2" t="str">
        <f>HYPERLINK("https://talan.bank.gov.ua/get-user-certificate/sec1eokF7sCHaXHOfHGd","Завантажити сертифікат")</f>
        <v>Завантажити сертифікат</v>
      </c>
    </row>
    <row r="3345" spans="1:5" x14ac:dyDescent="0.3">
      <c r="A3345" s="2" t="s">
        <v>6840</v>
      </c>
      <c r="B3345" s="2" t="s">
        <v>5</v>
      </c>
      <c r="C3345" s="2" t="s">
        <v>6841</v>
      </c>
      <c r="D3345" s="2" t="s">
        <v>6821</v>
      </c>
      <c r="E3345" s="2" t="str">
        <f>HYPERLINK("https://talan.bank.gov.ua/get-user-certificate/sec1eVCWZUDtsnhXBpci","Завантажити сертифікат")</f>
        <v>Завантажити сертифікат</v>
      </c>
    </row>
    <row r="3346" spans="1:5" x14ac:dyDescent="0.3">
      <c r="A3346" s="2" t="s">
        <v>6842</v>
      </c>
      <c r="B3346" s="2" t="s">
        <v>5</v>
      </c>
      <c r="C3346" s="2" t="s">
        <v>6843</v>
      </c>
      <c r="D3346" s="2" t="s">
        <v>6821</v>
      </c>
      <c r="E3346" s="2" t="str">
        <f>HYPERLINK("https://talan.bank.gov.ua/get-user-certificate/sec1eFgNwcDmHq-PaHpc","Завантажити сертифікат")</f>
        <v>Завантажити сертифікат</v>
      </c>
    </row>
    <row r="3347" spans="1:5" x14ac:dyDescent="0.3">
      <c r="A3347" s="2" t="s">
        <v>6844</v>
      </c>
      <c r="B3347" s="2" t="s">
        <v>5</v>
      </c>
      <c r="C3347" s="2" t="s">
        <v>6845</v>
      </c>
      <c r="D3347" s="2" t="s">
        <v>6821</v>
      </c>
      <c r="E3347" s="2" t="str">
        <f>HYPERLINK("https://talan.bank.gov.ua/get-user-certificate/sec1eJxyPT-8gxSYoO8a","Завантажити сертифікат")</f>
        <v>Завантажити сертифікат</v>
      </c>
    </row>
    <row r="3348" spans="1:5" x14ac:dyDescent="0.3">
      <c r="A3348" s="2" t="s">
        <v>6846</v>
      </c>
      <c r="B3348" s="2" t="s">
        <v>5</v>
      </c>
      <c r="C3348" s="2" t="s">
        <v>6847</v>
      </c>
      <c r="D3348" s="2" t="s">
        <v>6821</v>
      </c>
      <c r="E3348" s="2" t="str">
        <f>HYPERLINK("https://talan.bank.gov.ua/get-user-certificate/sec1etFOF9pEGEVwrKYz","Завантажити сертифікат")</f>
        <v>Завантажити сертифікат</v>
      </c>
    </row>
    <row r="3349" spans="1:5" x14ac:dyDescent="0.3">
      <c r="A3349" s="2" t="s">
        <v>6848</v>
      </c>
      <c r="B3349" s="2" t="s">
        <v>5</v>
      </c>
      <c r="C3349" s="2" t="s">
        <v>6849</v>
      </c>
      <c r="D3349" s="2" t="s">
        <v>6821</v>
      </c>
      <c r="E3349" s="2" t="str">
        <f>HYPERLINK("https://talan.bank.gov.ua/get-user-certificate/sec1ez9aVNngyj2QDZu1","Завантажити сертифікат")</f>
        <v>Завантажити сертифікат</v>
      </c>
    </row>
    <row r="3350" spans="1:5" x14ac:dyDescent="0.3">
      <c r="A3350" s="2" t="s">
        <v>6850</v>
      </c>
      <c r="B3350" s="2" t="s">
        <v>5</v>
      </c>
      <c r="C3350" s="2" t="s">
        <v>6851</v>
      </c>
      <c r="D3350" s="2" t="s">
        <v>6821</v>
      </c>
      <c r="E3350" s="2" t="str">
        <f>HYPERLINK("https://talan.bank.gov.ua/get-user-certificate/sec1e_nUCJ8RmXF2Dj2O","Завантажити сертифікат")</f>
        <v>Завантажити сертифікат</v>
      </c>
    </row>
    <row r="3351" spans="1:5" x14ac:dyDescent="0.3">
      <c r="A3351" s="2" t="s">
        <v>6852</v>
      </c>
      <c r="B3351" s="2" t="s">
        <v>5</v>
      </c>
      <c r="C3351" s="2" t="s">
        <v>6853</v>
      </c>
      <c r="D3351" s="2" t="s">
        <v>6821</v>
      </c>
      <c r="E3351" s="2" t="str">
        <f>HYPERLINK("https://talan.bank.gov.ua/get-user-certificate/sec1ev1vftgOBwayWoqz","Завантажити сертифікат")</f>
        <v>Завантажити сертифікат</v>
      </c>
    </row>
    <row r="3352" spans="1:5" x14ac:dyDescent="0.3">
      <c r="A3352" s="2" t="s">
        <v>6854</v>
      </c>
      <c r="B3352" s="2" t="s">
        <v>5</v>
      </c>
      <c r="C3352" s="2" t="s">
        <v>6855</v>
      </c>
      <c r="D3352" s="2" t="s">
        <v>6821</v>
      </c>
      <c r="E3352" s="2" t="str">
        <f>HYPERLINK("https://talan.bank.gov.ua/get-user-certificate/sec1eo556YPFCXY3y6iy","Завантажити сертифікат")</f>
        <v>Завантажити сертифікат</v>
      </c>
    </row>
    <row r="3353" spans="1:5" x14ac:dyDescent="0.3">
      <c r="A3353" s="2" t="s">
        <v>6856</v>
      </c>
      <c r="B3353" s="2" t="s">
        <v>5</v>
      </c>
      <c r="C3353" s="2" t="s">
        <v>6857</v>
      </c>
      <c r="D3353" s="2" t="s">
        <v>6821</v>
      </c>
      <c r="E3353" s="2" t="str">
        <f>HYPERLINK("https://talan.bank.gov.ua/get-user-certificate/sec1eJkmgIiS9Ai9l2Th","Завантажити сертифікат")</f>
        <v>Завантажити сертифікат</v>
      </c>
    </row>
    <row r="3354" spans="1:5" x14ac:dyDescent="0.3">
      <c r="A3354" s="2" t="s">
        <v>6858</v>
      </c>
      <c r="B3354" s="2" t="s">
        <v>5</v>
      </c>
      <c r="C3354" s="2" t="s">
        <v>6859</v>
      </c>
      <c r="D3354" s="2" t="s">
        <v>6821</v>
      </c>
      <c r="E3354" s="2" t="str">
        <f>HYPERLINK("https://talan.bank.gov.ua/get-user-certificate/sec1eey3SNWJxAkwgI7O","Завантажити сертифікат")</f>
        <v>Завантажити сертифікат</v>
      </c>
    </row>
    <row r="3355" spans="1:5" x14ac:dyDescent="0.3">
      <c r="A3355" s="2" t="s">
        <v>6860</v>
      </c>
      <c r="B3355" s="2" t="s">
        <v>5</v>
      </c>
      <c r="C3355" s="2" t="s">
        <v>6861</v>
      </c>
      <c r="D3355" s="2" t="s">
        <v>6862</v>
      </c>
      <c r="E3355" s="2" t="str">
        <f>HYPERLINK("https://talan.bank.gov.ua/get-user-certificate/sec1e3_6EGcjIdjTxNkm","Завантажити сертифікат")</f>
        <v>Завантажити сертифікат</v>
      </c>
    </row>
    <row r="3356" spans="1:5" x14ac:dyDescent="0.3">
      <c r="A3356" s="2" t="s">
        <v>6863</v>
      </c>
      <c r="B3356" s="2" t="s">
        <v>5</v>
      </c>
      <c r="C3356" s="2" t="s">
        <v>6864</v>
      </c>
      <c r="D3356" s="2" t="s">
        <v>6862</v>
      </c>
      <c r="E3356" s="2" t="str">
        <f>HYPERLINK("https://talan.bank.gov.ua/get-user-certificate/sec1eiwodXq3TohMEoyL","Завантажити сертифікат")</f>
        <v>Завантажити сертифікат</v>
      </c>
    </row>
    <row r="3357" spans="1:5" x14ac:dyDescent="0.3">
      <c r="A3357" s="2" t="s">
        <v>6865</v>
      </c>
      <c r="B3357" s="2" t="s">
        <v>5</v>
      </c>
      <c r="C3357" s="2" t="s">
        <v>6866</v>
      </c>
      <c r="D3357" s="2" t="s">
        <v>6862</v>
      </c>
      <c r="E3357" s="2" t="str">
        <f>HYPERLINK("https://talan.bank.gov.ua/get-user-certificate/sec1e71yOLBM0cEv-Q2Y","Завантажити сертифікат")</f>
        <v>Завантажити сертифікат</v>
      </c>
    </row>
    <row r="3358" spans="1:5" x14ac:dyDescent="0.3">
      <c r="A3358" s="2" t="s">
        <v>6867</v>
      </c>
      <c r="B3358" s="2" t="s">
        <v>5</v>
      </c>
      <c r="C3358" s="2" t="s">
        <v>6868</v>
      </c>
      <c r="D3358" s="2" t="s">
        <v>6862</v>
      </c>
      <c r="E3358" s="2" t="str">
        <f>HYPERLINK("https://talan.bank.gov.ua/get-user-certificate/sec1ehXporDb3xa5dZRZ","Завантажити сертифікат")</f>
        <v>Завантажити сертифікат</v>
      </c>
    </row>
    <row r="3359" spans="1:5" x14ac:dyDescent="0.3">
      <c r="A3359" s="2" t="s">
        <v>6869</v>
      </c>
      <c r="B3359" s="2" t="s">
        <v>5</v>
      </c>
      <c r="C3359" s="2" t="s">
        <v>6870</v>
      </c>
      <c r="D3359" s="2" t="s">
        <v>6862</v>
      </c>
      <c r="E3359" s="2" t="str">
        <f>HYPERLINK("https://talan.bank.gov.ua/get-user-certificate/sec1ea7hUDifnufakZtg","Завантажити сертифікат")</f>
        <v>Завантажити сертифікат</v>
      </c>
    </row>
    <row r="3360" spans="1:5" x14ac:dyDescent="0.3">
      <c r="A3360" s="2" t="s">
        <v>6871</v>
      </c>
      <c r="B3360" s="2" t="s">
        <v>5</v>
      </c>
      <c r="C3360" s="2" t="s">
        <v>6872</v>
      </c>
      <c r="D3360" s="2" t="s">
        <v>6862</v>
      </c>
      <c r="E3360" s="2" t="str">
        <f>HYPERLINK("https://talan.bank.gov.ua/get-user-certificate/sec1euU9cDu_LFFLAmGx","Завантажити сертифікат")</f>
        <v>Завантажити сертифікат</v>
      </c>
    </row>
    <row r="3361" spans="1:5" x14ac:dyDescent="0.3">
      <c r="A3361" s="2" t="s">
        <v>6873</v>
      </c>
      <c r="B3361" s="2" t="s">
        <v>5</v>
      </c>
      <c r="C3361" s="2" t="s">
        <v>6874</v>
      </c>
      <c r="D3361" s="2" t="s">
        <v>6862</v>
      </c>
      <c r="E3361" s="2" t="str">
        <f>HYPERLINK("https://talan.bank.gov.ua/get-user-certificate/sec1eHHr9kUhkk3qsOLh","Завантажити сертифікат")</f>
        <v>Завантажити сертифікат</v>
      </c>
    </row>
    <row r="3362" spans="1:5" x14ac:dyDescent="0.3">
      <c r="A3362" s="2" t="s">
        <v>6875</v>
      </c>
      <c r="B3362" s="2" t="s">
        <v>5</v>
      </c>
      <c r="C3362" s="2" t="s">
        <v>6876</v>
      </c>
      <c r="D3362" s="2" t="s">
        <v>6862</v>
      </c>
      <c r="E3362" s="2" t="str">
        <f>HYPERLINK("https://talan.bank.gov.ua/get-user-certificate/sec1euC8_fnotM0Nd_1i","Завантажити сертифікат")</f>
        <v>Завантажити сертифікат</v>
      </c>
    </row>
    <row r="3363" spans="1:5" x14ac:dyDescent="0.3">
      <c r="A3363" s="2" t="s">
        <v>6877</v>
      </c>
      <c r="B3363" s="2" t="s">
        <v>5</v>
      </c>
      <c r="C3363" s="2" t="s">
        <v>6878</v>
      </c>
      <c r="D3363" s="2" t="s">
        <v>6862</v>
      </c>
      <c r="E3363" s="2" t="str">
        <f>HYPERLINK("https://talan.bank.gov.ua/get-user-certificate/sec1eFnj51hzjBmyw8Bq","Завантажити сертифікат")</f>
        <v>Завантажити сертифікат</v>
      </c>
    </row>
    <row r="3364" spans="1:5" x14ac:dyDescent="0.3">
      <c r="A3364" s="2" t="s">
        <v>6879</v>
      </c>
      <c r="B3364" s="2" t="s">
        <v>5</v>
      </c>
      <c r="C3364" s="2" t="s">
        <v>6880</v>
      </c>
      <c r="D3364" s="2" t="s">
        <v>6862</v>
      </c>
      <c r="E3364" s="2" t="str">
        <f>HYPERLINK("https://talan.bank.gov.ua/get-user-certificate/sec1eWveJ0VQPp29g_nP","Завантажити сертифікат")</f>
        <v>Завантажити сертифікат</v>
      </c>
    </row>
    <row r="3365" spans="1:5" x14ac:dyDescent="0.3">
      <c r="A3365" s="2" t="s">
        <v>6881</v>
      </c>
      <c r="B3365" s="2" t="s">
        <v>5</v>
      </c>
      <c r="C3365" s="2" t="s">
        <v>6882</v>
      </c>
      <c r="D3365" s="2" t="s">
        <v>6862</v>
      </c>
      <c r="E3365" s="2" t="str">
        <f>HYPERLINK("https://talan.bank.gov.ua/get-user-certificate/sec1eU5qxKOiGFat-yQJ","Завантажити сертифікат")</f>
        <v>Завантажити сертифікат</v>
      </c>
    </row>
    <row r="3366" spans="1:5" x14ac:dyDescent="0.3">
      <c r="A3366" s="2" t="s">
        <v>6883</v>
      </c>
      <c r="B3366" s="2" t="s">
        <v>5</v>
      </c>
      <c r="C3366" s="2" t="s">
        <v>6884</v>
      </c>
      <c r="D3366" s="2" t="s">
        <v>6862</v>
      </c>
      <c r="E3366" s="2" t="str">
        <f>HYPERLINK("https://talan.bank.gov.ua/get-user-certificate/sec1evYLcdZQoMLCFWZ2","Завантажити сертифікат")</f>
        <v>Завантажити сертифікат</v>
      </c>
    </row>
    <row r="3367" spans="1:5" x14ac:dyDescent="0.3">
      <c r="A3367" s="2" t="s">
        <v>6885</v>
      </c>
      <c r="B3367" s="2" t="s">
        <v>5</v>
      </c>
      <c r="C3367" s="2" t="s">
        <v>6886</v>
      </c>
      <c r="D3367" s="2" t="s">
        <v>6862</v>
      </c>
      <c r="E3367" s="2" t="str">
        <f>HYPERLINK("https://talan.bank.gov.ua/get-user-certificate/sec1e2RTNskejrZNpCm-","Завантажити сертифікат")</f>
        <v>Завантажити сертифікат</v>
      </c>
    </row>
    <row r="3368" spans="1:5" x14ac:dyDescent="0.3">
      <c r="A3368" s="2" t="s">
        <v>6887</v>
      </c>
      <c r="B3368" s="2" t="s">
        <v>5</v>
      </c>
      <c r="C3368" s="2" t="s">
        <v>6888</v>
      </c>
      <c r="D3368" s="2" t="s">
        <v>6862</v>
      </c>
      <c r="E3368" s="2" t="str">
        <f>HYPERLINK("https://talan.bank.gov.ua/get-user-certificate/sec1eTZOjgD_TNxB4_Ot","Завантажити сертифікат")</f>
        <v>Завантажити сертифікат</v>
      </c>
    </row>
    <row r="3369" spans="1:5" x14ac:dyDescent="0.3">
      <c r="A3369" s="2" t="s">
        <v>6889</v>
      </c>
      <c r="B3369" s="2" t="s">
        <v>5</v>
      </c>
      <c r="C3369" s="2" t="s">
        <v>6890</v>
      </c>
      <c r="D3369" s="2" t="s">
        <v>6862</v>
      </c>
      <c r="E3369" s="2" t="str">
        <f>HYPERLINK("https://talan.bank.gov.ua/get-user-certificate/sec1eP7YrPaKJtCYdC4F","Завантажити сертифікат")</f>
        <v>Завантажити сертифікат</v>
      </c>
    </row>
    <row r="3370" spans="1:5" x14ac:dyDescent="0.3">
      <c r="A3370" s="2" t="s">
        <v>6891</v>
      </c>
      <c r="B3370" s="2" t="s">
        <v>5</v>
      </c>
      <c r="C3370" s="2" t="s">
        <v>6892</v>
      </c>
      <c r="D3370" s="2" t="s">
        <v>6862</v>
      </c>
      <c r="E3370" s="2" t="str">
        <f>HYPERLINK("https://talan.bank.gov.ua/get-user-certificate/sec1e_ZGso9m57cWJt1i","Завантажити сертифікат")</f>
        <v>Завантажити сертифікат</v>
      </c>
    </row>
    <row r="3371" spans="1:5" x14ac:dyDescent="0.3">
      <c r="A3371" s="2" t="s">
        <v>6893</v>
      </c>
      <c r="B3371" s="2" t="s">
        <v>5</v>
      </c>
      <c r="C3371" s="2" t="s">
        <v>6894</v>
      </c>
      <c r="D3371" s="2" t="s">
        <v>6862</v>
      </c>
      <c r="E3371" s="2" t="str">
        <f>HYPERLINK("https://talan.bank.gov.ua/get-user-certificate/sec1e4aJx-lyauFGWrmh","Завантажити сертифікат")</f>
        <v>Завантажити сертифікат</v>
      </c>
    </row>
    <row r="3372" spans="1:5" x14ac:dyDescent="0.3">
      <c r="A3372" s="2" t="s">
        <v>6895</v>
      </c>
      <c r="B3372" s="2" t="s">
        <v>5</v>
      </c>
      <c r="C3372" s="2" t="s">
        <v>6896</v>
      </c>
      <c r="D3372" s="2" t="s">
        <v>6862</v>
      </c>
      <c r="E3372" s="2" t="str">
        <f>HYPERLINK("https://talan.bank.gov.ua/get-user-certificate/sec1e-0JaM8uiLjcCJFL","Завантажити сертифікат")</f>
        <v>Завантажити сертифікат</v>
      </c>
    </row>
    <row r="3373" spans="1:5" x14ac:dyDescent="0.3">
      <c r="A3373" s="2" t="s">
        <v>6897</v>
      </c>
      <c r="B3373" s="2" t="s">
        <v>5</v>
      </c>
      <c r="C3373" s="2" t="s">
        <v>6898</v>
      </c>
      <c r="D3373" s="2" t="s">
        <v>6862</v>
      </c>
      <c r="E3373" s="2" t="str">
        <f>HYPERLINK("https://talan.bank.gov.ua/get-user-certificate/sec1eEF8YzcVeVZWehzz","Завантажити сертифікат")</f>
        <v>Завантажити сертифікат</v>
      </c>
    </row>
    <row r="3374" spans="1:5" x14ac:dyDescent="0.3">
      <c r="A3374" s="2" t="s">
        <v>6899</v>
      </c>
      <c r="B3374" s="2" t="s">
        <v>5</v>
      </c>
      <c r="C3374" s="2" t="s">
        <v>6900</v>
      </c>
      <c r="D3374" s="2" t="s">
        <v>6862</v>
      </c>
      <c r="E3374" s="2" t="str">
        <f>HYPERLINK("https://talan.bank.gov.ua/get-user-certificate/sec1eRHMU-yfn24yl7Va","Завантажити сертифікат")</f>
        <v>Завантажити сертифікат</v>
      </c>
    </row>
    <row r="3375" spans="1:5" x14ac:dyDescent="0.3">
      <c r="A3375" s="2" t="s">
        <v>6901</v>
      </c>
      <c r="B3375" s="2" t="s">
        <v>5</v>
      </c>
      <c r="C3375" s="2" t="s">
        <v>6902</v>
      </c>
      <c r="D3375" s="2" t="s">
        <v>6862</v>
      </c>
      <c r="E3375" s="2" t="str">
        <f>HYPERLINK("https://talan.bank.gov.ua/get-user-certificate/sec1euFwp8L0LFgIpecW","Завантажити сертифікат")</f>
        <v>Завантажити сертифікат</v>
      </c>
    </row>
    <row r="3376" spans="1:5" x14ac:dyDescent="0.3">
      <c r="A3376" s="2" t="s">
        <v>6903</v>
      </c>
      <c r="B3376" s="2" t="s">
        <v>5</v>
      </c>
      <c r="C3376" s="2" t="s">
        <v>6904</v>
      </c>
      <c r="D3376" s="2" t="s">
        <v>6862</v>
      </c>
      <c r="E3376" s="2" t="str">
        <f>HYPERLINK("https://talan.bank.gov.ua/get-user-certificate/sec1e1mhfXCLF1uROMrQ","Завантажити сертифікат")</f>
        <v>Завантажити сертифікат</v>
      </c>
    </row>
    <row r="3377" spans="1:5" x14ac:dyDescent="0.3">
      <c r="A3377" s="2" t="s">
        <v>6905</v>
      </c>
      <c r="B3377" s="2" t="s">
        <v>5</v>
      </c>
      <c r="C3377" s="2" t="s">
        <v>6906</v>
      </c>
      <c r="D3377" s="2" t="s">
        <v>6862</v>
      </c>
      <c r="E3377" s="2" t="str">
        <f>HYPERLINK("https://talan.bank.gov.ua/get-user-certificate/sec1eshYoJTdWZDnQIxY","Завантажити сертифікат")</f>
        <v>Завантажити сертифікат</v>
      </c>
    </row>
    <row r="3378" spans="1:5" x14ac:dyDescent="0.3">
      <c r="A3378" s="2" t="s">
        <v>6907</v>
      </c>
      <c r="B3378" s="2" t="s">
        <v>5</v>
      </c>
      <c r="C3378" s="2" t="s">
        <v>6908</v>
      </c>
      <c r="D3378" s="2" t="s">
        <v>6862</v>
      </c>
      <c r="E3378" s="2" t="str">
        <f>HYPERLINK("https://talan.bank.gov.ua/get-user-certificate/sec1eIE9oscZVxqwALvq","Завантажити сертифікат")</f>
        <v>Завантажити сертифікат</v>
      </c>
    </row>
    <row r="3379" spans="1:5" x14ac:dyDescent="0.3">
      <c r="A3379" s="2" t="s">
        <v>6909</v>
      </c>
      <c r="B3379" s="2" t="s">
        <v>5</v>
      </c>
      <c r="C3379" s="2" t="s">
        <v>6910</v>
      </c>
      <c r="D3379" s="2" t="s">
        <v>6911</v>
      </c>
      <c r="E3379" s="2" t="str">
        <f>HYPERLINK("https://talan.bank.gov.ua/get-user-certificate/sec1eHpIphrsal45pw0f","Завантажити сертифікат")</f>
        <v>Завантажити сертифікат</v>
      </c>
    </row>
    <row r="3380" spans="1:5" x14ac:dyDescent="0.3">
      <c r="A3380" s="2" t="s">
        <v>6912</v>
      </c>
      <c r="B3380" s="2" t="s">
        <v>5</v>
      </c>
      <c r="C3380" s="2" t="s">
        <v>6913</v>
      </c>
      <c r="D3380" s="2" t="s">
        <v>6911</v>
      </c>
      <c r="E3380" s="2" t="str">
        <f>HYPERLINK("https://talan.bank.gov.ua/get-user-certificate/sec1e0hBtGyyeeYJPUFq","Завантажити сертифікат")</f>
        <v>Завантажити сертифікат</v>
      </c>
    </row>
    <row r="3381" spans="1:5" x14ac:dyDescent="0.3">
      <c r="A3381" s="2" t="s">
        <v>6914</v>
      </c>
      <c r="B3381" s="2" t="s">
        <v>5</v>
      </c>
      <c r="C3381" s="2" t="s">
        <v>6915</v>
      </c>
      <c r="D3381" s="2" t="s">
        <v>6911</v>
      </c>
      <c r="E3381" s="2" t="str">
        <f>HYPERLINK("https://talan.bank.gov.ua/get-user-certificate/sec1eChWu3Q9lNeIBtfg","Завантажити сертифікат")</f>
        <v>Завантажити сертифікат</v>
      </c>
    </row>
    <row r="3382" spans="1:5" x14ac:dyDescent="0.3">
      <c r="A3382" s="2" t="s">
        <v>6916</v>
      </c>
      <c r="B3382" s="2" t="s">
        <v>5</v>
      </c>
      <c r="C3382" s="2" t="s">
        <v>6917</v>
      </c>
      <c r="D3382" s="2" t="s">
        <v>6911</v>
      </c>
      <c r="E3382" s="2" t="str">
        <f>HYPERLINK("https://talan.bank.gov.ua/get-user-certificate/sec1e8SrYLmHkjbfzH4Z","Завантажити сертифікат")</f>
        <v>Завантажити сертифікат</v>
      </c>
    </row>
    <row r="3383" spans="1:5" x14ac:dyDescent="0.3">
      <c r="A3383" s="2" t="s">
        <v>6918</v>
      </c>
      <c r="B3383" s="2" t="s">
        <v>5</v>
      </c>
      <c r="C3383" s="2" t="s">
        <v>6919</v>
      </c>
      <c r="D3383" s="2" t="s">
        <v>6911</v>
      </c>
      <c r="E3383" s="2" t="str">
        <f>HYPERLINK("https://talan.bank.gov.ua/get-user-certificate/sec1e5b1gRQ8cSBcT_T5","Завантажити сертифікат")</f>
        <v>Завантажити сертифікат</v>
      </c>
    </row>
    <row r="3384" spans="1:5" x14ac:dyDescent="0.3">
      <c r="A3384" s="2" t="s">
        <v>6920</v>
      </c>
      <c r="B3384" s="2" t="s">
        <v>5</v>
      </c>
      <c r="C3384" s="2" t="s">
        <v>6921</v>
      </c>
      <c r="D3384" s="2" t="s">
        <v>6911</v>
      </c>
      <c r="E3384" s="2" t="str">
        <f>HYPERLINK("https://talan.bank.gov.ua/get-user-certificate/sec1elV1jl89b5BRVrTv","Завантажити сертифікат")</f>
        <v>Завантажити сертифікат</v>
      </c>
    </row>
    <row r="3385" spans="1:5" x14ac:dyDescent="0.3">
      <c r="A3385" s="2" t="s">
        <v>6922</v>
      </c>
      <c r="B3385" s="2" t="s">
        <v>5</v>
      </c>
      <c r="C3385" s="2" t="s">
        <v>6923</v>
      </c>
      <c r="D3385" s="2" t="s">
        <v>6911</v>
      </c>
      <c r="E3385" s="2" t="str">
        <f>HYPERLINK("https://talan.bank.gov.ua/get-user-certificate/sec1ezUOT49InoczbV3u","Завантажити сертифікат")</f>
        <v>Завантажити сертифікат</v>
      </c>
    </row>
    <row r="3386" spans="1:5" x14ac:dyDescent="0.3">
      <c r="A3386" s="2" t="s">
        <v>6924</v>
      </c>
      <c r="B3386" s="2" t="s">
        <v>5</v>
      </c>
      <c r="C3386" s="2" t="s">
        <v>6925</v>
      </c>
      <c r="D3386" s="2" t="s">
        <v>6911</v>
      </c>
      <c r="E3386" s="2" t="str">
        <f>HYPERLINK("https://talan.bank.gov.ua/get-user-certificate/sec1elF0t-L1pkkUy6Ux","Завантажити сертифікат")</f>
        <v>Завантажити сертифікат</v>
      </c>
    </row>
    <row r="3387" spans="1:5" x14ac:dyDescent="0.3">
      <c r="A3387" s="2" t="s">
        <v>6926</v>
      </c>
      <c r="B3387" s="2" t="s">
        <v>5</v>
      </c>
      <c r="C3387" s="2" t="s">
        <v>6927</v>
      </c>
      <c r="D3387" s="2" t="s">
        <v>6911</v>
      </c>
      <c r="E3387" s="2" t="str">
        <f>HYPERLINK("https://talan.bank.gov.ua/get-user-certificate/sec1eWpCW4eNpt_7Ph7z","Завантажити сертифікат")</f>
        <v>Завантажити сертифікат</v>
      </c>
    </row>
    <row r="3388" spans="1:5" x14ac:dyDescent="0.3">
      <c r="A3388" s="2" t="s">
        <v>6928</v>
      </c>
      <c r="B3388" s="2" t="s">
        <v>5</v>
      </c>
      <c r="C3388" s="2" t="s">
        <v>6929</v>
      </c>
      <c r="D3388" s="2" t="s">
        <v>6911</v>
      </c>
      <c r="E3388" s="2" t="str">
        <f>HYPERLINK("https://talan.bank.gov.ua/get-user-certificate/sec1eHRQ6v9anM_JtWHm","Завантажити сертифікат")</f>
        <v>Завантажити сертифікат</v>
      </c>
    </row>
    <row r="3389" spans="1:5" x14ac:dyDescent="0.3">
      <c r="A3389" s="2" t="s">
        <v>6930</v>
      </c>
      <c r="B3389" s="2" t="s">
        <v>5</v>
      </c>
      <c r="C3389" s="2" t="s">
        <v>6931</v>
      </c>
      <c r="D3389" s="2" t="s">
        <v>6911</v>
      </c>
      <c r="E3389" s="2" t="str">
        <f>HYPERLINK("https://talan.bank.gov.ua/get-user-certificate/sec1eB_ykTBJo-ZWShTo","Завантажити сертифікат")</f>
        <v>Завантажити сертифікат</v>
      </c>
    </row>
    <row r="3390" spans="1:5" x14ac:dyDescent="0.3">
      <c r="A3390" s="2" t="s">
        <v>6932</v>
      </c>
      <c r="B3390" s="2" t="s">
        <v>5</v>
      </c>
      <c r="C3390" s="2" t="s">
        <v>6933</v>
      </c>
      <c r="D3390" s="2" t="s">
        <v>6911</v>
      </c>
      <c r="E3390" s="2" t="str">
        <f>HYPERLINK("https://talan.bank.gov.ua/get-user-certificate/sec1e1SvVRY_zY-wdqAo","Завантажити сертифікат")</f>
        <v>Завантажити сертифікат</v>
      </c>
    </row>
    <row r="3391" spans="1:5" x14ac:dyDescent="0.3">
      <c r="A3391" s="2" t="s">
        <v>6934</v>
      </c>
      <c r="B3391" s="2" t="s">
        <v>5</v>
      </c>
      <c r="C3391" s="2" t="s">
        <v>6935</v>
      </c>
      <c r="D3391" s="2" t="s">
        <v>6911</v>
      </c>
      <c r="E3391" s="2" t="str">
        <f>HYPERLINK("https://talan.bank.gov.ua/get-user-certificate/sec1eMVqOCU0aC8icCTo","Завантажити сертифікат")</f>
        <v>Завантажити сертифікат</v>
      </c>
    </row>
    <row r="3392" spans="1:5" x14ac:dyDescent="0.3">
      <c r="A3392" s="2" t="s">
        <v>6936</v>
      </c>
      <c r="B3392" s="2" t="s">
        <v>5</v>
      </c>
      <c r="C3392" s="2" t="s">
        <v>6937</v>
      </c>
      <c r="D3392" s="2" t="s">
        <v>6911</v>
      </c>
      <c r="E3392" s="2" t="str">
        <f>HYPERLINK("https://talan.bank.gov.ua/get-user-certificate/sec1eq_odZMgkoBFL6FE","Завантажити сертифікат")</f>
        <v>Завантажити сертифікат</v>
      </c>
    </row>
    <row r="3393" spans="1:5" x14ac:dyDescent="0.3">
      <c r="A3393" s="2" t="s">
        <v>6938</v>
      </c>
      <c r="B3393" s="2" t="s">
        <v>5</v>
      </c>
      <c r="C3393" s="2" t="s">
        <v>6939</v>
      </c>
      <c r="D3393" s="2" t="s">
        <v>6911</v>
      </c>
      <c r="E3393" s="2" t="str">
        <f>HYPERLINK("https://talan.bank.gov.ua/get-user-certificate/sec1eqxgias_R20N3noM","Завантажити сертифікат")</f>
        <v>Завантажити сертифікат</v>
      </c>
    </row>
    <row r="3394" spans="1:5" x14ac:dyDescent="0.3">
      <c r="A3394" s="2" t="s">
        <v>6940</v>
      </c>
      <c r="B3394" s="2" t="s">
        <v>5</v>
      </c>
      <c r="C3394" s="2" t="s">
        <v>6941</v>
      </c>
      <c r="D3394" s="2" t="s">
        <v>6911</v>
      </c>
      <c r="E3394" s="2" t="str">
        <f>HYPERLINK("https://talan.bank.gov.ua/get-user-certificate/sec1eycGBPViFXX5DCSi","Завантажити сертифікат")</f>
        <v>Завантажити сертифікат</v>
      </c>
    </row>
    <row r="3395" spans="1:5" x14ac:dyDescent="0.3">
      <c r="A3395" s="2" t="s">
        <v>6942</v>
      </c>
      <c r="B3395" s="2" t="s">
        <v>5</v>
      </c>
      <c r="C3395" s="2" t="s">
        <v>6943</v>
      </c>
      <c r="D3395" s="2" t="s">
        <v>6911</v>
      </c>
      <c r="E3395" s="2" t="str">
        <f>HYPERLINK("https://talan.bank.gov.ua/get-user-certificate/sec1eH7nj25RM04pGGw0","Завантажити сертифікат")</f>
        <v>Завантажити сертифікат</v>
      </c>
    </row>
    <row r="3396" spans="1:5" x14ac:dyDescent="0.3">
      <c r="A3396" s="2" t="s">
        <v>6944</v>
      </c>
      <c r="B3396" s="2" t="s">
        <v>5</v>
      </c>
      <c r="C3396" s="2" t="s">
        <v>6945</v>
      </c>
      <c r="D3396" s="2" t="s">
        <v>6911</v>
      </c>
      <c r="E3396" s="2" t="str">
        <f>HYPERLINK("https://talan.bank.gov.ua/get-user-certificate/sec1ey355OeAPNN48Lgh","Завантажити сертифікат")</f>
        <v>Завантажити сертифікат</v>
      </c>
    </row>
    <row r="3397" spans="1:5" x14ac:dyDescent="0.3">
      <c r="A3397" s="2" t="s">
        <v>6946</v>
      </c>
      <c r="B3397" s="2" t="s">
        <v>5</v>
      </c>
      <c r="C3397" s="2" t="s">
        <v>6947</v>
      </c>
      <c r="D3397" s="2" t="s">
        <v>6911</v>
      </c>
      <c r="E3397" s="2" t="str">
        <f>HYPERLINK("https://talan.bank.gov.ua/get-user-certificate/sec1eUENFhAOaiI9D-jn","Завантажити сертифікат")</f>
        <v>Завантажити сертифікат</v>
      </c>
    </row>
    <row r="3398" spans="1:5" x14ac:dyDescent="0.3">
      <c r="A3398" s="2" t="s">
        <v>6948</v>
      </c>
      <c r="B3398" s="2" t="s">
        <v>5</v>
      </c>
      <c r="C3398" s="2" t="s">
        <v>6949</v>
      </c>
      <c r="D3398" s="2" t="s">
        <v>6911</v>
      </c>
      <c r="E3398" s="2" t="str">
        <f>HYPERLINK("https://talan.bank.gov.ua/get-user-certificate/sec1eJKVfWJiQbfq1146","Завантажити сертифікат")</f>
        <v>Завантажити сертифікат</v>
      </c>
    </row>
    <row r="3399" spans="1:5" x14ac:dyDescent="0.3">
      <c r="A3399" s="2" t="s">
        <v>6950</v>
      </c>
      <c r="B3399" s="2" t="s">
        <v>5</v>
      </c>
      <c r="C3399" s="2" t="s">
        <v>6951</v>
      </c>
      <c r="D3399" s="2" t="s">
        <v>6911</v>
      </c>
      <c r="E3399" s="2" t="str">
        <f>HYPERLINK("https://talan.bank.gov.ua/get-user-certificate/sec1e2SSiDeGMtRPMVBg","Завантажити сертифікат")</f>
        <v>Завантажити сертифікат</v>
      </c>
    </row>
    <row r="3400" spans="1:5" x14ac:dyDescent="0.3">
      <c r="A3400" s="2" t="s">
        <v>6952</v>
      </c>
      <c r="B3400" s="2" t="s">
        <v>5</v>
      </c>
      <c r="C3400" s="2" t="s">
        <v>6953</v>
      </c>
      <c r="D3400" s="2" t="s">
        <v>6911</v>
      </c>
      <c r="E3400" s="2" t="str">
        <f>HYPERLINK("https://talan.bank.gov.ua/get-user-certificate/sec1eiGwJvwAS6TEi3XD","Завантажити сертифікат")</f>
        <v>Завантажити сертифікат</v>
      </c>
    </row>
    <row r="3401" spans="1:5" x14ac:dyDescent="0.3">
      <c r="A3401" s="2" t="s">
        <v>6954</v>
      </c>
      <c r="B3401" s="2" t="s">
        <v>5</v>
      </c>
      <c r="C3401" s="2" t="s">
        <v>6955</v>
      </c>
      <c r="D3401" s="2" t="s">
        <v>6911</v>
      </c>
      <c r="E3401" s="2" t="str">
        <f>HYPERLINK("https://talan.bank.gov.ua/get-user-certificate/sec1e2uEV5HEVYYWT6Dh","Завантажити сертифікат")</f>
        <v>Завантажити сертифікат</v>
      </c>
    </row>
    <row r="3402" spans="1:5" x14ac:dyDescent="0.3">
      <c r="A3402" s="2" t="s">
        <v>6956</v>
      </c>
      <c r="B3402" s="2" t="s">
        <v>5</v>
      </c>
      <c r="C3402" s="2" t="s">
        <v>6957</v>
      </c>
      <c r="D3402" s="2" t="s">
        <v>6911</v>
      </c>
      <c r="E3402" s="2" t="str">
        <f>HYPERLINK("https://talan.bank.gov.ua/get-user-certificate/sec1edB193_xWBi1b89d","Завантажити сертифікат")</f>
        <v>Завантажити сертифікат</v>
      </c>
    </row>
    <row r="3403" spans="1:5" x14ac:dyDescent="0.3">
      <c r="A3403" s="2" t="s">
        <v>6958</v>
      </c>
      <c r="B3403" s="2" t="s">
        <v>5</v>
      </c>
      <c r="C3403" s="2" t="s">
        <v>6959</v>
      </c>
      <c r="D3403" s="2" t="s">
        <v>6911</v>
      </c>
      <c r="E3403" s="2" t="str">
        <f>HYPERLINK("https://talan.bank.gov.ua/get-user-certificate/sec1eGgq6JY9SEeSsF0A","Завантажити сертифікат")</f>
        <v>Завантажити сертифікат</v>
      </c>
    </row>
    <row r="3404" spans="1:5" x14ac:dyDescent="0.3">
      <c r="A3404" s="2" t="s">
        <v>6960</v>
      </c>
      <c r="B3404" s="2" t="s">
        <v>5</v>
      </c>
      <c r="C3404" s="2" t="s">
        <v>6961</v>
      </c>
      <c r="D3404" s="2" t="s">
        <v>6911</v>
      </c>
      <c r="E3404" s="2" t="str">
        <f>HYPERLINK("https://talan.bank.gov.ua/get-user-certificate/sec1eHT5RAdsHOV7qiCP","Завантажити сертифікат")</f>
        <v>Завантажити сертифікат</v>
      </c>
    </row>
    <row r="3405" spans="1:5" x14ac:dyDescent="0.3">
      <c r="A3405" s="2" t="s">
        <v>6962</v>
      </c>
      <c r="B3405" s="2" t="s">
        <v>5</v>
      </c>
      <c r="C3405" s="2" t="s">
        <v>6963</v>
      </c>
      <c r="D3405" s="2" t="s">
        <v>6911</v>
      </c>
      <c r="E3405" s="2" t="str">
        <f>HYPERLINK("https://talan.bank.gov.ua/get-user-certificate/sec1e0QauUBXu4w8PvIw","Завантажити сертифікат")</f>
        <v>Завантажити сертифікат</v>
      </c>
    </row>
    <row r="3406" spans="1:5" x14ac:dyDescent="0.3">
      <c r="A3406" s="2" t="s">
        <v>6964</v>
      </c>
      <c r="B3406" s="2" t="s">
        <v>5</v>
      </c>
      <c r="C3406" s="2" t="s">
        <v>6965</v>
      </c>
      <c r="D3406" s="2" t="s">
        <v>6911</v>
      </c>
      <c r="E3406" s="2" t="str">
        <f>HYPERLINK("https://talan.bank.gov.ua/get-user-certificate/sec1eXRXJyYkB6xrpN1J","Завантажити сертифікат")</f>
        <v>Завантажити сертифікат</v>
      </c>
    </row>
    <row r="3407" spans="1:5" x14ac:dyDescent="0.3">
      <c r="A3407" s="2" t="s">
        <v>6966</v>
      </c>
      <c r="B3407" s="2" t="s">
        <v>5</v>
      </c>
      <c r="C3407" s="2" t="s">
        <v>6967</v>
      </c>
      <c r="D3407" s="2" t="s">
        <v>6911</v>
      </c>
      <c r="E3407" s="2" t="str">
        <f>HYPERLINK("https://talan.bank.gov.ua/get-user-certificate/sec1eCcOwBknmR8yaBGx","Завантажити сертифікат")</f>
        <v>Завантажити сертифікат</v>
      </c>
    </row>
    <row r="3408" spans="1:5" x14ac:dyDescent="0.3">
      <c r="A3408" s="2" t="s">
        <v>6968</v>
      </c>
      <c r="B3408" s="2" t="s">
        <v>5</v>
      </c>
      <c r="C3408" s="2" t="s">
        <v>2903</v>
      </c>
      <c r="D3408" s="2" t="s">
        <v>6911</v>
      </c>
      <c r="E3408" s="2" t="str">
        <f>HYPERLINK("https://talan.bank.gov.ua/get-user-certificate/sec1e4fPbnJt5YeWj3JI","Завантажити сертифікат")</f>
        <v>Завантажити сертифікат</v>
      </c>
    </row>
    <row r="3409" spans="1:5" x14ac:dyDescent="0.3">
      <c r="A3409" s="2" t="s">
        <v>6969</v>
      </c>
      <c r="B3409" s="2" t="s">
        <v>5</v>
      </c>
      <c r="C3409" s="2" t="s">
        <v>6970</v>
      </c>
      <c r="D3409" s="2" t="s">
        <v>6911</v>
      </c>
      <c r="E3409" s="2" t="str">
        <f>HYPERLINK("https://talan.bank.gov.ua/get-user-certificate/sec1emsE6RC3NRZY1lWi","Завантажити сертифікат")</f>
        <v>Завантажити сертифікат</v>
      </c>
    </row>
    <row r="3410" spans="1:5" x14ac:dyDescent="0.3">
      <c r="A3410" s="2" t="s">
        <v>6971</v>
      </c>
      <c r="B3410" s="2" t="s">
        <v>5</v>
      </c>
      <c r="C3410" s="2" t="s">
        <v>6972</v>
      </c>
      <c r="D3410" s="2" t="s">
        <v>6911</v>
      </c>
      <c r="E3410" s="2" t="str">
        <f>HYPERLINK("https://talan.bank.gov.ua/get-user-certificate/sec1eTVVRiJkubfQD80C","Завантажити сертифікат")</f>
        <v>Завантажити сертифікат</v>
      </c>
    </row>
    <row r="3411" spans="1:5" x14ac:dyDescent="0.3">
      <c r="A3411" s="2" t="s">
        <v>6973</v>
      </c>
      <c r="B3411" s="2" t="s">
        <v>5</v>
      </c>
      <c r="C3411" s="2" t="s">
        <v>6974</v>
      </c>
      <c r="D3411" s="2" t="s">
        <v>6911</v>
      </c>
      <c r="E3411" s="2" t="str">
        <f>HYPERLINK("https://talan.bank.gov.ua/get-user-certificate/sec1eqDuVUroJeVaj_Af","Завантажити сертифікат")</f>
        <v>Завантажити сертифікат</v>
      </c>
    </row>
    <row r="3412" spans="1:5" x14ac:dyDescent="0.3">
      <c r="A3412" s="2" t="s">
        <v>6975</v>
      </c>
      <c r="B3412" s="2" t="s">
        <v>5</v>
      </c>
      <c r="C3412" s="2" t="s">
        <v>6976</v>
      </c>
      <c r="D3412" s="2" t="s">
        <v>6911</v>
      </c>
      <c r="E3412" s="2" t="str">
        <f>HYPERLINK("https://talan.bank.gov.ua/get-user-certificate/sec1eZgrOmOkv0U8cddt","Завантажити сертифікат")</f>
        <v>Завантажити сертифікат</v>
      </c>
    </row>
    <row r="3413" spans="1:5" x14ac:dyDescent="0.3">
      <c r="A3413" s="2" t="s">
        <v>6977</v>
      </c>
      <c r="B3413" s="2" t="s">
        <v>5</v>
      </c>
      <c r="C3413" s="2" t="s">
        <v>6978</v>
      </c>
      <c r="D3413" s="2" t="s">
        <v>6911</v>
      </c>
      <c r="E3413" s="2" t="str">
        <f>HYPERLINK("https://talan.bank.gov.ua/get-user-certificate/sec1eiKLR0VN2puI3bPR","Завантажити сертифікат")</f>
        <v>Завантажити сертифікат</v>
      </c>
    </row>
    <row r="3414" spans="1:5" x14ac:dyDescent="0.3">
      <c r="A3414" s="2" t="s">
        <v>6979</v>
      </c>
      <c r="B3414" s="2" t="s">
        <v>5</v>
      </c>
      <c r="C3414" s="2" t="s">
        <v>6980</v>
      </c>
      <c r="D3414" s="2" t="s">
        <v>6911</v>
      </c>
      <c r="E3414" s="2" t="str">
        <f>HYPERLINK("https://talan.bank.gov.ua/get-user-certificate/sec1efymXCpW1DpjUyF7","Завантажити сертифікат")</f>
        <v>Завантажити сертифікат</v>
      </c>
    </row>
    <row r="3415" spans="1:5" x14ac:dyDescent="0.3">
      <c r="A3415" s="2" t="s">
        <v>6981</v>
      </c>
      <c r="B3415" s="2" t="s">
        <v>5</v>
      </c>
      <c r="C3415" s="2" t="s">
        <v>6982</v>
      </c>
      <c r="D3415" s="2" t="s">
        <v>6911</v>
      </c>
      <c r="E3415" s="2" t="str">
        <f>HYPERLINK("https://talan.bank.gov.ua/get-user-certificate/sec1eafU4sXn2vQC8I-m","Завантажити сертифікат")</f>
        <v>Завантажити сертифікат</v>
      </c>
    </row>
    <row r="3416" spans="1:5" x14ac:dyDescent="0.3">
      <c r="A3416" s="2" t="s">
        <v>6983</v>
      </c>
      <c r="B3416" s="2" t="s">
        <v>5</v>
      </c>
      <c r="C3416" s="2" t="s">
        <v>6984</v>
      </c>
      <c r="D3416" s="2" t="s">
        <v>6911</v>
      </c>
      <c r="E3416" s="2" t="str">
        <f>HYPERLINK("https://talan.bank.gov.ua/get-user-certificate/sec1eo-ysSOqRajQ4Ck1","Завантажити сертифікат")</f>
        <v>Завантажити сертифікат</v>
      </c>
    </row>
    <row r="3417" spans="1:5" x14ac:dyDescent="0.3">
      <c r="A3417" s="2" t="s">
        <v>6985</v>
      </c>
      <c r="B3417" s="2" t="s">
        <v>5</v>
      </c>
      <c r="C3417" s="2" t="s">
        <v>6986</v>
      </c>
      <c r="D3417" s="2" t="s">
        <v>6911</v>
      </c>
      <c r="E3417" s="2" t="str">
        <f>HYPERLINK("https://talan.bank.gov.ua/get-user-certificate/sec1ehxOXEZYxFHW6MYc","Завантажити сертифікат")</f>
        <v>Завантажити сертифікат</v>
      </c>
    </row>
    <row r="3418" spans="1:5" x14ac:dyDescent="0.3">
      <c r="A3418" s="2" t="s">
        <v>6987</v>
      </c>
      <c r="B3418" s="2" t="s">
        <v>5</v>
      </c>
      <c r="C3418" s="2" t="s">
        <v>6988</v>
      </c>
      <c r="D3418" s="2" t="s">
        <v>6911</v>
      </c>
      <c r="E3418" s="2" t="str">
        <f>HYPERLINK("https://talan.bank.gov.ua/get-user-certificate/sec1ebNVg6T4rI_O1rq1","Завантажити сертифікат")</f>
        <v>Завантажити сертифікат</v>
      </c>
    </row>
    <row r="3419" spans="1:5" x14ac:dyDescent="0.3">
      <c r="A3419" s="2" t="s">
        <v>6989</v>
      </c>
      <c r="B3419" s="2" t="s">
        <v>5</v>
      </c>
      <c r="C3419" s="2" t="s">
        <v>6990</v>
      </c>
      <c r="D3419" s="2" t="s">
        <v>6911</v>
      </c>
      <c r="E3419" s="2" t="str">
        <f>HYPERLINK("https://talan.bank.gov.ua/get-user-certificate/sec1efxMXIA0XOXJ39Qx","Завантажити сертифікат")</f>
        <v>Завантажити сертифікат</v>
      </c>
    </row>
    <row r="3420" spans="1:5" x14ac:dyDescent="0.3">
      <c r="A3420" s="2" t="s">
        <v>6991</v>
      </c>
      <c r="B3420" s="2" t="s">
        <v>5</v>
      </c>
      <c r="C3420" s="2" t="s">
        <v>6992</v>
      </c>
      <c r="D3420" s="2" t="s">
        <v>6911</v>
      </c>
      <c r="E3420" s="2" t="str">
        <f>HYPERLINK("https://talan.bank.gov.ua/get-user-certificate/sec1e0-saVwU5JqUJpiC","Завантажити сертифікат")</f>
        <v>Завантажити сертифікат</v>
      </c>
    </row>
    <row r="3421" spans="1:5" x14ac:dyDescent="0.3">
      <c r="A3421" s="2" t="s">
        <v>6993</v>
      </c>
      <c r="B3421" s="2" t="s">
        <v>5</v>
      </c>
      <c r="C3421" s="2" t="s">
        <v>6994</v>
      </c>
      <c r="D3421" s="2" t="s">
        <v>6911</v>
      </c>
      <c r="E3421" s="2" t="str">
        <f>HYPERLINK("https://talan.bank.gov.ua/get-user-certificate/sec1ePUhfHqDXnjmeu3i","Завантажити сертифікат")</f>
        <v>Завантажити сертифікат</v>
      </c>
    </row>
    <row r="3422" spans="1:5" x14ac:dyDescent="0.3">
      <c r="A3422" s="2" t="s">
        <v>6995</v>
      </c>
      <c r="B3422" s="2" t="s">
        <v>5</v>
      </c>
      <c r="C3422" s="2" t="s">
        <v>6996</v>
      </c>
      <c r="D3422" s="2" t="s">
        <v>6911</v>
      </c>
      <c r="E3422" s="2" t="str">
        <f>HYPERLINK("https://talan.bank.gov.ua/get-user-certificate/sec1ecvI7x1Cjm-brcAK","Завантажити сертифікат")</f>
        <v>Завантажити сертифікат</v>
      </c>
    </row>
    <row r="3423" spans="1:5" x14ac:dyDescent="0.3">
      <c r="A3423" s="2" t="s">
        <v>6997</v>
      </c>
      <c r="B3423" s="2" t="s">
        <v>5</v>
      </c>
      <c r="C3423" s="2" t="s">
        <v>6998</v>
      </c>
      <c r="D3423" s="2" t="s">
        <v>6911</v>
      </c>
      <c r="E3423" s="2" t="str">
        <f>HYPERLINK("https://talan.bank.gov.ua/get-user-certificate/sec1e1z6_yXWO6Ls2YVP","Завантажити сертифікат")</f>
        <v>Завантажити сертифікат</v>
      </c>
    </row>
    <row r="3424" spans="1:5" x14ac:dyDescent="0.3">
      <c r="A3424" s="2" t="s">
        <v>6999</v>
      </c>
      <c r="B3424" s="2" t="s">
        <v>5</v>
      </c>
      <c r="C3424" s="2" t="s">
        <v>7000</v>
      </c>
      <c r="D3424" s="2" t="s">
        <v>6911</v>
      </c>
      <c r="E3424" s="2" t="str">
        <f>HYPERLINK("https://talan.bank.gov.ua/get-user-certificate/sec1eS--ifDH4MFZeMna","Завантажити сертифікат")</f>
        <v>Завантажити сертифікат</v>
      </c>
    </row>
    <row r="3425" spans="1:5" x14ac:dyDescent="0.3">
      <c r="A3425" s="2" t="s">
        <v>7001</v>
      </c>
      <c r="B3425" s="2" t="s">
        <v>5</v>
      </c>
      <c r="C3425" s="2" t="s">
        <v>7002</v>
      </c>
      <c r="D3425" s="2" t="s">
        <v>6911</v>
      </c>
      <c r="E3425" s="2" t="str">
        <f>HYPERLINK("https://talan.bank.gov.ua/get-user-certificate/sec1e2Jc080Wnu22i7kn","Завантажити сертифікат")</f>
        <v>Завантажити сертифікат</v>
      </c>
    </row>
    <row r="3426" spans="1:5" x14ac:dyDescent="0.3">
      <c r="A3426" s="2" t="s">
        <v>7003</v>
      </c>
      <c r="B3426" s="2" t="s">
        <v>5</v>
      </c>
      <c r="C3426" s="2" t="s">
        <v>7004</v>
      </c>
      <c r="D3426" s="2" t="s">
        <v>6911</v>
      </c>
      <c r="E3426" s="2" t="str">
        <f>HYPERLINK("https://talan.bank.gov.ua/get-user-certificate/sec1ey10Nk4W-rOoLxJ8","Завантажити сертифікат")</f>
        <v>Завантажити сертифікат</v>
      </c>
    </row>
    <row r="3427" spans="1:5" x14ac:dyDescent="0.3">
      <c r="A3427" s="2" t="s">
        <v>7005</v>
      </c>
      <c r="B3427" s="2" t="s">
        <v>5</v>
      </c>
      <c r="C3427" s="2" t="s">
        <v>7006</v>
      </c>
      <c r="D3427" s="2" t="s">
        <v>6911</v>
      </c>
      <c r="E3427" s="2" t="str">
        <f>HYPERLINK("https://talan.bank.gov.ua/get-user-certificate/sec1eWE63044Lz2iIXz5","Завантажити сертифікат")</f>
        <v>Завантажити сертифікат</v>
      </c>
    </row>
    <row r="3428" spans="1:5" x14ac:dyDescent="0.3">
      <c r="A3428" s="2" t="s">
        <v>7007</v>
      </c>
      <c r="B3428" s="2" t="s">
        <v>5</v>
      </c>
      <c r="C3428" s="2" t="s">
        <v>7008</v>
      </c>
      <c r="D3428" s="2" t="s">
        <v>6911</v>
      </c>
      <c r="E3428" s="2" t="str">
        <f>HYPERLINK("https://talan.bank.gov.ua/get-user-certificate/sec1etE-GHmMSQFZI1Wi","Завантажити сертифікат")</f>
        <v>Завантажити сертифікат</v>
      </c>
    </row>
    <row r="3429" spans="1:5" x14ac:dyDescent="0.3">
      <c r="A3429" s="2" t="s">
        <v>7009</v>
      </c>
      <c r="B3429" s="2" t="s">
        <v>5</v>
      </c>
      <c r="C3429" s="2" t="s">
        <v>7010</v>
      </c>
      <c r="D3429" s="2" t="s">
        <v>7011</v>
      </c>
      <c r="E3429" s="2" t="str">
        <f>HYPERLINK("https://talan.bank.gov.ua/get-user-certificate/sec1eOLs5jJjNygyH6h6","Завантажити сертифікат")</f>
        <v>Завантажити сертифікат</v>
      </c>
    </row>
    <row r="3430" spans="1:5" x14ac:dyDescent="0.3">
      <c r="A3430" s="2" t="s">
        <v>7012</v>
      </c>
      <c r="B3430" s="2" t="s">
        <v>5</v>
      </c>
      <c r="C3430" s="2" t="s">
        <v>7013</v>
      </c>
      <c r="D3430" s="2" t="s">
        <v>7011</v>
      </c>
      <c r="E3430" s="2" t="str">
        <f>HYPERLINK("https://talan.bank.gov.ua/get-user-certificate/sec1e_1d8c8BPNOqvUnD","Завантажити сертифікат")</f>
        <v>Завантажити сертифікат</v>
      </c>
    </row>
    <row r="3431" spans="1:5" x14ac:dyDescent="0.3">
      <c r="A3431" s="2" t="s">
        <v>7014</v>
      </c>
      <c r="B3431" s="2" t="s">
        <v>5</v>
      </c>
      <c r="C3431" s="2" t="s">
        <v>7015</v>
      </c>
      <c r="D3431" s="2" t="s">
        <v>7011</v>
      </c>
      <c r="E3431" s="2" t="str">
        <f>HYPERLINK("https://talan.bank.gov.ua/get-user-certificate/sec1ewG7HFfwz6yFe_vA","Завантажити сертифікат")</f>
        <v>Завантажити сертифікат</v>
      </c>
    </row>
    <row r="3432" spans="1:5" x14ac:dyDescent="0.3">
      <c r="A3432" s="2" t="s">
        <v>7016</v>
      </c>
      <c r="B3432" s="2" t="s">
        <v>5</v>
      </c>
      <c r="C3432" s="2" t="s">
        <v>7017</v>
      </c>
      <c r="D3432" s="2" t="s">
        <v>7011</v>
      </c>
      <c r="E3432" s="2" t="str">
        <f>HYPERLINK("https://talan.bank.gov.ua/get-user-certificate/sec1etH9C3TJ1Lb_ZHWF","Завантажити сертифікат")</f>
        <v>Завантажити сертифікат</v>
      </c>
    </row>
    <row r="3433" spans="1:5" x14ac:dyDescent="0.3">
      <c r="A3433" s="2" t="s">
        <v>7018</v>
      </c>
      <c r="B3433" s="2" t="s">
        <v>5</v>
      </c>
      <c r="C3433" s="2" t="s">
        <v>7019</v>
      </c>
      <c r="D3433" s="2" t="s">
        <v>7011</v>
      </c>
      <c r="E3433" s="2" t="str">
        <f>HYPERLINK("https://talan.bank.gov.ua/get-user-certificate/sec1eaHTFZ_tCSvynsMj","Завантажити сертифікат")</f>
        <v>Завантажити сертифікат</v>
      </c>
    </row>
    <row r="3434" spans="1:5" x14ac:dyDescent="0.3">
      <c r="A3434" s="2" t="s">
        <v>7020</v>
      </c>
      <c r="B3434" s="2" t="s">
        <v>5</v>
      </c>
      <c r="C3434" s="2" t="s">
        <v>7021</v>
      </c>
      <c r="D3434" s="2" t="s">
        <v>7022</v>
      </c>
      <c r="E3434" s="2" t="str">
        <f>HYPERLINK("https://talan.bank.gov.ua/get-user-certificate/sec1eI3kn6GLQWaePMF_","Завантажити сертифікат")</f>
        <v>Завантажити сертифікат</v>
      </c>
    </row>
    <row r="3435" spans="1:5" x14ac:dyDescent="0.3">
      <c r="A3435" s="2" t="s">
        <v>7023</v>
      </c>
      <c r="B3435" s="2" t="s">
        <v>5</v>
      </c>
      <c r="C3435" s="2" t="s">
        <v>7024</v>
      </c>
      <c r="D3435" s="2" t="s">
        <v>7022</v>
      </c>
      <c r="E3435" s="2" t="str">
        <f>HYPERLINK("https://talan.bank.gov.ua/get-user-certificate/sec1eT2olurxyTxdU1pR","Завантажити сертифікат")</f>
        <v>Завантажити сертифікат</v>
      </c>
    </row>
    <row r="3436" spans="1:5" x14ac:dyDescent="0.3">
      <c r="A3436" s="2" t="s">
        <v>7025</v>
      </c>
      <c r="B3436" s="2" t="s">
        <v>5</v>
      </c>
      <c r="C3436" s="2" t="s">
        <v>7026</v>
      </c>
      <c r="D3436" s="2" t="s">
        <v>7022</v>
      </c>
      <c r="E3436" s="2" t="str">
        <f>HYPERLINK("https://talan.bank.gov.ua/get-user-certificate/sec1e05UeUxtEsjt-0S4","Завантажити сертифікат")</f>
        <v>Завантажити сертифікат</v>
      </c>
    </row>
    <row r="3437" spans="1:5" x14ac:dyDescent="0.3">
      <c r="A3437" s="2" t="s">
        <v>7027</v>
      </c>
      <c r="B3437" s="2" t="s">
        <v>5</v>
      </c>
      <c r="C3437" s="2" t="s">
        <v>7028</v>
      </c>
      <c r="D3437" s="2" t="s">
        <v>7022</v>
      </c>
      <c r="E3437" s="2" t="str">
        <f>HYPERLINK("https://talan.bank.gov.ua/get-user-certificate/sec1esUpSya-hUMxZ5Pt","Завантажити сертифікат")</f>
        <v>Завантажити сертифікат</v>
      </c>
    </row>
    <row r="3438" spans="1:5" x14ac:dyDescent="0.3">
      <c r="A3438" s="2" t="s">
        <v>7029</v>
      </c>
      <c r="B3438" s="2" t="s">
        <v>5</v>
      </c>
      <c r="C3438" s="2" t="s">
        <v>7030</v>
      </c>
      <c r="D3438" s="2" t="s">
        <v>7022</v>
      </c>
      <c r="E3438" s="2" t="str">
        <f>HYPERLINK("https://talan.bank.gov.ua/get-user-certificate/sec1ecWQs22JV2eqvQbP","Завантажити сертифікат")</f>
        <v>Завантажити сертифікат</v>
      </c>
    </row>
    <row r="3439" spans="1:5" x14ac:dyDescent="0.3">
      <c r="A3439" s="2" t="s">
        <v>7031</v>
      </c>
      <c r="B3439" s="2" t="s">
        <v>5</v>
      </c>
      <c r="C3439" s="2" t="s">
        <v>7032</v>
      </c>
      <c r="D3439" s="2" t="s">
        <v>7022</v>
      </c>
      <c r="E3439" s="2" t="str">
        <f>HYPERLINK("https://talan.bank.gov.ua/get-user-certificate/sec1eg3tdb91riawCxGX","Завантажити сертифікат")</f>
        <v>Завантажити сертифікат</v>
      </c>
    </row>
    <row r="3440" spans="1:5" x14ac:dyDescent="0.3">
      <c r="A3440" s="2" t="s">
        <v>7033</v>
      </c>
      <c r="B3440" s="2" t="s">
        <v>5</v>
      </c>
      <c r="C3440" s="2" t="s">
        <v>7034</v>
      </c>
      <c r="D3440" s="2" t="s">
        <v>7022</v>
      </c>
      <c r="E3440" s="2" t="str">
        <f>HYPERLINK("https://talan.bank.gov.ua/get-user-certificate/sec1eK7g7Touz2ITCv9b","Завантажити сертифікат")</f>
        <v>Завантажити сертифікат</v>
      </c>
    </row>
    <row r="3441" spans="1:5" x14ac:dyDescent="0.3">
      <c r="A3441" s="2" t="s">
        <v>7035</v>
      </c>
      <c r="B3441" s="2" t="s">
        <v>5</v>
      </c>
      <c r="C3441" s="2" t="s">
        <v>7036</v>
      </c>
      <c r="D3441" s="2" t="s">
        <v>7022</v>
      </c>
      <c r="E3441" s="2" t="str">
        <f>HYPERLINK("https://talan.bank.gov.ua/get-user-certificate/sec1e8tlJVQhTBPIK7OU","Завантажити сертифікат")</f>
        <v>Завантажити сертифікат</v>
      </c>
    </row>
    <row r="3442" spans="1:5" x14ac:dyDescent="0.3">
      <c r="A3442" s="2" t="s">
        <v>7037</v>
      </c>
      <c r="B3442" s="2" t="s">
        <v>5</v>
      </c>
      <c r="C3442" s="2" t="s">
        <v>7038</v>
      </c>
      <c r="D3442" s="2" t="s">
        <v>7022</v>
      </c>
      <c r="E3442" s="2" t="str">
        <f>HYPERLINK("https://talan.bank.gov.ua/get-user-certificate/sec1etx7xbvBR0a9cA_a","Завантажити сертифікат")</f>
        <v>Завантажити сертифікат</v>
      </c>
    </row>
    <row r="3443" spans="1:5" x14ac:dyDescent="0.3">
      <c r="A3443" s="2" t="s">
        <v>7039</v>
      </c>
      <c r="B3443" s="2" t="s">
        <v>5</v>
      </c>
      <c r="C3443" s="2" t="s">
        <v>7040</v>
      </c>
      <c r="D3443" s="2" t="s">
        <v>7041</v>
      </c>
      <c r="E3443" s="2" t="str">
        <f>HYPERLINK("https://talan.bank.gov.ua/get-user-certificate/sec1e9LbOd92q5VNBF-g","Завантажити сертифікат")</f>
        <v>Завантажити сертифікат</v>
      </c>
    </row>
    <row r="3444" spans="1:5" x14ac:dyDescent="0.3">
      <c r="A3444" s="2" t="s">
        <v>7042</v>
      </c>
      <c r="B3444" s="2" t="s">
        <v>5</v>
      </c>
      <c r="C3444" s="2" t="s">
        <v>7043</v>
      </c>
      <c r="D3444" s="2" t="s">
        <v>7041</v>
      </c>
      <c r="E3444" s="2" t="str">
        <f>HYPERLINK("https://talan.bank.gov.ua/get-user-certificate/sec1eg_mJzp3IPq48gU_","Завантажити сертифікат")</f>
        <v>Завантажити сертифікат</v>
      </c>
    </row>
    <row r="3445" spans="1:5" x14ac:dyDescent="0.3">
      <c r="A3445" s="2" t="s">
        <v>7044</v>
      </c>
      <c r="B3445" s="2" t="s">
        <v>5</v>
      </c>
      <c r="C3445" s="2" t="s">
        <v>7045</v>
      </c>
      <c r="D3445" s="2" t="s">
        <v>7041</v>
      </c>
      <c r="E3445" s="2" t="str">
        <f>HYPERLINK("https://talan.bank.gov.ua/get-user-certificate/sec1ekXrcCjja1apGn_E","Завантажити сертифікат")</f>
        <v>Завантажити сертифікат</v>
      </c>
    </row>
    <row r="3446" spans="1:5" x14ac:dyDescent="0.3">
      <c r="A3446" s="2" t="s">
        <v>7046</v>
      </c>
      <c r="B3446" s="2" t="s">
        <v>5</v>
      </c>
      <c r="C3446" s="2" t="s">
        <v>7047</v>
      </c>
      <c r="D3446" s="2" t="s">
        <v>7041</v>
      </c>
      <c r="E3446" s="2" t="str">
        <f>HYPERLINK("https://talan.bank.gov.ua/get-user-certificate/sec1eqjy3hPUHQWKFiat","Завантажити сертифікат")</f>
        <v>Завантажити сертифікат</v>
      </c>
    </row>
    <row r="3447" spans="1:5" x14ac:dyDescent="0.3">
      <c r="A3447" s="2" t="s">
        <v>7048</v>
      </c>
      <c r="B3447" s="2" t="s">
        <v>5</v>
      </c>
      <c r="C3447" s="2" t="s">
        <v>7049</v>
      </c>
      <c r="D3447" s="2" t="s">
        <v>7041</v>
      </c>
      <c r="E3447" s="2" t="str">
        <f>HYPERLINK("https://talan.bank.gov.ua/get-user-certificate/sec1eo-rHte0wYqXLrIX","Завантажити сертифікат")</f>
        <v>Завантажити сертифікат</v>
      </c>
    </row>
    <row r="3448" spans="1:5" x14ac:dyDescent="0.3">
      <c r="A3448" s="2" t="s">
        <v>7050</v>
      </c>
      <c r="B3448" s="2" t="s">
        <v>5</v>
      </c>
      <c r="C3448" s="2" t="s">
        <v>7051</v>
      </c>
      <c r="D3448" s="2" t="s">
        <v>7041</v>
      </c>
      <c r="E3448" s="2" t="str">
        <f>HYPERLINK("https://talan.bank.gov.ua/get-user-certificate/sec1eNUqG0ZNHq61YYFQ","Завантажити сертифікат")</f>
        <v>Завантажити сертифікат</v>
      </c>
    </row>
    <row r="3449" spans="1:5" x14ac:dyDescent="0.3">
      <c r="A3449" s="2" t="s">
        <v>7052</v>
      </c>
      <c r="B3449" s="2" t="s">
        <v>5</v>
      </c>
      <c r="C3449" s="2" t="s">
        <v>7053</v>
      </c>
      <c r="D3449" s="2" t="s">
        <v>7041</v>
      </c>
      <c r="E3449" s="2" t="str">
        <f>HYPERLINK("https://talan.bank.gov.ua/get-user-certificate/sec1eoC-dC79Fx9djpmo","Завантажити сертифікат")</f>
        <v>Завантажити сертифікат</v>
      </c>
    </row>
    <row r="3450" spans="1:5" x14ac:dyDescent="0.3">
      <c r="A3450" s="2" t="s">
        <v>7054</v>
      </c>
      <c r="B3450" s="2" t="s">
        <v>5</v>
      </c>
      <c r="C3450" s="2" t="s">
        <v>7055</v>
      </c>
      <c r="D3450" s="2" t="s">
        <v>7041</v>
      </c>
      <c r="E3450" s="2" t="str">
        <f>HYPERLINK("https://talan.bank.gov.ua/get-user-certificate/sec1eUlK5MT4sQpE6FFx","Завантажити сертифікат")</f>
        <v>Завантажити сертифікат</v>
      </c>
    </row>
    <row r="3451" spans="1:5" x14ac:dyDescent="0.3">
      <c r="A3451" s="2" t="s">
        <v>7056</v>
      </c>
      <c r="B3451" s="2" t="s">
        <v>5</v>
      </c>
      <c r="C3451" s="2" t="s">
        <v>7057</v>
      </c>
      <c r="D3451" s="2" t="s">
        <v>7041</v>
      </c>
      <c r="E3451" s="2" t="str">
        <f>HYPERLINK("https://talan.bank.gov.ua/get-user-certificate/sec1elikOdLRZC1x6jXC","Завантажити сертифікат")</f>
        <v>Завантажити сертифікат</v>
      </c>
    </row>
    <row r="3452" spans="1:5" x14ac:dyDescent="0.3">
      <c r="A3452" s="2" t="s">
        <v>7058</v>
      </c>
      <c r="B3452" s="2" t="s">
        <v>5</v>
      </c>
      <c r="C3452" s="2" t="s">
        <v>7059</v>
      </c>
      <c r="D3452" s="2" t="s">
        <v>7041</v>
      </c>
      <c r="E3452" s="2" t="str">
        <f>HYPERLINK("https://talan.bank.gov.ua/get-user-certificate/sec1eofeBUZWD4x-woUY","Завантажити сертифікат")</f>
        <v>Завантажити сертифікат</v>
      </c>
    </row>
    <row r="3453" spans="1:5" x14ac:dyDescent="0.3">
      <c r="A3453" s="2" t="s">
        <v>7060</v>
      </c>
      <c r="B3453" s="2" t="s">
        <v>5</v>
      </c>
      <c r="C3453" s="2" t="s">
        <v>7061</v>
      </c>
      <c r="D3453" s="2" t="s">
        <v>7041</v>
      </c>
      <c r="E3453" s="2" t="str">
        <f>HYPERLINK("https://talan.bank.gov.ua/get-user-certificate/sec1etKBVYqH5PDQ7dqE","Завантажити сертифікат")</f>
        <v>Завантажити сертифікат</v>
      </c>
    </row>
    <row r="3454" spans="1:5" x14ac:dyDescent="0.3">
      <c r="A3454" s="2" t="s">
        <v>7062</v>
      </c>
      <c r="B3454" s="2" t="s">
        <v>5</v>
      </c>
      <c r="C3454" s="2" t="s">
        <v>7063</v>
      </c>
      <c r="D3454" s="2" t="s">
        <v>7041</v>
      </c>
      <c r="E3454" s="2" t="str">
        <f>HYPERLINK("https://talan.bank.gov.ua/get-user-certificate/sec1eGIVrJgVPf8aye0v","Завантажити сертифікат")</f>
        <v>Завантажити сертифікат</v>
      </c>
    </row>
    <row r="3455" spans="1:5" x14ac:dyDescent="0.3">
      <c r="A3455" s="2" t="s">
        <v>7064</v>
      </c>
      <c r="B3455" s="2" t="s">
        <v>5</v>
      </c>
      <c r="C3455" s="2" t="s">
        <v>7065</v>
      </c>
      <c r="D3455" s="2" t="s">
        <v>7041</v>
      </c>
      <c r="E3455" s="2" t="str">
        <f>HYPERLINK("https://talan.bank.gov.ua/get-user-certificate/sec1eo4uiMNmNA3ocoj0","Завантажити сертифікат")</f>
        <v>Завантажити сертифікат</v>
      </c>
    </row>
    <row r="3456" spans="1:5" x14ac:dyDescent="0.3">
      <c r="A3456" s="2" t="s">
        <v>7066</v>
      </c>
      <c r="B3456" s="2" t="s">
        <v>5</v>
      </c>
      <c r="C3456" s="2" t="s">
        <v>7067</v>
      </c>
      <c r="D3456" s="2" t="s">
        <v>7041</v>
      </c>
      <c r="E3456" s="2" t="str">
        <f>HYPERLINK("https://talan.bank.gov.ua/get-user-certificate/sec1eScmSLmswnhNrlJF","Завантажити сертифікат")</f>
        <v>Завантажити сертифікат</v>
      </c>
    </row>
    <row r="3457" spans="1:5" x14ac:dyDescent="0.3">
      <c r="A3457" s="2" t="s">
        <v>7068</v>
      </c>
      <c r="B3457" s="2" t="s">
        <v>5</v>
      </c>
      <c r="C3457" s="2" t="s">
        <v>7069</v>
      </c>
      <c r="D3457" s="2" t="s">
        <v>7041</v>
      </c>
      <c r="E3457" s="2" t="str">
        <f>HYPERLINK("https://talan.bank.gov.ua/get-user-certificate/sec1e-9rni845uKtKv3b","Завантажити сертифікат")</f>
        <v>Завантажити сертифікат</v>
      </c>
    </row>
    <row r="3458" spans="1:5" x14ac:dyDescent="0.3">
      <c r="A3458" s="2" t="s">
        <v>7070</v>
      </c>
      <c r="B3458" s="2" t="s">
        <v>5</v>
      </c>
      <c r="C3458" s="2" t="s">
        <v>7071</v>
      </c>
      <c r="D3458" s="2" t="s">
        <v>7041</v>
      </c>
      <c r="E3458" s="2" t="str">
        <f>HYPERLINK("https://talan.bank.gov.ua/get-user-certificate/sec1e1KnQKAxuAe9SMJ5","Завантажити сертифікат")</f>
        <v>Завантажити сертифікат</v>
      </c>
    </row>
    <row r="3459" spans="1:5" x14ac:dyDescent="0.3">
      <c r="A3459" s="2" t="s">
        <v>7072</v>
      </c>
      <c r="B3459" s="2" t="s">
        <v>5</v>
      </c>
      <c r="C3459" s="2" t="s">
        <v>7073</v>
      </c>
      <c r="D3459" s="2" t="s">
        <v>7041</v>
      </c>
      <c r="E3459" s="2" t="str">
        <f>HYPERLINK("https://talan.bank.gov.ua/get-user-certificate/sec1eaQ2Uq6e2XXCivza","Завантажити сертифікат")</f>
        <v>Завантажити сертифікат</v>
      </c>
    </row>
    <row r="3460" spans="1:5" x14ac:dyDescent="0.3">
      <c r="A3460" s="2" t="s">
        <v>7074</v>
      </c>
      <c r="B3460" s="2" t="s">
        <v>5</v>
      </c>
      <c r="C3460" s="2" t="s">
        <v>7075</v>
      </c>
      <c r="D3460" s="2" t="s">
        <v>7041</v>
      </c>
      <c r="E3460" s="2" t="str">
        <f>HYPERLINK("https://talan.bank.gov.ua/get-user-certificate/sec1egotEF5fZufrnskb","Завантажити сертифікат")</f>
        <v>Завантажити сертифікат</v>
      </c>
    </row>
    <row r="3461" spans="1:5" x14ac:dyDescent="0.3">
      <c r="A3461" s="2" t="s">
        <v>7076</v>
      </c>
      <c r="B3461" s="2" t="s">
        <v>5</v>
      </c>
      <c r="C3461" s="2" t="s">
        <v>7077</v>
      </c>
      <c r="D3461" s="2" t="s">
        <v>7041</v>
      </c>
      <c r="E3461" s="2" t="str">
        <f>HYPERLINK("https://talan.bank.gov.ua/get-user-certificate/sec1eo_j_Wb2mSl8id65","Завантажити сертифікат")</f>
        <v>Завантажити сертифікат</v>
      </c>
    </row>
    <row r="3462" spans="1:5" x14ac:dyDescent="0.3">
      <c r="A3462" s="2" t="s">
        <v>7078</v>
      </c>
      <c r="B3462" s="2" t="s">
        <v>5</v>
      </c>
      <c r="C3462" s="2" t="s">
        <v>7079</v>
      </c>
      <c r="D3462" s="2" t="s">
        <v>7041</v>
      </c>
      <c r="E3462" s="2" t="str">
        <f>HYPERLINK("https://talan.bank.gov.ua/get-user-certificate/sec1eFSEeIackOV8E33r","Завантажити сертифікат")</f>
        <v>Завантажити сертифікат</v>
      </c>
    </row>
    <row r="3463" spans="1:5" x14ac:dyDescent="0.3">
      <c r="A3463" s="2" t="s">
        <v>7080</v>
      </c>
      <c r="B3463" s="2" t="s">
        <v>5</v>
      </c>
      <c r="C3463" s="2" t="s">
        <v>7081</v>
      </c>
      <c r="D3463" s="2" t="s">
        <v>7041</v>
      </c>
      <c r="E3463" s="2" t="str">
        <f>HYPERLINK("https://talan.bank.gov.ua/get-user-certificate/sec1eqrXF17qYfSszjQM","Завантажити сертифікат")</f>
        <v>Завантажити сертифікат</v>
      </c>
    </row>
    <row r="3464" spans="1:5" x14ac:dyDescent="0.3">
      <c r="A3464" s="2" t="s">
        <v>7082</v>
      </c>
      <c r="B3464" s="2" t="s">
        <v>5</v>
      </c>
      <c r="C3464" s="2" t="s">
        <v>7083</v>
      </c>
      <c r="D3464" s="2" t="s">
        <v>7041</v>
      </c>
      <c r="E3464" s="2" t="str">
        <f>HYPERLINK("https://talan.bank.gov.ua/get-user-certificate/sec1e2h7WznEcmCI1bxh","Завантажити сертифікат")</f>
        <v>Завантажити сертифікат</v>
      </c>
    </row>
    <row r="3465" spans="1:5" x14ac:dyDescent="0.3">
      <c r="A3465" s="2" t="s">
        <v>7084</v>
      </c>
      <c r="B3465" s="2" t="s">
        <v>5</v>
      </c>
      <c r="C3465" s="2" t="s">
        <v>7085</v>
      </c>
      <c r="D3465" s="2" t="s">
        <v>7041</v>
      </c>
      <c r="E3465" s="2" t="str">
        <f>HYPERLINK("https://talan.bank.gov.ua/get-user-certificate/sec1eb9ALfjrYFk0wzUL","Завантажити сертифікат")</f>
        <v>Завантажити сертифікат</v>
      </c>
    </row>
    <row r="3466" spans="1:5" x14ac:dyDescent="0.3">
      <c r="A3466" s="2" t="s">
        <v>7086</v>
      </c>
      <c r="B3466" s="2" t="s">
        <v>5</v>
      </c>
      <c r="C3466" s="2" t="s">
        <v>7087</v>
      </c>
      <c r="D3466" s="2" t="s">
        <v>7041</v>
      </c>
      <c r="E3466" s="2" t="str">
        <f>HYPERLINK("https://talan.bank.gov.ua/get-user-certificate/sec1eFaYtHWemB4vIGbx","Завантажити сертифікат")</f>
        <v>Завантажити сертифікат</v>
      </c>
    </row>
    <row r="3467" spans="1:5" x14ac:dyDescent="0.3">
      <c r="A3467" s="2" t="s">
        <v>7088</v>
      </c>
      <c r="B3467" s="2" t="s">
        <v>5</v>
      </c>
      <c r="C3467" s="2" t="s">
        <v>7089</v>
      </c>
      <c r="D3467" s="2" t="s">
        <v>7041</v>
      </c>
      <c r="E3467" s="2" t="str">
        <f>HYPERLINK("https://talan.bank.gov.ua/get-user-certificate/sec1emJHchDE5hde9Wbk","Завантажити сертифікат")</f>
        <v>Завантажити сертифікат</v>
      </c>
    </row>
    <row r="3468" spans="1:5" x14ac:dyDescent="0.3">
      <c r="A3468" s="2" t="s">
        <v>7090</v>
      </c>
      <c r="B3468" s="2" t="s">
        <v>5</v>
      </c>
      <c r="C3468" s="2" t="s">
        <v>7091</v>
      </c>
      <c r="D3468" s="2" t="s">
        <v>7041</v>
      </c>
      <c r="E3468" s="2" t="str">
        <f>HYPERLINK("https://talan.bank.gov.ua/get-user-certificate/sec1ejzXNJDMszrg9f6X","Завантажити сертифікат")</f>
        <v>Завантажити сертифікат</v>
      </c>
    </row>
    <row r="3469" spans="1:5" x14ac:dyDescent="0.3">
      <c r="A3469" s="2" t="s">
        <v>7092</v>
      </c>
      <c r="B3469" s="2" t="s">
        <v>5</v>
      </c>
      <c r="C3469" s="2" t="s">
        <v>7093</v>
      </c>
      <c r="D3469" s="2" t="s">
        <v>7041</v>
      </c>
      <c r="E3469" s="2" t="str">
        <f>HYPERLINK("https://talan.bank.gov.ua/get-user-certificate/sec1eEGNz4It9LEs_Jha","Завантажити сертифікат")</f>
        <v>Завантажити сертифікат</v>
      </c>
    </row>
    <row r="3470" spans="1:5" x14ac:dyDescent="0.3">
      <c r="A3470" s="2" t="s">
        <v>7094</v>
      </c>
      <c r="B3470" s="2" t="s">
        <v>5</v>
      </c>
      <c r="C3470" s="2" t="s">
        <v>7095</v>
      </c>
      <c r="D3470" s="2" t="s">
        <v>7041</v>
      </c>
      <c r="E3470" s="2" t="str">
        <f>HYPERLINK("https://talan.bank.gov.ua/get-user-certificate/sec1epNAjC2aGN1CVLNl","Завантажити сертифікат")</f>
        <v>Завантажити сертифікат</v>
      </c>
    </row>
    <row r="3471" spans="1:5" x14ac:dyDescent="0.3">
      <c r="A3471" s="2" t="s">
        <v>7096</v>
      </c>
      <c r="B3471" s="2" t="s">
        <v>5</v>
      </c>
      <c r="C3471" s="2" t="s">
        <v>7097</v>
      </c>
      <c r="D3471" s="2" t="s">
        <v>7041</v>
      </c>
      <c r="E3471" s="2" t="str">
        <f>HYPERLINK("https://talan.bank.gov.ua/get-user-certificate/sec1ecApZOrtXgdNY8Sz","Завантажити сертифікат")</f>
        <v>Завантажити сертифікат</v>
      </c>
    </row>
    <row r="3472" spans="1:5" x14ac:dyDescent="0.3">
      <c r="A3472" s="2" t="s">
        <v>7098</v>
      </c>
      <c r="B3472" s="2" t="s">
        <v>5</v>
      </c>
      <c r="C3472" s="2" t="s">
        <v>7099</v>
      </c>
      <c r="D3472" s="2" t="s">
        <v>7041</v>
      </c>
      <c r="E3472" s="2" t="str">
        <f>HYPERLINK("https://talan.bank.gov.ua/get-user-certificate/sec1efLEJYPNFbjsloFk","Завантажити сертифікат")</f>
        <v>Завантажити сертифікат</v>
      </c>
    </row>
    <row r="3473" spans="1:5" x14ac:dyDescent="0.3">
      <c r="A3473" s="2" t="s">
        <v>7100</v>
      </c>
      <c r="B3473" s="2" t="s">
        <v>5</v>
      </c>
      <c r="C3473" s="2" t="s">
        <v>7101</v>
      </c>
      <c r="D3473" s="2" t="s">
        <v>7041</v>
      </c>
      <c r="E3473" s="2" t="str">
        <f>HYPERLINK("https://talan.bank.gov.ua/get-user-certificate/sec1e6Imte6sA-DRZoLT","Завантажити сертифікат")</f>
        <v>Завантажити сертифікат</v>
      </c>
    </row>
    <row r="3474" spans="1:5" x14ac:dyDescent="0.3">
      <c r="A3474" s="2" t="s">
        <v>7102</v>
      </c>
      <c r="B3474" s="2" t="s">
        <v>5</v>
      </c>
      <c r="C3474" s="2" t="s">
        <v>7103</v>
      </c>
      <c r="D3474" s="2" t="s">
        <v>7041</v>
      </c>
      <c r="E3474" s="2" t="str">
        <f>HYPERLINK("https://talan.bank.gov.ua/get-user-certificate/sec1e0XbNcApP3558oYn","Завантажити сертифікат")</f>
        <v>Завантажити сертифікат</v>
      </c>
    </row>
    <row r="3475" spans="1:5" x14ac:dyDescent="0.3">
      <c r="A3475" s="2" t="s">
        <v>7104</v>
      </c>
      <c r="B3475" s="2" t="s">
        <v>5</v>
      </c>
      <c r="C3475" s="2" t="s">
        <v>7105</v>
      </c>
      <c r="D3475" s="2" t="s">
        <v>7041</v>
      </c>
      <c r="E3475" s="2" t="str">
        <f>HYPERLINK("https://talan.bank.gov.ua/get-user-certificate/sec1e54nZ5PD7zgmIRoh","Завантажити сертифікат")</f>
        <v>Завантажити сертифікат</v>
      </c>
    </row>
    <row r="3476" spans="1:5" x14ac:dyDescent="0.3">
      <c r="A3476" s="2" t="s">
        <v>7106</v>
      </c>
      <c r="B3476" s="2" t="s">
        <v>5</v>
      </c>
      <c r="C3476" s="2" t="s">
        <v>7107</v>
      </c>
      <c r="D3476" s="2" t="s">
        <v>7041</v>
      </c>
      <c r="E3476" s="2" t="str">
        <f>HYPERLINK("https://talan.bank.gov.ua/get-user-certificate/sec1e6_IL4RcvYRuBt1J","Завантажити сертифікат")</f>
        <v>Завантажити сертифікат</v>
      </c>
    </row>
    <row r="3477" spans="1:5" x14ac:dyDescent="0.3">
      <c r="A3477" s="2" t="s">
        <v>7108</v>
      </c>
      <c r="B3477" s="2" t="s">
        <v>5</v>
      </c>
      <c r="C3477" s="2" t="s">
        <v>7109</v>
      </c>
      <c r="D3477" s="2" t="s">
        <v>7041</v>
      </c>
      <c r="E3477" s="2" t="str">
        <f>HYPERLINK("https://talan.bank.gov.ua/get-user-certificate/sec1efnyrbZy3GMaZVVE","Завантажити сертифікат")</f>
        <v>Завантажити сертифікат</v>
      </c>
    </row>
    <row r="3478" spans="1:5" x14ac:dyDescent="0.3">
      <c r="A3478" s="2" t="s">
        <v>7110</v>
      </c>
      <c r="B3478" s="2" t="s">
        <v>5</v>
      </c>
      <c r="C3478" s="2" t="s">
        <v>7111</v>
      </c>
      <c r="D3478" s="2" t="s">
        <v>7041</v>
      </c>
      <c r="E3478" s="2" t="str">
        <f>HYPERLINK("https://talan.bank.gov.ua/get-user-certificate/sec1exlUmIOM3DA6FS3N","Завантажити сертифікат")</f>
        <v>Завантажити сертифікат</v>
      </c>
    </row>
    <row r="3479" spans="1:5" x14ac:dyDescent="0.3">
      <c r="A3479" s="2" t="s">
        <v>7112</v>
      </c>
      <c r="B3479" s="2" t="s">
        <v>5</v>
      </c>
      <c r="C3479" s="2" t="s">
        <v>7113</v>
      </c>
      <c r="D3479" s="2" t="s">
        <v>7041</v>
      </c>
      <c r="E3479" s="2" t="str">
        <f>HYPERLINK("https://talan.bank.gov.ua/get-user-certificate/sec1eypKwHcO6Udwhym_","Завантажити сертифікат")</f>
        <v>Завантажити сертифікат</v>
      </c>
    </row>
    <row r="3480" spans="1:5" x14ac:dyDescent="0.3">
      <c r="A3480" s="2" t="s">
        <v>7114</v>
      </c>
      <c r="B3480" s="2" t="s">
        <v>5</v>
      </c>
      <c r="C3480" s="2" t="s">
        <v>7115</v>
      </c>
      <c r="D3480" s="2" t="s">
        <v>7041</v>
      </c>
      <c r="E3480" s="2" t="str">
        <f>HYPERLINK("https://talan.bank.gov.ua/get-user-certificate/sec1eRgqWh0Udz9ZDRzo","Завантажити сертифікат")</f>
        <v>Завантажити сертифікат</v>
      </c>
    </row>
    <row r="3481" spans="1:5" x14ac:dyDescent="0.3">
      <c r="A3481" s="2" t="s">
        <v>7116</v>
      </c>
      <c r="B3481" s="2" t="s">
        <v>5</v>
      </c>
      <c r="C3481" s="2" t="s">
        <v>7117</v>
      </c>
      <c r="D3481" s="2" t="s">
        <v>7041</v>
      </c>
      <c r="E3481" s="2" t="str">
        <f>HYPERLINK("https://talan.bank.gov.ua/get-user-certificate/sec1eg8c6oIlrkXWCXTF","Завантажити сертифікат")</f>
        <v>Завантажити сертифікат</v>
      </c>
    </row>
    <row r="3482" spans="1:5" x14ac:dyDescent="0.3">
      <c r="A3482" s="2" t="s">
        <v>7118</v>
      </c>
      <c r="B3482" s="2" t="s">
        <v>5</v>
      </c>
      <c r="C3482" s="2" t="s">
        <v>7119</v>
      </c>
      <c r="D3482" s="2" t="s">
        <v>7041</v>
      </c>
      <c r="E3482" s="2" t="str">
        <f>HYPERLINK("https://talan.bank.gov.ua/get-user-certificate/sec1ezVkwUoECVpWgsao","Завантажити сертифікат")</f>
        <v>Завантажити сертифікат</v>
      </c>
    </row>
    <row r="3483" spans="1:5" x14ac:dyDescent="0.3">
      <c r="A3483" s="2" t="s">
        <v>7120</v>
      </c>
      <c r="B3483" s="2" t="s">
        <v>5</v>
      </c>
      <c r="C3483" s="2" t="s">
        <v>7121</v>
      </c>
      <c r="D3483" s="2" t="s">
        <v>7041</v>
      </c>
      <c r="E3483" s="2" t="str">
        <f>HYPERLINK("https://talan.bank.gov.ua/get-user-certificate/sec1eUBmTY27fII67P30","Завантажити сертифікат")</f>
        <v>Завантажити сертифікат</v>
      </c>
    </row>
    <row r="3484" spans="1:5" x14ac:dyDescent="0.3">
      <c r="A3484" s="2" t="s">
        <v>7122</v>
      </c>
      <c r="B3484" s="2" t="s">
        <v>5</v>
      </c>
      <c r="C3484" s="2" t="s">
        <v>7123</v>
      </c>
      <c r="D3484" s="2" t="s">
        <v>7041</v>
      </c>
      <c r="E3484" s="2" t="str">
        <f>HYPERLINK("https://talan.bank.gov.ua/get-user-certificate/sec1ecgfNZ-fRqAkDTUP","Завантажити сертифікат")</f>
        <v>Завантажити сертифікат</v>
      </c>
    </row>
    <row r="3485" spans="1:5" x14ac:dyDescent="0.3">
      <c r="A3485" s="2" t="s">
        <v>7124</v>
      </c>
      <c r="B3485" s="2" t="s">
        <v>5</v>
      </c>
      <c r="C3485" s="2" t="s">
        <v>7125</v>
      </c>
      <c r="D3485" s="2" t="s">
        <v>7041</v>
      </c>
      <c r="E3485" s="2" t="str">
        <f>HYPERLINK("https://talan.bank.gov.ua/get-user-certificate/sec1ekujHDh6SbxZFE1E","Завантажити сертифікат")</f>
        <v>Завантажити сертифікат</v>
      </c>
    </row>
    <row r="3486" spans="1:5" x14ac:dyDescent="0.3">
      <c r="A3486" s="2" t="s">
        <v>7126</v>
      </c>
      <c r="B3486" s="2" t="s">
        <v>5</v>
      </c>
      <c r="C3486" s="2" t="s">
        <v>7127</v>
      </c>
      <c r="D3486" s="2" t="s">
        <v>7041</v>
      </c>
      <c r="E3486" s="2" t="str">
        <f>HYPERLINK("https://talan.bank.gov.ua/get-user-certificate/sec1e1FLXwbeoN55JLMT","Завантажити сертифікат")</f>
        <v>Завантажити сертифікат</v>
      </c>
    </row>
    <row r="3487" spans="1:5" x14ac:dyDescent="0.3">
      <c r="A3487" s="2" t="s">
        <v>7128</v>
      </c>
      <c r="B3487" s="2" t="s">
        <v>5</v>
      </c>
      <c r="C3487" s="2" t="s">
        <v>7129</v>
      </c>
      <c r="D3487" s="2" t="s">
        <v>7041</v>
      </c>
      <c r="E3487" s="2" t="str">
        <f>HYPERLINK("https://talan.bank.gov.ua/get-user-certificate/sec1eLAUsX_Psi5ETni-","Завантажити сертифікат")</f>
        <v>Завантажити сертифікат</v>
      </c>
    </row>
    <row r="3488" spans="1:5" x14ac:dyDescent="0.3">
      <c r="A3488" s="2" t="s">
        <v>7130</v>
      </c>
      <c r="B3488" s="2" t="s">
        <v>5</v>
      </c>
      <c r="C3488" s="2" t="s">
        <v>7131</v>
      </c>
      <c r="D3488" s="2" t="s">
        <v>7041</v>
      </c>
      <c r="E3488" s="2" t="str">
        <f>HYPERLINK("https://talan.bank.gov.ua/get-user-certificate/sec1eJK-zbfCfW9veVJk","Завантажити сертифікат")</f>
        <v>Завантажити сертифікат</v>
      </c>
    </row>
    <row r="3489" spans="1:5" x14ac:dyDescent="0.3">
      <c r="A3489" s="2" t="s">
        <v>7132</v>
      </c>
      <c r="B3489" s="2" t="s">
        <v>5</v>
      </c>
      <c r="C3489" s="2" t="s">
        <v>7133</v>
      </c>
      <c r="D3489" s="2" t="s">
        <v>7041</v>
      </c>
      <c r="E3489" s="2" t="str">
        <f>HYPERLINK("https://talan.bank.gov.ua/get-user-certificate/sec1ehWztxdr9boHOgLD","Завантажити сертифікат")</f>
        <v>Завантажити сертифікат</v>
      </c>
    </row>
    <row r="3490" spans="1:5" x14ac:dyDescent="0.3">
      <c r="A3490" s="2" t="s">
        <v>7134</v>
      </c>
      <c r="B3490" s="2" t="s">
        <v>5</v>
      </c>
      <c r="C3490" s="2" t="s">
        <v>7135</v>
      </c>
      <c r="D3490" s="2" t="s">
        <v>7041</v>
      </c>
      <c r="E3490" s="2" t="str">
        <f>HYPERLINK("https://talan.bank.gov.ua/get-user-certificate/sec1eZj3iLMnR1uX2knD","Завантажити сертифікат")</f>
        <v>Завантажити сертифікат</v>
      </c>
    </row>
    <row r="3491" spans="1:5" x14ac:dyDescent="0.3">
      <c r="A3491" s="2" t="s">
        <v>7136</v>
      </c>
      <c r="B3491" s="2" t="s">
        <v>5</v>
      </c>
      <c r="C3491" s="2" t="s">
        <v>7137</v>
      </c>
      <c r="D3491" s="2" t="s">
        <v>7041</v>
      </c>
      <c r="E3491" s="2" t="str">
        <f>HYPERLINK("https://talan.bank.gov.ua/get-user-certificate/sec1eA26_31Nmhgi8Lzp","Завантажити сертифікат")</f>
        <v>Завантажити сертифікат</v>
      </c>
    </row>
    <row r="3492" spans="1:5" x14ac:dyDescent="0.3">
      <c r="A3492" s="2" t="s">
        <v>7138</v>
      </c>
      <c r="B3492" s="2" t="s">
        <v>5</v>
      </c>
      <c r="C3492" s="2" t="s">
        <v>7139</v>
      </c>
      <c r="D3492" s="2" t="s">
        <v>7041</v>
      </c>
      <c r="E3492" s="2" t="str">
        <f>HYPERLINK("https://talan.bank.gov.ua/get-user-certificate/sec1esBhduAkqI88GfMb","Завантажити сертифікат")</f>
        <v>Завантажити сертифікат</v>
      </c>
    </row>
    <row r="3493" spans="1:5" x14ac:dyDescent="0.3">
      <c r="A3493" s="2" t="s">
        <v>7140</v>
      </c>
      <c r="B3493" s="2" t="s">
        <v>5</v>
      </c>
      <c r="C3493" s="2" t="s">
        <v>7141</v>
      </c>
      <c r="D3493" s="2" t="s">
        <v>7041</v>
      </c>
      <c r="E3493" s="2" t="str">
        <f>HYPERLINK("https://talan.bank.gov.ua/get-user-certificate/sec1eHJtcQHhEai2QDsl","Завантажити сертифікат")</f>
        <v>Завантажити сертифікат</v>
      </c>
    </row>
    <row r="3494" spans="1:5" x14ac:dyDescent="0.3">
      <c r="A3494" s="2" t="s">
        <v>7142</v>
      </c>
      <c r="B3494" s="2" t="s">
        <v>5</v>
      </c>
      <c r="C3494" s="2" t="s">
        <v>7143</v>
      </c>
      <c r="D3494" s="2" t="s">
        <v>7041</v>
      </c>
      <c r="E3494" s="2" t="str">
        <f>HYPERLINK("https://talan.bank.gov.ua/get-user-certificate/sec1ejfwaLH-9m9i_eGK","Завантажити сертифікат")</f>
        <v>Завантажити сертифікат</v>
      </c>
    </row>
    <row r="3495" spans="1:5" x14ac:dyDescent="0.3">
      <c r="A3495" s="2" t="s">
        <v>7144</v>
      </c>
      <c r="B3495" s="2" t="s">
        <v>5</v>
      </c>
      <c r="C3495" s="2" t="s">
        <v>7145</v>
      </c>
      <c r="D3495" s="2" t="s">
        <v>7041</v>
      </c>
      <c r="E3495" s="2" t="str">
        <f>HYPERLINK("https://talan.bank.gov.ua/get-user-certificate/sec1e43697qEu8-njWvH","Завантажити сертифікат")</f>
        <v>Завантажити сертифікат</v>
      </c>
    </row>
    <row r="3496" spans="1:5" x14ac:dyDescent="0.3">
      <c r="A3496" s="2" t="s">
        <v>7146</v>
      </c>
      <c r="B3496" s="2" t="s">
        <v>5</v>
      </c>
      <c r="C3496" s="2" t="s">
        <v>7147</v>
      </c>
      <c r="D3496" s="2" t="s">
        <v>7041</v>
      </c>
      <c r="E3496" s="2" t="str">
        <f>HYPERLINK("https://talan.bank.gov.ua/get-user-certificate/sec1eslCn_2CG75-Q5gU","Завантажити сертифікат")</f>
        <v>Завантажити сертифікат</v>
      </c>
    </row>
    <row r="3497" spans="1:5" x14ac:dyDescent="0.3">
      <c r="A3497" s="2" t="s">
        <v>7148</v>
      </c>
      <c r="B3497" s="2" t="s">
        <v>5</v>
      </c>
      <c r="C3497" s="2" t="s">
        <v>7149</v>
      </c>
      <c r="D3497" s="2" t="s">
        <v>7041</v>
      </c>
      <c r="E3497" s="2" t="str">
        <f>HYPERLINK("https://talan.bank.gov.ua/get-user-certificate/sec1e6JLPuG6KzD_UDoi","Завантажити сертифікат")</f>
        <v>Завантажити сертифікат</v>
      </c>
    </row>
    <row r="3498" spans="1:5" x14ac:dyDescent="0.3">
      <c r="A3498" s="2" t="s">
        <v>7150</v>
      </c>
      <c r="B3498" s="2" t="s">
        <v>5</v>
      </c>
      <c r="C3498" s="2" t="s">
        <v>7151</v>
      </c>
      <c r="D3498" s="2" t="s">
        <v>7041</v>
      </c>
      <c r="E3498" s="2" t="str">
        <f>HYPERLINK("https://talan.bank.gov.ua/get-user-certificate/sec1e12b84EGHpJ53Ol2","Завантажити сертифікат")</f>
        <v>Завантажити сертифікат</v>
      </c>
    </row>
    <row r="3499" spans="1:5" x14ac:dyDescent="0.3">
      <c r="A3499" s="2" t="s">
        <v>7152</v>
      </c>
      <c r="B3499" s="2" t="s">
        <v>5</v>
      </c>
      <c r="C3499" s="2" t="s">
        <v>7153</v>
      </c>
      <c r="D3499" s="2" t="s">
        <v>7041</v>
      </c>
      <c r="E3499" s="2" t="str">
        <f>HYPERLINK("https://talan.bank.gov.ua/get-user-certificate/sec1eBjzT0OFY0paTJm2","Завантажити сертифікат")</f>
        <v>Завантажити сертифікат</v>
      </c>
    </row>
    <row r="3500" spans="1:5" x14ac:dyDescent="0.3">
      <c r="A3500" s="2" t="s">
        <v>7154</v>
      </c>
      <c r="B3500" s="2" t="s">
        <v>5</v>
      </c>
      <c r="C3500" s="2" t="s">
        <v>7155</v>
      </c>
      <c r="D3500" s="2" t="s">
        <v>7041</v>
      </c>
      <c r="E3500" s="2" t="str">
        <f>HYPERLINK("https://talan.bank.gov.ua/get-user-certificate/sec1eYUudLlTPYGBTAUD","Завантажити сертифікат")</f>
        <v>Завантажити сертифікат</v>
      </c>
    </row>
    <row r="3501" spans="1:5" x14ac:dyDescent="0.3">
      <c r="A3501" s="2" t="s">
        <v>7156</v>
      </c>
      <c r="B3501" s="2" t="s">
        <v>5</v>
      </c>
      <c r="C3501" s="2" t="s">
        <v>7157</v>
      </c>
      <c r="D3501" s="2" t="s">
        <v>7041</v>
      </c>
      <c r="E3501" s="2" t="str">
        <f>HYPERLINK("https://talan.bank.gov.ua/get-user-certificate/sec1eeytnd1KXDfD300D","Завантажити сертифікат")</f>
        <v>Завантажити сертифікат</v>
      </c>
    </row>
    <row r="3502" spans="1:5" x14ac:dyDescent="0.3">
      <c r="A3502" s="2" t="s">
        <v>7158</v>
      </c>
      <c r="B3502" s="2" t="s">
        <v>5</v>
      </c>
      <c r="C3502" s="2" t="s">
        <v>7159</v>
      </c>
      <c r="D3502" s="2" t="s">
        <v>7041</v>
      </c>
      <c r="E3502" s="2" t="str">
        <f>HYPERLINK("https://talan.bank.gov.ua/get-user-certificate/sec1eS3GqFpx70X5mftb","Завантажити сертифікат")</f>
        <v>Завантажити сертифікат</v>
      </c>
    </row>
    <row r="3503" spans="1:5" x14ac:dyDescent="0.3">
      <c r="A3503" s="2" t="s">
        <v>7160</v>
      </c>
      <c r="B3503" s="2" t="s">
        <v>5</v>
      </c>
      <c r="C3503" s="2" t="s">
        <v>7161</v>
      </c>
      <c r="D3503" s="2" t="s">
        <v>7041</v>
      </c>
      <c r="E3503" s="2" t="str">
        <f>HYPERLINK("https://talan.bank.gov.ua/get-user-certificate/sec1e3mxN1LSMVqtDAxV","Завантажити сертифікат")</f>
        <v>Завантажити сертифікат</v>
      </c>
    </row>
    <row r="3504" spans="1:5" x14ac:dyDescent="0.3">
      <c r="A3504" s="2" t="s">
        <v>7162</v>
      </c>
      <c r="B3504" s="2" t="s">
        <v>5</v>
      </c>
      <c r="C3504" s="2" t="s">
        <v>7163</v>
      </c>
      <c r="D3504" s="2" t="s">
        <v>7041</v>
      </c>
      <c r="E3504" s="2" t="str">
        <f>HYPERLINK("https://talan.bank.gov.ua/get-user-certificate/sec1erpgrWx-0VALqbrd","Завантажити сертифікат")</f>
        <v>Завантажити сертифікат</v>
      </c>
    </row>
    <row r="3505" spans="1:5" x14ac:dyDescent="0.3">
      <c r="A3505" s="2" t="s">
        <v>7164</v>
      </c>
      <c r="B3505" s="2" t="s">
        <v>5</v>
      </c>
      <c r="C3505" s="2" t="s">
        <v>7165</v>
      </c>
      <c r="D3505" s="2" t="s">
        <v>7041</v>
      </c>
      <c r="E3505" s="2" t="str">
        <f>HYPERLINK("https://talan.bank.gov.ua/get-user-certificate/sec1e7W2uphNSxJM6sGv","Завантажити сертифікат")</f>
        <v>Завантажити сертифікат</v>
      </c>
    </row>
    <row r="3506" spans="1:5" x14ac:dyDescent="0.3">
      <c r="A3506" s="2" t="s">
        <v>7166</v>
      </c>
      <c r="B3506" s="2" t="s">
        <v>5</v>
      </c>
      <c r="C3506" s="2" t="s">
        <v>7167</v>
      </c>
      <c r="D3506" s="2" t="s">
        <v>7041</v>
      </c>
      <c r="E3506" s="2" t="str">
        <f>HYPERLINK("https://talan.bank.gov.ua/get-user-certificate/sec1enP0vl7whxa-pu4g","Завантажити сертифікат")</f>
        <v>Завантажити сертифікат</v>
      </c>
    </row>
    <row r="3507" spans="1:5" x14ac:dyDescent="0.3">
      <c r="A3507" s="2" t="s">
        <v>7168</v>
      </c>
      <c r="B3507" s="2" t="s">
        <v>5</v>
      </c>
      <c r="C3507" s="2" t="s">
        <v>7169</v>
      </c>
      <c r="D3507" s="2" t="s">
        <v>7041</v>
      </c>
      <c r="E3507" s="2" t="str">
        <f>HYPERLINK("https://talan.bank.gov.ua/get-user-certificate/sec1e68FakapB_fkfY98","Завантажити сертифікат")</f>
        <v>Завантажити сертифікат</v>
      </c>
    </row>
    <row r="3508" spans="1:5" x14ac:dyDescent="0.3">
      <c r="A3508" s="2" t="s">
        <v>7170</v>
      </c>
      <c r="B3508" s="2" t="s">
        <v>5</v>
      </c>
      <c r="C3508" s="2" t="s">
        <v>7171</v>
      </c>
      <c r="D3508" s="2" t="s">
        <v>7041</v>
      </c>
      <c r="E3508" s="2" t="str">
        <f>HYPERLINK("https://talan.bank.gov.ua/get-user-certificate/sec1emXn9YtHulRF0KgN","Завантажити сертифікат")</f>
        <v>Завантажити сертифікат</v>
      </c>
    </row>
    <row r="3509" spans="1:5" x14ac:dyDescent="0.3">
      <c r="A3509" s="2" t="s">
        <v>7172</v>
      </c>
      <c r="B3509" s="2" t="s">
        <v>5</v>
      </c>
      <c r="C3509" s="2" t="s">
        <v>7173</v>
      </c>
      <c r="D3509" s="2" t="s">
        <v>7041</v>
      </c>
      <c r="E3509" s="2" t="str">
        <f>HYPERLINK("https://talan.bank.gov.ua/get-user-certificate/sec1ekuEuQTl7zCf45EM","Завантажити сертифікат")</f>
        <v>Завантажити сертифікат</v>
      </c>
    </row>
    <row r="3510" spans="1:5" x14ac:dyDescent="0.3">
      <c r="A3510" s="2" t="s">
        <v>7174</v>
      </c>
      <c r="B3510" s="2" t="s">
        <v>5</v>
      </c>
      <c r="C3510" s="2" t="s">
        <v>7175</v>
      </c>
      <c r="D3510" s="2" t="s">
        <v>7041</v>
      </c>
      <c r="E3510" s="2" t="str">
        <f>HYPERLINK("https://talan.bank.gov.ua/get-user-certificate/sec1eEr5NdezLZLmHYXv","Завантажити сертифікат")</f>
        <v>Завантажити сертифікат</v>
      </c>
    </row>
    <row r="3511" spans="1:5" x14ac:dyDescent="0.3">
      <c r="A3511" s="2" t="s">
        <v>7176</v>
      </c>
      <c r="B3511" s="2" t="s">
        <v>5</v>
      </c>
      <c r="C3511" s="2" t="s">
        <v>7177</v>
      </c>
      <c r="D3511" s="2" t="s">
        <v>7041</v>
      </c>
      <c r="E3511" s="2" t="str">
        <f>HYPERLINK("https://talan.bank.gov.ua/get-user-certificate/sec1eNmgNCRBr2uOIsqA","Завантажити сертифікат")</f>
        <v>Завантажити сертифікат</v>
      </c>
    </row>
    <row r="3512" spans="1:5" x14ac:dyDescent="0.3">
      <c r="A3512" s="2" t="s">
        <v>7178</v>
      </c>
      <c r="B3512" s="2" t="s">
        <v>5</v>
      </c>
      <c r="C3512" s="2" t="s">
        <v>7179</v>
      </c>
      <c r="D3512" s="2" t="s">
        <v>7041</v>
      </c>
      <c r="E3512" s="2" t="str">
        <f>HYPERLINK("https://talan.bank.gov.ua/get-user-certificate/sec1eSU-Q9zZuauQy4Yw","Завантажити сертифікат")</f>
        <v>Завантажити сертифікат</v>
      </c>
    </row>
    <row r="3513" spans="1:5" x14ac:dyDescent="0.3">
      <c r="A3513" s="2" t="s">
        <v>7180</v>
      </c>
      <c r="B3513" s="2" t="s">
        <v>5</v>
      </c>
      <c r="C3513" s="2" t="s">
        <v>7181</v>
      </c>
      <c r="D3513" s="2" t="s">
        <v>7041</v>
      </c>
      <c r="E3513" s="2" t="str">
        <f>HYPERLINK("https://talan.bank.gov.ua/get-user-certificate/sec1ePAUICTrHh3vo-aA","Завантажити сертифікат")</f>
        <v>Завантажити сертифікат</v>
      </c>
    </row>
    <row r="3514" spans="1:5" x14ac:dyDescent="0.3">
      <c r="A3514" s="2" t="s">
        <v>7182</v>
      </c>
      <c r="B3514" s="2" t="s">
        <v>5</v>
      </c>
      <c r="C3514" s="2" t="s">
        <v>7183</v>
      </c>
      <c r="D3514" s="2" t="s">
        <v>7041</v>
      </c>
      <c r="E3514" s="2" t="str">
        <f>HYPERLINK("https://talan.bank.gov.ua/get-user-certificate/sec1ec5Oym4l_imVgDF4","Завантажити сертифікат")</f>
        <v>Завантажити сертифікат</v>
      </c>
    </row>
    <row r="3515" spans="1:5" x14ac:dyDescent="0.3">
      <c r="A3515" s="2" t="s">
        <v>7184</v>
      </c>
      <c r="B3515" s="2" t="s">
        <v>5</v>
      </c>
      <c r="C3515" s="2" t="s">
        <v>7185</v>
      </c>
      <c r="D3515" s="2" t="s">
        <v>7186</v>
      </c>
      <c r="E3515" s="2" t="str">
        <f>HYPERLINK("https://talan.bank.gov.ua/get-user-certificate/sec1e5f7NjczEoIekbpR","Завантажити сертифікат")</f>
        <v>Завантажити сертифікат</v>
      </c>
    </row>
    <row r="3516" spans="1:5" x14ac:dyDescent="0.3">
      <c r="A3516" s="2" t="s">
        <v>7187</v>
      </c>
      <c r="B3516" s="2" t="s">
        <v>5</v>
      </c>
      <c r="C3516" s="2" t="s">
        <v>7188</v>
      </c>
      <c r="D3516" s="2" t="s">
        <v>7186</v>
      </c>
      <c r="E3516" s="2" t="str">
        <f>HYPERLINK("https://talan.bank.gov.ua/get-user-certificate/sec1eFxTonZXdplsoOL7","Завантажити сертифікат")</f>
        <v>Завантажити сертифікат</v>
      </c>
    </row>
    <row r="3517" spans="1:5" x14ac:dyDescent="0.3">
      <c r="A3517" s="2" t="s">
        <v>7189</v>
      </c>
      <c r="B3517" s="2" t="s">
        <v>5</v>
      </c>
      <c r="C3517" s="2" t="s">
        <v>7190</v>
      </c>
      <c r="D3517" s="2" t="s">
        <v>7186</v>
      </c>
      <c r="E3517" s="2" t="str">
        <f>HYPERLINK("https://talan.bank.gov.ua/get-user-certificate/sec1eRWms9eOIY6feKy5","Завантажити сертифікат")</f>
        <v>Завантажити сертифікат</v>
      </c>
    </row>
    <row r="3518" spans="1:5" x14ac:dyDescent="0.3">
      <c r="A3518" s="2" t="s">
        <v>7191</v>
      </c>
      <c r="B3518" s="2" t="s">
        <v>5</v>
      </c>
      <c r="C3518" s="2" t="s">
        <v>7192</v>
      </c>
      <c r="D3518" s="2" t="s">
        <v>7186</v>
      </c>
      <c r="E3518" s="2" t="str">
        <f>HYPERLINK("https://talan.bank.gov.ua/get-user-certificate/sec1eRA5KWh6xC1Py2yS","Завантажити сертифікат")</f>
        <v>Завантажити сертифікат</v>
      </c>
    </row>
    <row r="3519" spans="1:5" x14ac:dyDescent="0.3">
      <c r="A3519" s="2" t="s">
        <v>7193</v>
      </c>
      <c r="B3519" s="2" t="s">
        <v>5</v>
      </c>
      <c r="C3519" s="2" t="s">
        <v>7194</v>
      </c>
      <c r="D3519" s="2" t="s">
        <v>7186</v>
      </c>
      <c r="E3519" s="2" t="str">
        <f>HYPERLINK("https://talan.bank.gov.ua/get-user-certificate/sec1eqxMens_ZvbVti-N","Завантажити сертифікат")</f>
        <v>Завантажити сертифікат</v>
      </c>
    </row>
    <row r="3520" spans="1:5" x14ac:dyDescent="0.3">
      <c r="A3520" s="2" t="s">
        <v>7195</v>
      </c>
      <c r="B3520" s="2" t="s">
        <v>5</v>
      </c>
      <c r="C3520" s="2" t="s">
        <v>7196</v>
      </c>
      <c r="D3520" s="2" t="s">
        <v>7186</v>
      </c>
      <c r="E3520" s="2" t="str">
        <f>HYPERLINK("https://talan.bank.gov.ua/get-user-certificate/sec1eDBV19vZHp536m78","Завантажити сертифікат")</f>
        <v>Завантажити сертифікат</v>
      </c>
    </row>
    <row r="3521" spans="1:5" x14ac:dyDescent="0.3">
      <c r="A3521" s="2" t="s">
        <v>7197</v>
      </c>
      <c r="B3521" s="2" t="s">
        <v>5</v>
      </c>
      <c r="C3521" s="2" t="s">
        <v>7198</v>
      </c>
      <c r="D3521" s="2" t="s">
        <v>7186</v>
      </c>
      <c r="E3521" s="2" t="str">
        <f>HYPERLINK("https://talan.bank.gov.ua/get-user-certificate/sec1eRCWqbOjFb91KuPy","Завантажити сертифікат")</f>
        <v>Завантажити сертифікат</v>
      </c>
    </row>
    <row r="3522" spans="1:5" x14ac:dyDescent="0.3">
      <c r="A3522" s="2" t="s">
        <v>7199</v>
      </c>
      <c r="B3522" s="2" t="s">
        <v>5</v>
      </c>
      <c r="C3522" s="2" t="s">
        <v>7200</v>
      </c>
      <c r="D3522" s="2" t="s">
        <v>7186</v>
      </c>
      <c r="E3522" s="2" t="str">
        <f>HYPERLINK("https://talan.bank.gov.ua/get-user-certificate/sec1eIBa7IJ6HPoi_Rfc","Завантажити сертифікат")</f>
        <v>Завантажити сертифікат</v>
      </c>
    </row>
    <row r="3523" spans="1:5" x14ac:dyDescent="0.3">
      <c r="A3523" s="2" t="s">
        <v>7201</v>
      </c>
      <c r="B3523" s="2" t="s">
        <v>5</v>
      </c>
      <c r="C3523" s="2" t="s">
        <v>7202</v>
      </c>
      <c r="D3523" s="2" t="s">
        <v>7186</v>
      </c>
      <c r="E3523" s="2" t="str">
        <f>HYPERLINK("https://talan.bank.gov.ua/get-user-certificate/sec1eI4KoLZ0I6x3kVMT","Завантажити сертифікат")</f>
        <v>Завантажити сертифікат</v>
      </c>
    </row>
    <row r="3524" spans="1:5" x14ac:dyDescent="0.3">
      <c r="A3524" s="2" t="s">
        <v>7203</v>
      </c>
      <c r="B3524" s="2" t="s">
        <v>5</v>
      </c>
      <c r="C3524" s="2" t="s">
        <v>7204</v>
      </c>
      <c r="D3524" s="2" t="s">
        <v>7186</v>
      </c>
      <c r="E3524" s="2" t="str">
        <f>HYPERLINK("https://talan.bank.gov.ua/get-user-certificate/sec1eM6aQHQj0GDqVkAP","Завантажити сертифікат")</f>
        <v>Завантажити сертифікат</v>
      </c>
    </row>
    <row r="3525" spans="1:5" x14ac:dyDescent="0.3">
      <c r="A3525" s="2" t="s">
        <v>7205</v>
      </c>
      <c r="B3525" s="2" t="s">
        <v>5</v>
      </c>
      <c r="C3525" s="2" t="s">
        <v>7206</v>
      </c>
      <c r="D3525" s="2" t="s">
        <v>7186</v>
      </c>
      <c r="E3525" s="2" t="str">
        <f>HYPERLINK("https://talan.bank.gov.ua/get-user-certificate/sec1eprSXENVT8AlxxRP","Завантажити сертифікат")</f>
        <v>Завантажити сертифікат</v>
      </c>
    </row>
    <row r="3526" spans="1:5" x14ac:dyDescent="0.3">
      <c r="A3526" s="2" t="s">
        <v>7207</v>
      </c>
      <c r="B3526" s="2" t="s">
        <v>5</v>
      </c>
      <c r="C3526" s="2" t="s">
        <v>7208</v>
      </c>
      <c r="D3526" s="2" t="s">
        <v>7186</v>
      </c>
      <c r="E3526" s="2" t="str">
        <f>HYPERLINK("https://talan.bank.gov.ua/get-user-certificate/sec1ehNNug05Vt6XoVwl","Завантажити сертифікат")</f>
        <v>Завантажити сертифікат</v>
      </c>
    </row>
    <row r="3527" spans="1:5" x14ac:dyDescent="0.3">
      <c r="A3527" s="2" t="s">
        <v>7209</v>
      </c>
      <c r="B3527" s="2" t="s">
        <v>5</v>
      </c>
      <c r="C3527" s="2" t="s">
        <v>7210</v>
      </c>
      <c r="D3527" s="2" t="s">
        <v>7186</v>
      </c>
      <c r="E3527" s="2" t="str">
        <f>HYPERLINK("https://talan.bank.gov.ua/get-user-certificate/sec1e5MftMPCr15A6m5N","Завантажити сертифікат")</f>
        <v>Завантажити сертифікат</v>
      </c>
    </row>
    <row r="3528" spans="1:5" x14ac:dyDescent="0.3">
      <c r="A3528" s="2" t="s">
        <v>7211</v>
      </c>
      <c r="B3528" s="2" t="s">
        <v>5</v>
      </c>
      <c r="C3528" s="2" t="s">
        <v>7212</v>
      </c>
      <c r="D3528" s="2" t="s">
        <v>7186</v>
      </c>
      <c r="E3528" s="2" t="str">
        <f>HYPERLINK("https://talan.bank.gov.ua/get-user-certificate/sec1ec8Gr5oR_NLrxYf9","Завантажити сертифікат")</f>
        <v>Завантажити сертифікат</v>
      </c>
    </row>
    <row r="3529" spans="1:5" x14ac:dyDescent="0.3">
      <c r="A3529" s="2" t="s">
        <v>7213</v>
      </c>
      <c r="B3529" s="2" t="s">
        <v>5</v>
      </c>
      <c r="C3529" s="2" t="s">
        <v>7214</v>
      </c>
      <c r="D3529" s="2" t="s">
        <v>7186</v>
      </c>
      <c r="E3529" s="2" t="str">
        <f>HYPERLINK("https://talan.bank.gov.ua/get-user-certificate/sec1en-M-b6kNf5YiC5V","Завантажити сертифікат")</f>
        <v>Завантажити сертифікат</v>
      </c>
    </row>
    <row r="3530" spans="1:5" x14ac:dyDescent="0.3">
      <c r="A3530" s="2" t="s">
        <v>7215</v>
      </c>
      <c r="B3530" s="2" t="s">
        <v>5</v>
      </c>
      <c r="C3530" s="2" t="s">
        <v>7216</v>
      </c>
      <c r="D3530" s="2" t="s">
        <v>7186</v>
      </c>
      <c r="E3530" s="2" t="str">
        <f>HYPERLINK("https://talan.bank.gov.ua/get-user-certificate/sec1eueH8wWlkoYN2RdF","Завантажити сертифікат")</f>
        <v>Завантажити сертифікат</v>
      </c>
    </row>
    <row r="3531" spans="1:5" x14ac:dyDescent="0.3">
      <c r="A3531" s="2" t="s">
        <v>7217</v>
      </c>
      <c r="B3531" s="2" t="s">
        <v>5</v>
      </c>
      <c r="C3531" s="2" t="s">
        <v>7218</v>
      </c>
      <c r="D3531" s="2" t="s">
        <v>7186</v>
      </c>
      <c r="E3531" s="2" t="str">
        <f>HYPERLINK("https://talan.bank.gov.ua/get-user-certificate/sec1ebXS7L78u5XVhff-","Завантажити сертифікат")</f>
        <v>Завантажити сертифікат</v>
      </c>
    </row>
    <row r="3532" spans="1:5" x14ac:dyDescent="0.3">
      <c r="A3532" s="2" t="s">
        <v>7219</v>
      </c>
      <c r="B3532" s="2" t="s">
        <v>5</v>
      </c>
      <c r="C3532" s="2" t="s">
        <v>7220</v>
      </c>
      <c r="D3532" s="2" t="s">
        <v>7186</v>
      </c>
      <c r="E3532" s="2" t="str">
        <f>HYPERLINK("https://talan.bank.gov.ua/get-user-certificate/sec1eHLw0RWrXLyhgdT9","Завантажити сертифікат")</f>
        <v>Завантажити сертифікат</v>
      </c>
    </row>
    <row r="3533" spans="1:5" x14ac:dyDescent="0.3">
      <c r="A3533" s="2" t="s">
        <v>7221</v>
      </c>
      <c r="B3533" s="2" t="s">
        <v>5</v>
      </c>
      <c r="C3533" s="2" t="s">
        <v>7222</v>
      </c>
      <c r="D3533" s="2" t="s">
        <v>7186</v>
      </c>
      <c r="E3533" s="2" t="str">
        <f>HYPERLINK("https://talan.bank.gov.ua/get-user-certificate/sec1ef5MXpskKESwO-Rn","Завантажити сертифікат")</f>
        <v>Завантажити сертифікат</v>
      </c>
    </row>
    <row r="3534" spans="1:5" x14ac:dyDescent="0.3">
      <c r="A3534" s="2" t="s">
        <v>7223</v>
      </c>
      <c r="B3534" s="2" t="s">
        <v>5</v>
      </c>
      <c r="C3534" s="2" t="s">
        <v>7224</v>
      </c>
      <c r="D3534" s="2" t="s">
        <v>7186</v>
      </c>
      <c r="E3534" s="2" t="str">
        <f>HYPERLINK("https://talan.bank.gov.ua/get-user-certificate/sec1ey7MhKvv3z_GJtgq","Завантажити сертифікат")</f>
        <v>Завантажити сертифікат</v>
      </c>
    </row>
    <row r="3535" spans="1:5" x14ac:dyDescent="0.3">
      <c r="A3535" s="2" t="s">
        <v>7225</v>
      </c>
      <c r="B3535" s="2" t="s">
        <v>5</v>
      </c>
      <c r="C3535" s="2" t="s">
        <v>7226</v>
      </c>
      <c r="D3535" s="2" t="s">
        <v>7186</v>
      </c>
      <c r="E3535" s="2" t="str">
        <f>HYPERLINK("https://talan.bank.gov.ua/get-user-certificate/sec1eV-IZawKr8vg2Onq","Завантажити сертифікат")</f>
        <v>Завантажити сертифікат</v>
      </c>
    </row>
    <row r="3536" spans="1:5" x14ac:dyDescent="0.3">
      <c r="A3536" s="2" t="s">
        <v>7227</v>
      </c>
      <c r="B3536" s="2" t="s">
        <v>5</v>
      </c>
      <c r="C3536" s="2" t="s">
        <v>7228</v>
      </c>
      <c r="D3536" s="2" t="s">
        <v>7186</v>
      </c>
      <c r="E3536" s="2" t="str">
        <f>HYPERLINK("https://talan.bank.gov.ua/get-user-certificate/sec1edsas8nEmNvFodS5","Завантажити сертифікат")</f>
        <v>Завантажити сертифікат</v>
      </c>
    </row>
    <row r="3537" spans="1:5" x14ac:dyDescent="0.3">
      <c r="A3537" s="2" t="s">
        <v>7229</v>
      </c>
      <c r="B3537" s="2" t="s">
        <v>5</v>
      </c>
      <c r="C3537" s="2" t="s">
        <v>7230</v>
      </c>
      <c r="D3537" s="2" t="s">
        <v>7186</v>
      </c>
      <c r="E3537" s="2" t="str">
        <f>HYPERLINK("https://talan.bank.gov.ua/get-user-certificate/sec1eE8Yc9GrHIokgby-","Завантажити сертифікат")</f>
        <v>Завантажити сертифікат</v>
      </c>
    </row>
    <row r="3538" spans="1:5" x14ac:dyDescent="0.3">
      <c r="A3538" s="2" t="s">
        <v>7231</v>
      </c>
      <c r="B3538" s="2" t="s">
        <v>5</v>
      </c>
      <c r="C3538" s="2" t="s">
        <v>7232</v>
      </c>
      <c r="D3538" s="2" t="s">
        <v>7186</v>
      </c>
      <c r="E3538" s="2" t="str">
        <f>HYPERLINK("https://talan.bank.gov.ua/get-user-certificate/sec1eW9bVrS968DWLd-v","Завантажити сертифікат")</f>
        <v>Завантажити сертифікат</v>
      </c>
    </row>
    <row r="3539" spans="1:5" x14ac:dyDescent="0.3">
      <c r="A3539" s="2" t="s">
        <v>7233</v>
      </c>
      <c r="B3539" s="2" t="s">
        <v>5</v>
      </c>
      <c r="C3539" s="2" t="s">
        <v>7234</v>
      </c>
      <c r="D3539" s="2" t="s">
        <v>7186</v>
      </c>
      <c r="E3539" s="2" t="str">
        <f>HYPERLINK("https://talan.bank.gov.ua/get-user-certificate/sec1eCre0tiybGnh1_eC","Завантажити сертифікат")</f>
        <v>Завантажити сертифікат</v>
      </c>
    </row>
    <row r="3540" spans="1:5" x14ac:dyDescent="0.3">
      <c r="A3540" s="2" t="s">
        <v>7235</v>
      </c>
      <c r="B3540" s="2" t="s">
        <v>5</v>
      </c>
      <c r="C3540" s="2" t="s">
        <v>7236</v>
      </c>
      <c r="D3540" s="2" t="s">
        <v>7186</v>
      </c>
      <c r="E3540" s="2" t="str">
        <f>HYPERLINK("https://talan.bank.gov.ua/get-user-certificate/sec1eoD7wc4J_ySJdu5T","Завантажити сертифікат")</f>
        <v>Завантажити сертифікат</v>
      </c>
    </row>
    <row r="3541" spans="1:5" x14ac:dyDescent="0.3">
      <c r="A3541" s="2" t="s">
        <v>7237</v>
      </c>
      <c r="B3541" s="2" t="s">
        <v>5</v>
      </c>
      <c r="C3541" s="2" t="s">
        <v>7238</v>
      </c>
      <c r="D3541" s="2" t="s">
        <v>7186</v>
      </c>
      <c r="E3541" s="2" t="str">
        <f>HYPERLINK("https://talan.bank.gov.ua/get-user-certificate/sec1e0Lqf_zr2NYpOvSJ","Завантажити сертифікат")</f>
        <v>Завантажити сертифікат</v>
      </c>
    </row>
    <row r="3542" spans="1:5" x14ac:dyDescent="0.3">
      <c r="A3542" s="2" t="s">
        <v>7239</v>
      </c>
      <c r="B3542" s="2" t="s">
        <v>5</v>
      </c>
      <c r="C3542" s="2" t="s">
        <v>7240</v>
      </c>
      <c r="D3542" s="2" t="s">
        <v>7186</v>
      </c>
      <c r="E3542" s="2" t="str">
        <f>HYPERLINK("https://talan.bank.gov.ua/get-user-certificate/sec1eiy1nkkA2dC9OJuS","Завантажити сертифікат")</f>
        <v>Завантажити сертифікат</v>
      </c>
    </row>
    <row r="3543" spans="1:5" x14ac:dyDescent="0.3">
      <c r="A3543" s="2" t="s">
        <v>7241</v>
      </c>
      <c r="B3543" s="2" t="s">
        <v>5</v>
      </c>
      <c r="C3543" s="2" t="s">
        <v>7242</v>
      </c>
      <c r="D3543" s="2" t="s">
        <v>7186</v>
      </c>
      <c r="E3543" s="2" t="str">
        <f>HYPERLINK("https://talan.bank.gov.ua/get-user-certificate/sec1e7f2qzVlk-flOMGr","Завантажити сертифікат")</f>
        <v>Завантажити сертифікат</v>
      </c>
    </row>
    <row r="3544" spans="1:5" x14ac:dyDescent="0.3">
      <c r="A3544" s="2" t="s">
        <v>7243</v>
      </c>
      <c r="B3544" s="2" t="s">
        <v>5</v>
      </c>
      <c r="C3544" s="2" t="s">
        <v>7244</v>
      </c>
      <c r="D3544" s="2" t="s">
        <v>7186</v>
      </c>
      <c r="E3544" s="2" t="str">
        <f>HYPERLINK("https://talan.bank.gov.ua/get-user-certificate/sec1eufLBQ4KRYXA47PO","Завантажити сертифікат")</f>
        <v>Завантажити сертифікат</v>
      </c>
    </row>
    <row r="3545" spans="1:5" x14ac:dyDescent="0.3">
      <c r="A3545" s="2" t="s">
        <v>7245</v>
      </c>
      <c r="B3545" s="2" t="s">
        <v>5</v>
      </c>
      <c r="C3545" s="2" t="s">
        <v>7246</v>
      </c>
      <c r="D3545" s="2" t="s">
        <v>7186</v>
      </c>
      <c r="E3545" s="2" t="str">
        <f>HYPERLINK("https://talan.bank.gov.ua/get-user-certificate/sec1e3ngqatHDt5LJ-fJ","Завантажити сертифікат")</f>
        <v>Завантажити сертифікат</v>
      </c>
    </row>
    <row r="3546" spans="1:5" x14ac:dyDescent="0.3">
      <c r="A3546" s="2" t="s">
        <v>7247</v>
      </c>
      <c r="B3546" s="2" t="s">
        <v>5</v>
      </c>
      <c r="C3546" s="2" t="s">
        <v>7248</v>
      </c>
      <c r="D3546" s="2" t="s">
        <v>7186</v>
      </c>
      <c r="E3546" s="2" t="str">
        <f>HYPERLINK("https://talan.bank.gov.ua/get-user-certificate/sec1eflb9vkMHofq2M_T","Завантажити сертифікат")</f>
        <v>Завантажити сертифікат</v>
      </c>
    </row>
    <row r="3547" spans="1:5" x14ac:dyDescent="0.3">
      <c r="A3547" s="2" t="s">
        <v>7249</v>
      </c>
      <c r="B3547" s="2" t="s">
        <v>5</v>
      </c>
      <c r="C3547" s="2" t="s">
        <v>7250</v>
      </c>
      <c r="D3547" s="2" t="s">
        <v>7251</v>
      </c>
      <c r="E3547" s="2" t="str">
        <f>HYPERLINK("https://talan.bank.gov.ua/get-user-certificate/sec1egENLN6fkeJtuBBT","Завантажити сертифікат")</f>
        <v>Завантажити сертифікат</v>
      </c>
    </row>
    <row r="3548" spans="1:5" x14ac:dyDescent="0.3">
      <c r="A3548" s="2" t="s">
        <v>7252</v>
      </c>
      <c r="B3548" s="2" t="s">
        <v>5</v>
      </c>
      <c r="C3548" s="2" t="s">
        <v>7253</v>
      </c>
      <c r="D3548" s="2" t="s">
        <v>7251</v>
      </c>
      <c r="E3548" s="2" t="str">
        <f>HYPERLINK("https://talan.bank.gov.ua/get-user-certificate/sec1e7UDS2nwih2vgH0W","Завантажити сертифікат")</f>
        <v>Завантажити сертифікат</v>
      </c>
    </row>
    <row r="3549" spans="1:5" x14ac:dyDescent="0.3">
      <c r="A3549" s="2" t="s">
        <v>7254</v>
      </c>
      <c r="B3549" s="2" t="s">
        <v>5</v>
      </c>
      <c r="C3549" s="2" t="s">
        <v>7255</v>
      </c>
      <c r="D3549" s="2" t="s">
        <v>7251</v>
      </c>
      <c r="E3549" s="2" t="str">
        <f>HYPERLINK("https://talan.bank.gov.ua/get-user-certificate/sec1e5VaN4XUOkpBhXOD","Завантажити сертифікат")</f>
        <v>Завантажити сертифікат</v>
      </c>
    </row>
    <row r="3550" spans="1:5" x14ac:dyDescent="0.3">
      <c r="A3550" s="2" t="s">
        <v>7256</v>
      </c>
      <c r="B3550" s="2" t="s">
        <v>5</v>
      </c>
      <c r="C3550" s="2" t="s">
        <v>7257</v>
      </c>
      <c r="D3550" s="2" t="s">
        <v>7251</v>
      </c>
      <c r="E3550" s="2" t="str">
        <f>HYPERLINK("https://talan.bank.gov.ua/get-user-certificate/sec1erxYJNLN0ozL2cGl","Завантажити сертифікат")</f>
        <v>Завантажити сертифікат</v>
      </c>
    </row>
    <row r="3551" spans="1:5" x14ac:dyDescent="0.3">
      <c r="A3551" s="2" t="s">
        <v>7258</v>
      </c>
      <c r="B3551" s="2" t="s">
        <v>5</v>
      </c>
      <c r="C3551" s="2" t="s">
        <v>7259</v>
      </c>
      <c r="D3551" s="2" t="s">
        <v>7251</v>
      </c>
      <c r="E3551" s="2" t="str">
        <f>HYPERLINK("https://talan.bank.gov.ua/get-user-certificate/sec1eyxuRFhT691F5JLU","Завантажити сертифікат")</f>
        <v>Завантажити сертифікат</v>
      </c>
    </row>
    <row r="3552" spans="1:5" x14ac:dyDescent="0.3">
      <c r="A3552" s="2" t="s">
        <v>7260</v>
      </c>
      <c r="B3552" s="2" t="s">
        <v>5</v>
      </c>
      <c r="C3552" s="2" t="s">
        <v>7261</v>
      </c>
      <c r="D3552" s="2" t="s">
        <v>7251</v>
      </c>
      <c r="E3552" s="2" t="str">
        <f>HYPERLINK("https://talan.bank.gov.ua/get-user-certificate/sec1eyotn6C5nueOAltR","Завантажити сертифікат")</f>
        <v>Завантажити сертифікат</v>
      </c>
    </row>
    <row r="3553" spans="1:5" x14ac:dyDescent="0.3">
      <c r="A3553" s="2" t="s">
        <v>7262</v>
      </c>
      <c r="B3553" s="2" t="s">
        <v>5</v>
      </c>
      <c r="C3553" s="2" t="s">
        <v>7263</v>
      </c>
      <c r="D3553" s="2" t="s">
        <v>7251</v>
      </c>
      <c r="E3553" s="2" t="str">
        <f>HYPERLINK("https://talan.bank.gov.ua/get-user-certificate/sec1e6rs1543t6OYuOpv","Завантажити сертифікат")</f>
        <v>Завантажити сертифікат</v>
      </c>
    </row>
    <row r="3554" spans="1:5" x14ac:dyDescent="0.3">
      <c r="A3554" s="2" t="s">
        <v>7264</v>
      </c>
      <c r="B3554" s="2" t="s">
        <v>5</v>
      </c>
      <c r="C3554" s="2" t="s">
        <v>7265</v>
      </c>
      <c r="D3554" s="2" t="s">
        <v>7251</v>
      </c>
      <c r="E3554" s="2" t="str">
        <f>HYPERLINK("https://talan.bank.gov.ua/get-user-certificate/sec1edKDdlFo8lmsHDhF","Завантажити сертифікат")</f>
        <v>Завантажити сертифікат</v>
      </c>
    </row>
    <row r="3555" spans="1:5" x14ac:dyDescent="0.3">
      <c r="A3555" s="2" t="s">
        <v>7266</v>
      </c>
      <c r="B3555" s="2" t="s">
        <v>5</v>
      </c>
      <c r="C3555" s="2" t="s">
        <v>7267</v>
      </c>
      <c r="D3555" s="2" t="s">
        <v>7251</v>
      </c>
      <c r="E3555" s="2" t="str">
        <f>HYPERLINK("https://talan.bank.gov.ua/get-user-certificate/sec1eEF0kzWYVjMO81td","Завантажити сертифікат")</f>
        <v>Завантажити сертифікат</v>
      </c>
    </row>
    <row r="3556" spans="1:5" x14ac:dyDescent="0.3">
      <c r="A3556" s="2" t="s">
        <v>7268</v>
      </c>
      <c r="B3556" s="2" t="s">
        <v>5</v>
      </c>
      <c r="C3556" s="2" t="s">
        <v>7269</v>
      </c>
      <c r="D3556" s="2" t="s">
        <v>7251</v>
      </c>
      <c r="E3556" s="2" t="str">
        <f>HYPERLINK("https://talan.bank.gov.ua/get-user-certificate/sec1e7ZewZ0Z0harpMLG","Завантажити сертифікат")</f>
        <v>Завантажити сертифікат</v>
      </c>
    </row>
    <row r="3557" spans="1:5" x14ac:dyDescent="0.3">
      <c r="A3557" s="2" t="s">
        <v>7270</v>
      </c>
      <c r="B3557" s="2" t="s">
        <v>5</v>
      </c>
      <c r="C3557" s="2" t="s">
        <v>7271</v>
      </c>
      <c r="D3557" s="2" t="s">
        <v>7251</v>
      </c>
      <c r="E3557" s="2" t="str">
        <f>HYPERLINK("https://talan.bank.gov.ua/get-user-certificate/sec1emWnYo86pE3BbbKV","Завантажити сертифікат")</f>
        <v>Завантажити сертифікат</v>
      </c>
    </row>
    <row r="3558" spans="1:5" x14ac:dyDescent="0.3">
      <c r="A3558" s="2" t="s">
        <v>7272</v>
      </c>
      <c r="B3558" s="2" t="s">
        <v>5</v>
      </c>
      <c r="C3558" s="2" t="s">
        <v>7273</v>
      </c>
      <c r="D3558" s="2" t="s">
        <v>7251</v>
      </c>
      <c r="E3558" s="2" t="str">
        <f>HYPERLINK("https://talan.bank.gov.ua/get-user-certificate/sec1e8qz0lfXXI--ef5K","Завантажити сертифікат")</f>
        <v>Завантажити сертифікат</v>
      </c>
    </row>
    <row r="3559" spans="1:5" x14ac:dyDescent="0.3">
      <c r="A3559" s="2" t="s">
        <v>7274</v>
      </c>
      <c r="B3559" s="2" t="s">
        <v>5</v>
      </c>
      <c r="C3559" s="2" t="s">
        <v>7275</v>
      </c>
      <c r="D3559" s="2" t="s">
        <v>7251</v>
      </c>
      <c r="E3559" s="2" t="str">
        <f>HYPERLINK("https://talan.bank.gov.ua/get-user-certificate/sec1eOIpaQFXcLgvdAnC","Завантажити сертифікат")</f>
        <v>Завантажити сертифікат</v>
      </c>
    </row>
    <row r="3560" spans="1:5" x14ac:dyDescent="0.3">
      <c r="A3560" s="2" t="s">
        <v>7276</v>
      </c>
      <c r="B3560" s="2" t="s">
        <v>5</v>
      </c>
      <c r="C3560" s="2" t="s">
        <v>7277</v>
      </c>
      <c r="D3560" s="2" t="s">
        <v>7251</v>
      </c>
      <c r="E3560" s="2" t="str">
        <f>HYPERLINK("https://talan.bank.gov.ua/get-user-certificate/sec1eTDjrPJwjlo70JFn","Завантажити сертифікат")</f>
        <v>Завантажити сертифікат</v>
      </c>
    </row>
    <row r="3561" spans="1:5" x14ac:dyDescent="0.3">
      <c r="A3561" s="2" t="s">
        <v>7278</v>
      </c>
      <c r="B3561" s="2" t="s">
        <v>5</v>
      </c>
      <c r="C3561" s="2" t="s">
        <v>7279</v>
      </c>
      <c r="D3561" s="2" t="s">
        <v>7251</v>
      </c>
      <c r="E3561" s="2" t="str">
        <f>HYPERLINK("https://talan.bank.gov.ua/get-user-certificate/sec1eD8N-PqpwN1gYsaH","Завантажити сертифікат")</f>
        <v>Завантажити сертифікат</v>
      </c>
    </row>
    <row r="3562" spans="1:5" x14ac:dyDescent="0.3">
      <c r="A3562" s="2" t="s">
        <v>7280</v>
      </c>
      <c r="B3562" s="2" t="s">
        <v>5</v>
      </c>
      <c r="C3562" s="2" t="s">
        <v>7281</v>
      </c>
      <c r="D3562" s="2" t="s">
        <v>7251</v>
      </c>
      <c r="E3562" s="2" t="str">
        <f>HYPERLINK("https://talan.bank.gov.ua/get-user-certificate/sec1eFC2Mc8QQAgRkSNm","Завантажити сертифікат")</f>
        <v>Завантажити сертифікат</v>
      </c>
    </row>
    <row r="3563" spans="1:5" x14ac:dyDescent="0.3">
      <c r="A3563" s="2" t="s">
        <v>7282</v>
      </c>
      <c r="B3563" s="2" t="s">
        <v>5</v>
      </c>
      <c r="C3563" s="2" t="s">
        <v>7283</v>
      </c>
      <c r="D3563" s="2" t="s">
        <v>2613</v>
      </c>
      <c r="E3563" s="2" t="str">
        <f>HYPERLINK("https://talan.bank.gov.ua/get-user-certificate/sec1e_hr2hMzgjIoMaDS","Завантажити сертифікат")</f>
        <v>Завантажити сертифікат</v>
      </c>
    </row>
    <row r="3564" spans="1:5" x14ac:dyDescent="0.3">
      <c r="A3564" s="2" t="s">
        <v>7284</v>
      </c>
      <c r="B3564" s="2" t="s">
        <v>5</v>
      </c>
      <c r="C3564" s="2" t="s">
        <v>7285</v>
      </c>
      <c r="D3564" s="2" t="s">
        <v>2613</v>
      </c>
      <c r="E3564" s="2" t="str">
        <f>HYPERLINK("https://talan.bank.gov.ua/get-user-certificate/sec1enlKm-hsprk_VAVv","Завантажити сертифікат")</f>
        <v>Завантажити сертифікат</v>
      </c>
    </row>
    <row r="3565" spans="1:5" x14ac:dyDescent="0.3">
      <c r="A3565" s="2" t="s">
        <v>7286</v>
      </c>
      <c r="B3565" s="2" t="s">
        <v>5</v>
      </c>
      <c r="C3565" s="2" t="s">
        <v>7287</v>
      </c>
      <c r="D3565" s="2" t="s">
        <v>2613</v>
      </c>
      <c r="E3565" s="2" t="str">
        <f>HYPERLINK("https://talan.bank.gov.ua/get-user-certificate/sec1eDy2gNEFhQPzXrSD","Завантажити сертифікат")</f>
        <v>Завантажити сертифікат</v>
      </c>
    </row>
    <row r="3566" spans="1:5" x14ac:dyDescent="0.3">
      <c r="A3566" s="2" t="s">
        <v>7288</v>
      </c>
      <c r="B3566" s="2" t="s">
        <v>5</v>
      </c>
      <c r="C3566" s="2" t="s">
        <v>7289</v>
      </c>
      <c r="D3566" s="2" t="s">
        <v>2613</v>
      </c>
      <c r="E3566" s="2" t="str">
        <f>HYPERLINK("https://talan.bank.gov.ua/get-user-certificate/sec1elJJukQCvxdokZKt","Завантажити сертифікат")</f>
        <v>Завантажити сертифікат</v>
      </c>
    </row>
    <row r="3567" spans="1:5" x14ac:dyDescent="0.3">
      <c r="A3567" s="2" t="s">
        <v>7290</v>
      </c>
      <c r="B3567" s="2" t="s">
        <v>5</v>
      </c>
      <c r="C3567" s="2" t="s">
        <v>7291</v>
      </c>
      <c r="D3567" s="2" t="s">
        <v>2613</v>
      </c>
      <c r="E3567" s="2" t="str">
        <f>HYPERLINK("https://talan.bank.gov.ua/get-user-certificate/sec1e0CNIwZJeOjcGWyX","Завантажити сертифікат")</f>
        <v>Завантажити сертифікат</v>
      </c>
    </row>
    <row r="3568" spans="1:5" x14ac:dyDescent="0.3">
      <c r="A3568" s="2" t="s">
        <v>7292</v>
      </c>
      <c r="B3568" s="2" t="s">
        <v>5</v>
      </c>
      <c r="C3568" s="2" t="s">
        <v>7293</v>
      </c>
      <c r="D3568" s="2" t="s">
        <v>2613</v>
      </c>
      <c r="E3568" s="2" t="str">
        <f>HYPERLINK("https://talan.bank.gov.ua/get-user-certificate/sec1ehibpNksdVtgiiq7","Завантажити сертифікат")</f>
        <v>Завантажити сертифікат</v>
      </c>
    </row>
    <row r="3569" spans="1:5" x14ac:dyDescent="0.3">
      <c r="A3569" s="2" t="s">
        <v>7294</v>
      </c>
      <c r="B3569" s="2" t="s">
        <v>5</v>
      </c>
      <c r="C3569" s="2" t="s">
        <v>7295</v>
      </c>
      <c r="D3569" s="2" t="s">
        <v>7296</v>
      </c>
      <c r="E3569" s="2" t="str">
        <f>HYPERLINK("https://talan.bank.gov.ua/get-user-certificate/sec1et2ATHXwI3WEt-h3","Завантажити сертифікат")</f>
        <v>Завантажити сертифікат</v>
      </c>
    </row>
    <row r="3570" spans="1:5" x14ac:dyDescent="0.3">
      <c r="A3570" s="2" t="s">
        <v>7297</v>
      </c>
      <c r="B3570" s="2" t="s">
        <v>5</v>
      </c>
      <c r="C3570" s="2" t="s">
        <v>7298</v>
      </c>
      <c r="D3570" s="2" t="s">
        <v>7296</v>
      </c>
      <c r="E3570" s="2" t="str">
        <f>HYPERLINK("https://talan.bank.gov.ua/get-user-certificate/sec1eVg4Ci57u0dgwksG","Завантажити сертифікат")</f>
        <v>Завантажити сертифікат</v>
      </c>
    </row>
    <row r="3571" spans="1:5" x14ac:dyDescent="0.3">
      <c r="A3571" s="2" t="s">
        <v>7299</v>
      </c>
      <c r="B3571" s="2" t="s">
        <v>5</v>
      </c>
      <c r="C3571" s="2" t="s">
        <v>7300</v>
      </c>
      <c r="D3571" s="2" t="s">
        <v>7296</v>
      </c>
      <c r="E3571" s="2" t="str">
        <f>HYPERLINK("https://talan.bank.gov.ua/get-user-certificate/sec1errhAlRipQj-HvVJ","Завантажити сертифікат")</f>
        <v>Завантажити сертифікат</v>
      </c>
    </row>
    <row r="3572" spans="1:5" x14ac:dyDescent="0.3">
      <c r="A3572" s="2" t="s">
        <v>7301</v>
      </c>
      <c r="B3572" s="2" t="s">
        <v>5</v>
      </c>
      <c r="C3572" s="2" t="s">
        <v>290</v>
      </c>
      <c r="D3572" s="2" t="s">
        <v>7296</v>
      </c>
      <c r="E3572" s="2" t="str">
        <f>HYPERLINK("https://talan.bank.gov.ua/get-user-certificate/sec1eAy2CjNZQHMF8vMc","Завантажити сертифікат")</f>
        <v>Завантажити сертифікат</v>
      </c>
    </row>
    <row r="3573" spans="1:5" x14ac:dyDescent="0.3">
      <c r="A3573" s="2" t="s">
        <v>7302</v>
      </c>
      <c r="B3573" s="2" t="s">
        <v>5</v>
      </c>
      <c r="C3573" s="2" t="s">
        <v>7303</v>
      </c>
      <c r="D3573" s="2" t="s">
        <v>7296</v>
      </c>
      <c r="E3573" s="2" t="str">
        <f>HYPERLINK("https://talan.bank.gov.ua/get-user-certificate/sec1edoDXnGJCLyUdJNV","Завантажити сертифікат")</f>
        <v>Завантажити сертифікат</v>
      </c>
    </row>
    <row r="3574" spans="1:5" x14ac:dyDescent="0.3">
      <c r="A3574" s="2" t="s">
        <v>7304</v>
      </c>
      <c r="B3574" s="2" t="s">
        <v>5</v>
      </c>
      <c r="C3574" s="2" t="s">
        <v>7305</v>
      </c>
      <c r="D3574" s="2" t="s">
        <v>7296</v>
      </c>
      <c r="E3574" s="2" t="str">
        <f>HYPERLINK("https://talan.bank.gov.ua/get-user-certificate/sec1e4i4coJrZGiirGJh","Завантажити сертифікат")</f>
        <v>Завантажити сертифікат</v>
      </c>
    </row>
    <row r="3575" spans="1:5" x14ac:dyDescent="0.3">
      <c r="A3575" s="2" t="s">
        <v>7306</v>
      </c>
      <c r="B3575" s="2" t="s">
        <v>5</v>
      </c>
      <c r="C3575" s="2" t="s">
        <v>7307</v>
      </c>
      <c r="D3575" s="2" t="s">
        <v>7296</v>
      </c>
      <c r="E3575" s="2" t="str">
        <f>HYPERLINK("https://talan.bank.gov.ua/get-user-certificate/sec1e_P1mKa_2-mnBfV-","Завантажити сертифікат")</f>
        <v>Завантажити сертифікат</v>
      </c>
    </row>
    <row r="3576" spans="1:5" x14ac:dyDescent="0.3">
      <c r="A3576" s="2" t="s">
        <v>7308</v>
      </c>
      <c r="B3576" s="2" t="s">
        <v>5</v>
      </c>
      <c r="C3576" s="2" t="s">
        <v>7309</v>
      </c>
      <c r="D3576" s="2" t="s">
        <v>7296</v>
      </c>
      <c r="E3576" s="2" t="str">
        <f>HYPERLINK("https://talan.bank.gov.ua/get-user-certificate/sec1emTp32IXRRz2tG8l","Завантажити сертифікат")</f>
        <v>Завантажити сертифікат</v>
      </c>
    </row>
    <row r="3577" spans="1:5" x14ac:dyDescent="0.3">
      <c r="A3577" s="2" t="s">
        <v>7310</v>
      </c>
      <c r="B3577" s="2" t="s">
        <v>5</v>
      </c>
      <c r="C3577" s="2" t="s">
        <v>7311</v>
      </c>
      <c r="D3577" s="2" t="s">
        <v>7296</v>
      </c>
      <c r="E3577" s="2" t="str">
        <f>HYPERLINK("https://talan.bank.gov.ua/get-user-certificate/sec1eMKw21LfKtPOeXts","Завантажити сертифікат")</f>
        <v>Завантажити сертифікат</v>
      </c>
    </row>
    <row r="3578" spans="1:5" x14ac:dyDescent="0.3">
      <c r="A3578" s="2" t="s">
        <v>7312</v>
      </c>
      <c r="B3578" s="2" t="s">
        <v>5</v>
      </c>
      <c r="C3578" s="2" t="s">
        <v>7313</v>
      </c>
      <c r="D3578" s="2" t="s">
        <v>7296</v>
      </c>
      <c r="E3578" s="2" t="str">
        <f>HYPERLINK("https://talan.bank.gov.ua/get-user-certificate/sec1e8N1PzuvkDv9ZoeU","Завантажити сертифікат")</f>
        <v>Завантажити сертифікат</v>
      </c>
    </row>
    <row r="3579" spans="1:5" x14ac:dyDescent="0.3">
      <c r="A3579" s="2" t="s">
        <v>7314</v>
      </c>
      <c r="B3579" s="2" t="s">
        <v>5</v>
      </c>
      <c r="C3579" s="2" t="s">
        <v>7315</v>
      </c>
      <c r="D3579" s="2" t="s">
        <v>7296</v>
      </c>
      <c r="E3579" s="2" t="str">
        <f>HYPERLINK("https://talan.bank.gov.ua/get-user-certificate/sec1e_0WU2nWS-rxcyoI","Завантажити сертифікат")</f>
        <v>Завантажити сертифікат</v>
      </c>
    </row>
    <row r="3580" spans="1:5" x14ac:dyDescent="0.3">
      <c r="A3580" s="2" t="s">
        <v>7316</v>
      </c>
      <c r="B3580" s="2" t="s">
        <v>5</v>
      </c>
      <c r="C3580" s="2" t="s">
        <v>7317</v>
      </c>
      <c r="D3580" s="2" t="s">
        <v>7296</v>
      </c>
      <c r="E3580" s="2" t="str">
        <f>HYPERLINK("https://talan.bank.gov.ua/get-user-certificate/sec1eFhYJa0AAwRRdC--","Завантажити сертифікат")</f>
        <v>Завантажити сертифікат</v>
      </c>
    </row>
    <row r="3581" spans="1:5" x14ac:dyDescent="0.3">
      <c r="A3581" s="2" t="s">
        <v>7318</v>
      </c>
      <c r="B3581" s="2" t="s">
        <v>5</v>
      </c>
      <c r="C3581" s="2" t="s">
        <v>7319</v>
      </c>
      <c r="D3581" s="2" t="s">
        <v>7296</v>
      </c>
      <c r="E3581" s="2" t="str">
        <f>HYPERLINK("https://talan.bank.gov.ua/get-user-certificate/sec1e0PFh5fPwl2QDmuq","Завантажити сертифікат")</f>
        <v>Завантажити сертифікат</v>
      </c>
    </row>
    <row r="3582" spans="1:5" x14ac:dyDescent="0.3">
      <c r="A3582" s="2" t="s">
        <v>7320</v>
      </c>
      <c r="B3582" s="2" t="s">
        <v>5</v>
      </c>
      <c r="C3582" s="2" t="s">
        <v>7321</v>
      </c>
      <c r="D3582" s="2" t="s">
        <v>7296</v>
      </c>
      <c r="E3582" s="2" t="str">
        <f>HYPERLINK("https://talan.bank.gov.ua/get-user-certificate/sec1e03zWkojhiYZRDzJ","Завантажити сертифікат")</f>
        <v>Завантажити сертифікат</v>
      </c>
    </row>
    <row r="3583" spans="1:5" x14ac:dyDescent="0.3">
      <c r="A3583" s="2" t="s">
        <v>7322</v>
      </c>
      <c r="B3583" s="2" t="s">
        <v>5</v>
      </c>
      <c r="C3583" s="2" t="s">
        <v>7323</v>
      </c>
      <c r="D3583" s="2" t="s">
        <v>7296</v>
      </c>
      <c r="E3583" s="2" t="str">
        <f>HYPERLINK("https://talan.bank.gov.ua/get-user-certificate/sec1eOTdUrCmql1K64-T","Завантажити сертифікат")</f>
        <v>Завантажити сертифікат</v>
      </c>
    </row>
    <row r="3584" spans="1:5" x14ac:dyDescent="0.3">
      <c r="A3584" s="2" t="s">
        <v>7324</v>
      </c>
      <c r="B3584" s="2" t="s">
        <v>5</v>
      </c>
      <c r="C3584" s="2" t="s">
        <v>7325</v>
      </c>
      <c r="D3584" s="2" t="s">
        <v>7296</v>
      </c>
      <c r="E3584" s="2" t="str">
        <f>HYPERLINK("https://talan.bank.gov.ua/get-user-certificate/sec1eFWIueHkaqtGvacL","Завантажити сертифікат")</f>
        <v>Завантажити сертифікат</v>
      </c>
    </row>
    <row r="3585" spans="1:5" x14ac:dyDescent="0.3">
      <c r="A3585" s="2" t="s">
        <v>7326</v>
      </c>
      <c r="B3585" s="2" t="s">
        <v>5</v>
      </c>
      <c r="C3585" s="2" t="s">
        <v>7327</v>
      </c>
      <c r="D3585" s="2" t="s">
        <v>7296</v>
      </c>
      <c r="E3585" s="2" t="str">
        <f>HYPERLINK("https://talan.bank.gov.ua/get-user-certificate/sec1ef2Djv5r6JperLH4","Завантажити сертифікат")</f>
        <v>Завантажити сертифікат</v>
      </c>
    </row>
    <row r="3586" spans="1:5" x14ac:dyDescent="0.3">
      <c r="A3586" s="2" t="s">
        <v>7328</v>
      </c>
      <c r="B3586" s="2" t="s">
        <v>5</v>
      </c>
      <c r="C3586" s="2" t="s">
        <v>7329</v>
      </c>
      <c r="D3586" s="2" t="s">
        <v>7296</v>
      </c>
      <c r="E3586" s="2" t="str">
        <f>HYPERLINK("https://talan.bank.gov.ua/get-user-certificate/sec1eVtTlPAPmUj56utI","Завантажити сертифікат")</f>
        <v>Завантажити сертифікат</v>
      </c>
    </row>
    <row r="3587" spans="1:5" x14ac:dyDescent="0.3">
      <c r="A3587" s="2" t="s">
        <v>7330</v>
      </c>
      <c r="B3587" s="2" t="s">
        <v>5</v>
      </c>
      <c r="C3587" s="2" t="s">
        <v>7331</v>
      </c>
      <c r="D3587" s="2" t="s">
        <v>7296</v>
      </c>
      <c r="E3587" s="2" t="str">
        <f>HYPERLINK("https://talan.bank.gov.ua/get-user-certificate/sec1eK91P5mCdskDurGZ","Завантажити сертифікат")</f>
        <v>Завантажити сертифікат</v>
      </c>
    </row>
    <row r="3588" spans="1:5" x14ac:dyDescent="0.3">
      <c r="A3588" s="2" t="s">
        <v>7332</v>
      </c>
      <c r="B3588" s="2" t="s">
        <v>5</v>
      </c>
      <c r="C3588" s="2" t="s">
        <v>7333</v>
      </c>
      <c r="D3588" s="2" t="s">
        <v>7296</v>
      </c>
      <c r="E3588" s="2" t="str">
        <f>HYPERLINK("https://talan.bank.gov.ua/get-user-certificate/sec1eDtf0N1hZrSo6zoD","Завантажити сертифікат")</f>
        <v>Завантажити сертифікат</v>
      </c>
    </row>
    <row r="3589" spans="1:5" x14ac:dyDescent="0.3">
      <c r="A3589" s="2" t="s">
        <v>7334</v>
      </c>
      <c r="B3589" s="2" t="s">
        <v>5</v>
      </c>
      <c r="C3589" s="2" t="s">
        <v>7335</v>
      </c>
      <c r="D3589" s="2" t="s">
        <v>7296</v>
      </c>
      <c r="E3589" s="2" t="str">
        <f>HYPERLINK("https://talan.bank.gov.ua/get-user-certificate/sec1efax-CLTRTm5Orrr","Завантажити сертифікат")</f>
        <v>Завантажити сертифікат</v>
      </c>
    </row>
    <row r="3590" spans="1:5" x14ac:dyDescent="0.3">
      <c r="A3590" s="2" t="s">
        <v>7336</v>
      </c>
      <c r="B3590" s="2" t="s">
        <v>5</v>
      </c>
      <c r="C3590" s="2" t="s">
        <v>7337</v>
      </c>
      <c r="D3590" s="2" t="s">
        <v>7296</v>
      </c>
      <c r="E3590" s="2" t="str">
        <f>HYPERLINK("https://talan.bank.gov.ua/get-user-certificate/sec1e0qrtnNjw4nV2JAw","Завантажити сертифікат")</f>
        <v>Завантажити сертифікат</v>
      </c>
    </row>
    <row r="3591" spans="1:5" x14ac:dyDescent="0.3">
      <c r="A3591" s="2" t="s">
        <v>7338</v>
      </c>
      <c r="B3591" s="2" t="s">
        <v>5</v>
      </c>
      <c r="C3591" s="2" t="s">
        <v>7339</v>
      </c>
      <c r="D3591" s="2" t="s">
        <v>7340</v>
      </c>
      <c r="E3591" s="2" t="str">
        <f>HYPERLINK("https://talan.bank.gov.ua/get-user-certificate/sec1eQ7qMXNtPIN64ZaJ","Завантажити сертифікат")</f>
        <v>Завантажити сертифікат</v>
      </c>
    </row>
    <row r="3592" spans="1:5" x14ac:dyDescent="0.3">
      <c r="A3592" s="2" t="s">
        <v>7341</v>
      </c>
      <c r="B3592" s="2" t="s">
        <v>5</v>
      </c>
      <c r="C3592" s="2" t="s">
        <v>7342</v>
      </c>
      <c r="D3592" s="2" t="s">
        <v>7340</v>
      </c>
      <c r="E3592" s="2" t="str">
        <f>HYPERLINK("https://talan.bank.gov.ua/get-user-certificate/sec1emNFLVxu35w7w5k5","Завантажити сертифікат")</f>
        <v>Завантажити сертифікат</v>
      </c>
    </row>
    <row r="3593" spans="1:5" x14ac:dyDescent="0.3">
      <c r="A3593" s="2" t="s">
        <v>7343</v>
      </c>
      <c r="B3593" s="2" t="s">
        <v>5</v>
      </c>
      <c r="C3593" s="2" t="s">
        <v>7344</v>
      </c>
      <c r="D3593" s="2" t="s">
        <v>7340</v>
      </c>
      <c r="E3593" s="2" t="str">
        <f>HYPERLINK("https://talan.bank.gov.ua/get-user-certificate/sec1efrkEPfj3EBh-Jh2","Завантажити сертифікат")</f>
        <v>Завантажити сертифікат</v>
      </c>
    </row>
    <row r="3594" spans="1:5" x14ac:dyDescent="0.3">
      <c r="A3594" s="2" t="s">
        <v>7345</v>
      </c>
      <c r="B3594" s="2" t="s">
        <v>5</v>
      </c>
      <c r="C3594" s="2" t="s">
        <v>7346</v>
      </c>
      <c r="D3594" s="2" t="s">
        <v>7340</v>
      </c>
      <c r="E3594" s="2" t="str">
        <f>HYPERLINK("https://talan.bank.gov.ua/get-user-certificate/sec1ee8uOQQpblm16Qet","Завантажити сертифікат")</f>
        <v>Завантажити сертифікат</v>
      </c>
    </row>
    <row r="3595" spans="1:5" x14ac:dyDescent="0.3">
      <c r="A3595" s="2" t="s">
        <v>7347</v>
      </c>
      <c r="B3595" s="2" t="s">
        <v>5</v>
      </c>
      <c r="C3595" s="2" t="s">
        <v>7348</v>
      </c>
      <c r="D3595" s="2" t="s">
        <v>7340</v>
      </c>
      <c r="E3595" s="2" t="str">
        <f>HYPERLINK("https://talan.bank.gov.ua/get-user-certificate/sec1eV4dC5dpv3sKAnTs","Завантажити сертифікат")</f>
        <v>Завантажити сертифікат</v>
      </c>
    </row>
    <row r="3596" spans="1:5" x14ac:dyDescent="0.3">
      <c r="A3596" s="2" t="s">
        <v>7349</v>
      </c>
      <c r="B3596" s="2" t="s">
        <v>5</v>
      </c>
      <c r="C3596" s="2" t="s">
        <v>7350</v>
      </c>
      <c r="D3596" s="2" t="s">
        <v>7340</v>
      </c>
      <c r="E3596" s="2" t="str">
        <f>HYPERLINK("https://talan.bank.gov.ua/get-user-certificate/sec1e6he8ZBMB-XSKTNh","Завантажити сертифікат")</f>
        <v>Завантажити сертифікат</v>
      </c>
    </row>
    <row r="3597" spans="1:5" x14ac:dyDescent="0.3">
      <c r="A3597" s="2" t="s">
        <v>7351</v>
      </c>
      <c r="B3597" s="2" t="s">
        <v>5</v>
      </c>
      <c r="C3597" s="2" t="s">
        <v>7352</v>
      </c>
      <c r="D3597" s="2" t="s">
        <v>7340</v>
      </c>
      <c r="E3597" s="2" t="str">
        <f>HYPERLINK("https://talan.bank.gov.ua/get-user-certificate/sec1eLmxEd8JFSP_ClpT","Завантажити сертифікат")</f>
        <v>Завантажити сертифікат</v>
      </c>
    </row>
    <row r="3598" spans="1:5" x14ac:dyDescent="0.3">
      <c r="A3598" s="2" t="s">
        <v>7353</v>
      </c>
      <c r="B3598" s="2" t="s">
        <v>5</v>
      </c>
      <c r="C3598" s="2" t="s">
        <v>7354</v>
      </c>
      <c r="D3598" s="2" t="s">
        <v>7340</v>
      </c>
      <c r="E3598" s="2" t="str">
        <f>HYPERLINK("https://talan.bank.gov.ua/get-user-certificate/sec1evHiKvVq2cwRt8Pb","Завантажити сертифікат")</f>
        <v>Завантажити сертифікат</v>
      </c>
    </row>
    <row r="3599" spans="1:5" x14ac:dyDescent="0.3">
      <c r="A3599" s="2" t="s">
        <v>7355</v>
      </c>
      <c r="B3599" s="2" t="s">
        <v>5</v>
      </c>
      <c r="C3599" s="2" t="s">
        <v>7356</v>
      </c>
      <c r="D3599" s="2" t="s">
        <v>7340</v>
      </c>
      <c r="E3599" s="2" t="str">
        <f>HYPERLINK("https://talan.bank.gov.ua/get-user-certificate/sec1ek7UcuoZPmZq4ioD","Завантажити сертифікат")</f>
        <v>Завантажити сертифікат</v>
      </c>
    </row>
    <row r="3600" spans="1:5" x14ac:dyDescent="0.3">
      <c r="A3600" s="2" t="s">
        <v>7357</v>
      </c>
      <c r="B3600" s="2" t="s">
        <v>5</v>
      </c>
      <c r="C3600" s="2" t="s">
        <v>7358</v>
      </c>
      <c r="D3600" s="2" t="s">
        <v>7340</v>
      </c>
      <c r="E3600" s="2" t="str">
        <f>HYPERLINK("https://talan.bank.gov.ua/get-user-certificate/sec1eEWeG8fxIEEsRWeS","Завантажити сертифікат")</f>
        <v>Завантажити сертифікат</v>
      </c>
    </row>
    <row r="3601" spans="1:5" x14ac:dyDescent="0.3">
      <c r="A3601" s="2" t="s">
        <v>7359</v>
      </c>
      <c r="B3601" s="2" t="s">
        <v>5</v>
      </c>
      <c r="C3601" s="2" t="s">
        <v>7360</v>
      </c>
      <c r="D3601" s="2" t="s">
        <v>7340</v>
      </c>
      <c r="E3601" s="2" t="str">
        <f>HYPERLINK("https://talan.bank.gov.ua/get-user-certificate/sec1eo7Xt0QPP7ysGamI","Завантажити сертифікат")</f>
        <v>Завантажити сертифікат</v>
      </c>
    </row>
    <row r="3602" spans="1:5" x14ac:dyDescent="0.3">
      <c r="A3602" s="2" t="s">
        <v>7361</v>
      </c>
      <c r="B3602" s="2" t="s">
        <v>5</v>
      </c>
      <c r="C3602" s="2" t="s">
        <v>7362</v>
      </c>
      <c r="D3602" s="2" t="s">
        <v>7340</v>
      </c>
      <c r="E3602" s="2" t="str">
        <f>HYPERLINK("https://talan.bank.gov.ua/get-user-certificate/sec1ecaQcYltfDszyfi8","Завантажити сертифікат")</f>
        <v>Завантажити сертифікат</v>
      </c>
    </row>
    <row r="3603" spans="1:5" x14ac:dyDescent="0.3">
      <c r="A3603" s="2" t="s">
        <v>7363</v>
      </c>
      <c r="B3603" s="2" t="s">
        <v>5</v>
      </c>
      <c r="C3603" s="2" t="s">
        <v>7364</v>
      </c>
      <c r="D3603" s="2" t="s">
        <v>7340</v>
      </c>
      <c r="E3603" s="2" t="str">
        <f>HYPERLINK("https://talan.bank.gov.ua/get-user-certificate/sec1e_Om8X1sdTO1_qqr","Завантажити сертифікат")</f>
        <v>Завантажити сертифікат</v>
      </c>
    </row>
    <row r="3604" spans="1:5" x14ac:dyDescent="0.3">
      <c r="A3604" s="2" t="s">
        <v>7365</v>
      </c>
      <c r="B3604" s="2" t="s">
        <v>5</v>
      </c>
      <c r="C3604" s="2" t="s">
        <v>7366</v>
      </c>
      <c r="D3604" s="2" t="s">
        <v>7340</v>
      </c>
      <c r="E3604" s="2" t="str">
        <f>HYPERLINK("https://talan.bank.gov.ua/get-user-certificate/sec1eNPpb0A-jZDZb1E7","Завантажити сертифікат")</f>
        <v>Завантажити сертифікат</v>
      </c>
    </row>
    <row r="3605" spans="1:5" x14ac:dyDescent="0.3">
      <c r="A3605" s="2" t="s">
        <v>7367</v>
      </c>
      <c r="B3605" s="2" t="s">
        <v>5</v>
      </c>
      <c r="C3605" s="2" t="s">
        <v>7368</v>
      </c>
      <c r="D3605" s="2" t="s">
        <v>7340</v>
      </c>
      <c r="E3605" s="2" t="str">
        <f>HYPERLINK("https://talan.bank.gov.ua/get-user-certificate/sec1erQEXoE3W3DPP0Q_","Завантажити сертифікат")</f>
        <v>Завантажити сертифікат</v>
      </c>
    </row>
    <row r="3606" spans="1:5" x14ac:dyDescent="0.3">
      <c r="A3606" s="2" t="s">
        <v>7369</v>
      </c>
      <c r="B3606" s="2" t="s">
        <v>5</v>
      </c>
      <c r="C3606" s="2" t="s">
        <v>7370</v>
      </c>
      <c r="D3606" s="2" t="s">
        <v>7340</v>
      </c>
      <c r="E3606" s="2" t="str">
        <f>HYPERLINK("https://talan.bank.gov.ua/get-user-certificate/sec1egnNt37FMfr5HsAF","Завантажити сертифікат")</f>
        <v>Завантажити сертифікат</v>
      </c>
    </row>
    <row r="3607" spans="1:5" x14ac:dyDescent="0.3">
      <c r="A3607" s="2" t="s">
        <v>7371</v>
      </c>
      <c r="B3607" s="2" t="s">
        <v>5</v>
      </c>
      <c r="C3607" s="2" t="s">
        <v>7372</v>
      </c>
      <c r="D3607" s="2" t="s">
        <v>7340</v>
      </c>
      <c r="E3607" s="2" t="str">
        <f>HYPERLINK("https://talan.bank.gov.ua/get-user-certificate/sec1eenUBQPzLMHOMb3E","Завантажити сертифікат")</f>
        <v>Завантажити сертифікат</v>
      </c>
    </row>
    <row r="3608" spans="1:5" x14ac:dyDescent="0.3">
      <c r="A3608" s="2" t="s">
        <v>7373</v>
      </c>
      <c r="B3608" s="2" t="s">
        <v>5</v>
      </c>
      <c r="C3608" s="2" t="s">
        <v>7374</v>
      </c>
      <c r="D3608" s="2" t="s">
        <v>7340</v>
      </c>
      <c r="E3608" s="2" t="str">
        <f>HYPERLINK("https://talan.bank.gov.ua/get-user-certificate/sec1enhQ1zsFPKXR0U-x","Завантажити сертифікат")</f>
        <v>Завантажити сертифікат</v>
      </c>
    </row>
    <row r="3609" spans="1:5" x14ac:dyDescent="0.3">
      <c r="A3609" s="2" t="s">
        <v>7375</v>
      </c>
      <c r="B3609" s="2" t="s">
        <v>5</v>
      </c>
      <c r="C3609" s="2" t="s">
        <v>7376</v>
      </c>
      <c r="D3609" s="2" t="s">
        <v>7340</v>
      </c>
      <c r="E3609" s="2" t="str">
        <f>HYPERLINK("https://talan.bank.gov.ua/get-user-certificate/sec1enyRZ7-NdV64egzA","Завантажити сертифікат")</f>
        <v>Завантажити сертифікат</v>
      </c>
    </row>
    <row r="3610" spans="1:5" x14ac:dyDescent="0.3">
      <c r="A3610" s="2" t="s">
        <v>7377</v>
      </c>
      <c r="B3610" s="2" t="s">
        <v>5</v>
      </c>
      <c r="C3610" s="2" t="s">
        <v>7378</v>
      </c>
      <c r="D3610" s="2" t="s">
        <v>7340</v>
      </c>
      <c r="E3610" s="2" t="str">
        <f>HYPERLINK("https://talan.bank.gov.ua/get-user-certificate/sec1eJNz2zLEHZizLxjM","Завантажити сертифікат")</f>
        <v>Завантажити сертифікат</v>
      </c>
    </row>
    <row r="3611" spans="1:5" x14ac:dyDescent="0.3">
      <c r="A3611" s="2" t="s">
        <v>7379</v>
      </c>
      <c r="B3611" s="2" t="s">
        <v>5</v>
      </c>
      <c r="C3611" s="2" t="s">
        <v>7380</v>
      </c>
      <c r="D3611" s="2" t="s">
        <v>7340</v>
      </c>
      <c r="E3611" s="2" t="str">
        <f>HYPERLINK("https://talan.bank.gov.ua/get-user-certificate/sec1e3ABgV4cVpBAOjw6","Завантажити сертифікат")</f>
        <v>Завантажити сертифікат</v>
      </c>
    </row>
    <row r="3612" spans="1:5" x14ac:dyDescent="0.3">
      <c r="A3612" s="2" t="s">
        <v>7381</v>
      </c>
      <c r="B3612" s="2" t="s">
        <v>5</v>
      </c>
      <c r="C3612" s="2" t="s">
        <v>7382</v>
      </c>
      <c r="D3612" s="2" t="s">
        <v>7383</v>
      </c>
      <c r="E3612" s="2" t="str">
        <f>HYPERLINK("https://talan.bank.gov.ua/get-user-certificate/sec1eHGRloZrAOmhKymq","Завантажити сертифікат")</f>
        <v>Завантажити сертифікат</v>
      </c>
    </row>
    <row r="3613" spans="1:5" x14ac:dyDescent="0.3">
      <c r="A3613" s="2" t="s">
        <v>7384</v>
      </c>
      <c r="B3613" s="2" t="s">
        <v>5</v>
      </c>
      <c r="C3613" s="2" t="s">
        <v>7385</v>
      </c>
      <c r="D3613" s="2" t="s">
        <v>7383</v>
      </c>
      <c r="E3613" s="2" t="str">
        <f>HYPERLINK("https://talan.bank.gov.ua/get-user-certificate/sec1ezMl1aQIxlnah7Rk","Завантажити сертифікат")</f>
        <v>Завантажити сертифікат</v>
      </c>
    </row>
    <row r="3614" spans="1:5" x14ac:dyDescent="0.3">
      <c r="A3614" s="2" t="s">
        <v>7386</v>
      </c>
      <c r="B3614" s="2" t="s">
        <v>5</v>
      </c>
      <c r="C3614" s="2" t="s">
        <v>7387</v>
      </c>
      <c r="D3614" s="2" t="s">
        <v>7383</v>
      </c>
      <c r="E3614" s="2" t="str">
        <f>HYPERLINK("https://talan.bank.gov.ua/get-user-certificate/sec1e9FP2agt4ubUMMiW","Завантажити сертифікат")</f>
        <v>Завантажити сертифікат</v>
      </c>
    </row>
    <row r="3615" spans="1:5" x14ac:dyDescent="0.3">
      <c r="A3615" s="2" t="s">
        <v>7388</v>
      </c>
      <c r="B3615" s="2" t="s">
        <v>5</v>
      </c>
      <c r="C3615" s="2" t="s">
        <v>7389</v>
      </c>
      <c r="D3615" s="2" t="s">
        <v>7383</v>
      </c>
      <c r="E3615" s="2" t="str">
        <f>HYPERLINK("https://talan.bank.gov.ua/get-user-certificate/sec1eotF6CTvL1I1X1TR","Завантажити сертифікат")</f>
        <v>Завантажити сертифікат</v>
      </c>
    </row>
    <row r="3616" spans="1:5" x14ac:dyDescent="0.3">
      <c r="A3616" s="2" t="s">
        <v>7390</v>
      </c>
      <c r="B3616" s="2" t="s">
        <v>5</v>
      </c>
      <c r="C3616" s="2" t="s">
        <v>7391</v>
      </c>
      <c r="D3616" s="2" t="s">
        <v>7383</v>
      </c>
      <c r="E3616" s="2" t="str">
        <f>HYPERLINK("https://talan.bank.gov.ua/get-user-certificate/sec1ea3aQCBmAQTb43vh","Завантажити сертифікат")</f>
        <v>Завантажити сертифікат</v>
      </c>
    </row>
    <row r="3617" spans="1:5" x14ac:dyDescent="0.3">
      <c r="A3617" s="2" t="s">
        <v>7392</v>
      </c>
      <c r="B3617" s="2" t="s">
        <v>5</v>
      </c>
      <c r="C3617" s="2" t="s">
        <v>7393</v>
      </c>
      <c r="D3617" s="2" t="s">
        <v>7383</v>
      </c>
      <c r="E3617" s="2" t="str">
        <f>HYPERLINK("https://talan.bank.gov.ua/get-user-certificate/sec1edi6KVPBmtdu_-F_","Завантажити сертифікат")</f>
        <v>Завантажити сертифікат</v>
      </c>
    </row>
    <row r="3618" spans="1:5" x14ac:dyDescent="0.3">
      <c r="A3618" s="2" t="s">
        <v>7394</v>
      </c>
      <c r="B3618" s="2" t="s">
        <v>5</v>
      </c>
      <c r="C3618" s="2" t="s">
        <v>7395</v>
      </c>
      <c r="D3618" s="2" t="s">
        <v>7383</v>
      </c>
      <c r="E3618" s="2" t="str">
        <f>HYPERLINK("https://talan.bank.gov.ua/get-user-certificate/sec1eCd5Ldk_-WBZUVdy","Завантажити сертифікат")</f>
        <v>Завантажити сертифікат</v>
      </c>
    </row>
    <row r="3619" spans="1:5" x14ac:dyDescent="0.3">
      <c r="A3619" s="2" t="s">
        <v>7396</v>
      </c>
      <c r="B3619" s="2" t="s">
        <v>5</v>
      </c>
      <c r="C3619" s="2" t="s">
        <v>7397</v>
      </c>
      <c r="D3619" s="2" t="s">
        <v>7398</v>
      </c>
      <c r="E3619" s="2" t="str">
        <f>HYPERLINK("https://talan.bank.gov.ua/get-user-certificate/sec1eKIfFPqsIcK4slP9","Завантажити сертифікат")</f>
        <v>Завантажити сертифікат</v>
      </c>
    </row>
    <row r="3620" spans="1:5" x14ac:dyDescent="0.3">
      <c r="A3620" s="2" t="s">
        <v>7399</v>
      </c>
      <c r="B3620" s="2" t="s">
        <v>5</v>
      </c>
      <c r="C3620" s="2" t="s">
        <v>7400</v>
      </c>
      <c r="D3620" s="2" t="s">
        <v>7398</v>
      </c>
      <c r="E3620" s="2" t="str">
        <f>HYPERLINK("https://talan.bank.gov.ua/get-user-certificate/sec1eyesy8a68VNY_arK","Завантажити сертифікат")</f>
        <v>Завантажити сертифікат</v>
      </c>
    </row>
    <row r="3621" spans="1:5" x14ac:dyDescent="0.3">
      <c r="A3621" s="2" t="s">
        <v>7401</v>
      </c>
      <c r="B3621" s="2" t="s">
        <v>5</v>
      </c>
      <c r="C3621" s="2" t="s">
        <v>7402</v>
      </c>
      <c r="D3621" s="2" t="s">
        <v>7398</v>
      </c>
      <c r="E3621" s="2" t="str">
        <f>HYPERLINK("https://talan.bank.gov.ua/get-user-certificate/sec1eaneNC2Cp2mEi_wr","Завантажити сертифікат")</f>
        <v>Завантажити сертифікат</v>
      </c>
    </row>
    <row r="3622" spans="1:5" x14ac:dyDescent="0.3">
      <c r="A3622" s="2" t="s">
        <v>7403</v>
      </c>
      <c r="B3622" s="2" t="s">
        <v>5</v>
      </c>
      <c r="C3622" s="2" t="s">
        <v>7404</v>
      </c>
      <c r="D3622" s="2" t="s">
        <v>7398</v>
      </c>
      <c r="E3622" s="2" t="str">
        <f>HYPERLINK("https://talan.bank.gov.ua/get-user-certificate/sec1e7SOaWy7MsD8ZX-i","Завантажити сертифікат")</f>
        <v>Завантажити сертифікат</v>
      </c>
    </row>
    <row r="3623" spans="1:5" x14ac:dyDescent="0.3">
      <c r="A3623" s="2" t="s">
        <v>7405</v>
      </c>
      <c r="B3623" s="2" t="s">
        <v>5</v>
      </c>
      <c r="C3623" s="2" t="s">
        <v>7406</v>
      </c>
      <c r="D3623" s="2" t="s">
        <v>7398</v>
      </c>
      <c r="E3623" s="2" t="str">
        <f>HYPERLINK("https://talan.bank.gov.ua/get-user-certificate/sec1eWLSTvoyWq5e6poe","Завантажити сертифікат")</f>
        <v>Завантажити сертифікат</v>
      </c>
    </row>
    <row r="3624" spans="1:5" x14ac:dyDescent="0.3">
      <c r="A3624" s="2" t="s">
        <v>7407</v>
      </c>
      <c r="B3624" s="2" t="s">
        <v>5</v>
      </c>
      <c r="C3624" s="2" t="s">
        <v>7408</v>
      </c>
      <c r="D3624" s="2" t="s">
        <v>7398</v>
      </c>
      <c r="E3624" s="2" t="str">
        <f>HYPERLINK("https://talan.bank.gov.ua/get-user-certificate/sec1e_nwnKelPRIHNtgT","Завантажити сертифікат")</f>
        <v>Завантажити сертифікат</v>
      </c>
    </row>
    <row r="3625" spans="1:5" x14ac:dyDescent="0.3">
      <c r="A3625" s="2" t="s">
        <v>7409</v>
      </c>
      <c r="B3625" s="2" t="s">
        <v>5</v>
      </c>
      <c r="C3625" s="2" t="s">
        <v>7410</v>
      </c>
      <c r="D3625" s="2" t="s">
        <v>7398</v>
      </c>
      <c r="E3625" s="2" t="str">
        <f>HYPERLINK("https://talan.bank.gov.ua/get-user-certificate/sec1eJwLD_ICZffWa4_f","Завантажити сертифікат")</f>
        <v>Завантажити сертифікат</v>
      </c>
    </row>
    <row r="3626" spans="1:5" x14ac:dyDescent="0.3">
      <c r="A3626" s="2" t="s">
        <v>7411</v>
      </c>
      <c r="B3626" s="2" t="s">
        <v>5</v>
      </c>
      <c r="C3626" s="2" t="s">
        <v>7412</v>
      </c>
      <c r="D3626" s="2" t="s">
        <v>7398</v>
      </c>
      <c r="E3626" s="2" t="str">
        <f>HYPERLINK("https://talan.bank.gov.ua/get-user-certificate/sec1eyUpIuNivlkYJZKM","Завантажити сертифікат")</f>
        <v>Завантажити сертифікат</v>
      </c>
    </row>
    <row r="3627" spans="1:5" x14ac:dyDescent="0.3">
      <c r="A3627" s="2" t="s">
        <v>7413</v>
      </c>
      <c r="B3627" s="2" t="s">
        <v>5</v>
      </c>
      <c r="C3627" s="2" t="s">
        <v>7414</v>
      </c>
      <c r="D3627" s="2" t="s">
        <v>7398</v>
      </c>
      <c r="E3627" s="2" t="str">
        <f>HYPERLINK("https://talan.bank.gov.ua/get-user-certificate/sec1e1g9gYLs92FwEPXe","Завантажити сертифікат")</f>
        <v>Завантажити сертифікат</v>
      </c>
    </row>
    <row r="3628" spans="1:5" x14ac:dyDescent="0.3">
      <c r="A3628" s="2" t="s">
        <v>7415</v>
      </c>
      <c r="B3628" s="2" t="s">
        <v>5</v>
      </c>
      <c r="C3628" s="2" t="s">
        <v>7416</v>
      </c>
      <c r="D3628" s="2" t="s">
        <v>7398</v>
      </c>
      <c r="E3628" s="2" t="str">
        <f>HYPERLINK("https://talan.bank.gov.ua/get-user-certificate/sec1e2bLIGz7HX0mOAJf","Завантажити сертифікат")</f>
        <v>Завантажити сертифікат</v>
      </c>
    </row>
    <row r="3629" spans="1:5" x14ac:dyDescent="0.3">
      <c r="A3629" s="2" t="s">
        <v>7417</v>
      </c>
      <c r="B3629" s="2" t="s">
        <v>5</v>
      </c>
      <c r="C3629" s="2" t="s">
        <v>7418</v>
      </c>
      <c r="D3629" s="2" t="s">
        <v>7398</v>
      </c>
      <c r="E3629" s="2" t="str">
        <f>HYPERLINK("https://talan.bank.gov.ua/get-user-certificate/sec1eBm_TKGAXitnRRNc","Завантажити сертифікат")</f>
        <v>Завантажити сертифікат</v>
      </c>
    </row>
    <row r="3630" spans="1:5" x14ac:dyDescent="0.3">
      <c r="A3630" s="2" t="s">
        <v>7419</v>
      </c>
      <c r="B3630" s="2" t="s">
        <v>5</v>
      </c>
      <c r="C3630" s="2" t="s">
        <v>7420</v>
      </c>
      <c r="D3630" s="2" t="s">
        <v>7398</v>
      </c>
      <c r="E3630" s="2" t="str">
        <f>HYPERLINK("https://talan.bank.gov.ua/get-user-certificate/sec1emS6ubrIB2cLpxnp","Завантажити сертифікат")</f>
        <v>Завантажити сертифікат</v>
      </c>
    </row>
    <row r="3631" spans="1:5" x14ac:dyDescent="0.3">
      <c r="A3631" s="2" t="s">
        <v>7421</v>
      </c>
      <c r="B3631" s="2" t="s">
        <v>5</v>
      </c>
      <c r="C3631" s="2" t="s">
        <v>7422</v>
      </c>
      <c r="D3631" s="2" t="s">
        <v>7398</v>
      </c>
      <c r="E3631" s="2" t="str">
        <f>HYPERLINK("https://talan.bank.gov.ua/get-user-certificate/sec1euJw5GivZTjm0plb","Завантажити сертифікат")</f>
        <v>Завантажити сертифікат</v>
      </c>
    </row>
    <row r="3632" spans="1:5" x14ac:dyDescent="0.3">
      <c r="A3632" s="2" t="s">
        <v>7423</v>
      </c>
      <c r="B3632" s="2" t="s">
        <v>5</v>
      </c>
      <c r="C3632" s="2" t="s">
        <v>7424</v>
      </c>
      <c r="D3632" s="2" t="s">
        <v>7398</v>
      </c>
      <c r="E3632" s="2" t="str">
        <f>HYPERLINK("https://talan.bank.gov.ua/get-user-certificate/sec1esOKZS4Ffd0zfMTi","Завантажити сертифікат")</f>
        <v>Завантажити сертифікат</v>
      </c>
    </row>
    <row r="3633" spans="1:5" x14ac:dyDescent="0.3">
      <c r="A3633" s="2" t="s">
        <v>7425</v>
      </c>
      <c r="B3633" s="2" t="s">
        <v>5</v>
      </c>
      <c r="C3633" s="2" t="s">
        <v>7426</v>
      </c>
      <c r="D3633" s="2" t="s">
        <v>7398</v>
      </c>
      <c r="E3633" s="2" t="str">
        <f>HYPERLINK("https://talan.bank.gov.ua/get-user-certificate/sec1eBEBj89jdD_ep6Ym","Завантажити сертифікат")</f>
        <v>Завантажити сертифікат</v>
      </c>
    </row>
    <row r="3634" spans="1:5" x14ac:dyDescent="0.3">
      <c r="A3634" s="2" t="s">
        <v>7427</v>
      </c>
      <c r="B3634" s="2" t="s">
        <v>5</v>
      </c>
      <c r="C3634" s="2" t="s">
        <v>7428</v>
      </c>
      <c r="D3634" s="2" t="s">
        <v>7429</v>
      </c>
      <c r="E3634" s="2" t="str">
        <f>HYPERLINK("https://talan.bank.gov.ua/get-user-certificate/sec1eZuzeH5BH15lZGT6","Завантажити сертифікат")</f>
        <v>Завантажити сертифікат</v>
      </c>
    </row>
    <row r="3635" spans="1:5" x14ac:dyDescent="0.3">
      <c r="A3635" s="2" t="s">
        <v>7430</v>
      </c>
      <c r="B3635" s="2" t="s">
        <v>5</v>
      </c>
      <c r="C3635" s="2" t="s">
        <v>7431</v>
      </c>
      <c r="D3635" s="2" t="s">
        <v>7429</v>
      </c>
      <c r="E3635" s="2" t="str">
        <f>HYPERLINK("https://talan.bank.gov.ua/get-user-certificate/sec1e2nDDmfZPp6JkF4R","Завантажити сертифікат")</f>
        <v>Завантажити сертифікат</v>
      </c>
    </row>
    <row r="3636" spans="1:5" x14ac:dyDescent="0.3">
      <c r="A3636" s="2" t="s">
        <v>7432</v>
      </c>
      <c r="B3636" s="2" t="s">
        <v>5</v>
      </c>
      <c r="C3636" s="2" t="s">
        <v>7433</v>
      </c>
      <c r="D3636" s="2" t="s">
        <v>7429</v>
      </c>
      <c r="E3636" s="2" t="str">
        <f>HYPERLINK("https://talan.bank.gov.ua/get-user-certificate/sec1eTGfyjNucpboJToW","Завантажити сертифікат")</f>
        <v>Завантажити сертифікат</v>
      </c>
    </row>
    <row r="3637" spans="1:5" x14ac:dyDescent="0.3">
      <c r="A3637" s="2" t="s">
        <v>7434</v>
      </c>
      <c r="B3637" s="2" t="s">
        <v>5</v>
      </c>
      <c r="C3637" s="2" t="s">
        <v>7435</v>
      </c>
      <c r="D3637" s="2" t="s">
        <v>7429</v>
      </c>
      <c r="E3637" s="2" t="str">
        <f>HYPERLINK("https://talan.bank.gov.ua/get-user-certificate/sec1eZBd6BhVBhNmK3iv","Завантажити сертифікат")</f>
        <v>Завантажити сертифікат</v>
      </c>
    </row>
    <row r="3638" spans="1:5" x14ac:dyDescent="0.3">
      <c r="A3638" s="2" t="s">
        <v>7436</v>
      </c>
      <c r="B3638" s="2" t="s">
        <v>5</v>
      </c>
      <c r="C3638" s="2" t="s">
        <v>7437</v>
      </c>
      <c r="D3638" s="2" t="s">
        <v>7429</v>
      </c>
      <c r="E3638" s="2" t="str">
        <f>HYPERLINK("https://talan.bank.gov.ua/get-user-certificate/sec1eIi0Dmibha80aHYF","Завантажити сертифікат")</f>
        <v>Завантажити сертифікат</v>
      </c>
    </row>
    <row r="3639" spans="1:5" x14ac:dyDescent="0.3">
      <c r="A3639" s="2" t="s">
        <v>7438</v>
      </c>
      <c r="B3639" s="2" t="s">
        <v>5</v>
      </c>
      <c r="C3639" s="2" t="s">
        <v>7439</v>
      </c>
      <c r="D3639" s="2" t="s">
        <v>7429</v>
      </c>
      <c r="E3639" s="2" t="str">
        <f>HYPERLINK("https://talan.bank.gov.ua/get-user-certificate/sec1eV_Qi1qAhBMAFviy","Завантажити сертифікат")</f>
        <v>Завантажити сертифікат</v>
      </c>
    </row>
    <row r="3640" spans="1:5" x14ac:dyDescent="0.3">
      <c r="A3640" s="2" t="s">
        <v>7440</v>
      </c>
      <c r="B3640" s="2" t="s">
        <v>5</v>
      </c>
      <c r="C3640" s="2" t="s">
        <v>7441</v>
      </c>
      <c r="D3640" s="2" t="s">
        <v>7429</v>
      </c>
      <c r="E3640" s="2" t="str">
        <f>HYPERLINK("https://talan.bank.gov.ua/get-user-certificate/sec1eMOhukPkVvX_vpm4","Завантажити сертифікат")</f>
        <v>Завантажити сертифікат</v>
      </c>
    </row>
    <row r="3641" spans="1:5" x14ac:dyDescent="0.3">
      <c r="A3641" s="2" t="s">
        <v>7442</v>
      </c>
      <c r="B3641" s="2" t="s">
        <v>5</v>
      </c>
      <c r="C3641" s="2" t="s">
        <v>7443</v>
      </c>
      <c r="D3641" s="2" t="s">
        <v>7429</v>
      </c>
      <c r="E3641" s="2" t="str">
        <f>HYPERLINK("https://talan.bank.gov.ua/get-user-certificate/sec1e0ckwJ4XDhtg0EUG","Завантажити сертифікат")</f>
        <v>Завантажити сертифікат</v>
      </c>
    </row>
    <row r="3642" spans="1:5" x14ac:dyDescent="0.3">
      <c r="A3642" s="2" t="s">
        <v>7444</v>
      </c>
      <c r="B3642" s="2" t="s">
        <v>5</v>
      </c>
      <c r="C3642" s="2" t="s">
        <v>7445</v>
      </c>
      <c r="D3642" s="2" t="s">
        <v>7429</v>
      </c>
      <c r="E3642" s="2" t="str">
        <f>HYPERLINK("https://talan.bank.gov.ua/get-user-certificate/sec1ejSftsDIntRSAuEd","Завантажити сертифікат")</f>
        <v>Завантажити сертифікат</v>
      </c>
    </row>
    <row r="3643" spans="1:5" x14ac:dyDescent="0.3">
      <c r="A3643" s="2" t="s">
        <v>7446</v>
      </c>
      <c r="B3643" s="2" t="s">
        <v>5</v>
      </c>
      <c r="C3643" s="2" t="s">
        <v>7447</v>
      </c>
      <c r="D3643" s="2" t="s">
        <v>7429</v>
      </c>
      <c r="E3643" s="2" t="str">
        <f>HYPERLINK("https://talan.bank.gov.ua/get-user-certificate/sec1ebEmzjuF738Ak70L","Завантажити сертифікат")</f>
        <v>Завантажити сертифікат</v>
      </c>
    </row>
    <row r="3644" spans="1:5" x14ac:dyDescent="0.3">
      <c r="A3644" s="2" t="s">
        <v>7448</v>
      </c>
      <c r="B3644" s="2" t="s">
        <v>5</v>
      </c>
      <c r="C3644" s="2" t="s">
        <v>7449</v>
      </c>
      <c r="D3644" s="2" t="s">
        <v>7429</v>
      </c>
      <c r="E3644" s="2" t="str">
        <f>HYPERLINK("https://talan.bank.gov.ua/get-user-certificate/sec1eKU-QomO5Ii1ogZp","Завантажити сертифікат")</f>
        <v>Завантажити сертифікат</v>
      </c>
    </row>
    <row r="3645" spans="1:5" x14ac:dyDescent="0.3">
      <c r="A3645" s="2" t="s">
        <v>7450</v>
      </c>
      <c r="B3645" s="2" t="s">
        <v>5</v>
      </c>
      <c r="C3645" s="2" t="s">
        <v>7451</v>
      </c>
      <c r="D3645" s="2" t="s">
        <v>7429</v>
      </c>
      <c r="E3645" s="2" t="str">
        <f>HYPERLINK("https://talan.bank.gov.ua/get-user-certificate/sec1eMSfLv1t7ixefOjV","Завантажити сертифікат")</f>
        <v>Завантажити сертифікат</v>
      </c>
    </row>
    <row r="3646" spans="1:5" x14ac:dyDescent="0.3">
      <c r="A3646" s="2" t="s">
        <v>7452</v>
      </c>
      <c r="B3646" s="2" t="s">
        <v>5</v>
      </c>
      <c r="C3646" s="2" t="s">
        <v>7453</v>
      </c>
      <c r="D3646" s="2" t="s">
        <v>7454</v>
      </c>
      <c r="E3646" s="2" t="str">
        <f>HYPERLINK("https://talan.bank.gov.ua/get-user-certificate/sec1eqDA9elrgAM3YJ-U","Завантажити сертифікат")</f>
        <v>Завантажити сертифікат</v>
      </c>
    </row>
    <row r="3647" spans="1:5" x14ac:dyDescent="0.3">
      <c r="A3647" s="2" t="s">
        <v>7455</v>
      </c>
      <c r="B3647" s="2" t="s">
        <v>5</v>
      </c>
      <c r="C3647" s="2" t="s">
        <v>7456</v>
      </c>
      <c r="D3647" s="2" t="s">
        <v>7454</v>
      </c>
      <c r="E3647" s="2" t="str">
        <f>HYPERLINK("https://talan.bank.gov.ua/get-user-certificate/sec1eKuio1t2wwfPZWNL","Завантажити сертифікат")</f>
        <v>Завантажити сертифікат</v>
      </c>
    </row>
    <row r="3648" spans="1:5" x14ac:dyDescent="0.3">
      <c r="A3648" s="2" t="s">
        <v>7457</v>
      </c>
      <c r="B3648" s="2" t="s">
        <v>5</v>
      </c>
      <c r="C3648" s="2" t="s">
        <v>7458</v>
      </c>
      <c r="D3648" s="2" t="s">
        <v>7454</v>
      </c>
      <c r="E3648" s="2" t="str">
        <f>HYPERLINK("https://talan.bank.gov.ua/get-user-certificate/sec1ejfm8GvMbopPxCFh","Завантажити сертифікат")</f>
        <v>Завантажити сертифікат</v>
      </c>
    </row>
    <row r="3649" spans="1:5" x14ac:dyDescent="0.3">
      <c r="A3649" s="2" t="s">
        <v>7459</v>
      </c>
      <c r="B3649" s="2" t="s">
        <v>5</v>
      </c>
      <c r="C3649" s="2" t="s">
        <v>7460</v>
      </c>
      <c r="D3649" s="2" t="s">
        <v>7454</v>
      </c>
      <c r="E3649" s="2" t="str">
        <f>HYPERLINK("https://talan.bank.gov.ua/get-user-certificate/sec1eX2F5RFTcu3Akgbs","Завантажити сертифікат")</f>
        <v>Завантажити сертифікат</v>
      </c>
    </row>
    <row r="3650" spans="1:5" x14ac:dyDescent="0.3">
      <c r="A3650" s="2" t="s">
        <v>7461</v>
      </c>
      <c r="B3650" s="2" t="s">
        <v>5</v>
      </c>
      <c r="C3650" s="2" t="s">
        <v>7462</v>
      </c>
      <c r="D3650" s="2" t="s">
        <v>7454</v>
      </c>
      <c r="E3650" s="2" t="str">
        <f>HYPERLINK("https://talan.bank.gov.ua/get-user-certificate/sec1eALFNUQ-aZhSDyAg","Завантажити сертифікат")</f>
        <v>Завантажити сертифікат</v>
      </c>
    </row>
    <row r="3651" spans="1:5" x14ac:dyDescent="0.3">
      <c r="A3651" s="2" t="s">
        <v>7463</v>
      </c>
      <c r="B3651" s="2" t="s">
        <v>5</v>
      </c>
      <c r="C3651" s="2" t="s">
        <v>7464</v>
      </c>
      <c r="D3651" s="2" t="s">
        <v>7454</v>
      </c>
      <c r="E3651" s="2" t="str">
        <f>HYPERLINK("https://talan.bank.gov.ua/get-user-certificate/sec1eCte-XDFoZjy_b5S","Завантажити сертифікат")</f>
        <v>Завантажити сертифікат</v>
      </c>
    </row>
    <row r="3652" spans="1:5" x14ac:dyDescent="0.3">
      <c r="A3652" s="2" t="s">
        <v>7465</v>
      </c>
      <c r="B3652" s="2" t="s">
        <v>5</v>
      </c>
      <c r="C3652" s="2" t="s">
        <v>7466</v>
      </c>
      <c r="D3652" s="2" t="s">
        <v>7454</v>
      </c>
      <c r="E3652" s="2" t="str">
        <f>HYPERLINK("https://talan.bank.gov.ua/get-user-certificate/sec1e7UmtSolbMB_e_dy","Завантажити сертифікат")</f>
        <v>Завантажити сертифікат</v>
      </c>
    </row>
    <row r="3653" spans="1:5" x14ac:dyDescent="0.3">
      <c r="A3653" s="2" t="s">
        <v>7467</v>
      </c>
      <c r="B3653" s="2" t="s">
        <v>5</v>
      </c>
      <c r="C3653" s="2" t="s">
        <v>7468</v>
      </c>
      <c r="D3653" s="2" t="s">
        <v>7454</v>
      </c>
      <c r="E3653" s="2" t="str">
        <f>HYPERLINK("https://talan.bank.gov.ua/get-user-certificate/sec1eOFLOuTuDAtzbTxq","Завантажити сертифікат")</f>
        <v>Завантажити сертифікат</v>
      </c>
    </row>
    <row r="3654" spans="1:5" x14ac:dyDescent="0.3">
      <c r="A3654" s="2" t="s">
        <v>7469</v>
      </c>
      <c r="B3654" s="2" t="s">
        <v>5</v>
      </c>
      <c r="C3654" s="2" t="s">
        <v>7470</v>
      </c>
      <c r="D3654" s="2" t="s">
        <v>7454</v>
      </c>
      <c r="E3654" s="2" t="str">
        <f>HYPERLINK("https://talan.bank.gov.ua/get-user-certificate/sec1eVWFHtyIM1xLK9Ax","Завантажити сертифікат")</f>
        <v>Завантажити сертифікат</v>
      </c>
    </row>
    <row r="3655" spans="1:5" x14ac:dyDescent="0.3">
      <c r="A3655" s="2" t="s">
        <v>7471</v>
      </c>
      <c r="B3655" s="2" t="s">
        <v>5</v>
      </c>
      <c r="C3655" s="2" t="s">
        <v>7472</v>
      </c>
      <c r="D3655" s="2" t="s">
        <v>7454</v>
      </c>
      <c r="E3655" s="2" t="str">
        <f>HYPERLINK("https://talan.bank.gov.ua/get-user-certificate/sec1eoEu5fe8KBmTwseU","Завантажити сертифікат")</f>
        <v>Завантажити сертифікат</v>
      </c>
    </row>
    <row r="3656" spans="1:5" x14ac:dyDescent="0.3">
      <c r="A3656" s="2" t="s">
        <v>7473</v>
      </c>
      <c r="B3656" s="2" t="s">
        <v>5</v>
      </c>
      <c r="C3656" s="2" t="s">
        <v>7474</v>
      </c>
      <c r="D3656" s="2" t="s">
        <v>7454</v>
      </c>
      <c r="E3656" s="2" t="str">
        <f>HYPERLINK("https://talan.bank.gov.ua/get-user-certificate/sec1eudSGdw4ktA_5dWA","Завантажити сертифікат")</f>
        <v>Завантажити сертифікат</v>
      </c>
    </row>
    <row r="3657" spans="1:5" x14ac:dyDescent="0.3">
      <c r="A3657" s="2" t="s">
        <v>7475</v>
      </c>
      <c r="B3657" s="2" t="s">
        <v>5</v>
      </c>
      <c r="C3657" s="2" t="s">
        <v>7476</v>
      </c>
      <c r="D3657" s="2" t="s">
        <v>7454</v>
      </c>
      <c r="E3657" s="2" t="str">
        <f>HYPERLINK("https://talan.bank.gov.ua/get-user-certificate/sec1eh5otmc4qSsEp6yJ","Завантажити сертифікат")</f>
        <v>Завантажити сертифікат</v>
      </c>
    </row>
    <row r="3658" spans="1:5" x14ac:dyDescent="0.3">
      <c r="A3658" s="2" t="s">
        <v>7477</v>
      </c>
      <c r="B3658" s="2" t="s">
        <v>5</v>
      </c>
      <c r="C3658" s="2" t="s">
        <v>7478</v>
      </c>
      <c r="D3658" s="2" t="s">
        <v>7454</v>
      </c>
      <c r="E3658" s="2" t="str">
        <f>HYPERLINK("https://talan.bank.gov.ua/get-user-certificate/sec1eCVHLvphDkdOkpBs","Завантажити сертифікат")</f>
        <v>Завантажити сертифікат</v>
      </c>
    </row>
    <row r="3659" spans="1:5" x14ac:dyDescent="0.3">
      <c r="A3659" s="2" t="s">
        <v>7479</v>
      </c>
      <c r="B3659" s="2" t="s">
        <v>5</v>
      </c>
      <c r="C3659" s="2" t="s">
        <v>7480</v>
      </c>
      <c r="D3659" s="2" t="s">
        <v>7454</v>
      </c>
      <c r="E3659" s="2" t="str">
        <f>HYPERLINK("https://talan.bank.gov.ua/get-user-certificate/sec1eE3KI2HpFeUHkKJ9","Завантажити сертифікат")</f>
        <v>Завантажити сертифікат</v>
      </c>
    </row>
    <row r="3660" spans="1:5" x14ac:dyDescent="0.3">
      <c r="A3660" s="2" t="s">
        <v>7481</v>
      </c>
      <c r="B3660" s="2" t="s">
        <v>5</v>
      </c>
      <c r="C3660" s="2" t="s">
        <v>7482</v>
      </c>
      <c r="D3660" s="2" t="s">
        <v>7454</v>
      </c>
      <c r="E3660" s="2" t="str">
        <f>HYPERLINK("https://talan.bank.gov.ua/get-user-certificate/sec1eq6dBGaNLMHiOIhW","Завантажити сертифікат")</f>
        <v>Завантажити сертифікат</v>
      </c>
    </row>
    <row r="3661" spans="1:5" x14ac:dyDescent="0.3">
      <c r="A3661" s="2" t="s">
        <v>7483</v>
      </c>
      <c r="B3661" s="2" t="s">
        <v>5</v>
      </c>
      <c r="C3661" s="2" t="s">
        <v>7484</v>
      </c>
      <c r="D3661" s="2" t="s">
        <v>7454</v>
      </c>
      <c r="E3661" s="2" t="str">
        <f>HYPERLINK("https://talan.bank.gov.ua/get-user-certificate/sec1eLmrimD7HiFyTjMy","Завантажити сертифікат")</f>
        <v>Завантажити сертифікат</v>
      </c>
    </row>
    <row r="3662" spans="1:5" x14ac:dyDescent="0.3">
      <c r="A3662" s="2" t="s">
        <v>7485</v>
      </c>
      <c r="B3662" s="2" t="s">
        <v>5</v>
      </c>
      <c r="C3662" s="2" t="s">
        <v>7486</v>
      </c>
      <c r="D3662" s="2" t="s">
        <v>7454</v>
      </c>
      <c r="E3662" s="2" t="str">
        <f>HYPERLINK("https://talan.bank.gov.ua/get-user-certificate/sec1eKzJdtZLcWTr_Jck","Завантажити сертифікат")</f>
        <v>Завантажити сертифікат</v>
      </c>
    </row>
    <row r="3663" spans="1:5" x14ac:dyDescent="0.3">
      <c r="A3663" s="2" t="s">
        <v>7487</v>
      </c>
      <c r="B3663" s="2" t="s">
        <v>5</v>
      </c>
      <c r="C3663" s="2" t="s">
        <v>7488</v>
      </c>
      <c r="D3663" s="2" t="s">
        <v>7454</v>
      </c>
      <c r="E3663" s="2" t="str">
        <f>HYPERLINK("https://talan.bank.gov.ua/get-user-certificate/sec1eu2PvzalmENAskJe","Завантажити сертифікат")</f>
        <v>Завантажити сертифікат</v>
      </c>
    </row>
    <row r="3664" spans="1:5" x14ac:dyDescent="0.3">
      <c r="A3664" s="2" t="s">
        <v>7489</v>
      </c>
      <c r="B3664" s="2" t="s">
        <v>5</v>
      </c>
      <c r="C3664" s="2" t="s">
        <v>7490</v>
      </c>
      <c r="D3664" s="2" t="s">
        <v>7454</v>
      </c>
      <c r="E3664" s="2" t="str">
        <f>HYPERLINK("https://talan.bank.gov.ua/get-user-certificate/sec1eztst6-Wd7PSK-m9","Завантажити сертифікат")</f>
        <v>Завантажити сертифікат</v>
      </c>
    </row>
    <row r="3665" spans="1:5" x14ac:dyDescent="0.3">
      <c r="A3665" s="2" t="s">
        <v>7491</v>
      </c>
      <c r="B3665" s="2" t="s">
        <v>5</v>
      </c>
      <c r="C3665" s="2" t="s">
        <v>7492</v>
      </c>
      <c r="D3665" s="2" t="s">
        <v>7454</v>
      </c>
      <c r="E3665" s="2" t="str">
        <f>HYPERLINK("https://talan.bank.gov.ua/get-user-certificate/sec1eA7KuK0T0wJy9YuY","Завантажити сертифікат")</f>
        <v>Завантажити сертифікат</v>
      </c>
    </row>
    <row r="3666" spans="1:5" x14ac:dyDescent="0.3">
      <c r="A3666" s="2" t="s">
        <v>7493</v>
      </c>
      <c r="B3666" s="2" t="s">
        <v>5</v>
      </c>
      <c r="C3666" s="2" t="s">
        <v>7494</v>
      </c>
      <c r="D3666" s="2" t="s">
        <v>7495</v>
      </c>
      <c r="E3666" s="2" t="str">
        <f>HYPERLINK("https://talan.bank.gov.ua/get-user-certificate/sec1eY1EHekD0JiKkPSK","Завантажити сертифікат")</f>
        <v>Завантажити сертифікат</v>
      </c>
    </row>
    <row r="3667" spans="1:5" x14ac:dyDescent="0.3">
      <c r="A3667" s="2" t="s">
        <v>7496</v>
      </c>
      <c r="B3667" s="2" t="s">
        <v>5</v>
      </c>
      <c r="C3667" s="2" t="s">
        <v>7497</v>
      </c>
      <c r="D3667" s="2" t="s">
        <v>7495</v>
      </c>
      <c r="E3667" s="2" t="str">
        <f>HYPERLINK("https://talan.bank.gov.ua/get-user-certificate/sec1e7HvjlBeVgXUfner","Завантажити сертифікат")</f>
        <v>Завантажити сертифікат</v>
      </c>
    </row>
    <row r="3668" spans="1:5" x14ac:dyDescent="0.3">
      <c r="A3668" s="2" t="s">
        <v>7498</v>
      </c>
      <c r="B3668" s="2" t="s">
        <v>5</v>
      </c>
      <c r="C3668" s="2" t="s">
        <v>7499</v>
      </c>
      <c r="D3668" s="2" t="s">
        <v>7495</v>
      </c>
      <c r="E3668" s="2" t="str">
        <f>HYPERLINK("https://talan.bank.gov.ua/get-user-certificate/sec1eAxTyWC5UOMtlp1g","Завантажити сертифікат")</f>
        <v>Завантажити сертифікат</v>
      </c>
    </row>
    <row r="3669" spans="1:5" x14ac:dyDescent="0.3">
      <c r="A3669" s="2" t="s">
        <v>7500</v>
      </c>
      <c r="B3669" s="2" t="s">
        <v>5</v>
      </c>
      <c r="C3669" s="2" t="s">
        <v>7501</v>
      </c>
      <c r="D3669" s="2" t="s">
        <v>7495</v>
      </c>
      <c r="E3669" s="2" t="str">
        <f>HYPERLINK("https://talan.bank.gov.ua/get-user-certificate/sec1etROn7u3rrSbiTVg","Завантажити сертифікат")</f>
        <v>Завантажити сертифікат</v>
      </c>
    </row>
    <row r="3670" spans="1:5" x14ac:dyDescent="0.3">
      <c r="A3670" s="2" t="s">
        <v>7502</v>
      </c>
      <c r="B3670" s="2" t="s">
        <v>5</v>
      </c>
      <c r="C3670" s="2" t="s">
        <v>7503</v>
      </c>
      <c r="D3670" s="2" t="s">
        <v>7495</v>
      </c>
      <c r="E3670" s="2" t="str">
        <f>HYPERLINK("https://talan.bank.gov.ua/get-user-certificate/sec1eO_3FFU7SU9stcDM","Завантажити сертифікат")</f>
        <v>Завантажити сертифікат</v>
      </c>
    </row>
    <row r="3671" spans="1:5" x14ac:dyDescent="0.3">
      <c r="A3671" s="2" t="s">
        <v>7504</v>
      </c>
      <c r="B3671" s="2" t="s">
        <v>5</v>
      </c>
      <c r="C3671" s="2" t="s">
        <v>7505</v>
      </c>
      <c r="D3671" s="2" t="s">
        <v>7506</v>
      </c>
      <c r="E3671" s="2" t="str">
        <f>HYPERLINK("https://talan.bank.gov.ua/get-user-certificate/sec1e6QfQ2kUDwFDRrLU","Завантажити сертифікат")</f>
        <v>Завантажити сертифікат</v>
      </c>
    </row>
    <row r="3672" spans="1:5" x14ac:dyDescent="0.3">
      <c r="A3672" s="2" t="s">
        <v>7507</v>
      </c>
      <c r="B3672" s="2" t="s">
        <v>5</v>
      </c>
      <c r="C3672" s="2" t="s">
        <v>7508</v>
      </c>
      <c r="D3672" s="2" t="s">
        <v>7506</v>
      </c>
      <c r="E3672" s="2" t="str">
        <f>HYPERLINK("https://talan.bank.gov.ua/get-user-certificate/sec1edcQ_99ZFCh-NGtk","Завантажити сертифікат")</f>
        <v>Завантажити сертифікат</v>
      </c>
    </row>
    <row r="3673" spans="1:5" x14ac:dyDescent="0.3">
      <c r="A3673" s="2" t="s">
        <v>7509</v>
      </c>
      <c r="B3673" s="2" t="s">
        <v>5</v>
      </c>
      <c r="C3673" s="2" t="s">
        <v>7510</v>
      </c>
      <c r="D3673" s="2" t="s">
        <v>7506</v>
      </c>
      <c r="E3673" s="2" t="str">
        <f>HYPERLINK("https://talan.bank.gov.ua/get-user-certificate/sec1eMrczvafMqvnEa1z","Завантажити сертифікат")</f>
        <v>Завантажити сертифікат</v>
      </c>
    </row>
    <row r="3674" spans="1:5" x14ac:dyDescent="0.3">
      <c r="A3674" s="2" t="s">
        <v>7511</v>
      </c>
      <c r="B3674" s="2" t="s">
        <v>5</v>
      </c>
      <c r="C3674" s="2" t="s">
        <v>7512</v>
      </c>
      <c r="D3674" s="2" t="s">
        <v>7513</v>
      </c>
      <c r="E3674" s="2" t="str">
        <f>HYPERLINK("https://talan.bank.gov.ua/get-user-certificate/sec1eBEMfnHWwyG3BUzs","Завантажити сертифікат")</f>
        <v>Завантажити сертифікат</v>
      </c>
    </row>
    <row r="3675" spans="1:5" x14ac:dyDescent="0.3">
      <c r="A3675" s="2" t="s">
        <v>7514</v>
      </c>
      <c r="B3675" s="2" t="s">
        <v>5</v>
      </c>
      <c r="C3675" s="2" t="s">
        <v>7515</v>
      </c>
      <c r="D3675" s="2" t="s">
        <v>7513</v>
      </c>
      <c r="E3675" s="2" t="str">
        <f>HYPERLINK("https://talan.bank.gov.ua/get-user-certificate/sec1exSMkye8t5fddosq","Завантажити сертифікат")</f>
        <v>Завантажити сертифікат</v>
      </c>
    </row>
    <row r="3676" spans="1:5" x14ac:dyDescent="0.3">
      <c r="A3676" s="2" t="s">
        <v>7516</v>
      </c>
      <c r="B3676" s="2" t="s">
        <v>5</v>
      </c>
      <c r="C3676" s="2" t="s">
        <v>7517</v>
      </c>
      <c r="D3676" s="2" t="s">
        <v>7513</v>
      </c>
      <c r="E3676" s="2" t="str">
        <f>HYPERLINK("https://talan.bank.gov.ua/get-user-certificate/sec1efBymj29Ln2o-Fw5","Завантажити сертифікат")</f>
        <v>Завантажити сертифікат</v>
      </c>
    </row>
    <row r="3677" spans="1:5" x14ac:dyDescent="0.3">
      <c r="A3677" s="2" t="s">
        <v>7518</v>
      </c>
      <c r="B3677" s="2" t="s">
        <v>5</v>
      </c>
      <c r="C3677" s="2" t="s">
        <v>7519</v>
      </c>
      <c r="D3677" s="2" t="s">
        <v>7513</v>
      </c>
      <c r="E3677" s="2" t="str">
        <f>HYPERLINK("https://talan.bank.gov.ua/get-user-certificate/sec1eFuQo2ODvB6p90YC","Завантажити сертифікат")</f>
        <v>Завантажити сертифікат</v>
      </c>
    </row>
    <row r="3678" spans="1:5" x14ac:dyDescent="0.3">
      <c r="A3678" s="2" t="s">
        <v>7520</v>
      </c>
      <c r="B3678" s="2" t="s">
        <v>5</v>
      </c>
      <c r="C3678" s="2" t="s">
        <v>7521</v>
      </c>
      <c r="D3678" s="2" t="s">
        <v>7513</v>
      </c>
      <c r="E3678" s="2" t="str">
        <f>HYPERLINK("https://talan.bank.gov.ua/get-user-certificate/sec1eb1pob0HEGQ3cD6P","Завантажити сертифікат")</f>
        <v>Завантажити сертифікат</v>
      </c>
    </row>
    <row r="3679" spans="1:5" x14ac:dyDescent="0.3">
      <c r="A3679" s="2" t="s">
        <v>7522</v>
      </c>
      <c r="B3679" s="2" t="s">
        <v>5</v>
      </c>
      <c r="C3679" s="2" t="s">
        <v>7523</v>
      </c>
      <c r="D3679" s="2" t="s">
        <v>7513</v>
      </c>
      <c r="E3679" s="2" t="str">
        <f>HYPERLINK("https://talan.bank.gov.ua/get-user-certificate/sec1e-_vQJOzJk4j1Gxe","Завантажити сертифікат")</f>
        <v>Завантажити сертифікат</v>
      </c>
    </row>
    <row r="3680" spans="1:5" x14ac:dyDescent="0.3">
      <c r="A3680" s="2" t="s">
        <v>7524</v>
      </c>
      <c r="B3680" s="2" t="s">
        <v>5</v>
      </c>
      <c r="C3680" s="2" t="s">
        <v>7525</v>
      </c>
      <c r="D3680" s="2" t="s">
        <v>7513</v>
      </c>
      <c r="E3680" s="2" t="str">
        <f>HYPERLINK("https://talan.bank.gov.ua/get-user-certificate/sec1e2dKx56fFKqKkKfT","Завантажити сертифікат")</f>
        <v>Завантажити сертифікат</v>
      </c>
    </row>
    <row r="3681" spans="1:5" x14ac:dyDescent="0.3">
      <c r="A3681" s="2" t="s">
        <v>7526</v>
      </c>
      <c r="B3681" s="2" t="s">
        <v>5</v>
      </c>
      <c r="C3681" s="2" t="s">
        <v>7527</v>
      </c>
      <c r="D3681" s="2" t="s">
        <v>7513</v>
      </c>
      <c r="E3681" s="2" t="str">
        <f>HYPERLINK("https://talan.bank.gov.ua/get-user-certificate/sec1eOEXlIc2ypAuu-b6","Завантажити сертифікат")</f>
        <v>Завантажити сертифікат</v>
      </c>
    </row>
    <row r="3682" spans="1:5" x14ac:dyDescent="0.3">
      <c r="A3682" s="2" t="s">
        <v>7528</v>
      </c>
      <c r="B3682" s="2" t="s">
        <v>5</v>
      </c>
      <c r="C3682" s="2" t="s">
        <v>7529</v>
      </c>
      <c r="D3682" s="2" t="s">
        <v>7513</v>
      </c>
      <c r="E3682" s="2" t="str">
        <f>HYPERLINK("https://talan.bank.gov.ua/get-user-certificate/sec1eNCGgOq82i02gtUG","Завантажити сертифікат")</f>
        <v>Завантажити сертифікат</v>
      </c>
    </row>
    <row r="3683" spans="1:5" x14ac:dyDescent="0.3">
      <c r="A3683" s="2" t="s">
        <v>7530</v>
      </c>
      <c r="B3683" s="2" t="s">
        <v>5</v>
      </c>
      <c r="C3683" s="2" t="s">
        <v>7531</v>
      </c>
      <c r="D3683" s="2" t="s">
        <v>7513</v>
      </c>
      <c r="E3683" s="2" t="str">
        <f>HYPERLINK("https://talan.bank.gov.ua/get-user-certificate/sec1e7mpwK8rOQTno8tD","Завантажити сертифікат")</f>
        <v>Завантажити сертифікат</v>
      </c>
    </row>
    <row r="3684" spans="1:5" x14ac:dyDescent="0.3">
      <c r="A3684" s="2" t="s">
        <v>7532</v>
      </c>
      <c r="B3684" s="2" t="s">
        <v>5</v>
      </c>
      <c r="C3684" s="2" t="s">
        <v>7533</v>
      </c>
      <c r="D3684" s="2" t="s">
        <v>7513</v>
      </c>
      <c r="E3684" s="2" t="str">
        <f>HYPERLINK("https://talan.bank.gov.ua/get-user-certificate/sec1e8ltofYqOTqRlPgu","Завантажити сертифікат")</f>
        <v>Завантажити сертифікат</v>
      </c>
    </row>
    <row r="3685" spans="1:5" x14ac:dyDescent="0.3">
      <c r="A3685" s="2" t="s">
        <v>7534</v>
      </c>
      <c r="B3685" s="2" t="s">
        <v>5</v>
      </c>
      <c r="C3685" s="2" t="s">
        <v>7535</v>
      </c>
      <c r="D3685" s="2" t="s">
        <v>7513</v>
      </c>
      <c r="E3685" s="2" t="str">
        <f>HYPERLINK("https://talan.bank.gov.ua/get-user-certificate/sec1ePrn-kwcBHNzuzwK","Завантажити сертифікат")</f>
        <v>Завантажити сертифікат</v>
      </c>
    </row>
    <row r="3686" spans="1:5" x14ac:dyDescent="0.3">
      <c r="A3686" s="2" t="s">
        <v>7536</v>
      </c>
      <c r="B3686" s="2" t="s">
        <v>5</v>
      </c>
      <c r="C3686" s="2" t="s">
        <v>7537</v>
      </c>
      <c r="D3686" s="2" t="s">
        <v>7513</v>
      </c>
      <c r="E3686" s="2" t="str">
        <f>HYPERLINK("https://talan.bank.gov.ua/get-user-certificate/sec1eB8kZ0aVQZUccacT","Завантажити сертифікат")</f>
        <v>Завантажити сертифікат</v>
      </c>
    </row>
    <row r="3687" spans="1:5" x14ac:dyDescent="0.3">
      <c r="A3687" s="2" t="s">
        <v>7538</v>
      </c>
      <c r="B3687" s="2" t="s">
        <v>5</v>
      </c>
      <c r="C3687" s="2" t="s">
        <v>7539</v>
      </c>
      <c r="D3687" s="2" t="s">
        <v>7513</v>
      </c>
      <c r="E3687" s="2" t="str">
        <f>HYPERLINK("https://talan.bank.gov.ua/get-user-certificate/sec1esGXFldey130jT9k","Завантажити сертифікат")</f>
        <v>Завантажити сертифікат</v>
      </c>
    </row>
    <row r="3688" spans="1:5" x14ac:dyDescent="0.3">
      <c r="A3688" s="2" t="s">
        <v>7540</v>
      </c>
      <c r="B3688" s="2" t="s">
        <v>5</v>
      </c>
      <c r="C3688" s="2" t="s">
        <v>7541</v>
      </c>
      <c r="D3688" s="2" t="s">
        <v>7513</v>
      </c>
      <c r="E3688" s="2" t="str">
        <f>HYPERLINK("https://talan.bank.gov.ua/get-user-certificate/sec1ev-SoHdvmtDmTqV1","Завантажити сертифікат")</f>
        <v>Завантажити сертифікат</v>
      </c>
    </row>
    <row r="3689" spans="1:5" x14ac:dyDescent="0.3">
      <c r="A3689" s="2" t="s">
        <v>7542</v>
      </c>
      <c r="B3689" s="2" t="s">
        <v>5</v>
      </c>
      <c r="C3689" s="2" t="s">
        <v>7543</v>
      </c>
      <c r="D3689" s="2" t="s">
        <v>7513</v>
      </c>
      <c r="E3689" s="2" t="str">
        <f>HYPERLINK("https://talan.bank.gov.ua/get-user-certificate/sec1e3qcWIJQho4XTRE4","Завантажити сертифікат")</f>
        <v>Завантажити сертифікат</v>
      </c>
    </row>
    <row r="3690" spans="1:5" x14ac:dyDescent="0.3">
      <c r="A3690" s="2" t="s">
        <v>7544</v>
      </c>
      <c r="B3690" s="2" t="s">
        <v>5</v>
      </c>
      <c r="C3690" s="2" t="s">
        <v>7545</v>
      </c>
      <c r="D3690" s="2" t="s">
        <v>7546</v>
      </c>
      <c r="E3690" s="2" t="str">
        <f>HYPERLINK("https://talan.bank.gov.ua/get-user-certificate/sec1eU-sTT54CWq53uOZ","Завантажити сертифікат")</f>
        <v>Завантажити сертифікат</v>
      </c>
    </row>
    <row r="3691" spans="1:5" x14ac:dyDescent="0.3">
      <c r="A3691" s="2" t="s">
        <v>7547</v>
      </c>
      <c r="B3691" s="2" t="s">
        <v>5</v>
      </c>
      <c r="C3691" s="2" t="s">
        <v>7548</v>
      </c>
      <c r="D3691" s="2" t="s">
        <v>7546</v>
      </c>
      <c r="E3691" s="2" t="str">
        <f>HYPERLINK("https://talan.bank.gov.ua/get-user-certificate/sec1eh6a5BDoiZMyxOXB","Завантажити сертифікат")</f>
        <v>Завантажити сертифікат</v>
      </c>
    </row>
    <row r="3692" spans="1:5" x14ac:dyDescent="0.3">
      <c r="A3692" s="2" t="s">
        <v>7549</v>
      </c>
      <c r="B3692" s="2" t="s">
        <v>5</v>
      </c>
      <c r="C3692" s="2" t="s">
        <v>7550</v>
      </c>
      <c r="D3692" s="2" t="s">
        <v>7546</v>
      </c>
      <c r="E3692" s="2" t="str">
        <f>HYPERLINK("https://talan.bank.gov.ua/get-user-certificate/sec1eP7Gr2CdTahZPFkq","Завантажити сертифікат")</f>
        <v>Завантажити сертифікат</v>
      </c>
    </row>
    <row r="3693" spans="1:5" x14ac:dyDescent="0.3">
      <c r="A3693" s="2" t="s">
        <v>7551</v>
      </c>
      <c r="B3693" s="2" t="s">
        <v>5</v>
      </c>
      <c r="C3693" s="2" t="s">
        <v>7552</v>
      </c>
      <c r="D3693" s="2" t="s">
        <v>7546</v>
      </c>
      <c r="E3693" s="2" t="str">
        <f>HYPERLINK("https://talan.bank.gov.ua/get-user-certificate/sec1epri5Vsr_KlthXWZ","Завантажити сертифікат")</f>
        <v>Завантажити сертифікат</v>
      </c>
    </row>
    <row r="3694" spans="1:5" x14ac:dyDescent="0.3">
      <c r="A3694" s="2" t="s">
        <v>7553</v>
      </c>
      <c r="B3694" s="2" t="s">
        <v>5</v>
      </c>
      <c r="C3694" s="2" t="s">
        <v>7554</v>
      </c>
      <c r="D3694" s="2" t="s">
        <v>7546</v>
      </c>
      <c r="E3694" s="2" t="str">
        <f>HYPERLINK("https://talan.bank.gov.ua/get-user-certificate/sec1eN_HEHP34-cFKRAJ","Завантажити сертифікат")</f>
        <v>Завантажити сертифікат</v>
      </c>
    </row>
    <row r="3695" spans="1:5" x14ac:dyDescent="0.3">
      <c r="A3695" s="2" t="s">
        <v>7555</v>
      </c>
      <c r="B3695" s="2" t="s">
        <v>5</v>
      </c>
      <c r="C3695" s="2" t="s">
        <v>7556</v>
      </c>
      <c r="D3695" s="2" t="s">
        <v>7546</v>
      </c>
      <c r="E3695" s="2" t="str">
        <f>HYPERLINK("https://talan.bank.gov.ua/get-user-certificate/sec1eubmq98zLT5Vyp_i","Завантажити сертифікат")</f>
        <v>Завантажити сертифікат</v>
      </c>
    </row>
    <row r="3696" spans="1:5" x14ac:dyDescent="0.3">
      <c r="A3696" s="2" t="s">
        <v>7557</v>
      </c>
      <c r="B3696" s="2" t="s">
        <v>5</v>
      </c>
      <c r="C3696" s="2" t="s">
        <v>7558</v>
      </c>
      <c r="D3696" s="2" t="s">
        <v>7546</v>
      </c>
      <c r="E3696" s="2" t="str">
        <f>HYPERLINK("https://talan.bank.gov.ua/get-user-certificate/sec1eK52wll7eU04RC47","Завантажити сертифікат")</f>
        <v>Завантажити сертифікат</v>
      </c>
    </row>
    <row r="3697" spans="1:5" x14ac:dyDescent="0.3">
      <c r="A3697" s="2" t="s">
        <v>7559</v>
      </c>
      <c r="B3697" s="2" t="s">
        <v>5</v>
      </c>
      <c r="C3697" s="2" t="s">
        <v>7560</v>
      </c>
      <c r="D3697" s="2" t="s">
        <v>7546</v>
      </c>
      <c r="E3697" s="2" t="str">
        <f>HYPERLINK("https://talan.bank.gov.ua/get-user-certificate/sec1eG7TELabOJ85o53g","Завантажити сертифікат")</f>
        <v>Завантажити сертифікат</v>
      </c>
    </row>
    <row r="3698" spans="1:5" x14ac:dyDescent="0.3">
      <c r="A3698" s="2" t="s">
        <v>7561</v>
      </c>
      <c r="B3698" s="2" t="s">
        <v>5</v>
      </c>
      <c r="C3698" s="2" t="s">
        <v>7562</v>
      </c>
      <c r="D3698" s="2" t="s">
        <v>7546</v>
      </c>
      <c r="E3698" s="2" t="str">
        <f>HYPERLINK("https://talan.bank.gov.ua/get-user-certificate/sec1eUdM1OPm6OylAg5S","Завантажити сертифікат")</f>
        <v>Завантажити сертифікат</v>
      </c>
    </row>
    <row r="3699" spans="1:5" x14ac:dyDescent="0.3">
      <c r="A3699" s="2" t="s">
        <v>7563</v>
      </c>
      <c r="B3699" s="2" t="s">
        <v>5</v>
      </c>
      <c r="C3699" s="2" t="s">
        <v>7564</v>
      </c>
      <c r="D3699" s="2" t="s">
        <v>7546</v>
      </c>
      <c r="E3699" s="2" t="str">
        <f>HYPERLINK("https://talan.bank.gov.ua/get-user-certificate/sec1eZWoWoi56lyNgUz4","Завантажити сертифікат")</f>
        <v>Завантажити сертифікат</v>
      </c>
    </row>
    <row r="3700" spans="1:5" x14ac:dyDescent="0.3">
      <c r="A3700" s="2" t="s">
        <v>7565</v>
      </c>
      <c r="B3700" s="2" t="s">
        <v>5</v>
      </c>
      <c r="C3700" s="2" t="s">
        <v>7566</v>
      </c>
      <c r="D3700" s="2" t="s">
        <v>7546</v>
      </c>
      <c r="E3700" s="2" t="str">
        <f>HYPERLINK("https://talan.bank.gov.ua/get-user-certificate/sec1e6GyJ6yxkd9Ow6G8","Завантажити сертифікат")</f>
        <v>Завантажити сертифікат</v>
      </c>
    </row>
    <row r="3701" spans="1:5" x14ac:dyDescent="0.3">
      <c r="A3701" s="2" t="s">
        <v>7567</v>
      </c>
      <c r="B3701" s="2" t="s">
        <v>5</v>
      </c>
      <c r="C3701" s="2" t="s">
        <v>7568</v>
      </c>
      <c r="D3701" s="2" t="s">
        <v>7546</v>
      </c>
      <c r="E3701" s="2" t="str">
        <f>HYPERLINK("https://talan.bank.gov.ua/get-user-certificate/sec1e17Lv-VrKt8CWMVA","Завантажити сертифікат")</f>
        <v>Завантажити сертифікат</v>
      </c>
    </row>
    <row r="3702" spans="1:5" x14ac:dyDescent="0.3">
      <c r="A3702" s="2" t="s">
        <v>7569</v>
      </c>
      <c r="B3702" s="2" t="s">
        <v>5</v>
      </c>
      <c r="C3702" s="2" t="s">
        <v>7570</v>
      </c>
      <c r="D3702" s="2" t="s">
        <v>7546</v>
      </c>
      <c r="E3702" s="2" t="str">
        <f>HYPERLINK("https://talan.bank.gov.ua/get-user-certificate/sec1elUI2c6kAN66vNkR","Завантажити сертифікат")</f>
        <v>Завантажити сертифікат</v>
      </c>
    </row>
    <row r="3703" spans="1:5" x14ac:dyDescent="0.3">
      <c r="A3703" s="2" t="s">
        <v>7571</v>
      </c>
      <c r="B3703" s="2" t="s">
        <v>5</v>
      </c>
      <c r="C3703" s="2" t="s">
        <v>7572</v>
      </c>
      <c r="D3703" s="2" t="s">
        <v>7546</v>
      </c>
      <c r="E3703" s="2" t="str">
        <f>HYPERLINK("https://talan.bank.gov.ua/get-user-certificate/sec1eUuQoU-AqyyZPDjw","Завантажити сертифікат")</f>
        <v>Завантажити сертифікат</v>
      </c>
    </row>
    <row r="3704" spans="1:5" x14ac:dyDescent="0.3">
      <c r="A3704" s="2" t="s">
        <v>7573</v>
      </c>
      <c r="B3704" s="2" t="s">
        <v>5</v>
      </c>
      <c r="C3704" s="2" t="s">
        <v>7574</v>
      </c>
      <c r="D3704" s="2" t="s">
        <v>7546</v>
      </c>
      <c r="E3704" s="2" t="str">
        <f>HYPERLINK("https://talan.bank.gov.ua/get-user-certificate/sec1e9GxMJH5IelJ5-ao","Завантажити сертифікат")</f>
        <v>Завантажити сертифікат</v>
      </c>
    </row>
    <row r="3705" spans="1:5" x14ac:dyDescent="0.3">
      <c r="A3705" s="2" t="s">
        <v>7575</v>
      </c>
      <c r="B3705" s="2" t="s">
        <v>5</v>
      </c>
      <c r="C3705" s="2" t="s">
        <v>7576</v>
      </c>
      <c r="D3705" s="2" t="s">
        <v>7546</v>
      </c>
      <c r="E3705" s="2" t="str">
        <f>HYPERLINK("https://talan.bank.gov.ua/get-user-certificate/sec1ed1fQpLio9XqixyB","Завантажити сертифікат")</f>
        <v>Завантажити сертифікат</v>
      </c>
    </row>
    <row r="3706" spans="1:5" x14ac:dyDescent="0.3">
      <c r="A3706" s="2" t="s">
        <v>7577</v>
      </c>
      <c r="B3706" s="2" t="s">
        <v>5</v>
      </c>
      <c r="C3706" s="2" t="s">
        <v>7578</v>
      </c>
      <c r="D3706" s="2" t="s">
        <v>7546</v>
      </c>
      <c r="E3706" s="2" t="str">
        <f>HYPERLINK("https://talan.bank.gov.ua/get-user-certificate/sec1eBVi03gVDMh1wmhp","Завантажити сертифікат")</f>
        <v>Завантажити сертифікат</v>
      </c>
    </row>
    <row r="3707" spans="1:5" x14ac:dyDescent="0.3">
      <c r="A3707" s="2" t="s">
        <v>7579</v>
      </c>
      <c r="B3707" s="2" t="s">
        <v>5</v>
      </c>
      <c r="C3707" s="2" t="s">
        <v>7580</v>
      </c>
      <c r="D3707" s="2" t="s">
        <v>7546</v>
      </c>
      <c r="E3707" s="2" t="str">
        <f>HYPERLINK("https://talan.bank.gov.ua/get-user-certificate/sec1eJQGiY3GJW34zljV","Завантажити сертифікат")</f>
        <v>Завантажити сертифікат</v>
      </c>
    </row>
    <row r="3708" spans="1:5" x14ac:dyDescent="0.3">
      <c r="A3708" s="2" t="s">
        <v>7581</v>
      </c>
      <c r="B3708" s="2" t="s">
        <v>5</v>
      </c>
      <c r="C3708" s="2" t="s">
        <v>7582</v>
      </c>
      <c r="D3708" s="2" t="s">
        <v>7546</v>
      </c>
      <c r="E3708" s="2" t="str">
        <f>HYPERLINK("https://talan.bank.gov.ua/get-user-certificate/sec1eaaJDNUPOhQodzN0","Завантажити сертифікат")</f>
        <v>Завантажити сертифікат</v>
      </c>
    </row>
    <row r="3709" spans="1:5" x14ac:dyDescent="0.3">
      <c r="A3709" s="2" t="s">
        <v>7583</v>
      </c>
      <c r="B3709" s="2" t="s">
        <v>5</v>
      </c>
      <c r="C3709" s="2" t="s">
        <v>7584</v>
      </c>
      <c r="D3709" s="2" t="s">
        <v>7546</v>
      </c>
      <c r="E3709" s="2" t="str">
        <f>HYPERLINK("https://talan.bank.gov.ua/get-user-certificate/sec1eyFIFno2_UsaF_tM","Завантажити сертифікат")</f>
        <v>Завантажити сертифікат</v>
      </c>
    </row>
    <row r="3710" spans="1:5" x14ac:dyDescent="0.3">
      <c r="A3710" s="2" t="s">
        <v>7585</v>
      </c>
      <c r="B3710" s="2" t="s">
        <v>5</v>
      </c>
      <c r="C3710" s="2" t="s">
        <v>7586</v>
      </c>
      <c r="D3710" s="2" t="s">
        <v>7546</v>
      </c>
      <c r="E3710" s="2" t="str">
        <f>HYPERLINK("https://talan.bank.gov.ua/get-user-certificate/sec1eDt5wbOfcIoda70v","Завантажити сертифікат")</f>
        <v>Завантажити сертифікат</v>
      </c>
    </row>
    <row r="3711" spans="1:5" x14ac:dyDescent="0.3">
      <c r="A3711" s="2" t="s">
        <v>7587</v>
      </c>
      <c r="B3711" s="2" t="s">
        <v>5</v>
      </c>
      <c r="C3711" s="2" t="s">
        <v>7588</v>
      </c>
      <c r="D3711" s="2" t="s">
        <v>7546</v>
      </c>
      <c r="E3711" s="2" t="str">
        <f>HYPERLINK("https://talan.bank.gov.ua/get-user-certificate/sec1e7eXcFd-ItQpQn0u","Завантажити сертифікат")</f>
        <v>Завантажити сертифікат</v>
      </c>
    </row>
    <row r="3712" spans="1:5" x14ac:dyDescent="0.3">
      <c r="A3712" s="2" t="s">
        <v>7589</v>
      </c>
      <c r="B3712" s="2" t="s">
        <v>5</v>
      </c>
      <c r="C3712" s="2" t="s">
        <v>7590</v>
      </c>
      <c r="D3712" s="2" t="s">
        <v>7546</v>
      </c>
      <c r="E3712" s="2" t="str">
        <f>HYPERLINK("https://talan.bank.gov.ua/get-user-certificate/sec1eGrVApqZZHLS1O4g","Завантажити сертифікат")</f>
        <v>Завантажити сертифікат</v>
      </c>
    </row>
    <row r="3713" spans="1:5" x14ac:dyDescent="0.3">
      <c r="A3713" s="2" t="s">
        <v>7591</v>
      </c>
      <c r="B3713" s="2" t="s">
        <v>5</v>
      </c>
      <c r="C3713" s="2" t="s">
        <v>7592</v>
      </c>
      <c r="D3713" s="2" t="s">
        <v>7546</v>
      </c>
      <c r="E3713" s="2" t="str">
        <f>HYPERLINK("https://talan.bank.gov.ua/get-user-certificate/sec1e3oD0EbqXnMpxd2I","Завантажити сертифікат")</f>
        <v>Завантажити сертифікат</v>
      </c>
    </row>
    <row r="3714" spans="1:5" x14ac:dyDescent="0.3">
      <c r="A3714" s="2" t="s">
        <v>7593</v>
      </c>
      <c r="B3714" s="2" t="s">
        <v>5</v>
      </c>
      <c r="C3714" s="2" t="s">
        <v>7594</v>
      </c>
      <c r="D3714" s="2" t="s">
        <v>7546</v>
      </c>
      <c r="E3714" s="2" t="str">
        <f>HYPERLINK("https://talan.bank.gov.ua/get-user-certificate/sec1etdbwrJnFtPzLLN5","Завантажити сертифікат")</f>
        <v>Завантажити сертифікат</v>
      </c>
    </row>
    <row r="3715" spans="1:5" x14ac:dyDescent="0.3">
      <c r="A3715" s="2" t="s">
        <v>7595</v>
      </c>
      <c r="B3715" s="2" t="s">
        <v>5</v>
      </c>
      <c r="C3715" s="2" t="s">
        <v>7596</v>
      </c>
      <c r="D3715" s="2" t="s">
        <v>7546</v>
      </c>
      <c r="E3715" s="2" t="str">
        <f>HYPERLINK("https://talan.bank.gov.ua/get-user-certificate/sec1ezax8c9_KQZZnoFN","Завантажити сертифікат")</f>
        <v>Завантажити сертифікат</v>
      </c>
    </row>
    <row r="3716" spans="1:5" x14ac:dyDescent="0.3">
      <c r="A3716" s="2" t="s">
        <v>7597</v>
      </c>
      <c r="B3716" s="2" t="s">
        <v>5</v>
      </c>
      <c r="C3716" s="2" t="s">
        <v>7598</v>
      </c>
      <c r="D3716" s="2" t="s">
        <v>7546</v>
      </c>
      <c r="E3716" s="2" t="str">
        <f>HYPERLINK("https://talan.bank.gov.ua/get-user-certificate/sec1edeL8sNFOzZaz-GG","Завантажити сертифікат")</f>
        <v>Завантажити сертифікат</v>
      </c>
    </row>
    <row r="3717" spans="1:5" x14ac:dyDescent="0.3">
      <c r="A3717" s="2" t="s">
        <v>7599</v>
      </c>
      <c r="B3717" s="2" t="s">
        <v>5</v>
      </c>
      <c r="C3717" s="2" t="s">
        <v>7600</v>
      </c>
      <c r="D3717" s="2" t="s">
        <v>7546</v>
      </c>
      <c r="E3717" s="2" t="str">
        <f>HYPERLINK("https://talan.bank.gov.ua/get-user-certificate/sec1eFqfZqhqn0IMY1tv","Завантажити сертифікат")</f>
        <v>Завантажити сертифікат</v>
      </c>
    </row>
    <row r="3718" spans="1:5" x14ac:dyDescent="0.3">
      <c r="A3718" s="2" t="s">
        <v>7601</v>
      </c>
      <c r="B3718" s="2" t="s">
        <v>5</v>
      </c>
      <c r="C3718" s="2" t="s">
        <v>7602</v>
      </c>
      <c r="D3718" s="2" t="s">
        <v>7546</v>
      </c>
      <c r="E3718" s="2" t="str">
        <f>HYPERLINK("https://talan.bank.gov.ua/get-user-certificate/sec1eRvlnZwCwfiIqYEo","Завантажити сертифікат")</f>
        <v>Завантажити сертифікат</v>
      </c>
    </row>
    <row r="3719" spans="1:5" x14ac:dyDescent="0.3">
      <c r="A3719" s="2" t="s">
        <v>7603</v>
      </c>
      <c r="B3719" s="2" t="s">
        <v>5</v>
      </c>
      <c r="C3719" s="2" t="s">
        <v>7604</v>
      </c>
      <c r="D3719" s="2" t="s">
        <v>7546</v>
      </c>
      <c r="E3719" s="2" t="str">
        <f>HYPERLINK("https://talan.bank.gov.ua/get-user-certificate/sec1eUkmh1Xu8I19wvzB","Завантажити сертифікат")</f>
        <v>Завантажити сертифікат</v>
      </c>
    </row>
    <row r="3720" spans="1:5" x14ac:dyDescent="0.3">
      <c r="A3720" s="2" t="s">
        <v>7605</v>
      </c>
      <c r="B3720" s="2" t="s">
        <v>5</v>
      </c>
      <c r="C3720" s="2" t="s">
        <v>7606</v>
      </c>
      <c r="D3720" s="2" t="s">
        <v>7546</v>
      </c>
      <c r="E3720" s="2" t="str">
        <f>HYPERLINK("https://talan.bank.gov.ua/get-user-certificate/sec1efEyh82p6hixL2ns","Завантажити сертифікат")</f>
        <v>Завантажити сертифікат</v>
      </c>
    </row>
    <row r="3721" spans="1:5" x14ac:dyDescent="0.3">
      <c r="A3721" s="2" t="s">
        <v>7607</v>
      </c>
      <c r="B3721" s="2" t="s">
        <v>5</v>
      </c>
      <c r="C3721" s="2" t="s">
        <v>7608</v>
      </c>
      <c r="D3721" s="2" t="s">
        <v>7546</v>
      </c>
      <c r="E3721" s="2" t="str">
        <f>HYPERLINK("https://talan.bank.gov.ua/get-user-certificate/sec1eUE6wNbPNPPN8bT4","Завантажити сертифікат")</f>
        <v>Завантажити сертифікат</v>
      </c>
    </row>
    <row r="3722" spans="1:5" x14ac:dyDescent="0.3">
      <c r="A3722" s="2" t="s">
        <v>7609</v>
      </c>
      <c r="B3722" s="2" t="s">
        <v>5</v>
      </c>
      <c r="C3722" s="2" t="s">
        <v>7610</v>
      </c>
      <c r="D3722" s="2" t="s">
        <v>7546</v>
      </c>
      <c r="E3722" s="2" t="str">
        <f>HYPERLINK("https://talan.bank.gov.ua/get-user-certificate/sec1ef-YcE8fKLWXwVSC","Завантажити сертифікат")</f>
        <v>Завантажити сертифікат</v>
      </c>
    </row>
    <row r="3723" spans="1:5" x14ac:dyDescent="0.3">
      <c r="A3723" s="2" t="s">
        <v>7611</v>
      </c>
      <c r="B3723" s="2" t="s">
        <v>5</v>
      </c>
      <c r="C3723" s="2" t="s">
        <v>7612</v>
      </c>
      <c r="D3723" s="2" t="s">
        <v>7546</v>
      </c>
      <c r="E3723" s="2" t="str">
        <f>HYPERLINK("https://talan.bank.gov.ua/get-user-certificate/sec1elaPGE4nZPyjLN8Q","Завантажити сертифікат")</f>
        <v>Завантажити сертифікат</v>
      </c>
    </row>
    <row r="3724" spans="1:5" x14ac:dyDescent="0.3">
      <c r="A3724" s="2" t="s">
        <v>7613</v>
      </c>
      <c r="B3724" s="2" t="s">
        <v>5</v>
      </c>
      <c r="C3724" s="2" t="s">
        <v>7614</v>
      </c>
      <c r="D3724" s="2" t="s">
        <v>7546</v>
      </c>
      <c r="E3724" s="2" t="str">
        <f>HYPERLINK("https://talan.bank.gov.ua/get-user-certificate/sec1ebK2YsKJPbQT7m-p","Завантажити сертифікат")</f>
        <v>Завантажити сертифікат</v>
      </c>
    </row>
    <row r="3725" spans="1:5" x14ac:dyDescent="0.3">
      <c r="A3725" s="2" t="s">
        <v>7615</v>
      </c>
      <c r="B3725" s="2" t="s">
        <v>5</v>
      </c>
      <c r="C3725" s="2" t="s">
        <v>7616</v>
      </c>
      <c r="D3725" s="2" t="s">
        <v>7546</v>
      </c>
      <c r="E3725" s="2" t="str">
        <f>HYPERLINK("https://talan.bank.gov.ua/get-user-certificate/sec1eSpIdfLa1mUkrv0j","Завантажити сертифікат")</f>
        <v>Завантажити сертифікат</v>
      </c>
    </row>
    <row r="3726" spans="1:5" x14ac:dyDescent="0.3">
      <c r="A3726" s="2" t="s">
        <v>7617</v>
      </c>
      <c r="B3726" s="2" t="s">
        <v>5</v>
      </c>
      <c r="C3726" s="2" t="s">
        <v>7618</v>
      </c>
      <c r="D3726" s="2" t="s">
        <v>7546</v>
      </c>
      <c r="E3726" s="2" t="str">
        <f>HYPERLINK("https://talan.bank.gov.ua/get-user-certificate/sec1eiaXSCWGw4xFBOFF","Завантажити сертифікат")</f>
        <v>Завантажити сертифікат</v>
      </c>
    </row>
    <row r="3727" spans="1:5" x14ac:dyDescent="0.3">
      <c r="A3727" s="2" t="s">
        <v>7619</v>
      </c>
      <c r="B3727" s="2" t="s">
        <v>5</v>
      </c>
      <c r="C3727" s="2" t="s">
        <v>7620</v>
      </c>
      <c r="D3727" s="2" t="s">
        <v>7621</v>
      </c>
      <c r="E3727" s="2" t="str">
        <f>HYPERLINK("https://talan.bank.gov.ua/get-user-certificate/sec1e8hhEsjZeaFwP8Z3","Завантажити сертифікат")</f>
        <v>Завантажити сертифікат</v>
      </c>
    </row>
    <row r="3728" spans="1:5" x14ac:dyDescent="0.3">
      <c r="A3728" s="2" t="s">
        <v>7622</v>
      </c>
      <c r="B3728" s="2" t="s">
        <v>5</v>
      </c>
      <c r="C3728" s="2" t="s">
        <v>7623</v>
      </c>
      <c r="D3728" s="2" t="s">
        <v>7621</v>
      </c>
      <c r="E3728" s="2" t="str">
        <f>HYPERLINK("https://talan.bank.gov.ua/get-user-certificate/sec1ekmf1-HTIN8nsfBA","Завантажити сертифікат")</f>
        <v>Завантажити сертифікат</v>
      </c>
    </row>
    <row r="3729" spans="1:5" x14ac:dyDescent="0.3">
      <c r="A3729" s="2" t="s">
        <v>7624</v>
      </c>
      <c r="B3729" s="2" t="s">
        <v>5</v>
      </c>
      <c r="C3729" s="2" t="s">
        <v>7625</v>
      </c>
      <c r="D3729" s="2" t="s">
        <v>7621</v>
      </c>
      <c r="E3729" s="2" t="str">
        <f>HYPERLINK("https://talan.bank.gov.ua/get-user-certificate/sec1eIV3P80Ns8UzZnJE","Завантажити сертифікат")</f>
        <v>Завантажити сертифікат</v>
      </c>
    </row>
    <row r="3730" spans="1:5" x14ac:dyDescent="0.3">
      <c r="A3730" s="2" t="s">
        <v>7626</v>
      </c>
      <c r="B3730" s="2" t="s">
        <v>5</v>
      </c>
      <c r="C3730" s="2" t="s">
        <v>7627</v>
      </c>
      <c r="D3730" s="2" t="s">
        <v>7621</v>
      </c>
      <c r="E3730" s="2" t="str">
        <f>HYPERLINK("https://talan.bank.gov.ua/get-user-certificate/sec1elvfaj8uNIpEdahw","Завантажити сертифікат")</f>
        <v>Завантажити сертифікат</v>
      </c>
    </row>
    <row r="3731" spans="1:5" x14ac:dyDescent="0.3">
      <c r="A3731" s="2" t="s">
        <v>7628</v>
      </c>
      <c r="B3731" s="2" t="s">
        <v>5</v>
      </c>
      <c r="C3731" s="2" t="s">
        <v>7629</v>
      </c>
      <c r="D3731" s="2" t="s">
        <v>7621</v>
      </c>
      <c r="E3731" s="2" t="str">
        <f>HYPERLINK("https://talan.bank.gov.ua/get-user-certificate/sec1e8QXP2q6KHW4geP_","Завантажити сертифікат")</f>
        <v>Завантажити сертифікат</v>
      </c>
    </row>
    <row r="3732" spans="1:5" x14ac:dyDescent="0.3">
      <c r="A3732" s="2" t="s">
        <v>7630</v>
      </c>
      <c r="B3732" s="2" t="s">
        <v>5</v>
      </c>
      <c r="C3732" s="2" t="s">
        <v>7631</v>
      </c>
      <c r="D3732" s="2" t="s">
        <v>7621</v>
      </c>
      <c r="E3732" s="2" t="str">
        <f>HYPERLINK("https://talan.bank.gov.ua/get-user-certificate/sec1e9HJ5sdoBMw93mxA","Завантажити сертифікат")</f>
        <v>Завантажити сертифікат</v>
      </c>
    </row>
    <row r="3733" spans="1:5" x14ac:dyDescent="0.3">
      <c r="A3733" s="2" t="s">
        <v>7632</v>
      </c>
      <c r="B3733" s="2" t="s">
        <v>5</v>
      </c>
      <c r="C3733" s="2" t="s">
        <v>7633</v>
      </c>
      <c r="D3733" s="2" t="s">
        <v>7621</v>
      </c>
      <c r="E3733" s="2" t="str">
        <f>HYPERLINK("https://talan.bank.gov.ua/get-user-certificate/sec1ekyISwIkfE6yacpS","Завантажити сертифікат")</f>
        <v>Завантажити сертифікат</v>
      </c>
    </row>
    <row r="3734" spans="1:5" x14ac:dyDescent="0.3">
      <c r="A3734" s="2" t="s">
        <v>7634</v>
      </c>
      <c r="B3734" s="2" t="s">
        <v>5</v>
      </c>
      <c r="C3734" s="2" t="s">
        <v>7635</v>
      </c>
      <c r="D3734" s="2" t="s">
        <v>7621</v>
      </c>
      <c r="E3734" s="2" t="str">
        <f>HYPERLINK("https://talan.bank.gov.ua/get-user-certificate/sec1eY2ok8P3wNK87LVF","Завантажити сертифікат")</f>
        <v>Завантажити сертифікат</v>
      </c>
    </row>
    <row r="3735" spans="1:5" x14ac:dyDescent="0.3">
      <c r="A3735" s="2" t="s">
        <v>7636</v>
      </c>
      <c r="B3735" s="2" t="s">
        <v>5</v>
      </c>
      <c r="C3735" s="2" t="s">
        <v>7637</v>
      </c>
      <c r="D3735" s="2" t="s">
        <v>7638</v>
      </c>
      <c r="E3735" s="2" t="str">
        <f>HYPERLINK("https://talan.bank.gov.ua/get-user-certificate/sec1eCB-7Vi4mOr562BF","Завантажити сертифікат")</f>
        <v>Завантажити сертифікат</v>
      </c>
    </row>
    <row r="3736" spans="1:5" x14ac:dyDescent="0.3">
      <c r="A3736" s="2" t="s">
        <v>7639</v>
      </c>
      <c r="B3736" s="2" t="s">
        <v>5</v>
      </c>
      <c r="C3736" s="2" t="s">
        <v>7640</v>
      </c>
      <c r="D3736" s="2" t="s">
        <v>7638</v>
      </c>
      <c r="E3736" s="2" t="str">
        <f>HYPERLINK("https://talan.bank.gov.ua/get-user-certificate/sec1ed491_AslcNC5nRn","Завантажити сертифікат")</f>
        <v>Завантажити сертифікат</v>
      </c>
    </row>
    <row r="3737" spans="1:5" x14ac:dyDescent="0.3">
      <c r="A3737" s="2" t="s">
        <v>7641</v>
      </c>
      <c r="B3737" s="2" t="s">
        <v>5</v>
      </c>
      <c r="C3737" s="2" t="s">
        <v>7642</v>
      </c>
      <c r="D3737" s="2" t="s">
        <v>7638</v>
      </c>
      <c r="E3737" s="2" t="str">
        <f>HYPERLINK("https://talan.bank.gov.ua/get-user-certificate/sec1eZlY7qIDeGo9gwZi","Завантажити сертифікат")</f>
        <v>Завантажити сертифікат</v>
      </c>
    </row>
    <row r="3738" spans="1:5" x14ac:dyDescent="0.3">
      <c r="A3738" s="2" t="s">
        <v>7643</v>
      </c>
      <c r="B3738" s="2" t="s">
        <v>5</v>
      </c>
      <c r="C3738" s="2" t="s">
        <v>7644</v>
      </c>
      <c r="D3738" s="2" t="s">
        <v>7638</v>
      </c>
      <c r="E3738" s="2" t="str">
        <f>HYPERLINK("https://talan.bank.gov.ua/get-user-certificate/sec1eBfinWpSyGKjg_Rg","Завантажити сертифікат")</f>
        <v>Завантажити сертифікат</v>
      </c>
    </row>
    <row r="3739" spans="1:5" x14ac:dyDescent="0.3">
      <c r="A3739" s="2" t="s">
        <v>7645</v>
      </c>
      <c r="B3739" s="2" t="s">
        <v>5</v>
      </c>
      <c r="C3739" s="2" t="s">
        <v>7646</v>
      </c>
      <c r="D3739" s="2" t="s">
        <v>7638</v>
      </c>
      <c r="E3739" s="2" t="str">
        <f>HYPERLINK("https://talan.bank.gov.ua/get-user-certificate/sec1eiyYWusNUBM1IP6k","Завантажити сертифікат")</f>
        <v>Завантажити сертифікат</v>
      </c>
    </row>
    <row r="3740" spans="1:5" x14ac:dyDescent="0.3">
      <c r="A3740" s="2" t="s">
        <v>7647</v>
      </c>
      <c r="B3740" s="2" t="s">
        <v>5</v>
      </c>
      <c r="C3740" s="2" t="s">
        <v>7648</v>
      </c>
      <c r="D3740" s="2" t="s">
        <v>7649</v>
      </c>
      <c r="E3740" s="2" t="str">
        <f>HYPERLINK("https://talan.bank.gov.ua/get-user-certificate/sec1enNmQVkMT7SJwOqB","Завантажити сертифікат")</f>
        <v>Завантажити сертифікат</v>
      </c>
    </row>
    <row r="3741" spans="1:5" x14ac:dyDescent="0.3">
      <c r="A3741" s="2" t="s">
        <v>7650</v>
      </c>
      <c r="B3741" s="2" t="s">
        <v>5</v>
      </c>
      <c r="C3741" s="2" t="s">
        <v>7651</v>
      </c>
      <c r="D3741" s="2" t="s">
        <v>7649</v>
      </c>
      <c r="E3741" s="2" t="str">
        <f>HYPERLINK("https://talan.bank.gov.ua/get-user-certificate/sec1eJLH08eYMHnp4zCP","Завантажити сертифікат")</f>
        <v>Завантажити сертифікат</v>
      </c>
    </row>
    <row r="3742" spans="1:5" x14ac:dyDescent="0.3">
      <c r="A3742" s="2" t="s">
        <v>7652</v>
      </c>
      <c r="B3742" s="2" t="s">
        <v>5</v>
      </c>
      <c r="C3742" s="2" t="s">
        <v>7653</v>
      </c>
      <c r="D3742" s="2" t="s">
        <v>7649</v>
      </c>
      <c r="E3742" s="2" t="str">
        <f>HYPERLINK("https://talan.bank.gov.ua/get-user-certificate/sec1e3tirvs4VLTnLUx1","Завантажити сертифікат")</f>
        <v>Завантажити сертифікат</v>
      </c>
    </row>
    <row r="3743" spans="1:5" x14ac:dyDescent="0.3">
      <c r="A3743" s="2" t="s">
        <v>7654</v>
      </c>
      <c r="B3743" s="2" t="s">
        <v>5</v>
      </c>
      <c r="C3743" s="2" t="s">
        <v>7655</v>
      </c>
      <c r="D3743" s="2" t="s">
        <v>7649</v>
      </c>
      <c r="E3743" s="2" t="str">
        <f>HYPERLINK("https://talan.bank.gov.ua/get-user-certificate/sec1e36HP4FYYrfJamev","Завантажити сертифікат")</f>
        <v>Завантажити сертифікат</v>
      </c>
    </row>
    <row r="3744" spans="1:5" x14ac:dyDescent="0.3">
      <c r="A3744" s="2" t="s">
        <v>7656</v>
      </c>
      <c r="B3744" s="2" t="s">
        <v>5</v>
      </c>
      <c r="C3744" s="2" t="s">
        <v>7657</v>
      </c>
      <c r="D3744" s="2" t="s">
        <v>7649</v>
      </c>
      <c r="E3744" s="2" t="str">
        <f>HYPERLINK("https://talan.bank.gov.ua/get-user-certificate/sec1eKEWokQ2yQWgONmt","Завантажити сертифікат")</f>
        <v>Завантажити сертифікат</v>
      </c>
    </row>
    <row r="3745" spans="1:5" x14ac:dyDescent="0.3">
      <c r="A3745" s="2" t="s">
        <v>7658</v>
      </c>
      <c r="B3745" s="2" t="s">
        <v>5</v>
      </c>
      <c r="C3745" s="2" t="s">
        <v>7659</v>
      </c>
      <c r="D3745" s="2" t="s">
        <v>7649</v>
      </c>
      <c r="E3745" s="2" t="str">
        <f>HYPERLINK("https://talan.bank.gov.ua/get-user-certificate/sec1esieJyQLSVMFRTI0","Завантажити сертифікат")</f>
        <v>Завантажити сертифікат</v>
      </c>
    </row>
    <row r="3746" spans="1:5" x14ac:dyDescent="0.3">
      <c r="A3746" s="2" t="s">
        <v>7660</v>
      </c>
      <c r="B3746" s="2" t="s">
        <v>5</v>
      </c>
      <c r="C3746" s="2" t="s">
        <v>7661</v>
      </c>
      <c r="D3746" s="2" t="s">
        <v>7649</v>
      </c>
      <c r="E3746" s="2" t="str">
        <f>HYPERLINK("https://talan.bank.gov.ua/get-user-certificate/sec1e9O34e5rog3KPoNV","Завантажити сертифікат")</f>
        <v>Завантажити сертифікат</v>
      </c>
    </row>
    <row r="3747" spans="1:5" x14ac:dyDescent="0.3">
      <c r="A3747" s="2" t="s">
        <v>7662</v>
      </c>
      <c r="B3747" s="2" t="s">
        <v>5</v>
      </c>
      <c r="C3747" s="2" t="s">
        <v>7663</v>
      </c>
      <c r="D3747" s="2" t="s">
        <v>7649</v>
      </c>
      <c r="E3747" s="2" t="str">
        <f>HYPERLINK("https://talan.bank.gov.ua/get-user-certificate/sec1exqGiUvn2dwVK9ja","Завантажити сертифікат")</f>
        <v>Завантажити сертифікат</v>
      </c>
    </row>
    <row r="3748" spans="1:5" x14ac:dyDescent="0.3">
      <c r="A3748" s="2" t="s">
        <v>7664</v>
      </c>
      <c r="B3748" s="2" t="s">
        <v>5</v>
      </c>
      <c r="C3748" s="2" t="s">
        <v>7665</v>
      </c>
      <c r="D3748" s="2" t="s">
        <v>7649</v>
      </c>
      <c r="E3748" s="2" t="str">
        <f>HYPERLINK("https://talan.bank.gov.ua/get-user-certificate/sec1efqwFUyzI8uRAGTq","Завантажити сертифікат")</f>
        <v>Завантажити сертифікат</v>
      </c>
    </row>
    <row r="3749" spans="1:5" x14ac:dyDescent="0.3">
      <c r="A3749" s="2" t="s">
        <v>7666</v>
      </c>
      <c r="B3749" s="2" t="s">
        <v>5</v>
      </c>
      <c r="C3749" s="2" t="s">
        <v>7667</v>
      </c>
      <c r="D3749" s="2" t="s">
        <v>7649</v>
      </c>
      <c r="E3749" s="2" t="str">
        <f>HYPERLINK("https://talan.bank.gov.ua/get-user-certificate/sec1e5VX7O1-_vonCIXn","Завантажити сертифікат")</f>
        <v>Завантажити сертифікат</v>
      </c>
    </row>
    <row r="3750" spans="1:5" x14ac:dyDescent="0.3">
      <c r="A3750" s="2" t="s">
        <v>7668</v>
      </c>
      <c r="B3750" s="2" t="s">
        <v>5</v>
      </c>
      <c r="C3750" s="2" t="s">
        <v>7669</v>
      </c>
      <c r="D3750" s="2" t="s">
        <v>7649</v>
      </c>
      <c r="E3750" s="2" t="str">
        <f>HYPERLINK("https://talan.bank.gov.ua/get-user-certificate/sec1eZR56lTRaewNFP_2","Завантажити сертифікат")</f>
        <v>Завантажити сертифікат</v>
      </c>
    </row>
    <row r="3751" spans="1:5" x14ac:dyDescent="0.3">
      <c r="A3751" s="2" t="s">
        <v>7670</v>
      </c>
      <c r="B3751" s="2" t="s">
        <v>5</v>
      </c>
      <c r="C3751" s="2" t="s">
        <v>7671</v>
      </c>
      <c r="D3751" s="2" t="s">
        <v>7649</v>
      </c>
      <c r="E3751" s="2" t="str">
        <f>HYPERLINK("https://talan.bank.gov.ua/get-user-certificate/sec1erz-GazSlWtpTTLq","Завантажити сертифікат")</f>
        <v>Завантажити сертифікат</v>
      </c>
    </row>
    <row r="3752" spans="1:5" x14ac:dyDescent="0.3">
      <c r="A3752" s="2" t="s">
        <v>7672</v>
      </c>
      <c r="B3752" s="2" t="s">
        <v>5</v>
      </c>
      <c r="C3752" s="2" t="s">
        <v>7673</v>
      </c>
      <c r="D3752" s="2" t="s">
        <v>7649</v>
      </c>
      <c r="E3752" s="2" t="str">
        <f>HYPERLINK("https://talan.bank.gov.ua/get-user-certificate/sec1ez5zz2DO33NTITaC","Завантажити сертифікат")</f>
        <v>Завантажити сертифікат</v>
      </c>
    </row>
    <row r="3753" spans="1:5" x14ac:dyDescent="0.3">
      <c r="A3753" s="2" t="s">
        <v>7674</v>
      </c>
      <c r="B3753" s="2" t="s">
        <v>5</v>
      </c>
      <c r="C3753" s="2" t="s">
        <v>7675</v>
      </c>
      <c r="D3753" s="2" t="s">
        <v>7649</v>
      </c>
      <c r="E3753" s="2" t="str">
        <f>HYPERLINK("https://talan.bank.gov.ua/get-user-certificate/sec1edQiW8GztcfPUWrA","Завантажити сертифікат")</f>
        <v>Завантажити сертифікат</v>
      </c>
    </row>
    <row r="3754" spans="1:5" x14ac:dyDescent="0.3">
      <c r="A3754" s="2" t="s">
        <v>7676</v>
      </c>
      <c r="B3754" s="2" t="s">
        <v>5</v>
      </c>
      <c r="C3754" s="2" t="s">
        <v>7677</v>
      </c>
      <c r="D3754" s="2" t="s">
        <v>7649</v>
      </c>
      <c r="E3754" s="2" t="str">
        <f>HYPERLINK("https://talan.bank.gov.ua/get-user-certificate/sec1e2wAUeKYEAZDS_Qf","Завантажити сертифікат")</f>
        <v>Завантажити сертифікат</v>
      </c>
    </row>
    <row r="3755" spans="1:5" x14ac:dyDescent="0.3">
      <c r="A3755" s="2" t="s">
        <v>7678</v>
      </c>
      <c r="B3755" s="2" t="s">
        <v>5</v>
      </c>
      <c r="C3755" s="2" t="s">
        <v>7679</v>
      </c>
      <c r="D3755" s="2" t="s">
        <v>7649</v>
      </c>
      <c r="E3755" s="2" t="str">
        <f>HYPERLINK("https://talan.bank.gov.ua/get-user-certificate/sec1e6pCclYHcJzfDkE8","Завантажити сертифікат")</f>
        <v>Завантажити сертифікат</v>
      </c>
    </row>
    <row r="3756" spans="1:5" x14ac:dyDescent="0.3">
      <c r="A3756" s="2" t="s">
        <v>7680</v>
      </c>
      <c r="B3756" s="2" t="s">
        <v>5</v>
      </c>
      <c r="C3756" s="2" t="s">
        <v>7681</v>
      </c>
      <c r="D3756" s="2" t="s">
        <v>7649</v>
      </c>
      <c r="E3756" s="2" t="str">
        <f>HYPERLINK("https://talan.bank.gov.ua/get-user-certificate/sec1eDIBRUFwHuQFMtiz","Завантажити сертифікат")</f>
        <v>Завантажити сертифікат</v>
      </c>
    </row>
    <row r="3757" spans="1:5" x14ac:dyDescent="0.3">
      <c r="A3757" s="2" t="s">
        <v>7682</v>
      </c>
      <c r="B3757" s="2" t="s">
        <v>5</v>
      </c>
      <c r="C3757" s="2" t="s">
        <v>7683</v>
      </c>
      <c r="D3757" s="2" t="s">
        <v>7649</v>
      </c>
      <c r="E3757" s="2" t="str">
        <f>HYPERLINK("https://talan.bank.gov.ua/get-user-certificate/sec1eOD_4HgVpXiuFvLW","Завантажити сертифікат")</f>
        <v>Завантажити сертифікат</v>
      </c>
    </row>
    <row r="3758" spans="1:5" x14ac:dyDescent="0.3">
      <c r="A3758" s="2" t="s">
        <v>7684</v>
      </c>
      <c r="B3758" s="2" t="s">
        <v>5</v>
      </c>
      <c r="C3758" s="2" t="s">
        <v>7685</v>
      </c>
      <c r="D3758" s="2" t="s">
        <v>7649</v>
      </c>
      <c r="E3758" s="2" t="str">
        <f>HYPERLINK("https://talan.bank.gov.ua/get-user-certificate/sec1exgrhjWaLXe8fIPm","Завантажити сертифікат")</f>
        <v>Завантажити сертифікат</v>
      </c>
    </row>
    <row r="3759" spans="1:5" x14ac:dyDescent="0.3">
      <c r="A3759" s="2" t="s">
        <v>7686</v>
      </c>
      <c r="B3759" s="2" t="s">
        <v>5</v>
      </c>
      <c r="C3759" s="2" t="s">
        <v>7687</v>
      </c>
      <c r="D3759" s="2" t="s">
        <v>7649</v>
      </c>
      <c r="E3759" s="2" t="str">
        <f>HYPERLINK("https://talan.bank.gov.ua/get-user-certificate/sec1elTtoR9813cAfUmk","Завантажити сертифікат")</f>
        <v>Завантажити сертифікат</v>
      </c>
    </row>
    <row r="3760" spans="1:5" x14ac:dyDescent="0.3">
      <c r="A3760" s="2" t="s">
        <v>7688</v>
      </c>
      <c r="B3760" s="2" t="s">
        <v>5</v>
      </c>
      <c r="C3760" s="2" t="s">
        <v>7689</v>
      </c>
      <c r="D3760" s="2" t="s">
        <v>7649</v>
      </c>
      <c r="E3760" s="2" t="str">
        <f>HYPERLINK("https://talan.bank.gov.ua/get-user-certificate/sec1eme84V4X_HXCo-s8","Завантажити сертифікат")</f>
        <v>Завантажити сертифікат</v>
      </c>
    </row>
    <row r="3761" spans="1:5" x14ac:dyDescent="0.3">
      <c r="A3761" s="2" t="s">
        <v>7690</v>
      </c>
      <c r="B3761" s="2" t="s">
        <v>5</v>
      </c>
      <c r="C3761" s="2" t="s">
        <v>7691</v>
      </c>
      <c r="D3761" s="2" t="s">
        <v>7649</v>
      </c>
      <c r="E3761" s="2" t="str">
        <f>HYPERLINK("https://talan.bank.gov.ua/get-user-certificate/sec1e4Yi3dKQJYkMMKiG","Завантажити сертифікат")</f>
        <v>Завантажити сертифікат</v>
      </c>
    </row>
    <row r="3762" spans="1:5" x14ac:dyDescent="0.3">
      <c r="A3762" s="2" t="s">
        <v>7692</v>
      </c>
      <c r="B3762" s="2" t="s">
        <v>5</v>
      </c>
      <c r="C3762" s="2" t="s">
        <v>7693</v>
      </c>
      <c r="D3762" s="2" t="s">
        <v>7649</v>
      </c>
      <c r="E3762" s="2" t="str">
        <f>HYPERLINK("https://talan.bank.gov.ua/get-user-certificate/sec1eP4LT6j6N9lOOEy3","Завантажити сертифікат")</f>
        <v>Завантажити сертифікат</v>
      </c>
    </row>
    <row r="3763" spans="1:5" x14ac:dyDescent="0.3">
      <c r="A3763" s="2" t="s">
        <v>7694</v>
      </c>
      <c r="B3763" s="2" t="s">
        <v>5</v>
      </c>
      <c r="C3763" s="2" t="s">
        <v>7695</v>
      </c>
      <c r="D3763" s="2" t="s">
        <v>7649</v>
      </c>
      <c r="E3763" s="2" t="str">
        <f>HYPERLINK("https://talan.bank.gov.ua/get-user-certificate/sec1eR4iTSrRR0oJcp-7","Завантажити сертифікат")</f>
        <v>Завантажити сертифікат</v>
      </c>
    </row>
    <row r="3764" spans="1:5" x14ac:dyDescent="0.3">
      <c r="A3764" s="2" t="s">
        <v>7696</v>
      </c>
      <c r="B3764" s="2" t="s">
        <v>5</v>
      </c>
      <c r="C3764" s="2" t="s">
        <v>7697</v>
      </c>
      <c r="D3764" s="2" t="s">
        <v>7649</v>
      </c>
      <c r="E3764" s="2" t="str">
        <f>HYPERLINK("https://talan.bank.gov.ua/get-user-certificate/sec1eIHxoSeq7zs4dbPo","Завантажити сертифікат")</f>
        <v>Завантажити сертифікат</v>
      </c>
    </row>
    <row r="3765" spans="1:5" x14ac:dyDescent="0.3">
      <c r="A3765" s="2" t="s">
        <v>7698</v>
      </c>
      <c r="B3765" s="2" t="s">
        <v>5</v>
      </c>
      <c r="C3765" s="2" t="s">
        <v>7699</v>
      </c>
      <c r="D3765" s="2" t="s">
        <v>7649</v>
      </c>
      <c r="E3765" s="2" t="str">
        <f>HYPERLINK("https://talan.bank.gov.ua/get-user-certificate/sec1eC2VdWvNe6Nfms5C","Завантажити сертифікат")</f>
        <v>Завантажити сертифікат</v>
      </c>
    </row>
    <row r="3766" spans="1:5" x14ac:dyDescent="0.3">
      <c r="A3766" s="2" t="s">
        <v>7700</v>
      </c>
      <c r="B3766" s="2" t="s">
        <v>5</v>
      </c>
      <c r="C3766" s="2" t="s">
        <v>7701</v>
      </c>
      <c r="D3766" s="2" t="s">
        <v>7649</v>
      </c>
      <c r="E3766" s="2" t="str">
        <f>HYPERLINK("https://talan.bank.gov.ua/get-user-certificate/sec1ecORDUd0BMtVI_Gw","Завантажити сертифікат")</f>
        <v>Завантажити сертифікат</v>
      </c>
    </row>
    <row r="3767" spans="1:5" x14ac:dyDescent="0.3">
      <c r="A3767" s="2" t="s">
        <v>7702</v>
      </c>
      <c r="B3767" s="2" t="s">
        <v>5</v>
      </c>
      <c r="C3767" s="2" t="s">
        <v>7703</v>
      </c>
      <c r="D3767" s="2" t="s">
        <v>7649</v>
      </c>
      <c r="E3767" s="2" t="str">
        <f>HYPERLINK("https://talan.bank.gov.ua/get-user-certificate/sec1exh2e7p9zmbfkOWJ","Завантажити сертифікат")</f>
        <v>Завантажити сертифікат</v>
      </c>
    </row>
    <row r="3768" spans="1:5" x14ac:dyDescent="0.3">
      <c r="A3768" s="2" t="s">
        <v>7704</v>
      </c>
      <c r="B3768" s="2" t="s">
        <v>5</v>
      </c>
      <c r="C3768" s="2" t="s">
        <v>7705</v>
      </c>
      <c r="D3768" s="2" t="s">
        <v>7706</v>
      </c>
      <c r="E3768" s="2" t="str">
        <f>HYPERLINK("https://talan.bank.gov.ua/get-user-certificate/sec1eBl9-gLTGwKsnhZ_","Завантажити сертифікат")</f>
        <v>Завантажити сертифікат</v>
      </c>
    </row>
    <row r="3769" spans="1:5" x14ac:dyDescent="0.3">
      <c r="A3769" s="2" t="s">
        <v>7707</v>
      </c>
      <c r="B3769" s="2" t="s">
        <v>5</v>
      </c>
      <c r="C3769" s="2" t="s">
        <v>7708</v>
      </c>
      <c r="D3769" s="2" t="s">
        <v>7706</v>
      </c>
      <c r="E3769" s="2" t="str">
        <f>HYPERLINK("https://talan.bank.gov.ua/get-user-certificate/sec1eYiQ7Gmaf930milN","Завантажити сертифікат")</f>
        <v>Завантажити сертифікат</v>
      </c>
    </row>
    <row r="3770" spans="1:5" x14ac:dyDescent="0.3">
      <c r="A3770" s="2" t="s">
        <v>7709</v>
      </c>
      <c r="B3770" s="2" t="s">
        <v>5</v>
      </c>
      <c r="C3770" s="2" t="s">
        <v>7710</v>
      </c>
      <c r="D3770" s="2" t="s">
        <v>7706</v>
      </c>
      <c r="E3770" s="2" t="str">
        <f>HYPERLINK("https://talan.bank.gov.ua/get-user-certificate/sec1eMGvRVdtaU2eUwvG","Завантажити сертифікат")</f>
        <v>Завантажити сертифікат</v>
      </c>
    </row>
    <row r="3771" spans="1:5" x14ac:dyDescent="0.3">
      <c r="A3771" s="2" t="s">
        <v>7711</v>
      </c>
      <c r="B3771" s="2" t="s">
        <v>5</v>
      </c>
      <c r="C3771" s="2" t="s">
        <v>7712</v>
      </c>
      <c r="D3771" s="2" t="s">
        <v>7706</v>
      </c>
      <c r="E3771" s="2" t="str">
        <f>HYPERLINK("https://talan.bank.gov.ua/get-user-certificate/sec1e69blbAj_b32iP1u","Завантажити сертифікат")</f>
        <v>Завантажити сертифікат</v>
      </c>
    </row>
    <row r="3772" spans="1:5" x14ac:dyDescent="0.3">
      <c r="A3772" s="2" t="s">
        <v>7713</v>
      </c>
      <c r="B3772" s="2" t="s">
        <v>5</v>
      </c>
      <c r="C3772" s="2" t="s">
        <v>7714</v>
      </c>
      <c r="D3772" s="2" t="s">
        <v>7706</v>
      </c>
      <c r="E3772" s="2" t="str">
        <f>HYPERLINK("https://talan.bank.gov.ua/get-user-certificate/sec1een773gXVjOvPnCx","Завантажити сертифікат")</f>
        <v>Завантажити сертифікат</v>
      </c>
    </row>
    <row r="3773" spans="1:5" x14ac:dyDescent="0.3">
      <c r="A3773" s="2" t="s">
        <v>7715</v>
      </c>
      <c r="B3773" s="2" t="s">
        <v>5</v>
      </c>
      <c r="C3773" s="2" t="s">
        <v>7716</v>
      </c>
      <c r="D3773" s="2" t="s">
        <v>7706</v>
      </c>
      <c r="E3773" s="2" t="str">
        <f>HYPERLINK("https://talan.bank.gov.ua/get-user-certificate/sec1eBtZLDKKG9q3IMEA","Завантажити сертифікат")</f>
        <v>Завантажити сертифікат</v>
      </c>
    </row>
    <row r="3774" spans="1:5" x14ac:dyDescent="0.3">
      <c r="A3774" s="2" t="s">
        <v>7717</v>
      </c>
      <c r="B3774" s="2" t="s">
        <v>5</v>
      </c>
      <c r="C3774" s="2" t="s">
        <v>7718</v>
      </c>
      <c r="D3774" s="2" t="s">
        <v>7706</v>
      </c>
      <c r="E3774" s="2" t="str">
        <f>HYPERLINK("https://talan.bank.gov.ua/get-user-certificate/sec1eJksWFAVoeMKlp6a","Завантажити сертифікат")</f>
        <v>Завантажити сертифікат</v>
      </c>
    </row>
    <row r="3775" spans="1:5" x14ac:dyDescent="0.3">
      <c r="A3775" s="2" t="s">
        <v>7719</v>
      </c>
      <c r="B3775" s="2" t="s">
        <v>5</v>
      </c>
      <c r="C3775" s="2" t="s">
        <v>7720</v>
      </c>
      <c r="D3775" s="2" t="s">
        <v>7706</v>
      </c>
      <c r="E3775" s="2" t="str">
        <f>HYPERLINK("https://talan.bank.gov.ua/get-user-certificate/sec1eEsx4STtQ_yrgTaw","Завантажити сертифікат")</f>
        <v>Завантажити сертифікат</v>
      </c>
    </row>
    <row r="3776" spans="1:5" x14ac:dyDescent="0.3">
      <c r="A3776" s="2" t="s">
        <v>7721</v>
      </c>
      <c r="B3776" s="2" t="s">
        <v>5</v>
      </c>
      <c r="C3776" s="2" t="s">
        <v>7722</v>
      </c>
      <c r="D3776" s="2" t="s">
        <v>7706</v>
      </c>
      <c r="E3776" s="2" t="str">
        <f>HYPERLINK("https://talan.bank.gov.ua/get-user-certificate/sec1eWy3R-QWsjcENE2v","Завантажити сертифікат")</f>
        <v>Завантажити сертифікат</v>
      </c>
    </row>
    <row r="3777" spans="1:5" x14ac:dyDescent="0.3">
      <c r="A3777" s="2" t="s">
        <v>7723</v>
      </c>
      <c r="B3777" s="2" t="s">
        <v>5</v>
      </c>
      <c r="C3777" s="2" t="s">
        <v>7724</v>
      </c>
      <c r="D3777" s="2" t="s">
        <v>7706</v>
      </c>
      <c r="E3777" s="2" t="str">
        <f>HYPERLINK("https://talan.bank.gov.ua/get-user-certificate/sec1eOTwINWu5_n1ARyW","Завантажити сертифікат")</f>
        <v>Завантажити сертифікат</v>
      </c>
    </row>
    <row r="3778" spans="1:5" x14ac:dyDescent="0.3">
      <c r="A3778" s="2" t="s">
        <v>7725</v>
      </c>
      <c r="B3778" s="2" t="s">
        <v>5</v>
      </c>
      <c r="C3778" s="2" t="s">
        <v>7726</v>
      </c>
      <c r="D3778" s="2" t="s">
        <v>7706</v>
      </c>
      <c r="E3778" s="2" t="str">
        <f>HYPERLINK("https://talan.bank.gov.ua/get-user-certificate/sec1e8-K8OUUhKZlVOmq","Завантажити сертифікат")</f>
        <v>Завантажити сертифікат</v>
      </c>
    </row>
    <row r="3779" spans="1:5" x14ac:dyDescent="0.3">
      <c r="A3779" s="2" t="s">
        <v>7727</v>
      </c>
      <c r="B3779" s="2" t="s">
        <v>5</v>
      </c>
      <c r="C3779" s="2" t="s">
        <v>7728</v>
      </c>
      <c r="D3779" s="2" t="s">
        <v>7706</v>
      </c>
      <c r="E3779" s="2" t="str">
        <f>HYPERLINK("https://talan.bank.gov.ua/get-user-certificate/sec1eJZgcg280oFz2cjz","Завантажити сертифікат")</f>
        <v>Завантажити сертифікат</v>
      </c>
    </row>
    <row r="3780" spans="1:5" x14ac:dyDescent="0.3">
      <c r="A3780" s="2" t="s">
        <v>7729</v>
      </c>
      <c r="B3780" s="2" t="s">
        <v>5</v>
      </c>
      <c r="C3780" s="2" t="s">
        <v>7730</v>
      </c>
      <c r="D3780" s="2" t="s">
        <v>7706</v>
      </c>
      <c r="E3780" s="2" t="str">
        <f>HYPERLINK("https://talan.bank.gov.ua/get-user-certificate/sec1ejq8M9xUDaZ9u00J","Завантажити сертифікат")</f>
        <v>Завантажити сертифікат</v>
      </c>
    </row>
    <row r="3781" spans="1:5" x14ac:dyDescent="0.3">
      <c r="A3781" s="2" t="s">
        <v>7731</v>
      </c>
      <c r="B3781" s="2" t="s">
        <v>5</v>
      </c>
      <c r="C3781" s="2" t="s">
        <v>7732</v>
      </c>
      <c r="D3781" s="2" t="s">
        <v>7706</v>
      </c>
      <c r="E3781" s="2" t="str">
        <f>HYPERLINK("https://talan.bank.gov.ua/get-user-certificate/sec1eBcABGr_bmg3swgQ","Завантажити сертифікат")</f>
        <v>Завантажити сертифікат</v>
      </c>
    </row>
    <row r="3782" spans="1:5" x14ac:dyDescent="0.3">
      <c r="A3782" s="2" t="s">
        <v>7733</v>
      </c>
      <c r="B3782" s="2" t="s">
        <v>5</v>
      </c>
      <c r="C3782" s="2" t="s">
        <v>7734</v>
      </c>
      <c r="D3782" s="2" t="s">
        <v>7706</v>
      </c>
      <c r="E3782" s="2" t="str">
        <f>HYPERLINK("https://talan.bank.gov.ua/get-user-certificate/sec1ee86oAHLkLuCWTPR","Завантажити сертифікат")</f>
        <v>Завантажити сертифікат</v>
      </c>
    </row>
    <row r="3783" spans="1:5" x14ac:dyDescent="0.3">
      <c r="A3783" s="2" t="s">
        <v>7735</v>
      </c>
      <c r="B3783" s="2" t="s">
        <v>5</v>
      </c>
      <c r="C3783" s="2" t="s">
        <v>7736</v>
      </c>
      <c r="D3783" s="2" t="s">
        <v>7706</v>
      </c>
      <c r="E3783" s="2" t="str">
        <f>HYPERLINK("https://talan.bank.gov.ua/get-user-certificate/sec1ecyv6ECs0TO2tivE","Завантажити сертифікат")</f>
        <v>Завантажити сертифікат</v>
      </c>
    </row>
    <row r="3784" spans="1:5" x14ac:dyDescent="0.3">
      <c r="A3784" s="2" t="s">
        <v>7737</v>
      </c>
      <c r="B3784" s="2" t="s">
        <v>5</v>
      </c>
      <c r="C3784" s="2" t="s">
        <v>7738</v>
      </c>
      <c r="D3784" s="2" t="s">
        <v>7706</v>
      </c>
      <c r="E3784" s="2" t="str">
        <f>HYPERLINK("https://talan.bank.gov.ua/get-user-certificate/sec1esU-oligYw7r8mdU","Завантажити сертифікат")</f>
        <v>Завантажити сертифікат</v>
      </c>
    </row>
    <row r="3785" spans="1:5" x14ac:dyDescent="0.3">
      <c r="A3785" s="2" t="s">
        <v>7739</v>
      </c>
      <c r="B3785" s="2" t="s">
        <v>5</v>
      </c>
      <c r="C3785" s="2" t="s">
        <v>7740</v>
      </c>
      <c r="D3785" s="2" t="s">
        <v>7706</v>
      </c>
      <c r="E3785" s="2" t="str">
        <f>HYPERLINK("https://talan.bank.gov.ua/get-user-certificate/sec1eL3It0EcYSzy3FH2","Завантажити сертифікат")</f>
        <v>Завантажити сертифікат</v>
      </c>
    </row>
    <row r="3786" spans="1:5" x14ac:dyDescent="0.3">
      <c r="A3786" s="2" t="s">
        <v>7741</v>
      </c>
      <c r="B3786" s="2" t="s">
        <v>5</v>
      </c>
      <c r="C3786" s="2" t="s">
        <v>7742</v>
      </c>
      <c r="D3786" s="2" t="s">
        <v>7706</v>
      </c>
      <c r="E3786" s="2" t="str">
        <f>HYPERLINK("https://talan.bank.gov.ua/get-user-certificate/sec1efpsOj2h9N-zwgXy","Завантажити сертифікат")</f>
        <v>Завантажити сертифікат</v>
      </c>
    </row>
    <row r="3787" spans="1:5" x14ac:dyDescent="0.3">
      <c r="A3787" s="2" t="s">
        <v>7743</v>
      </c>
      <c r="B3787" s="2" t="s">
        <v>5</v>
      </c>
      <c r="C3787" s="2" t="s">
        <v>7744</v>
      </c>
      <c r="D3787" s="2" t="s">
        <v>7706</v>
      </c>
      <c r="E3787" s="2" t="str">
        <f>HYPERLINK("https://talan.bank.gov.ua/get-user-certificate/sec1e5rWeT-oNXBEmPwe","Завантажити сертифікат")</f>
        <v>Завантажити сертифікат</v>
      </c>
    </row>
    <row r="3788" spans="1:5" x14ac:dyDescent="0.3">
      <c r="A3788" s="2" t="s">
        <v>7745</v>
      </c>
      <c r="B3788" s="2" t="s">
        <v>5</v>
      </c>
      <c r="C3788" s="2" t="s">
        <v>7746</v>
      </c>
      <c r="D3788" s="2" t="s">
        <v>7706</v>
      </c>
      <c r="E3788" s="2" t="str">
        <f>HYPERLINK("https://talan.bank.gov.ua/get-user-certificate/sec1ejTReRBJXQnSjEo5","Завантажити сертифікат")</f>
        <v>Завантажити сертифікат</v>
      </c>
    </row>
    <row r="3789" spans="1:5" x14ac:dyDescent="0.3">
      <c r="A3789" s="2" t="s">
        <v>7747</v>
      </c>
      <c r="B3789" s="2" t="s">
        <v>5</v>
      </c>
      <c r="C3789" s="2" t="s">
        <v>7748</v>
      </c>
      <c r="D3789" s="2" t="s">
        <v>7706</v>
      </c>
      <c r="E3789" s="2" t="str">
        <f>HYPERLINK("https://talan.bank.gov.ua/get-user-certificate/sec1eUCAo69zN1D76iKO","Завантажити сертифікат")</f>
        <v>Завантажити сертифікат</v>
      </c>
    </row>
    <row r="3790" spans="1:5" x14ac:dyDescent="0.3">
      <c r="A3790" s="2" t="s">
        <v>7749</v>
      </c>
      <c r="B3790" s="2" t="s">
        <v>5</v>
      </c>
      <c r="C3790" s="2" t="s">
        <v>7750</v>
      </c>
      <c r="D3790" s="2" t="s">
        <v>7706</v>
      </c>
      <c r="E3790" s="2" t="str">
        <f>HYPERLINK("https://talan.bank.gov.ua/get-user-certificate/sec1e3K8ZR0KaISRhygs","Завантажити сертифікат")</f>
        <v>Завантажити сертифікат</v>
      </c>
    </row>
    <row r="3791" spans="1:5" x14ac:dyDescent="0.3">
      <c r="A3791" s="2" t="s">
        <v>7751</v>
      </c>
      <c r="B3791" s="2" t="s">
        <v>5</v>
      </c>
      <c r="C3791" s="2" t="s">
        <v>7752</v>
      </c>
      <c r="D3791" s="2" t="s">
        <v>7706</v>
      </c>
      <c r="E3791" s="2" t="str">
        <f>HYPERLINK("https://talan.bank.gov.ua/get-user-certificate/sec1eScO25LaSlgds0Nu","Завантажити сертифікат")</f>
        <v>Завантажити сертифікат</v>
      </c>
    </row>
    <row r="3792" spans="1:5" x14ac:dyDescent="0.3">
      <c r="A3792" s="2" t="s">
        <v>7753</v>
      </c>
      <c r="B3792" s="2" t="s">
        <v>5</v>
      </c>
      <c r="C3792" s="2" t="s">
        <v>7754</v>
      </c>
      <c r="D3792" s="2" t="s">
        <v>7706</v>
      </c>
      <c r="E3792" s="2" t="str">
        <f>HYPERLINK("https://talan.bank.gov.ua/get-user-certificate/sec1ezOh_YiC6wwd36zi","Завантажити сертифікат")</f>
        <v>Завантажити сертифікат</v>
      </c>
    </row>
    <row r="3793" spans="1:5" x14ac:dyDescent="0.3">
      <c r="A3793" s="2" t="s">
        <v>7755</v>
      </c>
      <c r="B3793" s="2" t="s">
        <v>5</v>
      </c>
      <c r="C3793" s="2" t="s">
        <v>7756</v>
      </c>
      <c r="D3793" s="2" t="s">
        <v>7706</v>
      </c>
      <c r="E3793" s="2" t="str">
        <f>HYPERLINK("https://talan.bank.gov.ua/get-user-certificate/sec1e5d88oLd_s8w5VUR","Завантажити сертифікат")</f>
        <v>Завантажити сертифікат</v>
      </c>
    </row>
    <row r="3794" spans="1:5" x14ac:dyDescent="0.3">
      <c r="A3794" s="2" t="s">
        <v>7757</v>
      </c>
      <c r="B3794" s="2" t="s">
        <v>5</v>
      </c>
      <c r="C3794" s="2" t="s">
        <v>7758</v>
      </c>
      <c r="D3794" s="2" t="s">
        <v>7706</v>
      </c>
      <c r="E3794" s="2" t="str">
        <f>HYPERLINK("https://talan.bank.gov.ua/get-user-certificate/sec1ere_PBwhH3ecHT7m","Завантажити сертифікат")</f>
        <v>Завантажити сертифікат</v>
      </c>
    </row>
    <row r="3795" spans="1:5" x14ac:dyDescent="0.3">
      <c r="A3795" s="2" t="s">
        <v>7759</v>
      </c>
      <c r="B3795" s="2" t="s">
        <v>5</v>
      </c>
      <c r="C3795" s="2" t="s">
        <v>7760</v>
      </c>
      <c r="D3795" s="2" t="s">
        <v>7761</v>
      </c>
      <c r="E3795" s="2" t="str">
        <f>HYPERLINK("https://talan.bank.gov.ua/get-user-certificate/sec1efZFI1yf_6PDK9PF","Завантажити сертифікат")</f>
        <v>Завантажити сертифікат</v>
      </c>
    </row>
    <row r="3796" spans="1:5" x14ac:dyDescent="0.3">
      <c r="A3796" s="2" t="s">
        <v>7762</v>
      </c>
      <c r="B3796" s="2" t="s">
        <v>5</v>
      </c>
      <c r="C3796" s="2" t="s">
        <v>7763</v>
      </c>
      <c r="D3796" s="2" t="s">
        <v>7761</v>
      </c>
      <c r="E3796" s="2" t="str">
        <f>HYPERLINK("https://talan.bank.gov.ua/get-user-certificate/sec1ePTAgUCerSKAy4k4","Завантажити сертифікат")</f>
        <v>Завантажити сертифікат</v>
      </c>
    </row>
    <row r="3797" spans="1:5" x14ac:dyDescent="0.3">
      <c r="A3797" s="2" t="s">
        <v>7764</v>
      </c>
      <c r="B3797" s="2" t="s">
        <v>5</v>
      </c>
      <c r="C3797" s="2" t="s">
        <v>7765</v>
      </c>
      <c r="D3797" s="2" t="s">
        <v>7761</v>
      </c>
      <c r="E3797" s="2" t="str">
        <f>HYPERLINK("https://talan.bank.gov.ua/get-user-certificate/sec1eKwV0QsRQA4PfDez","Завантажити сертифікат")</f>
        <v>Завантажити сертифікат</v>
      </c>
    </row>
    <row r="3798" spans="1:5" x14ac:dyDescent="0.3">
      <c r="A3798" s="2" t="s">
        <v>7766</v>
      </c>
      <c r="B3798" s="2" t="s">
        <v>5</v>
      </c>
      <c r="C3798" s="2" t="s">
        <v>7767</v>
      </c>
      <c r="D3798" s="2" t="s">
        <v>7761</v>
      </c>
      <c r="E3798" s="2" t="str">
        <f>HYPERLINK("https://talan.bank.gov.ua/get-user-certificate/sec1eOU4mqkXMy4MQ4h0","Завантажити сертифікат")</f>
        <v>Завантажити сертифікат</v>
      </c>
    </row>
    <row r="3799" spans="1:5" x14ac:dyDescent="0.3">
      <c r="A3799" s="2" t="s">
        <v>7768</v>
      </c>
      <c r="B3799" s="2" t="s">
        <v>5</v>
      </c>
      <c r="C3799" s="2" t="s">
        <v>7769</v>
      </c>
      <c r="D3799" s="2" t="s">
        <v>7761</v>
      </c>
      <c r="E3799" s="2" t="str">
        <f>HYPERLINK("https://talan.bank.gov.ua/get-user-certificate/sec1eBe481WUfi2rEsyF","Завантажити сертифікат")</f>
        <v>Завантажити сертифікат</v>
      </c>
    </row>
    <row r="3800" spans="1:5" x14ac:dyDescent="0.3">
      <c r="A3800" s="2" t="s">
        <v>7770</v>
      </c>
      <c r="B3800" s="2" t="s">
        <v>5</v>
      </c>
      <c r="C3800" s="2" t="s">
        <v>7771</v>
      </c>
      <c r="D3800" s="2" t="s">
        <v>7761</v>
      </c>
      <c r="E3800" s="2" t="str">
        <f>HYPERLINK("https://talan.bank.gov.ua/get-user-certificate/sec1eer2mT6SMBmuoBr5","Завантажити сертифікат")</f>
        <v>Завантажити сертифікат</v>
      </c>
    </row>
    <row r="3801" spans="1:5" x14ac:dyDescent="0.3">
      <c r="A3801" s="2" t="s">
        <v>7772</v>
      </c>
      <c r="B3801" s="2" t="s">
        <v>5</v>
      </c>
      <c r="C3801" s="2" t="s">
        <v>7773</v>
      </c>
      <c r="D3801" s="2" t="s">
        <v>7761</v>
      </c>
      <c r="E3801" s="2" t="str">
        <f>HYPERLINK("https://talan.bank.gov.ua/get-user-certificate/sec1epEVe0Apqm89NAz4","Завантажити сертифікат")</f>
        <v>Завантажити сертифікат</v>
      </c>
    </row>
    <row r="3802" spans="1:5" x14ac:dyDescent="0.3">
      <c r="A3802" s="2" t="s">
        <v>7774</v>
      </c>
      <c r="B3802" s="2" t="s">
        <v>5</v>
      </c>
      <c r="C3802" s="2" t="s">
        <v>7775</v>
      </c>
      <c r="D3802" s="2" t="s">
        <v>7761</v>
      </c>
      <c r="E3802" s="2" t="str">
        <f>HYPERLINK("https://talan.bank.gov.ua/get-user-certificate/sec1eRPJdt7yYl9LyaBk","Завантажити сертифікат")</f>
        <v>Завантажити сертифікат</v>
      </c>
    </row>
    <row r="3803" spans="1:5" x14ac:dyDescent="0.3">
      <c r="A3803" s="2" t="s">
        <v>7776</v>
      </c>
      <c r="B3803" s="2" t="s">
        <v>5</v>
      </c>
      <c r="C3803" s="2" t="s">
        <v>7777</v>
      </c>
      <c r="D3803" s="2" t="s">
        <v>7761</v>
      </c>
      <c r="E3803" s="2" t="str">
        <f>HYPERLINK("https://talan.bank.gov.ua/get-user-certificate/sec1eQtwPKRe_tO-2ThU","Завантажити сертифікат")</f>
        <v>Завантажити сертифікат</v>
      </c>
    </row>
    <row r="3804" spans="1:5" x14ac:dyDescent="0.3">
      <c r="A3804" s="2" t="s">
        <v>7778</v>
      </c>
      <c r="B3804" s="2" t="s">
        <v>5</v>
      </c>
      <c r="C3804" s="2" t="s">
        <v>7779</v>
      </c>
      <c r="D3804" s="2" t="s">
        <v>7761</v>
      </c>
      <c r="E3804" s="2" t="str">
        <f>HYPERLINK("https://talan.bank.gov.ua/get-user-certificate/sec1egIzfyTRj_MkjQtt","Завантажити сертифікат")</f>
        <v>Завантажити сертифікат</v>
      </c>
    </row>
    <row r="3805" spans="1:5" x14ac:dyDescent="0.3">
      <c r="A3805" s="2" t="s">
        <v>7780</v>
      </c>
      <c r="B3805" s="2" t="s">
        <v>5</v>
      </c>
      <c r="C3805" s="2" t="s">
        <v>7781</v>
      </c>
      <c r="D3805" s="2" t="s">
        <v>7761</v>
      </c>
      <c r="E3805" s="2" t="str">
        <f>HYPERLINK("https://talan.bank.gov.ua/get-user-certificate/sec1elLXitV7vZVrX6V8","Завантажити сертифікат")</f>
        <v>Завантажити сертифікат</v>
      </c>
    </row>
    <row r="3806" spans="1:5" x14ac:dyDescent="0.3">
      <c r="A3806" s="2" t="s">
        <v>7782</v>
      </c>
      <c r="B3806" s="2" t="s">
        <v>5</v>
      </c>
      <c r="C3806" s="2" t="s">
        <v>7783</v>
      </c>
      <c r="D3806" s="2" t="s">
        <v>7761</v>
      </c>
      <c r="E3806" s="2" t="str">
        <f>HYPERLINK("https://talan.bank.gov.ua/get-user-certificate/sec1eT_GYPBfx5SOkWzX","Завантажити сертифікат")</f>
        <v>Завантажити сертифікат</v>
      </c>
    </row>
    <row r="3807" spans="1:5" x14ac:dyDescent="0.3">
      <c r="A3807" s="2" t="s">
        <v>7784</v>
      </c>
      <c r="B3807" s="2" t="s">
        <v>5</v>
      </c>
      <c r="C3807" s="2" t="s">
        <v>7785</v>
      </c>
      <c r="D3807" s="2" t="s">
        <v>7761</v>
      </c>
      <c r="E3807" s="2" t="str">
        <f>HYPERLINK("https://talan.bank.gov.ua/get-user-certificate/sec1eGC8TmqF6lWYY6na","Завантажити сертифікат")</f>
        <v>Завантажити сертифікат</v>
      </c>
    </row>
    <row r="3808" spans="1:5" x14ac:dyDescent="0.3">
      <c r="A3808" s="2" t="s">
        <v>7786</v>
      </c>
      <c r="B3808" s="2" t="s">
        <v>5</v>
      </c>
      <c r="C3808" s="2" t="s">
        <v>7787</v>
      </c>
      <c r="D3808" s="2" t="s">
        <v>7761</v>
      </c>
      <c r="E3808" s="2" t="str">
        <f>HYPERLINK("https://talan.bank.gov.ua/get-user-certificate/sec1ehzSo6an3_2GDCLJ","Завантажити сертифікат")</f>
        <v>Завантажити сертифікат</v>
      </c>
    </row>
    <row r="3809" spans="1:5" x14ac:dyDescent="0.3">
      <c r="A3809" s="2" t="s">
        <v>7788</v>
      </c>
      <c r="B3809" s="2" t="s">
        <v>5</v>
      </c>
      <c r="C3809" s="2" t="s">
        <v>7789</v>
      </c>
      <c r="D3809" s="2" t="s">
        <v>7761</v>
      </c>
      <c r="E3809" s="2" t="str">
        <f>HYPERLINK("https://talan.bank.gov.ua/get-user-certificate/sec1eyjKFWl8_oLqeGqZ","Завантажити сертифікат")</f>
        <v>Завантажити сертифікат</v>
      </c>
    </row>
    <row r="3810" spans="1:5" x14ac:dyDescent="0.3">
      <c r="A3810" s="2" t="s">
        <v>7790</v>
      </c>
      <c r="B3810" s="2" t="s">
        <v>5</v>
      </c>
      <c r="C3810" s="2" t="s">
        <v>7791</v>
      </c>
      <c r="D3810" s="2" t="s">
        <v>7792</v>
      </c>
      <c r="E3810" s="2" t="str">
        <f>HYPERLINK("https://talan.bank.gov.ua/get-user-certificate/sec1eectMWbfKmNVZitj","Завантажити сертифікат")</f>
        <v>Завантажити сертифікат</v>
      </c>
    </row>
    <row r="3811" spans="1:5" x14ac:dyDescent="0.3">
      <c r="A3811" s="2" t="s">
        <v>7793</v>
      </c>
      <c r="B3811" s="2" t="s">
        <v>5</v>
      </c>
      <c r="C3811" s="2" t="s">
        <v>7794</v>
      </c>
      <c r="D3811" s="2" t="s">
        <v>7792</v>
      </c>
      <c r="E3811" s="2" t="str">
        <f>HYPERLINK("https://talan.bank.gov.ua/get-user-certificate/sec1eTC6b8rDUIjo0Hp1","Завантажити сертифікат")</f>
        <v>Завантажити сертифікат</v>
      </c>
    </row>
    <row r="3812" spans="1:5" x14ac:dyDescent="0.3">
      <c r="A3812" s="2" t="s">
        <v>7795</v>
      </c>
      <c r="B3812" s="2" t="s">
        <v>5</v>
      </c>
      <c r="C3812" s="2" t="s">
        <v>7796</v>
      </c>
      <c r="D3812" s="2" t="s">
        <v>7792</v>
      </c>
      <c r="E3812" s="2" t="str">
        <f>HYPERLINK("https://talan.bank.gov.ua/get-user-certificate/sec1elMrCerC4QnHQcTy","Завантажити сертифікат")</f>
        <v>Завантажити сертифікат</v>
      </c>
    </row>
    <row r="3813" spans="1:5" x14ac:dyDescent="0.3">
      <c r="A3813" s="2" t="s">
        <v>7797</v>
      </c>
      <c r="B3813" s="2" t="s">
        <v>5</v>
      </c>
      <c r="C3813" s="2" t="s">
        <v>7798</v>
      </c>
      <c r="D3813" s="2" t="s">
        <v>7792</v>
      </c>
      <c r="E3813" s="2" t="str">
        <f>HYPERLINK("https://talan.bank.gov.ua/get-user-certificate/sec1es5IWYRDvnCZXyvs","Завантажити сертифікат")</f>
        <v>Завантажити сертифікат</v>
      </c>
    </row>
    <row r="3814" spans="1:5" x14ac:dyDescent="0.3">
      <c r="A3814" s="2" t="s">
        <v>7799</v>
      </c>
      <c r="B3814" s="2" t="s">
        <v>5</v>
      </c>
      <c r="C3814" s="2" t="s">
        <v>7800</v>
      </c>
      <c r="D3814" s="2" t="s">
        <v>7792</v>
      </c>
      <c r="E3814" s="2" t="str">
        <f>HYPERLINK("https://talan.bank.gov.ua/get-user-certificate/sec1evJ8GzwfolL78n7c","Завантажити сертифікат")</f>
        <v>Завантажити сертифікат</v>
      </c>
    </row>
    <row r="3815" spans="1:5" x14ac:dyDescent="0.3">
      <c r="A3815" s="2" t="s">
        <v>7801</v>
      </c>
      <c r="B3815" s="2" t="s">
        <v>5</v>
      </c>
      <c r="C3815" s="2" t="s">
        <v>7802</v>
      </c>
      <c r="D3815" s="2" t="s">
        <v>7803</v>
      </c>
      <c r="E3815" s="2" t="str">
        <f>HYPERLINK("https://talan.bank.gov.ua/get-user-certificate/sec1eI4x-E6PG-SPo6tJ","Завантажити сертифікат")</f>
        <v>Завантажити сертифікат</v>
      </c>
    </row>
    <row r="3816" spans="1:5" x14ac:dyDescent="0.3">
      <c r="A3816" s="2" t="s">
        <v>7804</v>
      </c>
      <c r="B3816" s="2" t="s">
        <v>5</v>
      </c>
      <c r="C3816" s="2" t="s">
        <v>7805</v>
      </c>
      <c r="D3816" s="2" t="s">
        <v>7803</v>
      </c>
      <c r="E3816" s="2" t="str">
        <f>HYPERLINK("https://talan.bank.gov.ua/get-user-certificate/sec1enFIRGL6C30i05s5","Завантажити сертифікат")</f>
        <v>Завантажити сертифікат</v>
      </c>
    </row>
    <row r="3817" spans="1:5" x14ac:dyDescent="0.3">
      <c r="A3817" s="2" t="s">
        <v>7806</v>
      </c>
      <c r="B3817" s="2" t="s">
        <v>5</v>
      </c>
      <c r="C3817" s="2" t="s">
        <v>7807</v>
      </c>
      <c r="D3817" s="2" t="s">
        <v>7803</v>
      </c>
      <c r="E3817" s="2" t="str">
        <f>HYPERLINK("https://talan.bank.gov.ua/get-user-certificate/sec1eDg42RuTOZdhQdoJ","Завантажити сертифікат")</f>
        <v>Завантажити сертифікат</v>
      </c>
    </row>
    <row r="3818" spans="1:5" x14ac:dyDescent="0.3">
      <c r="A3818" s="2" t="s">
        <v>7808</v>
      </c>
      <c r="B3818" s="2" t="s">
        <v>5</v>
      </c>
      <c r="C3818" s="2" t="s">
        <v>7809</v>
      </c>
      <c r="D3818" s="2" t="s">
        <v>7803</v>
      </c>
      <c r="E3818" s="2" t="str">
        <f>HYPERLINK("https://talan.bank.gov.ua/get-user-certificate/sec1eaRqKtScyAmtYXUc","Завантажити сертифікат")</f>
        <v>Завантажити сертифікат</v>
      </c>
    </row>
    <row r="3819" spans="1:5" x14ac:dyDescent="0.3">
      <c r="A3819" s="2" t="s">
        <v>7810</v>
      </c>
      <c r="B3819" s="2" t="s">
        <v>5</v>
      </c>
      <c r="C3819" s="2" t="s">
        <v>7811</v>
      </c>
      <c r="D3819" s="2" t="s">
        <v>7803</v>
      </c>
      <c r="E3819" s="2" t="str">
        <f>HYPERLINK("https://talan.bank.gov.ua/get-user-certificate/sec1e4nKva-Uuw7SCHeA","Завантажити сертифікат")</f>
        <v>Завантажити сертифікат</v>
      </c>
    </row>
    <row r="3820" spans="1:5" x14ac:dyDescent="0.3">
      <c r="A3820" s="2" t="s">
        <v>7812</v>
      </c>
      <c r="B3820" s="2" t="s">
        <v>5</v>
      </c>
      <c r="C3820" s="2" t="s">
        <v>7813</v>
      </c>
      <c r="D3820" s="2" t="s">
        <v>7803</v>
      </c>
      <c r="E3820" s="2" t="str">
        <f>HYPERLINK("https://talan.bank.gov.ua/get-user-certificate/sec1en0LwW-z7otswiF2","Завантажити сертифікат")</f>
        <v>Завантажити сертифікат</v>
      </c>
    </row>
    <row r="3821" spans="1:5" x14ac:dyDescent="0.3">
      <c r="A3821" s="2" t="s">
        <v>7814</v>
      </c>
      <c r="B3821" s="2" t="s">
        <v>5</v>
      </c>
      <c r="C3821" s="2" t="s">
        <v>7815</v>
      </c>
      <c r="D3821" s="2" t="s">
        <v>7803</v>
      </c>
      <c r="E3821" s="2" t="str">
        <f>HYPERLINK("https://talan.bank.gov.ua/get-user-certificate/sec1e8_OyLzk28Pfcsdr","Завантажити сертифікат")</f>
        <v>Завантажити сертифікат</v>
      </c>
    </row>
    <row r="3822" spans="1:5" x14ac:dyDescent="0.3">
      <c r="A3822" s="2" t="s">
        <v>7816</v>
      </c>
      <c r="B3822" s="2" t="s">
        <v>5</v>
      </c>
      <c r="C3822" s="2" t="s">
        <v>7817</v>
      </c>
      <c r="D3822" s="2" t="s">
        <v>7803</v>
      </c>
      <c r="E3822" s="2" t="str">
        <f>HYPERLINK("https://talan.bank.gov.ua/get-user-certificate/sec1eOWqX3THb9Ifpvon","Завантажити сертифікат")</f>
        <v>Завантажити сертифікат</v>
      </c>
    </row>
    <row r="3823" spans="1:5" x14ac:dyDescent="0.3">
      <c r="A3823" s="2" t="s">
        <v>7818</v>
      </c>
      <c r="B3823" s="2" t="s">
        <v>5</v>
      </c>
      <c r="C3823" s="2" t="s">
        <v>7819</v>
      </c>
      <c r="D3823" s="2" t="s">
        <v>7803</v>
      </c>
      <c r="E3823" s="2" t="str">
        <f>HYPERLINK("https://talan.bank.gov.ua/get-user-certificate/sec1e_M_XzzNCFwEISp7","Завантажити сертифікат")</f>
        <v>Завантажити сертифікат</v>
      </c>
    </row>
    <row r="3824" spans="1:5" x14ac:dyDescent="0.3">
      <c r="A3824" s="2" t="s">
        <v>7820</v>
      </c>
      <c r="B3824" s="2" t="s">
        <v>5</v>
      </c>
      <c r="C3824" s="2" t="s">
        <v>7821</v>
      </c>
      <c r="D3824" s="2" t="s">
        <v>7803</v>
      </c>
      <c r="E3824" s="2" t="str">
        <f>HYPERLINK("https://talan.bank.gov.ua/get-user-certificate/sec1e1-Qn7QlanvZzt4c","Завантажити сертифікат")</f>
        <v>Завантажити сертифікат</v>
      </c>
    </row>
    <row r="3825" spans="1:5" x14ac:dyDescent="0.3">
      <c r="A3825" s="2" t="s">
        <v>7822</v>
      </c>
      <c r="B3825" s="2" t="s">
        <v>5</v>
      </c>
      <c r="C3825" s="2" t="s">
        <v>7823</v>
      </c>
      <c r="D3825" s="2" t="s">
        <v>7803</v>
      </c>
      <c r="E3825" s="2" t="str">
        <f>HYPERLINK("https://talan.bank.gov.ua/get-user-certificate/sec1eL7UeMaM6W0A2k3z","Завантажити сертифікат")</f>
        <v>Завантажити сертифікат</v>
      </c>
    </row>
    <row r="3826" spans="1:5" x14ac:dyDescent="0.3">
      <c r="A3826" s="2" t="s">
        <v>7824</v>
      </c>
      <c r="B3826" s="2" t="s">
        <v>5</v>
      </c>
      <c r="C3826" s="2" t="s">
        <v>7825</v>
      </c>
      <c r="D3826" s="2" t="s">
        <v>7803</v>
      </c>
      <c r="E3826" s="2" t="str">
        <f>HYPERLINK("https://talan.bank.gov.ua/get-user-certificate/sec1ep6CFF6oXGXbztPF","Завантажити сертифікат")</f>
        <v>Завантажити сертифікат</v>
      </c>
    </row>
    <row r="3827" spans="1:5" x14ac:dyDescent="0.3">
      <c r="A3827" s="2" t="s">
        <v>7826</v>
      </c>
      <c r="B3827" s="2" t="s">
        <v>5</v>
      </c>
      <c r="C3827" s="2" t="s">
        <v>7827</v>
      </c>
      <c r="D3827" s="2" t="s">
        <v>7803</v>
      </c>
      <c r="E3827" s="2" t="str">
        <f>HYPERLINK("https://talan.bank.gov.ua/get-user-certificate/sec1eva01c6wL0v2CVIh","Завантажити сертифікат")</f>
        <v>Завантажити сертифікат</v>
      </c>
    </row>
    <row r="3828" spans="1:5" x14ac:dyDescent="0.3">
      <c r="A3828" s="2" t="s">
        <v>7828</v>
      </c>
      <c r="B3828" s="2" t="s">
        <v>5</v>
      </c>
      <c r="C3828" s="2" t="s">
        <v>7829</v>
      </c>
      <c r="D3828" s="2" t="s">
        <v>7803</v>
      </c>
      <c r="E3828" s="2" t="str">
        <f>HYPERLINK("https://talan.bank.gov.ua/get-user-certificate/sec1esfSgsxknU4_zK0p","Завантажити сертифікат")</f>
        <v>Завантажити сертифікат</v>
      </c>
    </row>
    <row r="3829" spans="1:5" x14ac:dyDescent="0.3">
      <c r="A3829" s="2" t="s">
        <v>7830</v>
      </c>
      <c r="B3829" s="2" t="s">
        <v>5</v>
      </c>
      <c r="C3829" s="2" t="s">
        <v>7831</v>
      </c>
      <c r="D3829" s="2" t="s">
        <v>7803</v>
      </c>
      <c r="E3829" s="2" t="str">
        <f>HYPERLINK("https://talan.bank.gov.ua/get-user-certificate/sec1eKpYDxHogsa6Lsvo","Завантажити сертифікат")</f>
        <v>Завантажити сертифікат</v>
      </c>
    </row>
    <row r="3830" spans="1:5" x14ac:dyDescent="0.3">
      <c r="A3830" s="2" t="s">
        <v>7832</v>
      </c>
      <c r="B3830" s="2" t="s">
        <v>5</v>
      </c>
      <c r="C3830" s="2" t="s">
        <v>7833</v>
      </c>
      <c r="D3830" s="2" t="s">
        <v>7803</v>
      </c>
      <c r="E3830" s="2" t="str">
        <f>HYPERLINK("https://talan.bank.gov.ua/get-user-certificate/sec1exdqTV8RjEREXrMh","Завантажити сертифікат")</f>
        <v>Завантажити сертифікат</v>
      </c>
    </row>
    <row r="3831" spans="1:5" x14ac:dyDescent="0.3">
      <c r="A3831" s="2" t="s">
        <v>7834</v>
      </c>
      <c r="B3831" s="2" t="s">
        <v>5</v>
      </c>
      <c r="C3831" s="2" t="s">
        <v>7835</v>
      </c>
      <c r="D3831" s="2" t="s">
        <v>7803</v>
      </c>
      <c r="E3831" s="2" t="str">
        <f>HYPERLINK("https://talan.bank.gov.ua/get-user-certificate/sec1eJqxUPJHfxMuGmIq","Завантажити сертифікат")</f>
        <v>Завантажити сертифікат</v>
      </c>
    </row>
    <row r="3832" spans="1:5" x14ac:dyDescent="0.3">
      <c r="A3832" s="2" t="s">
        <v>7836</v>
      </c>
      <c r="B3832" s="2" t="s">
        <v>5</v>
      </c>
      <c r="C3832" s="2" t="s">
        <v>7837</v>
      </c>
      <c r="D3832" s="2" t="s">
        <v>7803</v>
      </c>
      <c r="E3832" s="2" t="str">
        <f>HYPERLINK("https://talan.bank.gov.ua/get-user-certificate/sec1eVRuw9tV6ZqijxwK","Завантажити сертифікат")</f>
        <v>Завантажити сертифікат</v>
      </c>
    </row>
    <row r="3833" spans="1:5" x14ac:dyDescent="0.3">
      <c r="A3833" s="2" t="s">
        <v>7838</v>
      </c>
      <c r="B3833" s="2" t="s">
        <v>5</v>
      </c>
      <c r="C3833" s="2" t="s">
        <v>7839</v>
      </c>
      <c r="D3833" s="2" t="s">
        <v>7840</v>
      </c>
      <c r="E3833" s="2" t="str">
        <f>HYPERLINK("https://talan.bank.gov.ua/get-user-certificate/sec1eXwvx79NrDTvJjLD","Завантажити сертифікат")</f>
        <v>Завантажити сертифікат</v>
      </c>
    </row>
    <row r="3834" spans="1:5" x14ac:dyDescent="0.3">
      <c r="A3834" s="2" t="s">
        <v>7841</v>
      </c>
      <c r="B3834" s="2" t="s">
        <v>5</v>
      </c>
      <c r="C3834" s="2" t="s">
        <v>7842</v>
      </c>
      <c r="D3834" s="2" t="s">
        <v>7840</v>
      </c>
      <c r="E3834" s="2" t="str">
        <f>HYPERLINK("https://talan.bank.gov.ua/get-user-certificate/sec1eFupSeE5PaKU3Cbb","Завантажити сертифікат")</f>
        <v>Завантажити сертифікат</v>
      </c>
    </row>
    <row r="3835" spans="1:5" x14ac:dyDescent="0.3">
      <c r="A3835" s="2" t="s">
        <v>7843</v>
      </c>
      <c r="B3835" s="2" t="s">
        <v>5</v>
      </c>
      <c r="C3835" s="2" t="s">
        <v>7844</v>
      </c>
      <c r="D3835" s="2" t="s">
        <v>7840</v>
      </c>
      <c r="E3835" s="2" t="str">
        <f>HYPERLINK("https://talan.bank.gov.ua/get-user-certificate/sec1e_7MX41lSah98sz_","Завантажити сертифікат")</f>
        <v>Завантажити сертифікат</v>
      </c>
    </row>
    <row r="3836" spans="1:5" x14ac:dyDescent="0.3">
      <c r="A3836" s="2" t="s">
        <v>7845</v>
      </c>
      <c r="B3836" s="2" t="s">
        <v>5</v>
      </c>
      <c r="C3836" s="2" t="s">
        <v>7846</v>
      </c>
      <c r="D3836" s="2" t="s">
        <v>7840</v>
      </c>
      <c r="E3836" s="2" t="str">
        <f>HYPERLINK("https://talan.bank.gov.ua/get-user-certificate/sec1e99I4oKKNruVNmkc","Завантажити сертифікат")</f>
        <v>Завантажити сертифікат</v>
      </c>
    </row>
    <row r="3837" spans="1:5" x14ac:dyDescent="0.3">
      <c r="A3837" s="2" t="s">
        <v>7847</v>
      </c>
      <c r="B3837" s="2" t="s">
        <v>5</v>
      </c>
      <c r="C3837" s="2" t="s">
        <v>7848</v>
      </c>
      <c r="D3837" s="2" t="s">
        <v>7840</v>
      </c>
      <c r="E3837" s="2" t="str">
        <f>HYPERLINK("https://talan.bank.gov.ua/get-user-certificate/sec1eMWGyCZhBQQhmUeg","Завантажити сертифікат")</f>
        <v>Завантажити сертифікат</v>
      </c>
    </row>
    <row r="3838" spans="1:5" x14ac:dyDescent="0.3">
      <c r="A3838" s="2" t="s">
        <v>7849</v>
      </c>
      <c r="B3838" s="2" t="s">
        <v>5</v>
      </c>
      <c r="C3838" s="2" t="s">
        <v>7850</v>
      </c>
      <c r="D3838" s="2" t="s">
        <v>7840</v>
      </c>
      <c r="E3838" s="2" t="str">
        <f>HYPERLINK("https://talan.bank.gov.ua/get-user-certificate/sec1eMkxRF8dk7JTEdIn","Завантажити сертифікат")</f>
        <v>Завантажити сертифікат</v>
      </c>
    </row>
    <row r="3839" spans="1:5" x14ac:dyDescent="0.3">
      <c r="A3839" s="2" t="s">
        <v>7851</v>
      </c>
      <c r="B3839" s="2" t="s">
        <v>5</v>
      </c>
      <c r="C3839" s="2" t="s">
        <v>7852</v>
      </c>
      <c r="D3839" s="2" t="s">
        <v>7840</v>
      </c>
      <c r="E3839" s="2" t="str">
        <f>HYPERLINK("https://talan.bank.gov.ua/get-user-certificate/sec1eMtOio4l96dkAuTi","Завантажити сертифікат")</f>
        <v>Завантажити сертифікат</v>
      </c>
    </row>
    <row r="3840" spans="1:5" x14ac:dyDescent="0.3">
      <c r="A3840" s="2" t="s">
        <v>7853</v>
      </c>
      <c r="B3840" s="2" t="s">
        <v>5</v>
      </c>
      <c r="C3840" s="2" t="s">
        <v>7854</v>
      </c>
      <c r="D3840" s="2" t="s">
        <v>7840</v>
      </c>
      <c r="E3840" s="2" t="str">
        <f>HYPERLINK("https://talan.bank.gov.ua/get-user-certificate/sec1eBZxbR2FZXac0fuX","Завантажити сертифікат")</f>
        <v>Завантажити сертифікат</v>
      </c>
    </row>
    <row r="3841" spans="1:5" x14ac:dyDescent="0.3">
      <c r="A3841" s="2" t="s">
        <v>7855</v>
      </c>
      <c r="B3841" s="2" t="s">
        <v>5</v>
      </c>
      <c r="C3841" s="2" t="s">
        <v>7856</v>
      </c>
      <c r="D3841" s="2" t="s">
        <v>7840</v>
      </c>
      <c r="E3841" s="2" t="str">
        <f>HYPERLINK("https://talan.bank.gov.ua/get-user-certificate/sec1egbA7hl_tqAwoTEj","Завантажити сертифікат")</f>
        <v>Завантажити сертифікат</v>
      </c>
    </row>
    <row r="3842" spans="1:5" x14ac:dyDescent="0.3">
      <c r="A3842" s="2" t="s">
        <v>7857</v>
      </c>
      <c r="B3842" s="2" t="s">
        <v>5</v>
      </c>
      <c r="C3842" s="2" t="s">
        <v>7858</v>
      </c>
      <c r="D3842" s="2" t="s">
        <v>7840</v>
      </c>
      <c r="E3842" s="2" t="str">
        <f>HYPERLINK("https://talan.bank.gov.ua/get-user-certificate/sec1ejDwmjhHH1kyObBU","Завантажити сертифікат")</f>
        <v>Завантажити сертифікат</v>
      </c>
    </row>
    <row r="3843" spans="1:5" x14ac:dyDescent="0.3">
      <c r="A3843" s="2" t="s">
        <v>7859</v>
      </c>
      <c r="B3843" s="2" t="s">
        <v>5</v>
      </c>
      <c r="C3843" s="2" t="s">
        <v>7860</v>
      </c>
      <c r="D3843" s="2" t="s">
        <v>7840</v>
      </c>
      <c r="E3843" s="2" t="str">
        <f>HYPERLINK("https://talan.bank.gov.ua/get-user-certificate/sec1e33gTmSUSjq9Odkw","Завантажити сертифікат")</f>
        <v>Завантажити сертифікат</v>
      </c>
    </row>
    <row r="3844" spans="1:5" x14ac:dyDescent="0.3">
      <c r="A3844" s="2" t="s">
        <v>7861</v>
      </c>
      <c r="B3844" s="2" t="s">
        <v>5</v>
      </c>
      <c r="C3844" s="2" t="s">
        <v>7862</v>
      </c>
      <c r="D3844" s="2" t="s">
        <v>7863</v>
      </c>
      <c r="E3844" s="2" t="str">
        <f>HYPERLINK("https://talan.bank.gov.ua/get-user-certificate/sec1eWew6PFrUvmr4O6z","Завантажити сертифікат")</f>
        <v>Завантажити сертифікат</v>
      </c>
    </row>
    <row r="3845" spans="1:5" x14ac:dyDescent="0.3">
      <c r="A3845" s="2" t="s">
        <v>7864</v>
      </c>
      <c r="B3845" s="2" t="s">
        <v>5</v>
      </c>
      <c r="C3845" s="2" t="s">
        <v>7865</v>
      </c>
      <c r="D3845" s="2" t="s">
        <v>7863</v>
      </c>
      <c r="E3845" s="2" t="str">
        <f>HYPERLINK("https://talan.bank.gov.ua/get-user-certificate/sec1epdVAGQo17-JcJTn","Завантажити сертифікат")</f>
        <v>Завантажити сертифікат</v>
      </c>
    </row>
    <row r="3846" spans="1:5" x14ac:dyDescent="0.3">
      <c r="A3846" s="2" t="s">
        <v>7866</v>
      </c>
      <c r="B3846" s="2" t="s">
        <v>5</v>
      </c>
      <c r="C3846" s="2" t="s">
        <v>7867</v>
      </c>
      <c r="D3846" s="2" t="s">
        <v>7863</v>
      </c>
      <c r="E3846" s="2" t="str">
        <f>HYPERLINK("https://talan.bank.gov.ua/get-user-certificate/sec1e6eya1yXwOJrKobX","Завантажити сертифікат")</f>
        <v>Завантажити сертифікат</v>
      </c>
    </row>
    <row r="3847" spans="1:5" x14ac:dyDescent="0.3">
      <c r="A3847" s="2" t="s">
        <v>7868</v>
      </c>
      <c r="B3847" s="2" t="s">
        <v>5</v>
      </c>
      <c r="C3847" s="2" t="s">
        <v>7869</v>
      </c>
      <c r="D3847" s="2" t="s">
        <v>7863</v>
      </c>
      <c r="E3847" s="2" t="str">
        <f>HYPERLINK("https://talan.bank.gov.ua/get-user-certificate/sec1eBD9hZUAYkt5B-2T","Завантажити сертифікат")</f>
        <v>Завантажити сертифікат</v>
      </c>
    </row>
    <row r="3848" spans="1:5" x14ac:dyDescent="0.3">
      <c r="A3848" s="2" t="s">
        <v>7870</v>
      </c>
      <c r="B3848" s="2" t="s">
        <v>5</v>
      </c>
      <c r="C3848" s="2" t="s">
        <v>7871</v>
      </c>
      <c r="D3848" s="2" t="s">
        <v>7863</v>
      </c>
      <c r="E3848" s="2" t="str">
        <f>HYPERLINK("https://talan.bank.gov.ua/get-user-certificate/sec1eYZkH0YetaZZ8U7h","Завантажити сертифікат")</f>
        <v>Завантажити сертифікат</v>
      </c>
    </row>
    <row r="3849" spans="1:5" x14ac:dyDescent="0.3">
      <c r="A3849" s="2" t="s">
        <v>7872</v>
      </c>
      <c r="B3849" s="2" t="s">
        <v>5</v>
      </c>
      <c r="C3849" s="2" t="s">
        <v>7873</v>
      </c>
      <c r="D3849" s="2" t="s">
        <v>7863</v>
      </c>
      <c r="E3849" s="2" t="str">
        <f>HYPERLINK("https://talan.bank.gov.ua/get-user-certificate/sec1ep_AELR5WTTxfl-E","Завантажити сертифікат")</f>
        <v>Завантажити сертифікат</v>
      </c>
    </row>
    <row r="3850" spans="1:5" x14ac:dyDescent="0.3">
      <c r="A3850" s="2" t="s">
        <v>7874</v>
      </c>
      <c r="B3850" s="2" t="s">
        <v>5</v>
      </c>
      <c r="C3850" s="2" t="s">
        <v>7875</v>
      </c>
      <c r="D3850" s="2" t="s">
        <v>7863</v>
      </c>
      <c r="E3850" s="2" t="str">
        <f>HYPERLINK("https://talan.bank.gov.ua/get-user-certificate/sec1ey2mTa-C68BKhc8S","Завантажити сертифікат")</f>
        <v>Завантажити сертифікат</v>
      </c>
    </row>
    <row r="3851" spans="1:5" x14ac:dyDescent="0.3">
      <c r="A3851" s="2" t="s">
        <v>7876</v>
      </c>
      <c r="B3851" s="2" t="s">
        <v>5</v>
      </c>
      <c r="C3851" s="2" t="s">
        <v>7877</v>
      </c>
      <c r="D3851" s="2" t="s">
        <v>7863</v>
      </c>
      <c r="E3851" s="2" t="str">
        <f>HYPERLINK("https://talan.bank.gov.ua/get-user-certificate/sec1el9KDO4DoeYGfoB5","Завантажити сертифікат")</f>
        <v>Завантажити сертифікат</v>
      </c>
    </row>
    <row r="3852" spans="1:5" x14ac:dyDescent="0.3">
      <c r="A3852" s="2" t="s">
        <v>7878</v>
      </c>
      <c r="B3852" s="2" t="s">
        <v>5</v>
      </c>
      <c r="C3852" s="2" t="s">
        <v>7879</v>
      </c>
      <c r="D3852" s="2" t="s">
        <v>7863</v>
      </c>
      <c r="E3852" s="2" t="str">
        <f>HYPERLINK("https://talan.bank.gov.ua/get-user-certificate/sec1ebzvQS5TaV4W0gi5","Завантажити сертифікат")</f>
        <v>Завантажити сертифікат</v>
      </c>
    </row>
    <row r="3853" spans="1:5" x14ac:dyDescent="0.3">
      <c r="A3853" s="2" t="s">
        <v>7880</v>
      </c>
      <c r="B3853" s="2" t="s">
        <v>5</v>
      </c>
      <c r="C3853" s="2" t="s">
        <v>7881</v>
      </c>
      <c r="D3853" s="2" t="s">
        <v>7863</v>
      </c>
      <c r="E3853" s="2" t="str">
        <f>HYPERLINK("https://talan.bank.gov.ua/get-user-certificate/sec1e9xz1VFxilmqDu_f","Завантажити сертифікат")</f>
        <v>Завантажити сертифікат</v>
      </c>
    </row>
    <row r="3854" spans="1:5" x14ac:dyDescent="0.3">
      <c r="A3854" s="2" t="s">
        <v>7882</v>
      </c>
      <c r="B3854" s="2" t="s">
        <v>5</v>
      </c>
      <c r="C3854" s="2" t="s">
        <v>7883</v>
      </c>
      <c r="D3854" s="2" t="s">
        <v>7863</v>
      </c>
      <c r="E3854" s="2" t="str">
        <f>HYPERLINK("https://talan.bank.gov.ua/get-user-certificate/sec1eSH0TWjy59m5P8cc","Завантажити сертифікат")</f>
        <v>Завантажити сертифікат</v>
      </c>
    </row>
    <row r="3855" spans="1:5" x14ac:dyDescent="0.3">
      <c r="A3855" s="2" t="s">
        <v>7884</v>
      </c>
      <c r="B3855" s="2" t="s">
        <v>5</v>
      </c>
      <c r="C3855" s="2" t="s">
        <v>7885</v>
      </c>
      <c r="D3855" s="2" t="s">
        <v>7863</v>
      </c>
      <c r="E3855" s="2" t="str">
        <f>HYPERLINK("https://talan.bank.gov.ua/get-user-certificate/sec1e4oYMX4m9I881V30","Завантажити сертифікат")</f>
        <v>Завантажити сертифікат</v>
      </c>
    </row>
    <row r="3856" spans="1:5" x14ac:dyDescent="0.3">
      <c r="A3856" s="2" t="s">
        <v>7886</v>
      </c>
      <c r="B3856" s="2" t="s">
        <v>5</v>
      </c>
      <c r="C3856" s="2" t="s">
        <v>7887</v>
      </c>
      <c r="D3856" s="2" t="s">
        <v>7863</v>
      </c>
      <c r="E3856" s="2" t="str">
        <f>HYPERLINK("https://talan.bank.gov.ua/get-user-certificate/sec1eKNXBPHAkXNsESO-","Завантажити сертифікат")</f>
        <v>Завантажити сертифікат</v>
      </c>
    </row>
    <row r="3857" spans="1:5" x14ac:dyDescent="0.3">
      <c r="A3857" s="2" t="s">
        <v>7888</v>
      </c>
      <c r="B3857" s="2" t="s">
        <v>5</v>
      </c>
      <c r="C3857" s="2" t="s">
        <v>7889</v>
      </c>
      <c r="D3857" s="2" t="s">
        <v>7863</v>
      </c>
      <c r="E3857" s="2" t="str">
        <f>HYPERLINK("https://talan.bank.gov.ua/get-user-certificate/sec1eAYakel9Maf-TXZj","Завантажити сертифікат")</f>
        <v>Завантажити сертифікат</v>
      </c>
    </row>
    <row r="3858" spans="1:5" x14ac:dyDescent="0.3">
      <c r="A3858" s="2" t="s">
        <v>7890</v>
      </c>
      <c r="B3858" s="2" t="s">
        <v>5</v>
      </c>
      <c r="C3858" s="2" t="s">
        <v>7891</v>
      </c>
      <c r="D3858" s="2" t="s">
        <v>7863</v>
      </c>
      <c r="E3858" s="2" t="str">
        <f>HYPERLINK("https://talan.bank.gov.ua/get-user-certificate/sec1ekXeN84w7w8knowI","Завантажити сертифікат")</f>
        <v>Завантажити сертифікат</v>
      </c>
    </row>
    <row r="3859" spans="1:5" x14ac:dyDescent="0.3">
      <c r="A3859" s="2" t="s">
        <v>7892</v>
      </c>
      <c r="B3859" s="2" t="s">
        <v>5</v>
      </c>
      <c r="C3859" s="2" t="s">
        <v>7893</v>
      </c>
      <c r="D3859" s="2" t="s">
        <v>7863</v>
      </c>
      <c r="E3859" s="2" t="str">
        <f>HYPERLINK("https://talan.bank.gov.ua/get-user-certificate/sec1e8J3QmTwxpvdUc65","Завантажити сертифікат")</f>
        <v>Завантажити сертифікат</v>
      </c>
    </row>
    <row r="3860" spans="1:5" x14ac:dyDescent="0.3">
      <c r="A3860" s="2" t="s">
        <v>7894</v>
      </c>
      <c r="B3860" s="2" t="s">
        <v>5</v>
      </c>
      <c r="C3860" s="2" t="s">
        <v>7895</v>
      </c>
      <c r="D3860" s="2" t="s">
        <v>7863</v>
      </c>
      <c r="E3860" s="2" t="str">
        <f>HYPERLINK("https://talan.bank.gov.ua/get-user-certificate/sec1eziRcUBxQqbX8mQC","Завантажити сертифікат")</f>
        <v>Завантажити сертифікат</v>
      </c>
    </row>
    <row r="3861" spans="1:5" x14ac:dyDescent="0.3">
      <c r="A3861" s="2" t="s">
        <v>7896</v>
      </c>
      <c r="B3861" s="2" t="s">
        <v>5</v>
      </c>
      <c r="C3861" s="2" t="s">
        <v>7897</v>
      </c>
      <c r="D3861" s="2" t="s">
        <v>7863</v>
      </c>
      <c r="E3861" s="2" t="str">
        <f>HYPERLINK("https://talan.bank.gov.ua/get-user-certificate/sec1eT5ezCWDsjbgIsNA","Завантажити сертифікат")</f>
        <v>Завантажити сертифікат</v>
      </c>
    </row>
    <row r="3862" spans="1:5" x14ac:dyDescent="0.3">
      <c r="A3862" s="2" t="s">
        <v>7898</v>
      </c>
      <c r="B3862" s="2" t="s">
        <v>5</v>
      </c>
      <c r="C3862" s="2" t="s">
        <v>7899</v>
      </c>
      <c r="D3862" s="2" t="s">
        <v>7863</v>
      </c>
      <c r="E3862" s="2" t="str">
        <f>HYPERLINK("https://talan.bank.gov.ua/get-user-certificate/sec1epiqTsu6sR6DA24K","Завантажити сертифікат")</f>
        <v>Завантажити сертифікат</v>
      </c>
    </row>
    <row r="3863" spans="1:5" x14ac:dyDescent="0.3">
      <c r="A3863" s="2" t="s">
        <v>7900</v>
      </c>
      <c r="B3863" s="2" t="s">
        <v>5</v>
      </c>
      <c r="C3863" s="2" t="s">
        <v>7901</v>
      </c>
      <c r="D3863" s="2" t="s">
        <v>7863</v>
      </c>
      <c r="E3863" s="2" t="str">
        <f>HYPERLINK("https://talan.bank.gov.ua/get-user-certificate/sec1eaZKF1ucIW_eiGnh","Завантажити сертифікат")</f>
        <v>Завантажити сертифікат</v>
      </c>
    </row>
    <row r="3864" spans="1:5" x14ac:dyDescent="0.3">
      <c r="A3864" s="2" t="s">
        <v>7902</v>
      </c>
      <c r="B3864" s="2" t="s">
        <v>5</v>
      </c>
      <c r="C3864" s="2" t="s">
        <v>7903</v>
      </c>
      <c r="D3864" s="2" t="s">
        <v>7863</v>
      </c>
      <c r="E3864" s="2" t="str">
        <f>HYPERLINK("https://talan.bank.gov.ua/get-user-certificate/sec1e2riVOaHz1E1Q9yp","Завантажити сертифікат")</f>
        <v>Завантажити сертифікат</v>
      </c>
    </row>
    <row r="3865" spans="1:5" x14ac:dyDescent="0.3">
      <c r="A3865" s="2" t="s">
        <v>7904</v>
      </c>
      <c r="B3865" s="2" t="s">
        <v>5</v>
      </c>
      <c r="C3865" s="2" t="s">
        <v>7905</v>
      </c>
      <c r="D3865" s="2" t="s">
        <v>7863</v>
      </c>
      <c r="E3865" s="2" t="str">
        <f>HYPERLINK("https://talan.bank.gov.ua/get-user-certificate/sec1eidzqiJsevXqqbfN","Завантажити сертифікат")</f>
        <v>Завантажити сертифікат</v>
      </c>
    </row>
    <row r="3866" spans="1:5" x14ac:dyDescent="0.3">
      <c r="A3866" s="2" t="s">
        <v>7906</v>
      </c>
      <c r="B3866" s="2" t="s">
        <v>5</v>
      </c>
      <c r="C3866" s="2" t="s">
        <v>7907</v>
      </c>
      <c r="D3866" s="2" t="s">
        <v>7863</v>
      </c>
      <c r="E3866" s="2" t="str">
        <f>HYPERLINK("https://talan.bank.gov.ua/get-user-certificate/sec1eQcFhqVuuMLzWPql","Завантажити сертифікат")</f>
        <v>Завантажити сертифікат</v>
      </c>
    </row>
    <row r="3867" spans="1:5" x14ac:dyDescent="0.3">
      <c r="A3867" s="2" t="s">
        <v>7908</v>
      </c>
      <c r="B3867" s="2" t="s">
        <v>5</v>
      </c>
      <c r="C3867" s="2" t="s">
        <v>7909</v>
      </c>
      <c r="D3867" s="2" t="s">
        <v>7863</v>
      </c>
      <c r="E3867" s="2" t="str">
        <f>HYPERLINK("https://talan.bank.gov.ua/get-user-certificate/sec1e4CB_fEDG6U1yyyA","Завантажити сертифікат")</f>
        <v>Завантажити сертифікат</v>
      </c>
    </row>
    <row r="3868" spans="1:5" x14ac:dyDescent="0.3">
      <c r="A3868" s="2" t="s">
        <v>7910</v>
      </c>
      <c r="B3868" s="2" t="s">
        <v>5</v>
      </c>
      <c r="C3868" s="2" t="s">
        <v>7911</v>
      </c>
      <c r="D3868" s="2" t="s">
        <v>7863</v>
      </c>
      <c r="E3868" s="2" t="str">
        <f>HYPERLINK("https://talan.bank.gov.ua/get-user-certificate/sec1eiZd6jb5-3kNFTwO","Завантажити сертифікат")</f>
        <v>Завантажити сертифікат</v>
      </c>
    </row>
    <row r="3869" spans="1:5" x14ac:dyDescent="0.3">
      <c r="A3869" s="2" t="s">
        <v>7912</v>
      </c>
      <c r="B3869" s="2" t="s">
        <v>5</v>
      </c>
      <c r="C3869" s="2" t="s">
        <v>7913</v>
      </c>
      <c r="D3869" s="2" t="s">
        <v>7863</v>
      </c>
      <c r="E3869" s="2" t="str">
        <f>HYPERLINK("https://talan.bank.gov.ua/get-user-certificate/sec1egiTaQcgjo5sfSwv","Завантажити сертифікат")</f>
        <v>Завантажити сертифікат</v>
      </c>
    </row>
    <row r="3870" spans="1:5" x14ac:dyDescent="0.3">
      <c r="A3870" s="2" t="s">
        <v>7914</v>
      </c>
      <c r="B3870" s="2" t="s">
        <v>5</v>
      </c>
      <c r="C3870" s="2" t="s">
        <v>7915</v>
      </c>
      <c r="D3870" s="2" t="s">
        <v>7863</v>
      </c>
      <c r="E3870" s="2" t="str">
        <f>HYPERLINK("https://talan.bank.gov.ua/get-user-certificate/sec1eEn3qdxE0Kkj1zaH","Завантажити сертифікат")</f>
        <v>Завантажити сертифікат</v>
      </c>
    </row>
    <row r="3871" spans="1:5" x14ac:dyDescent="0.3">
      <c r="A3871" s="2" t="s">
        <v>7916</v>
      </c>
      <c r="B3871" s="2" t="s">
        <v>5</v>
      </c>
      <c r="C3871" s="2" t="s">
        <v>7917</v>
      </c>
      <c r="D3871" s="2" t="s">
        <v>7863</v>
      </c>
      <c r="E3871" s="2" t="str">
        <f>HYPERLINK("https://talan.bank.gov.ua/get-user-certificate/sec1ekial1RVU4xSqzHW","Завантажити сертифікат")</f>
        <v>Завантажити сертифікат</v>
      </c>
    </row>
    <row r="3872" spans="1:5" x14ac:dyDescent="0.3">
      <c r="A3872" s="2" t="s">
        <v>7918</v>
      </c>
      <c r="B3872" s="2" t="s">
        <v>5</v>
      </c>
      <c r="C3872" s="2" t="s">
        <v>7919</v>
      </c>
      <c r="D3872" s="2" t="s">
        <v>7863</v>
      </c>
      <c r="E3872" s="2" t="str">
        <f>HYPERLINK("https://talan.bank.gov.ua/get-user-certificate/sec1e1gQAdtSND38EO5x","Завантажити сертифікат")</f>
        <v>Завантажити сертифікат</v>
      </c>
    </row>
    <row r="3873" spans="1:5" x14ac:dyDescent="0.3">
      <c r="A3873" s="2" t="s">
        <v>7920</v>
      </c>
      <c r="B3873" s="2" t="s">
        <v>5</v>
      </c>
      <c r="C3873" s="2" t="s">
        <v>7921</v>
      </c>
      <c r="D3873" s="2" t="s">
        <v>7863</v>
      </c>
      <c r="E3873" s="2" t="str">
        <f>HYPERLINK("https://talan.bank.gov.ua/get-user-certificate/sec1ektcas1SpizPacbk","Завантажити сертифікат")</f>
        <v>Завантажити сертифікат</v>
      </c>
    </row>
    <row r="3874" spans="1:5" x14ac:dyDescent="0.3">
      <c r="A3874" s="2" t="s">
        <v>7922</v>
      </c>
      <c r="B3874" s="2" t="s">
        <v>5</v>
      </c>
      <c r="C3874" s="2" t="s">
        <v>7923</v>
      </c>
      <c r="D3874" s="2" t="s">
        <v>7863</v>
      </c>
      <c r="E3874" s="2" t="str">
        <f>HYPERLINK("https://talan.bank.gov.ua/get-user-certificate/sec1ejSgnt1xPwTLDbAx","Завантажити сертифікат")</f>
        <v>Завантажити сертифікат</v>
      </c>
    </row>
    <row r="3875" spans="1:5" x14ac:dyDescent="0.3">
      <c r="A3875" s="2" t="s">
        <v>7924</v>
      </c>
      <c r="B3875" s="2" t="s">
        <v>5</v>
      </c>
      <c r="C3875" s="2" t="s">
        <v>7925</v>
      </c>
      <c r="D3875" s="2" t="s">
        <v>7863</v>
      </c>
      <c r="E3875" s="2" t="str">
        <f>HYPERLINK("https://talan.bank.gov.ua/get-user-certificate/sec1eKe-94TwpRl4M4Z0","Завантажити сертифікат")</f>
        <v>Завантажити сертифікат</v>
      </c>
    </row>
    <row r="3876" spans="1:5" x14ac:dyDescent="0.3">
      <c r="A3876" s="2" t="s">
        <v>7926</v>
      </c>
      <c r="B3876" s="2" t="s">
        <v>5</v>
      </c>
      <c r="C3876" s="2" t="s">
        <v>7927</v>
      </c>
      <c r="D3876" s="2" t="s">
        <v>7863</v>
      </c>
      <c r="E3876" s="2" t="str">
        <f>HYPERLINK("https://talan.bank.gov.ua/get-user-certificate/sec1eaWSVkZPLDR6WKRu","Завантажити сертифікат")</f>
        <v>Завантажити сертифікат</v>
      </c>
    </row>
    <row r="3877" spans="1:5" x14ac:dyDescent="0.3">
      <c r="A3877" s="2" t="s">
        <v>7928</v>
      </c>
      <c r="B3877" s="2" t="s">
        <v>5</v>
      </c>
      <c r="C3877" s="2" t="s">
        <v>7929</v>
      </c>
      <c r="D3877" s="2" t="s">
        <v>7863</v>
      </c>
      <c r="E3877" s="2" t="str">
        <f>HYPERLINK("https://talan.bank.gov.ua/get-user-certificate/sec1e1PesNCRw9NR_x9b","Завантажити сертифікат")</f>
        <v>Завантажити сертифікат</v>
      </c>
    </row>
    <row r="3878" spans="1:5" x14ac:dyDescent="0.3">
      <c r="A3878" s="2" t="s">
        <v>7930</v>
      </c>
      <c r="B3878" s="2" t="s">
        <v>5</v>
      </c>
      <c r="C3878" s="2" t="s">
        <v>7931</v>
      </c>
      <c r="D3878" s="2" t="s">
        <v>7863</v>
      </c>
      <c r="E3878" s="2" t="str">
        <f>HYPERLINK("https://talan.bank.gov.ua/get-user-certificate/sec1eGdJjKSz4ZuZpQ9H","Завантажити сертифікат")</f>
        <v>Завантажити сертифікат</v>
      </c>
    </row>
    <row r="3879" spans="1:5" x14ac:dyDescent="0.3">
      <c r="A3879" s="2" t="s">
        <v>7932</v>
      </c>
      <c r="B3879" s="2" t="s">
        <v>5</v>
      </c>
      <c r="C3879" s="2" t="s">
        <v>7933</v>
      </c>
      <c r="D3879" s="2" t="s">
        <v>7863</v>
      </c>
      <c r="E3879" s="2" t="str">
        <f>HYPERLINK("https://talan.bank.gov.ua/get-user-certificate/sec1efm8V11H3jK7CgG4","Завантажити сертифікат")</f>
        <v>Завантажити сертифікат</v>
      </c>
    </row>
    <row r="3880" spans="1:5" x14ac:dyDescent="0.3">
      <c r="A3880" s="2" t="s">
        <v>7934</v>
      </c>
      <c r="B3880" s="2" t="s">
        <v>5</v>
      </c>
      <c r="C3880" s="2" t="s">
        <v>7935</v>
      </c>
      <c r="D3880" s="2" t="s">
        <v>7863</v>
      </c>
      <c r="E3880" s="2" t="str">
        <f>HYPERLINK("https://talan.bank.gov.ua/get-user-certificate/sec1eC828iIzQjHlkXmq","Завантажити сертифікат")</f>
        <v>Завантажити сертифікат</v>
      </c>
    </row>
    <row r="3881" spans="1:5" x14ac:dyDescent="0.3">
      <c r="A3881" s="2" t="s">
        <v>7936</v>
      </c>
      <c r="B3881" s="2" t="s">
        <v>5</v>
      </c>
      <c r="C3881" s="2" t="s">
        <v>3128</v>
      </c>
      <c r="D3881" s="2" t="s">
        <v>7863</v>
      </c>
      <c r="E3881" s="2" t="str">
        <f>HYPERLINK("https://talan.bank.gov.ua/get-user-certificate/sec1ermMSdmYEfKYpm5i","Завантажити сертифікат")</f>
        <v>Завантажити сертифікат</v>
      </c>
    </row>
    <row r="3882" spans="1:5" x14ac:dyDescent="0.3">
      <c r="A3882" s="2" t="s">
        <v>7937</v>
      </c>
      <c r="B3882" s="2" t="s">
        <v>5</v>
      </c>
      <c r="C3882" s="2" t="s">
        <v>7938</v>
      </c>
      <c r="D3882" s="2" t="s">
        <v>7863</v>
      </c>
      <c r="E3882" s="2" t="str">
        <f>HYPERLINK("https://talan.bank.gov.ua/get-user-certificate/sec1ezPeffWf8MFGyfjV","Завантажити сертифікат")</f>
        <v>Завантажити сертифікат</v>
      </c>
    </row>
    <row r="3883" spans="1:5" x14ac:dyDescent="0.3">
      <c r="A3883" s="2" t="s">
        <v>7939</v>
      </c>
      <c r="B3883" s="2" t="s">
        <v>5</v>
      </c>
      <c r="C3883" s="2" t="s">
        <v>7940</v>
      </c>
      <c r="D3883" s="2" t="s">
        <v>7863</v>
      </c>
      <c r="E3883" s="2" t="str">
        <f>HYPERLINK("https://talan.bank.gov.ua/get-user-certificate/sec1e_f7MZ5SAJjXYSpb","Завантажити сертифікат")</f>
        <v>Завантажити сертифікат</v>
      </c>
    </row>
    <row r="3884" spans="1:5" x14ac:dyDescent="0.3">
      <c r="A3884" s="2" t="s">
        <v>7941</v>
      </c>
      <c r="B3884" s="2" t="s">
        <v>5</v>
      </c>
      <c r="C3884" s="2" t="s">
        <v>7942</v>
      </c>
      <c r="D3884" s="2" t="s">
        <v>7863</v>
      </c>
      <c r="E3884" s="2" t="str">
        <f>HYPERLINK("https://talan.bank.gov.ua/get-user-certificate/sec1e9Rb_7nPxWXi65_m","Завантажити сертифікат")</f>
        <v>Завантажити сертифікат</v>
      </c>
    </row>
    <row r="3885" spans="1:5" x14ac:dyDescent="0.3">
      <c r="A3885" s="2" t="s">
        <v>7943</v>
      </c>
      <c r="B3885" s="2" t="s">
        <v>5</v>
      </c>
      <c r="C3885" s="2" t="s">
        <v>7944</v>
      </c>
      <c r="D3885" s="2" t="s">
        <v>7863</v>
      </c>
      <c r="E3885" s="2" t="str">
        <f>HYPERLINK("https://talan.bank.gov.ua/get-user-certificate/sec1evYqdbp2L2Micp5d","Завантажити сертифікат")</f>
        <v>Завантажити сертифікат</v>
      </c>
    </row>
    <row r="3886" spans="1:5" x14ac:dyDescent="0.3">
      <c r="A3886" s="2" t="s">
        <v>7945</v>
      </c>
      <c r="B3886" s="2" t="s">
        <v>5</v>
      </c>
      <c r="C3886" s="2" t="s">
        <v>7946</v>
      </c>
      <c r="D3886" s="2" t="s">
        <v>7863</v>
      </c>
      <c r="E3886" s="2" t="str">
        <f>HYPERLINK("https://talan.bank.gov.ua/get-user-certificate/sec1eUwD_GEuOVeBmw_O","Завантажити сертифікат")</f>
        <v>Завантажити сертифікат</v>
      </c>
    </row>
    <row r="3887" spans="1:5" x14ac:dyDescent="0.3">
      <c r="A3887" s="2" t="s">
        <v>7947</v>
      </c>
      <c r="B3887" s="2" t="s">
        <v>5</v>
      </c>
      <c r="C3887" s="2" t="s">
        <v>7948</v>
      </c>
      <c r="D3887" s="2" t="s">
        <v>7863</v>
      </c>
      <c r="E3887" s="2" t="str">
        <f>HYPERLINK("https://talan.bank.gov.ua/get-user-certificate/sec1ei4qj8HklQ5iZxC6","Завантажити сертифікат")</f>
        <v>Завантажити сертифікат</v>
      </c>
    </row>
    <row r="3888" spans="1:5" x14ac:dyDescent="0.3">
      <c r="A3888" s="2" t="s">
        <v>7949</v>
      </c>
      <c r="B3888" s="2" t="s">
        <v>5</v>
      </c>
      <c r="C3888" s="2" t="s">
        <v>7950</v>
      </c>
      <c r="D3888" s="2" t="s">
        <v>7863</v>
      </c>
      <c r="E3888" s="2" t="str">
        <f>HYPERLINK("https://talan.bank.gov.ua/get-user-certificate/sec1eAGnszsZm7DQOKDt","Завантажити сертифікат")</f>
        <v>Завантажити сертифікат</v>
      </c>
    </row>
    <row r="3889" spans="1:5" x14ac:dyDescent="0.3">
      <c r="A3889" s="2" t="s">
        <v>7951</v>
      </c>
      <c r="B3889" s="2" t="s">
        <v>5</v>
      </c>
      <c r="C3889" s="2" t="s">
        <v>7952</v>
      </c>
      <c r="D3889" s="2" t="s">
        <v>7863</v>
      </c>
      <c r="E3889" s="2" t="str">
        <f>HYPERLINK("https://talan.bank.gov.ua/get-user-certificate/sec1eimxsE1K7cOI0NVo","Завантажити сертифікат")</f>
        <v>Завантажити сертифікат</v>
      </c>
    </row>
    <row r="3890" spans="1:5" x14ac:dyDescent="0.3">
      <c r="A3890" s="2" t="s">
        <v>7953</v>
      </c>
      <c r="B3890" s="2" t="s">
        <v>5</v>
      </c>
      <c r="C3890" s="2" t="s">
        <v>7954</v>
      </c>
      <c r="D3890" s="2" t="s">
        <v>7863</v>
      </c>
      <c r="E3890" s="2" t="str">
        <f>HYPERLINK("https://talan.bank.gov.ua/get-user-certificate/sec1eSw5YhYBDqUmfFZF","Завантажити сертифікат")</f>
        <v>Завантажити сертифікат</v>
      </c>
    </row>
    <row r="3891" spans="1:5" x14ac:dyDescent="0.3">
      <c r="A3891" s="2" t="s">
        <v>7955</v>
      </c>
      <c r="B3891" s="2" t="s">
        <v>5</v>
      </c>
      <c r="C3891" s="2" t="s">
        <v>7956</v>
      </c>
      <c r="D3891" s="2" t="s">
        <v>7863</v>
      </c>
      <c r="E3891" s="2" t="str">
        <f>HYPERLINK("https://talan.bank.gov.ua/get-user-certificate/sec1e38BKN38vZDbrELY","Завантажити сертифікат")</f>
        <v>Завантажити сертифікат</v>
      </c>
    </row>
    <row r="3892" spans="1:5" x14ac:dyDescent="0.3">
      <c r="A3892" s="2" t="s">
        <v>7957</v>
      </c>
      <c r="B3892" s="2" t="s">
        <v>5</v>
      </c>
      <c r="C3892" s="2" t="s">
        <v>7958</v>
      </c>
      <c r="D3892" s="2" t="s">
        <v>7863</v>
      </c>
      <c r="E3892" s="2" t="str">
        <f>HYPERLINK("https://talan.bank.gov.ua/get-user-certificate/sec1e0MaLjxan7pTCPIS","Завантажити сертифікат")</f>
        <v>Завантажити сертифікат</v>
      </c>
    </row>
    <row r="3893" spans="1:5" x14ac:dyDescent="0.3">
      <c r="A3893" s="2" t="s">
        <v>7959</v>
      </c>
      <c r="B3893" s="2" t="s">
        <v>5</v>
      </c>
      <c r="C3893" s="2" t="s">
        <v>7960</v>
      </c>
      <c r="D3893" s="2" t="s">
        <v>7863</v>
      </c>
      <c r="E3893" s="2" t="str">
        <f>HYPERLINK("https://talan.bank.gov.ua/get-user-certificate/sec1eKM0twba0Q6Keskj","Завантажити сертифікат")</f>
        <v>Завантажити сертифікат</v>
      </c>
    </row>
    <row r="3894" spans="1:5" x14ac:dyDescent="0.3">
      <c r="A3894" s="2" t="s">
        <v>7961</v>
      </c>
      <c r="B3894" s="2" t="s">
        <v>5</v>
      </c>
      <c r="C3894" s="2" t="s">
        <v>7962</v>
      </c>
      <c r="D3894" s="2" t="s">
        <v>7863</v>
      </c>
      <c r="E3894" s="2" t="str">
        <f>HYPERLINK("https://talan.bank.gov.ua/get-user-certificate/sec1eea9j4e1_alxCiZv","Завантажити сертифікат")</f>
        <v>Завантажити сертифікат</v>
      </c>
    </row>
    <row r="3895" spans="1:5" x14ac:dyDescent="0.3">
      <c r="A3895" s="2" t="s">
        <v>7963</v>
      </c>
      <c r="B3895" s="2" t="s">
        <v>5</v>
      </c>
      <c r="C3895" s="2" t="s">
        <v>7964</v>
      </c>
      <c r="D3895" s="2" t="s">
        <v>7863</v>
      </c>
      <c r="E3895" s="2" t="str">
        <f>HYPERLINK("https://talan.bank.gov.ua/get-user-certificate/sec1eRcpIdXLW22GvxHu","Завантажити сертифікат")</f>
        <v>Завантажити сертифікат</v>
      </c>
    </row>
    <row r="3896" spans="1:5" x14ac:dyDescent="0.3">
      <c r="A3896" s="2" t="s">
        <v>7965</v>
      </c>
      <c r="B3896" s="2" t="s">
        <v>5</v>
      </c>
      <c r="C3896" s="2" t="s">
        <v>7966</v>
      </c>
      <c r="D3896" s="2" t="s">
        <v>7863</v>
      </c>
      <c r="E3896" s="2" t="str">
        <f>HYPERLINK("https://talan.bank.gov.ua/get-user-certificate/sec1eog6KLVvO9zOfIId","Завантажити сертифікат")</f>
        <v>Завантажити сертифікат</v>
      </c>
    </row>
    <row r="3897" spans="1:5" x14ac:dyDescent="0.3">
      <c r="A3897" s="2" t="s">
        <v>7967</v>
      </c>
      <c r="B3897" s="2" t="s">
        <v>5</v>
      </c>
      <c r="C3897" s="2" t="s">
        <v>7968</v>
      </c>
      <c r="D3897" s="2" t="s">
        <v>7863</v>
      </c>
      <c r="E3897" s="2" t="str">
        <f>HYPERLINK("https://talan.bank.gov.ua/get-user-certificate/sec1et07Rz9GkNzvoLDr","Завантажити сертифікат")</f>
        <v>Завантажити сертифікат</v>
      </c>
    </row>
    <row r="3898" spans="1:5" x14ac:dyDescent="0.3">
      <c r="A3898" s="2" t="s">
        <v>7969</v>
      </c>
      <c r="B3898" s="2" t="s">
        <v>5</v>
      </c>
      <c r="C3898" s="2" t="s">
        <v>7970</v>
      </c>
      <c r="D3898" s="2" t="s">
        <v>7863</v>
      </c>
      <c r="E3898" s="2" t="str">
        <f>HYPERLINK("https://talan.bank.gov.ua/get-user-certificate/sec1ePjFjgC7n4EFTRMH","Завантажити сертифікат")</f>
        <v>Завантажити сертифікат</v>
      </c>
    </row>
    <row r="3899" spans="1:5" x14ac:dyDescent="0.3">
      <c r="A3899" s="2" t="s">
        <v>7971</v>
      </c>
      <c r="B3899" s="2" t="s">
        <v>5</v>
      </c>
      <c r="C3899" s="2" t="s">
        <v>7972</v>
      </c>
      <c r="D3899" s="2" t="s">
        <v>7863</v>
      </c>
      <c r="E3899" s="2" t="str">
        <f>HYPERLINK("https://talan.bank.gov.ua/get-user-certificate/sec1eKVV67o34nU8knrJ","Завантажити сертифікат")</f>
        <v>Завантажити сертифікат</v>
      </c>
    </row>
    <row r="3900" spans="1:5" x14ac:dyDescent="0.3">
      <c r="A3900" s="2" t="s">
        <v>7973</v>
      </c>
      <c r="B3900" s="2" t="s">
        <v>5</v>
      </c>
      <c r="C3900" s="2" t="s">
        <v>7974</v>
      </c>
      <c r="D3900" s="2" t="s">
        <v>7863</v>
      </c>
      <c r="E3900" s="2" t="str">
        <f>HYPERLINK("https://talan.bank.gov.ua/get-user-certificate/sec1e7TbSPx2Yal7Xmrn","Завантажити сертифікат")</f>
        <v>Завантажити сертифікат</v>
      </c>
    </row>
    <row r="3901" spans="1:5" x14ac:dyDescent="0.3">
      <c r="A3901" s="2" t="s">
        <v>7975</v>
      </c>
      <c r="B3901" s="2" t="s">
        <v>5</v>
      </c>
      <c r="C3901" s="2" t="s">
        <v>7976</v>
      </c>
      <c r="D3901" s="2" t="s">
        <v>7863</v>
      </c>
      <c r="E3901" s="2" t="str">
        <f>HYPERLINK("https://talan.bank.gov.ua/get-user-certificate/sec1eU7gGUrhxTM0O2yw","Завантажити сертифікат")</f>
        <v>Завантажити сертифікат</v>
      </c>
    </row>
    <row r="3902" spans="1:5" x14ac:dyDescent="0.3">
      <c r="A3902" s="2" t="s">
        <v>7977</v>
      </c>
      <c r="B3902" s="2" t="s">
        <v>5</v>
      </c>
      <c r="C3902" s="2" t="s">
        <v>7978</v>
      </c>
      <c r="D3902" s="2" t="s">
        <v>7863</v>
      </c>
      <c r="E3902" s="2" t="str">
        <f>HYPERLINK("https://talan.bank.gov.ua/get-user-certificate/sec1ef6iEzSYOoBv204W","Завантажити сертифікат")</f>
        <v>Завантажити сертифікат</v>
      </c>
    </row>
    <row r="3903" spans="1:5" x14ac:dyDescent="0.3">
      <c r="A3903" s="2" t="s">
        <v>7979</v>
      </c>
      <c r="B3903" s="2" t="s">
        <v>5</v>
      </c>
      <c r="C3903" s="2" t="s">
        <v>7980</v>
      </c>
      <c r="D3903" s="2" t="s">
        <v>7863</v>
      </c>
      <c r="E3903" s="2" t="str">
        <f>HYPERLINK("https://talan.bank.gov.ua/get-user-certificate/sec1eto9gfg0BFEi93Hf","Завантажити сертифікат")</f>
        <v>Завантажити сертифікат</v>
      </c>
    </row>
    <row r="3904" spans="1:5" x14ac:dyDescent="0.3">
      <c r="A3904" s="2" t="s">
        <v>7981</v>
      </c>
      <c r="B3904" s="2" t="s">
        <v>5</v>
      </c>
      <c r="C3904" s="2" t="s">
        <v>7982</v>
      </c>
      <c r="D3904" s="2" t="s">
        <v>7863</v>
      </c>
      <c r="E3904" s="2" t="str">
        <f>HYPERLINK("https://talan.bank.gov.ua/get-user-certificate/sec1eUIrRch_K47U16a1","Завантажити сертифікат")</f>
        <v>Завантажити сертифікат</v>
      </c>
    </row>
    <row r="3905" spans="1:5" x14ac:dyDescent="0.3">
      <c r="A3905" s="2" t="s">
        <v>7983</v>
      </c>
      <c r="B3905" s="2" t="s">
        <v>5</v>
      </c>
      <c r="C3905" s="2" t="s">
        <v>7984</v>
      </c>
      <c r="D3905" s="2" t="s">
        <v>7863</v>
      </c>
      <c r="E3905" s="2" t="str">
        <f>HYPERLINK("https://talan.bank.gov.ua/get-user-certificate/sec1ex5ll8SD5i0U6e5M","Завантажити сертифікат")</f>
        <v>Завантажити сертифікат</v>
      </c>
    </row>
    <row r="3906" spans="1:5" x14ac:dyDescent="0.3">
      <c r="A3906" s="2" t="s">
        <v>7985</v>
      </c>
      <c r="B3906" s="2" t="s">
        <v>5</v>
      </c>
      <c r="C3906" s="2" t="s">
        <v>7986</v>
      </c>
      <c r="D3906" s="2" t="s">
        <v>7863</v>
      </c>
      <c r="E3906" s="2" t="str">
        <f>HYPERLINK("https://talan.bank.gov.ua/get-user-certificate/sec1eQgSfkx9VyAWKxcz","Завантажити сертифікат")</f>
        <v>Завантажити сертифікат</v>
      </c>
    </row>
    <row r="3907" spans="1:5" x14ac:dyDescent="0.3">
      <c r="A3907" s="2" t="s">
        <v>7987</v>
      </c>
      <c r="B3907" s="2" t="s">
        <v>5</v>
      </c>
      <c r="C3907" s="2" t="s">
        <v>7988</v>
      </c>
      <c r="D3907" s="2" t="s">
        <v>7863</v>
      </c>
      <c r="E3907" s="2" t="str">
        <f>HYPERLINK("https://talan.bank.gov.ua/get-user-certificate/sec1ecbyshPqNwDdSo6-","Завантажити сертифікат")</f>
        <v>Завантажити сертифікат</v>
      </c>
    </row>
    <row r="3908" spans="1:5" x14ac:dyDescent="0.3">
      <c r="A3908" s="2" t="s">
        <v>7989</v>
      </c>
      <c r="B3908" s="2" t="s">
        <v>5</v>
      </c>
      <c r="C3908" s="2" t="s">
        <v>7990</v>
      </c>
      <c r="D3908" s="2" t="s">
        <v>7863</v>
      </c>
      <c r="E3908" s="2" t="str">
        <f>HYPERLINK("https://talan.bank.gov.ua/get-user-certificate/sec1egSHDjctkBx8AGv4","Завантажити сертифікат")</f>
        <v>Завантажити сертифікат</v>
      </c>
    </row>
    <row r="3909" spans="1:5" x14ac:dyDescent="0.3">
      <c r="A3909" s="2" t="s">
        <v>7991</v>
      </c>
      <c r="B3909" s="2" t="s">
        <v>5</v>
      </c>
      <c r="C3909" s="2" t="s">
        <v>7992</v>
      </c>
      <c r="D3909" s="2" t="s">
        <v>7863</v>
      </c>
      <c r="E3909" s="2" t="str">
        <f>HYPERLINK("https://talan.bank.gov.ua/get-user-certificate/sec1eKTop2zSh2n5o7uR","Завантажити сертифікат")</f>
        <v>Завантажити сертифікат</v>
      </c>
    </row>
    <row r="3910" spans="1:5" x14ac:dyDescent="0.3">
      <c r="A3910" s="2" t="s">
        <v>7993</v>
      </c>
      <c r="B3910" s="2" t="s">
        <v>5</v>
      </c>
      <c r="C3910" s="2" t="s">
        <v>7994</v>
      </c>
      <c r="D3910" s="2" t="s">
        <v>7863</v>
      </c>
      <c r="E3910" s="2" t="str">
        <f>HYPERLINK("https://talan.bank.gov.ua/get-user-certificate/sec1epZi_icpun2ad2Zj","Завантажити сертифікат")</f>
        <v>Завантажити сертифікат</v>
      </c>
    </row>
    <row r="3911" spans="1:5" x14ac:dyDescent="0.3">
      <c r="A3911" s="2" t="s">
        <v>7995</v>
      </c>
      <c r="B3911" s="2" t="s">
        <v>5</v>
      </c>
      <c r="C3911" s="2" t="s">
        <v>7996</v>
      </c>
      <c r="D3911" s="2" t="s">
        <v>7863</v>
      </c>
      <c r="E3911" s="2" t="str">
        <f>HYPERLINK("https://talan.bank.gov.ua/get-user-certificate/sec1eN1GHymydgnxH7QF","Завантажити сертифікат")</f>
        <v>Завантажити сертифікат</v>
      </c>
    </row>
    <row r="3912" spans="1:5" x14ac:dyDescent="0.3">
      <c r="A3912" s="2" t="s">
        <v>7997</v>
      </c>
      <c r="B3912" s="2" t="s">
        <v>5</v>
      </c>
      <c r="C3912" s="2" t="s">
        <v>7998</v>
      </c>
      <c r="D3912" s="2" t="s">
        <v>7863</v>
      </c>
      <c r="E3912" s="2" t="str">
        <f>HYPERLINK("https://talan.bank.gov.ua/get-user-certificate/sec1ej6UXi3Pm2bL2DBv","Завантажити сертифікат")</f>
        <v>Завантажити сертифікат</v>
      </c>
    </row>
    <row r="3913" spans="1:5" x14ac:dyDescent="0.3">
      <c r="A3913" s="2" t="s">
        <v>7999</v>
      </c>
      <c r="B3913" s="2" t="s">
        <v>5</v>
      </c>
      <c r="C3913" s="2" t="s">
        <v>8000</v>
      </c>
      <c r="D3913" s="2" t="s">
        <v>7863</v>
      </c>
      <c r="E3913" s="2" t="str">
        <f>HYPERLINK("https://talan.bank.gov.ua/get-user-certificate/sec1eDB0sTHLni-1oJkS","Завантажити сертифікат")</f>
        <v>Завантажити сертифікат</v>
      </c>
    </row>
    <row r="3914" spans="1:5" x14ac:dyDescent="0.3">
      <c r="A3914" s="2" t="s">
        <v>8001</v>
      </c>
      <c r="B3914" s="2" t="s">
        <v>5</v>
      </c>
      <c r="C3914" s="2" t="s">
        <v>8002</v>
      </c>
      <c r="D3914" s="2" t="s">
        <v>7863</v>
      </c>
      <c r="E3914" s="2" t="str">
        <f>HYPERLINK("https://talan.bank.gov.ua/get-user-certificate/sec1eoAOzfsg7G6goOhO","Завантажити сертифікат")</f>
        <v>Завантажити сертифікат</v>
      </c>
    </row>
    <row r="3915" spans="1:5" x14ac:dyDescent="0.3">
      <c r="A3915" s="2" t="s">
        <v>8003</v>
      </c>
      <c r="B3915" s="2" t="s">
        <v>5</v>
      </c>
      <c r="C3915" s="2" t="s">
        <v>8004</v>
      </c>
      <c r="D3915" s="2" t="s">
        <v>7863</v>
      </c>
      <c r="E3915" s="2" t="str">
        <f>HYPERLINK("https://talan.bank.gov.ua/get-user-certificate/sec1ecWQwKMTyWlj_fG7","Завантажити сертифікат")</f>
        <v>Завантажити сертифікат</v>
      </c>
    </row>
    <row r="3916" spans="1:5" x14ac:dyDescent="0.3">
      <c r="A3916" s="2" t="s">
        <v>8005</v>
      </c>
      <c r="B3916" s="2" t="s">
        <v>5</v>
      </c>
      <c r="C3916" s="2" t="s">
        <v>8006</v>
      </c>
      <c r="D3916" s="2" t="s">
        <v>7863</v>
      </c>
      <c r="E3916" s="2" t="str">
        <f>HYPERLINK("https://talan.bank.gov.ua/get-user-certificate/sec1eE5ddbN9WUG5lohx","Завантажити сертифікат")</f>
        <v>Завантажити сертифікат</v>
      </c>
    </row>
    <row r="3917" spans="1:5" x14ac:dyDescent="0.3">
      <c r="A3917" s="2" t="s">
        <v>8007</v>
      </c>
      <c r="B3917" s="2" t="s">
        <v>5</v>
      </c>
      <c r="C3917" s="2" t="s">
        <v>8008</v>
      </c>
      <c r="D3917" s="2" t="s">
        <v>7863</v>
      </c>
      <c r="E3917" s="2" t="str">
        <f>HYPERLINK("https://talan.bank.gov.ua/get-user-certificate/sec1e4m7-iciLeaKY45H","Завантажити сертифікат")</f>
        <v>Завантажити сертифікат</v>
      </c>
    </row>
    <row r="3918" spans="1:5" x14ac:dyDescent="0.3">
      <c r="A3918" s="2" t="s">
        <v>8009</v>
      </c>
      <c r="B3918" s="2" t="s">
        <v>5</v>
      </c>
      <c r="C3918" s="2" t="s">
        <v>8010</v>
      </c>
      <c r="D3918" s="2" t="s">
        <v>7863</v>
      </c>
      <c r="E3918" s="2" t="str">
        <f>HYPERLINK("https://talan.bank.gov.ua/get-user-certificate/sec1eZeR8mVT8Nrs-i3v","Завантажити сертифікат")</f>
        <v>Завантажити сертифікат</v>
      </c>
    </row>
    <row r="3919" spans="1:5" x14ac:dyDescent="0.3">
      <c r="A3919" s="2" t="s">
        <v>8011</v>
      </c>
      <c r="B3919" s="2" t="s">
        <v>5</v>
      </c>
      <c r="C3919" s="2" t="s">
        <v>8012</v>
      </c>
      <c r="D3919" s="2" t="s">
        <v>7863</v>
      </c>
      <c r="E3919" s="2" t="str">
        <f>HYPERLINK("https://talan.bank.gov.ua/get-user-certificate/sec1ekcWVFLx5UxKm6xd","Завантажити сертифікат")</f>
        <v>Завантажити сертифікат</v>
      </c>
    </row>
    <row r="3920" spans="1:5" x14ac:dyDescent="0.3">
      <c r="A3920" s="2" t="s">
        <v>8013</v>
      </c>
      <c r="B3920" s="2" t="s">
        <v>5</v>
      </c>
      <c r="C3920" s="2" t="s">
        <v>8014</v>
      </c>
      <c r="D3920" s="2" t="s">
        <v>7863</v>
      </c>
      <c r="E3920" s="2" t="str">
        <f>HYPERLINK("https://talan.bank.gov.ua/get-user-certificate/sec1ei-IYnC8bhxEtpdo","Завантажити сертифікат")</f>
        <v>Завантажити сертифікат</v>
      </c>
    </row>
    <row r="3921" spans="1:5" x14ac:dyDescent="0.3">
      <c r="A3921" s="2" t="s">
        <v>8015</v>
      </c>
      <c r="B3921" s="2" t="s">
        <v>5</v>
      </c>
      <c r="C3921" s="2" t="s">
        <v>8016</v>
      </c>
      <c r="D3921" s="2" t="s">
        <v>7863</v>
      </c>
      <c r="E3921" s="2" t="str">
        <f>HYPERLINK("https://talan.bank.gov.ua/get-user-certificate/sec1evp3iJfNf7WP2qJ_","Завантажити сертифікат")</f>
        <v>Завантажити сертифікат</v>
      </c>
    </row>
    <row r="3922" spans="1:5" x14ac:dyDescent="0.3">
      <c r="A3922" s="2" t="s">
        <v>8017</v>
      </c>
      <c r="B3922" s="2" t="s">
        <v>5</v>
      </c>
      <c r="C3922" s="2" t="s">
        <v>8018</v>
      </c>
      <c r="D3922" s="2" t="s">
        <v>7863</v>
      </c>
      <c r="E3922" s="2" t="str">
        <f>HYPERLINK("https://talan.bank.gov.ua/get-user-certificate/sec1eMJUBmaXAl-5YZJN","Завантажити сертифікат")</f>
        <v>Завантажити сертифікат</v>
      </c>
    </row>
    <row r="3923" spans="1:5" x14ac:dyDescent="0.3">
      <c r="A3923" s="2" t="s">
        <v>8019</v>
      </c>
      <c r="B3923" s="2" t="s">
        <v>5</v>
      </c>
      <c r="C3923" s="2" t="s">
        <v>8020</v>
      </c>
      <c r="D3923" s="2" t="s">
        <v>7863</v>
      </c>
      <c r="E3923" s="2" t="str">
        <f>HYPERLINK("https://talan.bank.gov.ua/get-user-certificate/sec1ewExMa2Q-jh2kLh7","Завантажити сертифікат")</f>
        <v>Завантажити сертифікат</v>
      </c>
    </row>
    <row r="3924" spans="1:5" x14ac:dyDescent="0.3">
      <c r="A3924" s="2" t="s">
        <v>8021</v>
      </c>
      <c r="B3924" s="2" t="s">
        <v>5</v>
      </c>
      <c r="C3924" s="2" t="s">
        <v>8022</v>
      </c>
      <c r="D3924" s="2" t="s">
        <v>7863</v>
      </c>
      <c r="E3924" s="2" t="str">
        <f>HYPERLINK("https://talan.bank.gov.ua/get-user-certificate/sec1ejizv_V2qhjw-M1q","Завантажити сертифікат")</f>
        <v>Завантажити сертифікат</v>
      </c>
    </row>
    <row r="3925" spans="1:5" x14ac:dyDescent="0.3">
      <c r="A3925" s="2" t="s">
        <v>8023</v>
      </c>
      <c r="B3925" s="2" t="s">
        <v>5</v>
      </c>
      <c r="C3925" s="2" t="s">
        <v>8024</v>
      </c>
      <c r="D3925" s="2" t="s">
        <v>7863</v>
      </c>
      <c r="E3925" s="2" t="str">
        <f>HYPERLINK("https://talan.bank.gov.ua/get-user-certificate/sec1ex99wxiQbpyhhqZ5","Завантажити сертифікат")</f>
        <v>Завантажити сертифікат</v>
      </c>
    </row>
    <row r="3926" spans="1:5" x14ac:dyDescent="0.3">
      <c r="A3926" s="2" t="s">
        <v>8025</v>
      </c>
      <c r="B3926" s="2" t="s">
        <v>5</v>
      </c>
      <c r="C3926" s="2" t="s">
        <v>8026</v>
      </c>
      <c r="D3926" s="2" t="s">
        <v>7863</v>
      </c>
      <c r="E3926" s="2" t="str">
        <f>HYPERLINK("https://talan.bank.gov.ua/get-user-certificate/sec1etwpn8y8f66MYBhc","Завантажити сертифікат")</f>
        <v>Завантажити сертифікат</v>
      </c>
    </row>
    <row r="3927" spans="1:5" x14ac:dyDescent="0.3">
      <c r="A3927" s="2" t="s">
        <v>8027</v>
      </c>
      <c r="B3927" s="2" t="s">
        <v>5</v>
      </c>
      <c r="C3927" s="2" t="s">
        <v>8028</v>
      </c>
      <c r="D3927" s="2" t="s">
        <v>7863</v>
      </c>
      <c r="E3927" s="2" t="str">
        <f>HYPERLINK("https://talan.bank.gov.ua/get-user-certificate/sec1eY5oEBiKCPpj1RpB","Завантажити сертифікат")</f>
        <v>Завантажити сертифікат</v>
      </c>
    </row>
    <row r="3928" spans="1:5" x14ac:dyDescent="0.3">
      <c r="A3928" s="2" t="s">
        <v>8029</v>
      </c>
      <c r="B3928" s="2" t="s">
        <v>5</v>
      </c>
      <c r="C3928" s="2" t="s">
        <v>8030</v>
      </c>
      <c r="D3928" s="2" t="s">
        <v>7863</v>
      </c>
      <c r="E3928" s="2" t="str">
        <f>HYPERLINK("https://talan.bank.gov.ua/get-user-certificate/sec1ekB1n06m_0DzquST","Завантажити сертифікат")</f>
        <v>Завантажити сертифікат</v>
      </c>
    </row>
    <row r="3929" spans="1:5" x14ac:dyDescent="0.3">
      <c r="A3929" s="2" t="s">
        <v>8031</v>
      </c>
      <c r="B3929" s="2" t="s">
        <v>5</v>
      </c>
      <c r="C3929" s="2" t="s">
        <v>8032</v>
      </c>
      <c r="D3929" s="2" t="s">
        <v>7863</v>
      </c>
      <c r="E3929" s="2" t="str">
        <f>HYPERLINK("https://talan.bank.gov.ua/get-user-certificate/sec1ebgqApOuuSdhzle_","Завантажити сертифікат")</f>
        <v>Завантажити сертифікат</v>
      </c>
    </row>
    <row r="3930" spans="1:5" x14ac:dyDescent="0.3">
      <c r="A3930" s="2" t="s">
        <v>8033</v>
      </c>
      <c r="B3930" s="2" t="s">
        <v>5</v>
      </c>
      <c r="C3930" s="2" t="s">
        <v>8034</v>
      </c>
      <c r="D3930" s="2" t="s">
        <v>7863</v>
      </c>
      <c r="E3930" s="2" t="str">
        <f>HYPERLINK("https://talan.bank.gov.ua/get-user-certificate/sec1e2TV9M9THD0SckAt","Завантажити сертифікат")</f>
        <v>Завантажити сертифікат</v>
      </c>
    </row>
    <row r="3931" spans="1:5" x14ac:dyDescent="0.3">
      <c r="A3931" s="2" t="s">
        <v>8035</v>
      </c>
      <c r="B3931" s="2" t="s">
        <v>5</v>
      </c>
      <c r="C3931" s="2" t="s">
        <v>8036</v>
      </c>
      <c r="D3931" s="2" t="s">
        <v>7863</v>
      </c>
      <c r="E3931" s="2" t="str">
        <f>HYPERLINK("https://talan.bank.gov.ua/get-user-certificate/sec1e_XLr2_wK04RPZFa","Завантажити сертифікат")</f>
        <v>Завантажити сертифікат</v>
      </c>
    </row>
    <row r="3932" spans="1:5" x14ac:dyDescent="0.3">
      <c r="A3932" s="2" t="s">
        <v>8037</v>
      </c>
      <c r="B3932" s="2" t="s">
        <v>5</v>
      </c>
      <c r="C3932" s="2" t="s">
        <v>8038</v>
      </c>
      <c r="D3932" s="2" t="s">
        <v>7863</v>
      </c>
      <c r="E3932" s="2" t="str">
        <f>HYPERLINK("https://talan.bank.gov.ua/get-user-certificate/sec1eOfjaf0VUQqbpcYD","Завантажити сертифікат")</f>
        <v>Завантажити сертифікат</v>
      </c>
    </row>
    <row r="3933" spans="1:5" x14ac:dyDescent="0.3">
      <c r="A3933" s="2" t="s">
        <v>8039</v>
      </c>
      <c r="B3933" s="2" t="s">
        <v>5</v>
      </c>
      <c r="C3933" s="2" t="s">
        <v>8040</v>
      </c>
      <c r="D3933" s="2" t="s">
        <v>7863</v>
      </c>
      <c r="E3933" s="2" t="str">
        <f>HYPERLINK("https://talan.bank.gov.ua/get-user-certificate/sec1edWbYX0cDTapOV-Z","Завантажити сертифікат")</f>
        <v>Завантажити сертифікат</v>
      </c>
    </row>
    <row r="3934" spans="1:5" x14ac:dyDescent="0.3">
      <c r="A3934" s="2" t="s">
        <v>8041</v>
      </c>
      <c r="B3934" s="2" t="s">
        <v>5</v>
      </c>
      <c r="C3934" s="2" t="s">
        <v>8042</v>
      </c>
      <c r="D3934" s="2" t="s">
        <v>7863</v>
      </c>
      <c r="E3934" s="2" t="str">
        <f>HYPERLINK("https://talan.bank.gov.ua/get-user-certificate/sec1e7KApY4U6RxWbH2t","Завантажити сертифікат")</f>
        <v>Завантажити сертифікат</v>
      </c>
    </row>
    <row r="3935" spans="1:5" x14ac:dyDescent="0.3">
      <c r="A3935" s="2" t="s">
        <v>8043</v>
      </c>
      <c r="B3935" s="2" t="s">
        <v>5</v>
      </c>
      <c r="C3935" s="2" t="s">
        <v>8044</v>
      </c>
      <c r="D3935" s="2" t="s">
        <v>7863</v>
      </c>
      <c r="E3935" s="2" t="str">
        <f>HYPERLINK("https://talan.bank.gov.ua/get-user-certificate/sec1eAnZ-pboxnZmKs64","Завантажити сертифікат")</f>
        <v>Завантажити сертифікат</v>
      </c>
    </row>
    <row r="3936" spans="1:5" x14ac:dyDescent="0.3">
      <c r="A3936" s="2" t="s">
        <v>8045</v>
      </c>
      <c r="B3936" s="2" t="s">
        <v>5</v>
      </c>
      <c r="C3936" s="2" t="s">
        <v>8046</v>
      </c>
      <c r="D3936" s="2" t="s">
        <v>7863</v>
      </c>
      <c r="E3936" s="2" t="str">
        <f>HYPERLINK("https://talan.bank.gov.ua/get-user-certificate/sec1eL2on-U_G79nWKtd","Завантажити сертифікат")</f>
        <v>Завантажити сертифікат</v>
      </c>
    </row>
    <row r="3937" spans="1:5" x14ac:dyDescent="0.3">
      <c r="A3937" s="2" t="s">
        <v>8047</v>
      </c>
      <c r="B3937" s="2" t="s">
        <v>5</v>
      </c>
      <c r="C3937" s="2" t="s">
        <v>8048</v>
      </c>
      <c r="D3937" s="2" t="s">
        <v>7863</v>
      </c>
      <c r="E3937" s="2" t="str">
        <f>HYPERLINK("https://talan.bank.gov.ua/get-user-certificate/sec1etUfVWiMakHpXku0","Завантажити сертифікат")</f>
        <v>Завантажити сертифікат</v>
      </c>
    </row>
    <row r="3938" spans="1:5" x14ac:dyDescent="0.3">
      <c r="A3938" s="2" t="s">
        <v>8049</v>
      </c>
      <c r="B3938" s="2" t="s">
        <v>5</v>
      </c>
      <c r="C3938" s="2" t="s">
        <v>8050</v>
      </c>
      <c r="D3938" s="2" t="s">
        <v>7863</v>
      </c>
      <c r="E3938" s="2" t="str">
        <f>HYPERLINK("https://talan.bank.gov.ua/get-user-certificate/sec1eUCwI0MyVTusfNKx","Завантажити сертифікат")</f>
        <v>Завантажити сертифікат</v>
      </c>
    </row>
    <row r="3939" spans="1:5" x14ac:dyDescent="0.3">
      <c r="A3939" s="2" t="s">
        <v>8051</v>
      </c>
      <c r="B3939" s="2" t="s">
        <v>5</v>
      </c>
      <c r="C3939" s="2" t="s">
        <v>8052</v>
      </c>
      <c r="D3939" s="2" t="s">
        <v>7863</v>
      </c>
      <c r="E3939" s="2" t="str">
        <f>HYPERLINK("https://talan.bank.gov.ua/get-user-certificate/sec1e_eKQChGwhWfLWpl","Завантажити сертифікат")</f>
        <v>Завантажити сертифікат</v>
      </c>
    </row>
    <row r="3940" spans="1:5" x14ac:dyDescent="0.3">
      <c r="A3940" s="2" t="s">
        <v>8053</v>
      </c>
      <c r="B3940" s="2" t="s">
        <v>5</v>
      </c>
      <c r="C3940" s="2" t="s">
        <v>8054</v>
      </c>
      <c r="D3940" s="2" t="s">
        <v>7863</v>
      </c>
      <c r="E3940" s="2" t="str">
        <f>HYPERLINK("https://talan.bank.gov.ua/get-user-certificate/sec1eMe9VWnZlYkVg8xS","Завантажити сертифікат")</f>
        <v>Завантажити сертифікат</v>
      </c>
    </row>
    <row r="3941" spans="1:5" x14ac:dyDescent="0.3">
      <c r="A3941" s="2" t="s">
        <v>8055</v>
      </c>
      <c r="B3941" s="2" t="s">
        <v>5</v>
      </c>
      <c r="C3941" s="2" t="s">
        <v>8056</v>
      </c>
      <c r="D3941" s="2" t="s">
        <v>7863</v>
      </c>
      <c r="E3941" s="2" t="str">
        <f>HYPERLINK("https://talan.bank.gov.ua/get-user-certificate/sec1emysmAMCCCJPHQxg","Завантажити сертифікат")</f>
        <v>Завантажити сертифікат</v>
      </c>
    </row>
    <row r="3942" spans="1:5" x14ac:dyDescent="0.3">
      <c r="A3942" s="2" t="s">
        <v>8057</v>
      </c>
      <c r="B3942" s="2" t="s">
        <v>5</v>
      </c>
      <c r="C3942" s="2" t="s">
        <v>8058</v>
      </c>
      <c r="D3942" s="2" t="s">
        <v>7863</v>
      </c>
      <c r="E3942" s="2" t="str">
        <f>HYPERLINK("https://talan.bank.gov.ua/get-user-certificate/sec1eC5j4sy3UxCNIAfj","Завантажити сертифікат")</f>
        <v>Завантажити сертифікат</v>
      </c>
    </row>
    <row r="3943" spans="1:5" x14ac:dyDescent="0.3">
      <c r="A3943" s="2" t="s">
        <v>8059</v>
      </c>
      <c r="B3943" s="2" t="s">
        <v>5</v>
      </c>
      <c r="C3943" s="2" t="s">
        <v>8060</v>
      </c>
      <c r="D3943" s="2" t="s">
        <v>7863</v>
      </c>
      <c r="E3943" s="2" t="str">
        <f>HYPERLINK("https://talan.bank.gov.ua/get-user-certificate/sec1e-4o19dlwy5RHReO","Завантажити сертифікат")</f>
        <v>Завантажити сертифікат</v>
      </c>
    </row>
    <row r="3944" spans="1:5" x14ac:dyDescent="0.3">
      <c r="A3944" s="2" t="s">
        <v>8061</v>
      </c>
      <c r="B3944" s="2" t="s">
        <v>5</v>
      </c>
      <c r="C3944" s="2" t="s">
        <v>8062</v>
      </c>
      <c r="D3944" s="2" t="s">
        <v>7863</v>
      </c>
      <c r="E3944" s="2" t="str">
        <f>HYPERLINK("https://talan.bank.gov.ua/get-user-certificate/sec1eLzOOQJodsoGbxn_","Завантажити сертифікат")</f>
        <v>Завантажити сертифікат</v>
      </c>
    </row>
    <row r="3945" spans="1:5" x14ac:dyDescent="0.3">
      <c r="A3945" s="2" t="s">
        <v>8063</v>
      </c>
      <c r="B3945" s="2" t="s">
        <v>5</v>
      </c>
      <c r="C3945" s="2" t="s">
        <v>8064</v>
      </c>
      <c r="D3945" s="2" t="s">
        <v>7863</v>
      </c>
      <c r="E3945" s="2" t="str">
        <f>HYPERLINK("https://talan.bank.gov.ua/get-user-certificate/sec1eX0yBhAP0KI3AAN-","Завантажити сертифікат")</f>
        <v>Завантажити сертифікат</v>
      </c>
    </row>
    <row r="3946" spans="1:5" x14ac:dyDescent="0.3">
      <c r="A3946" s="2" t="s">
        <v>8065</v>
      </c>
      <c r="B3946" s="2" t="s">
        <v>5</v>
      </c>
      <c r="C3946" s="2" t="s">
        <v>8066</v>
      </c>
      <c r="D3946" s="2" t="s">
        <v>7863</v>
      </c>
      <c r="E3946" s="2" t="str">
        <f>HYPERLINK("https://talan.bank.gov.ua/get-user-certificate/sec1e4SyIzITfy8b5Zu5","Завантажити сертифікат")</f>
        <v>Завантажити сертифікат</v>
      </c>
    </row>
    <row r="3947" spans="1:5" x14ac:dyDescent="0.3">
      <c r="A3947" s="2" t="s">
        <v>8067</v>
      </c>
      <c r="B3947" s="2" t="s">
        <v>5</v>
      </c>
      <c r="C3947" s="2" t="s">
        <v>8068</v>
      </c>
      <c r="D3947" s="2" t="s">
        <v>7863</v>
      </c>
      <c r="E3947" s="2" t="str">
        <f>HYPERLINK("https://talan.bank.gov.ua/get-user-certificate/sec1e7KwOZJZOIGkHvVs","Завантажити сертифікат")</f>
        <v>Завантажити сертифікат</v>
      </c>
    </row>
    <row r="3948" spans="1:5" x14ac:dyDescent="0.3">
      <c r="A3948" s="2" t="s">
        <v>8069</v>
      </c>
      <c r="B3948" s="2" t="s">
        <v>5</v>
      </c>
      <c r="C3948" s="2" t="s">
        <v>8070</v>
      </c>
      <c r="D3948" s="2" t="s">
        <v>8071</v>
      </c>
      <c r="E3948" s="2" t="str">
        <f>HYPERLINK("https://talan.bank.gov.ua/get-user-certificate/sec1esy32F5y_WqO3OQt","Завантажити сертифікат")</f>
        <v>Завантажити сертифікат</v>
      </c>
    </row>
    <row r="3949" spans="1:5" x14ac:dyDescent="0.3">
      <c r="A3949" s="2" t="s">
        <v>8072</v>
      </c>
      <c r="B3949" s="2" t="s">
        <v>5</v>
      </c>
      <c r="C3949" s="2" t="s">
        <v>8073</v>
      </c>
      <c r="D3949" s="2" t="s">
        <v>8071</v>
      </c>
      <c r="E3949" s="2" t="str">
        <f>HYPERLINK("https://talan.bank.gov.ua/get-user-certificate/sec1enuojGKTEi1GP8BU","Завантажити сертифікат")</f>
        <v>Завантажити сертифікат</v>
      </c>
    </row>
    <row r="3950" spans="1:5" x14ac:dyDescent="0.3">
      <c r="A3950" s="2" t="s">
        <v>8074</v>
      </c>
      <c r="B3950" s="2" t="s">
        <v>5</v>
      </c>
      <c r="C3950" s="2" t="s">
        <v>8075</v>
      </c>
      <c r="D3950" s="2" t="s">
        <v>8071</v>
      </c>
      <c r="E3950" s="2" t="str">
        <f>HYPERLINK("https://talan.bank.gov.ua/get-user-certificate/sec1eesBWyowGwP9Ixo2","Завантажити сертифікат")</f>
        <v>Завантажити сертифікат</v>
      </c>
    </row>
    <row r="3951" spans="1:5" x14ac:dyDescent="0.3">
      <c r="A3951" s="2" t="s">
        <v>8076</v>
      </c>
      <c r="B3951" s="2" t="s">
        <v>5</v>
      </c>
      <c r="C3951" s="2" t="s">
        <v>8077</v>
      </c>
      <c r="D3951" s="2" t="s">
        <v>8071</v>
      </c>
      <c r="E3951" s="2" t="str">
        <f>HYPERLINK("https://talan.bank.gov.ua/get-user-certificate/sec1ejYZ5x5mHvfyXXMQ","Завантажити сертифікат")</f>
        <v>Завантажити сертифікат</v>
      </c>
    </row>
    <row r="3952" spans="1:5" x14ac:dyDescent="0.3">
      <c r="A3952" s="2" t="s">
        <v>8078</v>
      </c>
      <c r="B3952" s="2" t="s">
        <v>5</v>
      </c>
      <c r="C3952" s="2" t="s">
        <v>8079</v>
      </c>
      <c r="D3952" s="2" t="s">
        <v>8071</v>
      </c>
      <c r="E3952" s="2" t="str">
        <f>HYPERLINK("https://talan.bank.gov.ua/get-user-certificate/sec1eGDuTFz4d4VdsQzW","Завантажити сертифікат")</f>
        <v>Завантажити сертифікат</v>
      </c>
    </row>
    <row r="3953" spans="1:5" x14ac:dyDescent="0.3">
      <c r="A3953" s="2" t="s">
        <v>8080</v>
      </c>
      <c r="B3953" s="2" t="s">
        <v>5</v>
      </c>
      <c r="C3953" s="2" t="s">
        <v>8081</v>
      </c>
      <c r="D3953" s="2" t="s">
        <v>8071</v>
      </c>
      <c r="E3953" s="2" t="str">
        <f>HYPERLINK("https://talan.bank.gov.ua/get-user-certificate/sec1eAifmLAlJVI6820u","Завантажити сертифікат")</f>
        <v>Завантажити сертифікат</v>
      </c>
    </row>
    <row r="3954" spans="1:5" x14ac:dyDescent="0.3">
      <c r="A3954" s="2" t="s">
        <v>8082</v>
      </c>
      <c r="B3954" s="2" t="s">
        <v>5</v>
      </c>
      <c r="C3954" s="2" t="s">
        <v>8083</v>
      </c>
      <c r="D3954" s="2" t="s">
        <v>8071</v>
      </c>
      <c r="E3954" s="2" t="str">
        <f>HYPERLINK("https://talan.bank.gov.ua/get-user-certificate/sec1egRU7hg7mfiEW0gY","Завантажити сертифікат")</f>
        <v>Завантажити сертифікат</v>
      </c>
    </row>
    <row r="3955" spans="1:5" x14ac:dyDescent="0.3">
      <c r="A3955" s="2" t="s">
        <v>8084</v>
      </c>
      <c r="B3955" s="2" t="s">
        <v>5</v>
      </c>
      <c r="C3955" s="2" t="s">
        <v>8085</v>
      </c>
      <c r="D3955" s="2" t="s">
        <v>8071</v>
      </c>
      <c r="E3955" s="2" t="str">
        <f>HYPERLINK("https://talan.bank.gov.ua/get-user-certificate/sec1e1oTkGBqeaDaE2ay","Завантажити сертифікат")</f>
        <v>Завантажити сертифікат</v>
      </c>
    </row>
    <row r="3956" spans="1:5" x14ac:dyDescent="0.3">
      <c r="A3956" s="2" t="s">
        <v>8086</v>
      </c>
      <c r="B3956" s="2" t="s">
        <v>5</v>
      </c>
      <c r="C3956" s="2" t="s">
        <v>8087</v>
      </c>
      <c r="D3956" s="2" t="s">
        <v>8071</v>
      </c>
      <c r="E3956" s="2" t="str">
        <f>HYPERLINK("https://talan.bank.gov.ua/get-user-certificate/sec1ey1fwdKL7LotZKCN","Завантажити сертифікат")</f>
        <v>Завантажити сертифікат</v>
      </c>
    </row>
    <row r="3957" spans="1:5" x14ac:dyDescent="0.3">
      <c r="A3957" s="2" t="s">
        <v>8088</v>
      </c>
      <c r="B3957" s="2" t="s">
        <v>5</v>
      </c>
      <c r="C3957" s="2" t="s">
        <v>8089</v>
      </c>
      <c r="D3957" s="2" t="s">
        <v>8071</v>
      </c>
      <c r="E3957" s="2" t="str">
        <f>HYPERLINK("https://talan.bank.gov.ua/get-user-certificate/sec1e5u0bCBcUIWxge9m","Завантажити сертифікат")</f>
        <v>Завантажити сертифікат</v>
      </c>
    </row>
    <row r="3958" spans="1:5" x14ac:dyDescent="0.3">
      <c r="A3958" s="2" t="s">
        <v>8090</v>
      </c>
      <c r="B3958" s="2" t="s">
        <v>5</v>
      </c>
      <c r="C3958" s="2" t="s">
        <v>8091</v>
      </c>
      <c r="D3958" s="2" t="s">
        <v>8092</v>
      </c>
      <c r="E3958" s="2" t="str">
        <f>HYPERLINK("https://talan.bank.gov.ua/get-user-certificate/sec1eBLlfC2AAGVWrtqJ","Завантажити сертифікат")</f>
        <v>Завантажити сертифікат</v>
      </c>
    </row>
    <row r="3959" spans="1:5" x14ac:dyDescent="0.3">
      <c r="A3959" s="2" t="s">
        <v>8093</v>
      </c>
      <c r="B3959" s="2" t="s">
        <v>5</v>
      </c>
      <c r="C3959" s="2" t="s">
        <v>8094</v>
      </c>
      <c r="D3959" s="2" t="s">
        <v>8092</v>
      </c>
      <c r="E3959" s="2" t="str">
        <f>HYPERLINK("https://talan.bank.gov.ua/get-user-certificate/sec1eZ1OxrCQ5v7zAnWW","Завантажити сертифікат")</f>
        <v>Завантажити сертифікат</v>
      </c>
    </row>
    <row r="3960" spans="1:5" x14ac:dyDescent="0.3">
      <c r="A3960" s="2" t="s">
        <v>8095</v>
      </c>
      <c r="B3960" s="2" t="s">
        <v>5</v>
      </c>
      <c r="C3960" s="2" t="s">
        <v>8096</v>
      </c>
      <c r="D3960" s="2" t="s">
        <v>8092</v>
      </c>
      <c r="E3960" s="2" t="str">
        <f>HYPERLINK("https://talan.bank.gov.ua/get-user-certificate/sec1eRBYyhPDHsd8_qPj","Завантажити сертифікат")</f>
        <v>Завантажити сертифікат</v>
      </c>
    </row>
    <row r="3961" spans="1:5" x14ac:dyDescent="0.3">
      <c r="A3961" s="2" t="s">
        <v>8097</v>
      </c>
      <c r="B3961" s="2" t="s">
        <v>5</v>
      </c>
      <c r="C3961" s="2" t="s">
        <v>8098</v>
      </c>
      <c r="D3961" s="2" t="s">
        <v>8092</v>
      </c>
      <c r="E3961" s="2" t="str">
        <f>HYPERLINK("https://talan.bank.gov.ua/get-user-certificate/sec1emS4EJKXPcFPAcUM","Завантажити сертифікат")</f>
        <v>Завантажити сертифікат</v>
      </c>
    </row>
    <row r="3962" spans="1:5" x14ac:dyDescent="0.3">
      <c r="A3962" s="2" t="s">
        <v>8099</v>
      </c>
      <c r="B3962" s="2" t="s">
        <v>5</v>
      </c>
      <c r="C3962" s="2" t="s">
        <v>8100</v>
      </c>
      <c r="D3962" s="2" t="s">
        <v>8092</v>
      </c>
      <c r="E3962" s="2" t="str">
        <f>HYPERLINK("https://talan.bank.gov.ua/get-user-certificate/sec1eexu0Ku2hut8kXp_","Завантажити сертифікат")</f>
        <v>Завантажити сертифікат</v>
      </c>
    </row>
    <row r="3963" spans="1:5" x14ac:dyDescent="0.3">
      <c r="A3963" s="2" t="s">
        <v>8101</v>
      </c>
      <c r="B3963" s="2" t="s">
        <v>5</v>
      </c>
      <c r="C3963" s="2" t="s">
        <v>8102</v>
      </c>
      <c r="D3963" s="2" t="s">
        <v>8092</v>
      </c>
      <c r="E3963" s="2" t="str">
        <f>HYPERLINK("https://talan.bank.gov.ua/get-user-certificate/sec1exqvAKOY2LMnK-bc","Завантажити сертифікат")</f>
        <v>Завантажити сертифікат</v>
      </c>
    </row>
    <row r="3964" spans="1:5" x14ac:dyDescent="0.3">
      <c r="A3964" s="2" t="s">
        <v>8103</v>
      </c>
      <c r="B3964" s="2" t="s">
        <v>5</v>
      </c>
      <c r="C3964" s="2" t="s">
        <v>8104</v>
      </c>
      <c r="D3964" s="2" t="s">
        <v>8092</v>
      </c>
      <c r="E3964" s="2" t="str">
        <f>HYPERLINK("https://talan.bank.gov.ua/get-user-certificate/sec1eykMhonjyV_M8QcF","Завантажити сертифікат")</f>
        <v>Завантажити сертифікат</v>
      </c>
    </row>
    <row r="3965" spans="1:5" x14ac:dyDescent="0.3">
      <c r="A3965" s="2" t="s">
        <v>8105</v>
      </c>
      <c r="B3965" s="2" t="s">
        <v>5</v>
      </c>
      <c r="C3965" s="2" t="s">
        <v>8106</v>
      </c>
      <c r="D3965" s="2" t="s">
        <v>8092</v>
      </c>
      <c r="E3965" s="2" t="str">
        <f>HYPERLINK("https://talan.bank.gov.ua/get-user-certificate/sec1ekCma9bwEkuaXN2I","Завантажити сертифікат")</f>
        <v>Завантажити сертифікат</v>
      </c>
    </row>
    <row r="3966" spans="1:5" x14ac:dyDescent="0.3">
      <c r="A3966" s="2" t="s">
        <v>8107</v>
      </c>
      <c r="B3966" s="2" t="s">
        <v>5</v>
      </c>
      <c r="C3966" s="2" t="s">
        <v>8108</v>
      </c>
      <c r="D3966" s="2" t="s">
        <v>8092</v>
      </c>
      <c r="E3966" s="2" t="str">
        <f>HYPERLINK("https://talan.bank.gov.ua/get-user-certificate/sec1eTrtxoOiB_WNLgrg","Завантажити сертифікат")</f>
        <v>Завантажити сертифікат</v>
      </c>
    </row>
    <row r="3967" spans="1:5" x14ac:dyDescent="0.3">
      <c r="A3967" s="2" t="s">
        <v>8109</v>
      </c>
      <c r="B3967" s="2" t="s">
        <v>5</v>
      </c>
      <c r="C3967" s="2" t="s">
        <v>8110</v>
      </c>
      <c r="D3967" s="2" t="s">
        <v>8092</v>
      </c>
      <c r="E3967" s="2" t="str">
        <f>HYPERLINK("https://talan.bank.gov.ua/get-user-certificate/sec1e5kcVEtYjFtS-Lrk","Завантажити сертифікат")</f>
        <v>Завантажити сертифікат</v>
      </c>
    </row>
    <row r="3968" spans="1:5" x14ac:dyDescent="0.3">
      <c r="A3968" s="2" t="s">
        <v>8111</v>
      </c>
      <c r="B3968" s="2" t="s">
        <v>5</v>
      </c>
      <c r="C3968" s="2" t="s">
        <v>8112</v>
      </c>
      <c r="D3968" s="2" t="s">
        <v>8092</v>
      </c>
      <c r="E3968" s="2" t="str">
        <f>HYPERLINK("https://talan.bank.gov.ua/get-user-certificate/sec1esapT20WCLIFezsy","Завантажити сертифікат")</f>
        <v>Завантажити сертифікат</v>
      </c>
    </row>
    <row r="3969" spans="1:5" x14ac:dyDescent="0.3">
      <c r="A3969" s="2" t="s">
        <v>8113</v>
      </c>
      <c r="B3969" s="2" t="s">
        <v>5</v>
      </c>
      <c r="C3969" s="2" t="s">
        <v>8114</v>
      </c>
      <c r="D3969" s="2" t="s">
        <v>8092</v>
      </c>
      <c r="E3969" s="2" t="str">
        <f>HYPERLINK("https://talan.bank.gov.ua/get-user-certificate/sec1e_ses-RLnQEdcRg8","Завантажити сертифікат")</f>
        <v>Завантажити сертифікат</v>
      </c>
    </row>
    <row r="3970" spans="1:5" x14ac:dyDescent="0.3">
      <c r="A3970" s="2" t="s">
        <v>8115</v>
      </c>
      <c r="B3970" s="2" t="s">
        <v>5</v>
      </c>
      <c r="C3970" s="2" t="s">
        <v>8116</v>
      </c>
      <c r="D3970" s="2" t="s">
        <v>8092</v>
      </c>
      <c r="E3970" s="2" t="str">
        <f>HYPERLINK("https://talan.bank.gov.ua/get-user-certificate/sec1eE_k0K563Wr4RssT","Завантажити сертифікат")</f>
        <v>Завантажити сертифікат</v>
      </c>
    </row>
    <row r="3971" spans="1:5" x14ac:dyDescent="0.3">
      <c r="A3971" s="2" t="s">
        <v>8117</v>
      </c>
      <c r="B3971" s="2" t="s">
        <v>5</v>
      </c>
      <c r="C3971" s="2" t="s">
        <v>8118</v>
      </c>
      <c r="D3971" s="2" t="s">
        <v>8092</v>
      </c>
      <c r="E3971" s="2" t="str">
        <f>HYPERLINK("https://talan.bank.gov.ua/get-user-certificate/sec1ehTqghPhCupH7wI8","Завантажити сертифікат")</f>
        <v>Завантажити сертифікат</v>
      </c>
    </row>
    <row r="3972" spans="1:5" x14ac:dyDescent="0.3">
      <c r="A3972" s="2" t="s">
        <v>8119</v>
      </c>
      <c r="B3972" s="2" t="s">
        <v>5</v>
      </c>
      <c r="C3972" s="2" t="s">
        <v>8120</v>
      </c>
      <c r="D3972" s="2" t="s">
        <v>8092</v>
      </c>
      <c r="E3972" s="2" t="str">
        <f>HYPERLINK("https://talan.bank.gov.ua/get-user-certificate/sec1e0siIS3xBCW4A4sz","Завантажити сертифікат")</f>
        <v>Завантажити сертифікат</v>
      </c>
    </row>
    <row r="3973" spans="1:5" x14ac:dyDescent="0.3">
      <c r="A3973" s="2" t="s">
        <v>8121</v>
      </c>
      <c r="B3973" s="2" t="s">
        <v>5</v>
      </c>
      <c r="C3973" s="2" t="s">
        <v>8122</v>
      </c>
      <c r="D3973" s="2" t="s">
        <v>8092</v>
      </c>
      <c r="E3973" s="2" t="str">
        <f>HYPERLINK("https://talan.bank.gov.ua/get-user-certificate/sec1eEO00n3XxulyDHfK","Завантажити сертифікат")</f>
        <v>Завантажити сертифікат</v>
      </c>
    </row>
    <row r="3974" spans="1:5" x14ac:dyDescent="0.3">
      <c r="A3974" s="2" t="s">
        <v>8123</v>
      </c>
      <c r="B3974" s="2" t="s">
        <v>5</v>
      </c>
      <c r="C3974" s="2" t="s">
        <v>8124</v>
      </c>
      <c r="D3974" s="2" t="s">
        <v>8092</v>
      </c>
      <c r="E3974" s="2" t="str">
        <f>HYPERLINK("https://talan.bank.gov.ua/get-user-certificate/sec1eudyEeGliwrjqmKr","Завантажити сертифікат")</f>
        <v>Завантажити сертифікат</v>
      </c>
    </row>
    <row r="3975" spans="1:5" x14ac:dyDescent="0.3">
      <c r="A3975" s="2" t="s">
        <v>8125</v>
      </c>
      <c r="B3975" s="2" t="s">
        <v>5</v>
      </c>
      <c r="C3975" s="2" t="s">
        <v>8126</v>
      </c>
      <c r="D3975" s="2" t="s">
        <v>8092</v>
      </c>
      <c r="E3975" s="2" t="str">
        <f>HYPERLINK("https://talan.bank.gov.ua/get-user-certificate/sec1eFRHiDGiRl5cDQ17","Завантажити сертифікат")</f>
        <v>Завантажити сертифікат</v>
      </c>
    </row>
    <row r="3976" spans="1:5" x14ac:dyDescent="0.3">
      <c r="A3976" s="2" t="s">
        <v>8127</v>
      </c>
      <c r="B3976" s="2" t="s">
        <v>5</v>
      </c>
      <c r="C3976" s="2" t="s">
        <v>8128</v>
      </c>
      <c r="D3976" s="2" t="s">
        <v>8092</v>
      </c>
      <c r="E3976" s="2" t="str">
        <f>HYPERLINK("https://talan.bank.gov.ua/get-user-certificate/sec1ehF8Z4wbxgZfMmCW","Завантажити сертифікат")</f>
        <v>Завантажити сертифікат</v>
      </c>
    </row>
    <row r="3977" spans="1:5" x14ac:dyDescent="0.3">
      <c r="A3977" s="2" t="s">
        <v>8129</v>
      </c>
      <c r="B3977" s="2" t="s">
        <v>5</v>
      </c>
      <c r="C3977" s="2" t="s">
        <v>8130</v>
      </c>
      <c r="D3977" s="2" t="s">
        <v>8092</v>
      </c>
      <c r="E3977" s="2" t="str">
        <f>HYPERLINK("https://talan.bank.gov.ua/get-user-certificate/sec1eFsMDHi3I1e2Wk0e","Завантажити сертифікат")</f>
        <v>Завантажити сертифікат</v>
      </c>
    </row>
    <row r="3978" spans="1:5" x14ac:dyDescent="0.3">
      <c r="A3978" s="2" t="s">
        <v>8131</v>
      </c>
      <c r="B3978" s="2" t="s">
        <v>5</v>
      </c>
      <c r="C3978" s="2" t="s">
        <v>8132</v>
      </c>
      <c r="D3978" s="2" t="s">
        <v>8092</v>
      </c>
      <c r="E3978" s="2" t="str">
        <f>HYPERLINK("https://talan.bank.gov.ua/get-user-certificate/sec1evzYJIKdAZ-QkGgS","Завантажити сертифікат")</f>
        <v>Завантажити сертифікат</v>
      </c>
    </row>
    <row r="3979" spans="1:5" x14ac:dyDescent="0.3">
      <c r="A3979" s="2" t="s">
        <v>8133</v>
      </c>
      <c r="B3979" s="2" t="s">
        <v>5</v>
      </c>
      <c r="C3979" s="2" t="s">
        <v>8134</v>
      </c>
      <c r="D3979" s="2" t="s">
        <v>8092</v>
      </c>
      <c r="E3979" s="2" t="str">
        <f>HYPERLINK("https://talan.bank.gov.ua/get-user-certificate/sec1e6SK5vY6UmlDBrS-","Завантажити сертифікат")</f>
        <v>Завантажити сертифікат</v>
      </c>
    </row>
    <row r="3980" spans="1:5" x14ac:dyDescent="0.3">
      <c r="A3980" s="2" t="s">
        <v>8135</v>
      </c>
      <c r="B3980" s="2" t="s">
        <v>5</v>
      </c>
      <c r="C3980" s="2" t="s">
        <v>8136</v>
      </c>
      <c r="D3980" s="2" t="s">
        <v>8092</v>
      </c>
      <c r="E3980" s="2" t="str">
        <f>HYPERLINK("https://talan.bank.gov.ua/get-user-certificate/sec1eQEpUHKKjiCNb8d5","Завантажити сертифікат")</f>
        <v>Завантажити сертифікат</v>
      </c>
    </row>
    <row r="3981" spans="1:5" x14ac:dyDescent="0.3">
      <c r="A3981" s="2" t="s">
        <v>8137</v>
      </c>
      <c r="B3981" s="2" t="s">
        <v>5</v>
      </c>
      <c r="C3981" s="2" t="s">
        <v>8138</v>
      </c>
      <c r="D3981" s="2" t="s">
        <v>8092</v>
      </c>
      <c r="E3981" s="2" t="str">
        <f>HYPERLINK("https://talan.bank.gov.ua/get-user-certificate/sec1ej39_0ZpiKYH-Pgq","Завантажити сертифікат")</f>
        <v>Завантажити сертифікат</v>
      </c>
    </row>
    <row r="3982" spans="1:5" x14ac:dyDescent="0.3">
      <c r="A3982" s="2" t="s">
        <v>8139</v>
      </c>
      <c r="B3982" s="2" t="s">
        <v>5</v>
      </c>
      <c r="C3982" s="2" t="s">
        <v>8140</v>
      </c>
      <c r="D3982" s="2" t="s">
        <v>8092</v>
      </c>
      <c r="E3982" s="2" t="str">
        <f>HYPERLINK("https://talan.bank.gov.ua/get-user-certificate/sec1eCswqXkpywSsimgo","Завантажити сертифікат")</f>
        <v>Завантажити сертифікат</v>
      </c>
    </row>
    <row r="3983" spans="1:5" x14ac:dyDescent="0.3">
      <c r="A3983" s="2" t="s">
        <v>8141</v>
      </c>
      <c r="B3983" s="2" t="s">
        <v>5</v>
      </c>
      <c r="C3983" s="2" t="s">
        <v>8142</v>
      </c>
      <c r="D3983" s="2" t="s">
        <v>8092</v>
      </c>
      <c r="E3983" s="2" t="str">
        <f>HYPERLINK("https://talan.bank.gov.ua/get-user-certificate/sec1e9wOy0-R_oFbydvi","Завантажити сертифікат")</f>
        <v>Завантажити сертифікат</v>
      </c>
    </row>
    <row r="3984" spans="1:5" x14ac:dyDescent="0.3">
      <c r="A3984" s="2" t="s">
        <v>8143</v>
      </c>
      <c r="B3984" s="2" t="s">
        <v>5</v>
      </c>
      <c r="C3984" s="2" t="s">
        <v>8144</v>
      </c>
      <c r="D3984" s="2" t="s">
        <v>8092</v>
      </c>
      <c r="E3984" s="2" t="str">
        <f>HYPERLINK("https://talan.bank.gov.ua/get-user-certificate/sec1ebm7x0b59obBp2Kh","Завантажити сертифікат")</f>
        <v>Завантажити сертифікат</v>
      </c>
    </row>
    <row r="3985" spans="1:5" x14ac:dyDescent="0.3">
      <c r="A3985" s="2" t="s">
        <v>8145</v>
      </c>
      <c r="B3985" s="2" t="s">
        <v>5</v>
      </c>
      <c r="C3985" s="2" t="s">
        <v>8146</v>
      </c>
      <c r="D3985" s="2" t="s">
        <v>8092</v>
      </c>
      <c r="E3985" s="2" t="str">
        <f>HYPERLINK("https://talan.bank.gov.ua/get-user-certificate/sec1elDPoF8JrSf2E-RH","Завантажити сертифікат")</f>
        <v>Завантажити сертифікат</v>
      </c>
    </row>
    <row r="3986" spans="1:5" x14ac:dyDescent="0.3">
      <c r="A3986" s="2" t="s">
        <v>8147</v>
      </c>
      <c r="B3986" s="2" t="s">
        <v>5</v>
      </c>
      <c r="C3986" s="2" t="s">
        <v>8148</v>
      </c>
      <c r="D3986" s="2" t="s">
        <v>8092</v>
      </c>
      <c r="E3986" s="2" t="str">
        <f>HYPERLINK("https://talan.bank.gov.ua/get-user-certificate/sec1eQv-T5dfToC3gt12","Завантажити сертифікат")</f>
        <v>Завантажити сертифікат</v>
      </c>
    </row>
    <row r="3987" spans="1:5" x14ac:dyDescent="0.3">
      <c r="A3987" s="2" t="s">
        <v>8149</v>
      </c>
      <c r="B3987" s="2" t="s">
        <v>5</v>
      </c>
      <c r="C3987" s="2" t="s">
        <v>8150</v>
      </c>
      <c r="D3987" s="2" t="s">
        <v>8092</v>
      </c>
      <c r="E3987" s="2" t="str">
        <f>HYPERLINK("https://talan.bank.gov.ua/get-user-certificate/sec1ezTVO2gRfpJo4wpE","Завантажити сертифікат")</f>
        <v>Завантажити сертифікат</v>
      </c>
    </row>
    <row r="3988" spans="1:5" x14ac:dyDescent="0.3">
      <c r="A3988" s="2" t="s">
        <v>8151</v>
      </c>
      <c r="B3988" s="2" t="s">
        <v>5</v>
      </c>
      <c r="C3988" s="2" t="s">
        <v>8152</v>
      </c>
      <c r="D3988" s="2" t="s">
        <v>8092</v>
      </c>
      <c r="E3988" s="2" t="str">
        <f>HYPERLINK("https://talan.bank.gov.ua/get-user-certificate/sec1eZkEOwYhAEiY0aH8","Завантажити сертифікат")</f>
        <v>Завантажити сертифікат</v>
      </c>
    </row>
    <row r="3989" spans="1:5" x14ac:dyDescent="0.3">
      <c r="A3989" s="2" t="s">
        <v>8153</v>
      </c>
      <c r="B3989" s="2" t="s">
        <v>5</v>
      </c>
      <c r="C3989" s="2" t="s">
        <v>8154</v>
      </c>
      <c r="D3989" s="2" t="s">
        <v>8092</v>
      </c>
      <c r="E3989" s="2" t="str">
        <f>HYPERLINK("https://talan.bank.gov.ua/get-user-certificate/sec1esgPI6tRryVa-AJS","Завантажити сертифікат")</f>
        <v>Завантажити сертифікат</v>
      </c>
    </row>
    <row r="3990" spans="1:5" x14ac:dyDescent="0.3">
      <c r="A3990" s="2" t="s">
        <v>8155</v>
      </c>
      <c r="B3990" s="2" t="s">
        <v>5</v>
      </c>
      <c r="C3990" s="2" t="s">
        <v>8156</v>
      </c>
      <c r="D3990" s="2" t="s">
        <v>8092</v>
      </c>
      <c r="E3990" s="2" t="str">
        <f>HYPERLINK("https://talan.bank.gov.ua/get-user-certificate/sec1eBhyVMSGA8K2eK6V","Завантажити сертифікат")</f>
        <v>Завантажити сертифікат</v>
      </c>
    </row>
    <row r="3991" spans="1:5" x14ac:dyDescent="0.3">
      <c r="A3991" s="2" t="s">
        <v>8157</v>
      </c>
      <c r="B3991" s="2" t="s">
        <v>5</v>
      </c>
      <c r="C3991" s="2" t="s">
        <v>8158</v>
      </c>
      <c r="D3991" s="2" t="s">
        <v>8092</v>
      </c>
      <c r="E3991" s="2" t="str">
        <f>HYPERLINK("https://talan.bank.gov.ua/get-user-certificate/sec1eYOXHnqE-UyzjHhl","Завантажити сертифікат")</f>
        <v>Завантажити сертифікат</v>
      </c>
    </row>
    <row r="3992" spans="1:5" x14ac:dyDescent="0.3">
      <c r="A3992" s="2" t="s">
        <v>8159</v>
      </c>
      <c r="B3992" s="2" t="s">
        <v>5</v>
      </c>
      <c r="C3992" s="2" t="s">
        <v>8160</v>
      </c>
      <c r="D3992" s="2" t="s">
        <v>8161</v>
      </c>
      <c r="E3992" s="2" t="str">
        <f>HYPERLINK("https://talan.bank.gov.ua/get-user-certificate/sec1e7O_0IDiIm-N4VKA","Завантажити сертифікат")</f>
        <v>Завантажити сертифікат</v>
      </c>
    </row>
    <row r="3993" spans="1:5" x14ac:dyDescent="0.3">
      <c r="A3993" s="2" t="s">
        <v>8162</v>
      </c>
      <c r="B3993" s="2" t="s">
        <v>5</v>
      </c>
      <c r="C3993" s="2" t="s">
        <v>8163</v>
      </c>
      <c r="D3993" s="2" t="s">
        <v>8161</v>
      </c>
      <c r="E3993" s="2" t="str">
        <f>HYPERLINK("https://talan.bank.gov.ua/get-user-certificate/sec1e-HH7QK5vza8h4ll","Завантажити сертифікат")</f>
        <v>Завантажити сертифікат</v>
      </c>
    </row>
    <row r="3994" spans="1:5" x14ac:dyDescent="0.3">
      <c r="A3994" s="2" t="s">
        <v>8164</v>
      </c>
      <c r="B3994" s="2" t="s">
        <v>5</v>
      </c>
      <c r="C3994" s="2" t="s">
        <v>8165</v>
      </c>
      <c r="D3994" s="2" t="s">
        <v>8161</v>
      </c>
      <c r="E3994" s="2" t="str">
        <f>HYPERLINK("https://talan.bank.gov.ua/get-user-certificate/sec1e6u53Bz-nznkR6gr","Завантажити сертифікат")</f>
        <v>Завантажити сертифікат</v>
      </c>
    </row>
    <row r="3995" spans="1:5" x14ac:dyDescent="0.3">
      <c r="A3995" s="2" t="s">
        <v>8166</v>
      </c>
      <c r="B3995" s="2" t="s">
        <v>5</v>
      </c>
      <c r="C3995" s="2" t="s">
        <v>8167</v>
      </c>
      <c r="D3995" s="2" t="s">
        <v>8161</v>
      </c>
      <c r="E3995" s="2" t="str">
        <f>HYPERLINK("https://talan.bank.gov.ua/get-user-certificate/sec1eUbvlb-Ie7xHGoob","Завантажити сертифікат")</f>
        <v>Завантажити сертифікат</v>
      </c>
    </row>
    <row r="3996" spans="1:5" x14ac:dyDescent="0.3">
      <c r="A3996" s="2" t="s">
        <v>8168</v>
      </c>
      <c r="B3996" s="2" t="s">
        <v>5</v>
      </c>
      <c r="C3996" s="2" t="s">
        <v>8169</v>
      </c>
      <c r="D3996" s="2" t="s">
        <v>8161</v>
      </c>
      <c r="E3996" s="2" t="str">
        <f>HYPERLINK("https://talan.bank.gov.ua/get-user-certificate/sec1eB964Grz3k7BCGdd","Завантажити сертифікат")</f>
        <v>Завантажити сертифікат</v>
      </c>
    </row>
    <row r="3997" spans="1:5" x14ac:dyDescent="0.3">
      <c r="A3997" s="2" t="s">
        <v>8170</v>
      </c>
      <c r="B3997" s="2" t="s">
        <v>5</v>
      </c>
      <c r="C3997" s="2" t="s">
        <v>8171</v>
      </c>
      <c r="D3997" s="2" t="s">
        <v>8161</v>
      </c>
      <c r="E3997" s="2" t="str">
        <f>HYPERLINK("https://talan.bank.gov.ua/get-user-certificate/sec1eYIP65z3Aj4r52D7","Завантажити сертифікат")</f>
        <v>Завантажити сертифікат</v>
      </c>
    </row>
    <row r="3998" spans="1:5" x14ac:dyDescent="0.3">
      <c r="A3998" s="2" t="s">
        <v>8172</v>
      </c>
      <c r="B3998" s="2" t="s">
        <v>5</v>
      </c>
      <c r="C3998" s="2" t="s">
        <v>8173</v>
      </c>
      <c r="D3998" s="2" t="s">
        <v>8161</v>
      </c>
      <c r="E3998" s="2" t="str">
        <f>HYPERLINK("https://talan.bank.gov.ua/get-user-certificate/sec1eBR9axjMi-vJbMDW","Завантажити сертифікат")</f>
        <v>Завантажити сертифікат</v>
      </c>
    </row>
    <row r="3999" spans="1:5" x14ac:dyDescent="0.3">
      <c r="A3999" s="2" t="s">
        <v>8174</v>
      </c>
      <c r="B3999" s="2" t="s">
        <v>5</v>
      </c>
      <c r="C3999" s="2" t="s">
        <v>8175</v>
      </c>
      <c r="D3999" s="2" t="s">
        <v>8161</v>
      </c>
      <c r="E3999" s="2" t="str">
        <f>HYPERLINK("https://talan.bank.gov.ua/get-user-certificate/sec1e5vpUnYbzs7ZNOH3","Завантажити сертифікат")</f>
        <v>Завантажити сертифікат</v>
      </c>
    </row>
    <row r="4000" spans="1:5" x14ac:dyDescent="0.3">
      <c r="A4000" s="2" t="s">
        <v>8176</v>
      </c>
      <c r="B4000" s="2" t="s">
        <v>5</v>
      </c>
      <c r="C4000" s="2" t="s">
        <v>8177</v>
      </c>
      <c r="D4000" s="2" t="s">
        <v>8161</v>
      </c>
      <c r="E4000" s="2" t="str">
        <f>HYPERLINK("https://talan.bank.gov.ua/get-user-certificate/sec1eCt55ERkUtaDp5E2","Завантажити сертифікат")</f>
        <v>Завантажити сертифікат</v>
      </c>
    </row>
    <row r="4001" spans="1:5" x14ac:dyDescent="0.3">
      <c r="A4001" s="2" t="s">
        <v>8178</v>
      </c>
      <c r="B4001" s="2" t="s">
        <v>5</v>
      </c>
      <c r="C4001" s="2" t="s">
        <v>8179</v>
      </c>
      <c r="D4001" s="2" t="s">
        <v>8161</v>
      </c>
      <c r="E4001" s="2" t="str">
        <f>HYPERLINK("https://talan.bank.gov.ua/get-user-certificate/sec1e6RjImRn_DYauNHJ","Завантажити сертифікат")</f>
        <v>Завантажити сертифікат</v>
      </c>
    </row>
    <row r="4002" spans="1:5" x14ac:dyDescent="0.3">
      <c r="A4002" s="2" t="s">
        <v>8180</v>
      </c>
      <c r="B4002" s="2" t="s">
        <v>5</v>
      </c>
      <c r="C4002" s="2" t="s">
        <v>8181</v>
      </c>
      <c r="D4002" s="2" t="s">
        <v>8161</v>
      </c>
      <c r="E4002" s="2" t="str">
        <f>HYPERLINK("https://talan.bank.gov.ua/get-user-certificate/sec1ezhNu2t1wbbV-IVz","Завантажити сертифікат")</f>
        <v>Завантажити сертифікат</v>
      </c>
    </row>
    <row r="4003" spans="1:5" x14ac:dyDescent="0.3">
      <c r="A4003" s="2" t="s">
        <v>8182</v>
      </c>
      <c r="B4003" s="2" t="s">
        <v>5</v>
      </c>
      <c r="C4003" s="2" t="s">
        <v>8183</v>
      </c>
      <c r="D4003" s="2" t="s">
        <v>8161</v>
      </c>
      <c r="E4003" s="2" t="str">
        <f>HYPERLINK("https://talan.bank.gov.ua/get-user-certificate/sec1ejBns6bdc7p_isYC","Завантажити сертифікат")</f>
        <v>Завантажити сертифікат</v>
      </c>
    </row>
    <row r="4004" spans="1:5" x14ac:dyDescent="0.3">
      <c r="A4004" s="2" t="s">
        <v>8184</v>
      </c>
      <c r="B4004" s="2" t="s">
        <v>5</v>
      </c>
      <c r="C4004" s="2" t="s">
        <v>8185</v>
      </c>
      <c r="D4004" s="2" t="s">
        <v>8161</v>
      </c>
      <c r="E4004" s="2" t="str">
        <f>HYPERLINK("https://talan.bank.gov.ua/get-user-certificate/sec1eTzCpNAxzKt489TJ","Завантажити сертифікат")</f>
        <v>Завантажити сертифікат</v>
      </c>
    </row>
    <row r="4005" spans="1:5" x14ac:dyDescent="0.3">
      <c r="A4005" s="2" t="s">
        <v>8186</v>
      </c>
      <c r="B4005" s="2" t="s">
        <v>5</v>
      </c>
      <c r="C4005" s="2" t="s">
        <v>8187</v>
      </c>
      <c r="D4005" s="2" t="s">
        <v>8161</v>
      </c>
      <c r="E4005" s="2" t="str">
        <f>HYPERLINK("https://talan.bank.gov.ua/get-user-certificate/sec1ei_-JIvcy99RrDXq","Завантажити сертифікат")</f>
        <v>Завантажити сертифікат</v>
      </c>
    </row>
    <row r="4006" spans="1:5" x14ac:dyDescent="0.3">
      <c r="A4006" s="2" t="s">
        <v>8188</v>
      </c>
      <c r="B4006" s="2" t="s">
        <v>5</v>
      </c>
      <c r="C4006" s="2" t="s">
        <v>8189</v>
      </c>
      <c r="D4006" s="2" t="s">
        <v>8161</v>
      </c>
      <c r="E4006" s="2" t="str">
        <f>HYPERLINK("https://talan.bank.gov.ua/get-user-certificate/sec1es3NJbzyMBWP2PT1","Завантажити сертифікат")</f>
        <v>Завантажити сертифікат</v>
      </c>
    </row>
    <row r="4007" spans="1:5" x14ac:dyDescent="0.3">
      <c r="A4007" s="2" t="s">
        <v>8190</v>
      </c>
      <c r="B4007" s="2" t="s">
        <v>5</v>
      </c>
      <c r="C4007" s="2" t="s">
        <v>8191</v>
      </c>
      <c r="D4007" s="2" t="s">
        <v>8161</v>
      </c>
      <c r="E4007" s="2" t="str">
        <f>HYPERLINK("https://talan.bank.gov.ua/get-user-certificate/sec1eu1_EC44GoAY3TBS","Завантажити сертифікат")</f>
        <v>Завантажити сертифікат</v>
      </c>
    </row>
    <row r="4008" spans="1:5" x14ac:dyDescent="0.3">
      <c r="A4008" s="2" t="s">
        <v>8192</v>
      </c>
      <c r="B4008" s="2" t="s">
        <v>5</v>
      </c>
      <c r="C4008" s="2" t="s">
        <v>8193</v>
      </c>
      <c r="D4008" s="2" t="s">
        <v>8161</v>
      </c>
      <c r="E4008" s="2" t="str">
        <f>HYPERLINK("https://talan.bank.gov.ua/get-user-certificate/sec1e8B4kYjU8ymRxXVC","Завантажити сертифікат")</f>
        <v>Завантажити сертифікат</v>
      </c>
    </row>
    <row r="4009" spans="1:5" x14ac:dyDescent="0.3">
      <c r="A4009" s="2" t="s">
        <v>8194</v>
      </c>
      <c r="B4009" s="2" t="s">
        <v>5</v>
      </c>
      <c r="C4009" s="2" t="s">
        <v>8195</v>
      </c>
      <c r="D4009" s="2" t="s">
        <v>8161</v>
      </c>
      <c r="E4009" s="2" t="str">
        <f>HYPERLINK("https://talan.bank.gov.ua/get-user-certificate/sec1esXScFRTOodZojql","Завантажити сертифікат")</f>
        <v>Завантажити сертифікат</v>
      </c>
    </row>
    <row r="4010" spans="1:5" x14ac:dyDescent="0.3">
      <c r="A4010" s="2" t="s">
        <v>8196</v>
      </c>
      <c r="B4010" s="2" t="s">
        <v>5</v>
      </c>
      <c r="C4010" s="2" t="s">
        <v>8197</v>
      </c>
      <c r="D4010" s="2" t="s">
        <v>8161</v>
      </c>
      <c r="E4010" s="2" t="str">
        <f>HYPERLINK("https://talan.bank.gov.ua/get-user-certificate/sec1ebyPp6eqMoko0YWi","Завантажити сертифікат")</f>
        <v>Завантажити сертифікат</v>
      </c>
    </row>
    <row r="4011" spans="1:5" x14ac:dyDescent="0.3">
      <c r="A4011" s="2" t="s">
        <v>8198</v>
      </c>
      <c r="B4011" s="2" t="s">
        <v>5</v>
      </c>
      <c r="C4011" s="2" t="s">
        <v>8199</v>
      </c>
      <c r="D4011" s="2" t="s">
        <v>8161</v>
      </c>
      <c r="E4011" s="2" t="str">
        <f>HYPERLINK("https://talan.bank.gov.ua/get-user-certificate/sec1e2cYdWN-dS3p4AOf","Завантажити сертифікат")</f>
        <v>Завантажити сертифікат</v>
      </c>
    </row>
    <row r="4012" spans="1:5" x14ac:dyDescent="0.3">
      <c r="A4012" s="2" t="s">
        <v>8200</v>
      </c>
      <c r="B4012" s="2" t="s">
        <v>5</v>
      </c>
      <c r="C4012" s="2" t="s">
        <v>8201</v>
      </c>
      <c r="D4012" s="2" t="s">
        <v>8202</v>
      </c>
      <c r="E4012" s="2" t="str">
        <f>HYPERLINK("https://talan.bank.gov.ua/get-user-certificate/sec1exNoO96qzVjvGffS","Завантажити сертифікат")</f>
        <v>Завантажити сертифікат</v>
      </c>
    </row>
    <row r="4013" spans="1:5" x14ac:dyDescent="0.3">
      <c r="A4013" s="2" t="s">
        <v>8203</v>
      </c>
      <c r="B4013" s="2" t="s">
        <v>5</v>
      </c>
      <c r="C4013" s="2" t="s">
        <v>8204</v>
      </c>
      <c r="D4013" s="2" t="s">
        <v>8202</v>
      </c>
      <c r="E4013" s="2" t="str">
        <f>HYPERLINK("https://talan.bank.gov.ua/get-user-certificate/sec1edtLJAm69LO_oZa2","Завантажити сертифікат")</f>
        <v>Завантажити сертифікат</v>
      </c>
    </row>
    <row r="4014" spans="1:5" x14ac:dyDescent="0.3">
      <c r="A4014" s="2" t="s">
        <v>8205</v>
      </c>
      <c r="B4014" s="2" t="s">
        <v>5</v>
      </c>
      <c r="C4014" s="2" t="s">
        <v>8206</v>
      </c>
      <c r="D4014" s="2" t="s">
        <v>8202</v>
      </c>
      <c r="E4014" s="2" t="str">
        <f>HYPERLINK("https://talan.bank.gov.ua/get-user-certificate/sec1e27O19HrwLIsfKRB","Завантажити сертифікат")</f>
        <v>Завантажити сертифікат</v>
      </c>
    </row>
    <row r="4015" spans="1:5" x14ac:dyDescent="0.3">
      <c r="A4015" s="2" t="s">
        <v>8207</v>
      </c>
      <c r="B4015" s="2" t="s">
        <v>5</v>
      </c>
      <c r="C4015" s="2" t="s">
        <v>8208</v>
      </c>
      <c r="D4015" s="2" t="s">
        <v>8202</v>
      </c>
      <c r="E4015" s="2" t="str">
        <f>HYPERLINK("https://talan.bank.gov.ua/get-user-certificate/sec1e-6XGICmj5rO38VJ","Завантажити сертифікат")</f>
        <v>Завантажити сертифікат</v>
      </c>
    </row>
    <row r="4016" spans="1:5" x14ac:dyDescent="0.3">
      <c r="A4016" s="2" t="s">
        <v>8209</v>
      </c>
      <c r="B4016" s="2" t="s">
        <v>5</v>
      </c>
      <c r="C4016" s="2" t="s">
        <v>8210</v>
      </c>
      <c r="D4016" s="2" t="s">
        <v>8202</v>
      </c>
      <c r="E4016" s="2" t="str">
        <f>HYPERLINK("https://talan.bank.gov.ua/get-user-certificate/sec1ezpG7PYAH_dsFpQs","Завантажити сертифікат")</f>
        <v>Завантажити сертифікат</v>
      </c>
    </row>
    <row r="4017" spans="1:5" x14ac:dyDescent="0.3">
      <c r="A4017" s="2" t="s">
        <v>8211</v>
      </c>
      <c r="B4017" s="2" t="s">
        <v>5</v>
      </c>
      <c r="C4017" s="2" t="s">
        <v>8212</v>
      </c>
      <c r="D4017" s="2" t="s">
        <v>8202</v>
      </c>
      <c r="E4017" s="2" t="str">
        <f>HYPERLINK("https://talan.bank.gov.ua/get-user-certificate/sec1eV-nr8hPg_Va67L-","Завантажити сертифікат")</f>
        <v>Завантажити сертифікат</v>
      </c>
    </row>
    <row r="4018" spans="1:5" x14ac:dyDescent="0.3">
      <c r="A4018" s="2" t="s">
        <v>8213</v>
      </c>
      <c r="B4018" s="2" t="s">
        <v>5</v>
      </c>
      <c r="C4018" s="2" t="s">
        <v>8214</v>
      </c>
      <c r="D4018" s="2" t="s">
        <v>8202</v>
      </c>
      <c r="E4018" s="2" t="str">
        <f>HYPERLINK("https://talan.bank.gov.ua/get-user-certificate/sec1e6iEMdUbCa6gDiKs","Завантажити сертифікат")</f>
        <v>Завантажити сертифікат</v>
      </c>
    </row>
    <row r="4019" spans="1:5" x14ac:dyDescent="0.3">
      <c r="A4019" s="2" t="s">
        <v>8215</v>
      </c>
      <c r="B4019" s="2" t="s">
        <v>5</v>
      </c>
      <c r="C4019" s="2" t="s">
        <v>8216</v>
      </c>
      <c r="D4019" s="2" t="s">
        <v>8202</v>
      </c>
      <c r="E4019" s="2" t="str">
        <f>HYPERLINK("https://talan.bank.gov.ua/get-user-certificate/sec1eML-98PQ6wYXdddm","Завантажити сертифікат")</f>
        <v>Завантажити сертифікат</v>
      </c>
    </row>
    <row r="4020" spans="1:5" x14ac:dyDescent="0.3">
      <c r="A4020" s="2" t="s">
        <v>8217</v>
      </c>
      <c r="B4020" s="2" t="s">
        <v>5</v>
      </c>
      <c r="C4020" s="2" t="s">
        <v>8218</v>
      </c>
      <c r="D4020" s="2" t="s">
        <v>8202</v>
      </c>
      <c r="E4020" s="2" t="str">
        <f>HYPERLINK("https://talan.bank.gov.ua/get-user-certificate/sec1ehBcjaaM-XrYbXSB","Завантажити сертифікат")</f>
        <v>Завантажити сертифікат</v>
      </c>
    </row>
    <row r="4021" spans="1:5" x14ac:dyDescent="0.3">
      <c r="A4021" s="2" t="s">
        <v>8219</v>
      </c>
      <c r="B4021" s="2" t="s">
        <v>5</v>
      </c>
      <c r="C4021" s="2" t="s">
        <v>8220</v>
      </c>
      <c r="D4021" s="2" t="s">
        <v>8202</v>
      </c>
      <c r="E4021" s="2" t="str">
        <f>HYPERLINK("https://talan.bank.gov.ua/get-user-certificate/sec1eb30BR4uWu9gW5SM","Завантажити сертифікат")</f>
        <v>Завантажити сертифікат</v>
      </c>
    </row>
    <row r="4022" spans="1:5" x14ac:dyDescent="0.3">
      <c r="A4022" s="2" t="s">
        <v>8221</v>
      </c>
      <c r="B4022" s="2" t="s">
        <v>5</v>
      </c>
      <c r="C4022" s="2" t="s">
        <v>8222</v>
      </c>
      <c r="D4022" s="2" t="s">
        <v>8202</v>
      </c>
      <c r="E4022" s="2" t="str">
        <f>HYPERLINK("https://talan.bank.gov.ua/get-user-certificate/sec1exh0dKkFWF-G-7Js","Завантажити сертифікат")</f>
        <v>Завантажити сертифікат</v>
      </c>
    </row>
    <row r="4023" spans="1:5" x14ac:dyDescent="0.3">
      <c r="A4023" s="2" t="s">
        <v>8223</v>
      </c>
      <c r="B4023" s="2" t="s">
        <v>5</v>
      </c>
      <c r="C4023" s="2" t="s">
        <v>8224</v>
      </c>
      <c r="D4023" s="2" t="s">
        <v>8202</v>
      </c>
      <c r="E4023" s="2" t="str">
        <f>HYPERLINK("https://talan.bank.gov.ua/get-user-certificate/sec1eGpOHVYBkR2K3Okt","Завантажити сертифікат")</f>
        <v>Завантажити сертифікат</v>
      </c>
    </row>
    <row r="4024" spans="1:5" x14ac:dyDescent="0.3">
      <c r="A4024" s="2" t="s">
        <v>8225</v>
      </c>
      <c r="B4024" s="2" t="s">
        <v>5</v>
      </c>
      <c r="C4024" s="2" t="s">
        <v>8226</v>
      </c>
      <c r="D4024" s="2" t="s">
        <v>8202</v>
      </c>
      <c r="E4024" s="2" t="str">
        <f>HYPERLINK("https://talan.bank.gov.ua/get-user-certificate/sec1e4xLuqzxXW0ppGVc","Завантажити сертифікат")</f>
        <v>Завантажити сертифікат</v>
      </c>
    </row>
    <row r="4025" spans="1:5" x14ac:dyDescent="0.3">
      <c r="A4025" s="2" t="s">
        <v>8227</v>
      </c>
      <c r="B4025" s="2" t="s">
        <v>5</v>
      </c>
      <c r="C4025" s="2" t="s">
        <v>8228</v>
      </c>
      <c r="D4025" s="2" t="s">
        <v>8202</v>
      </c>
      <c r="E4025" s="2" t="str">
        <f>HYPERLINK("https://talan.bank.gov.ua/get-user-certificate/sec1eKcLabllFh0i2fgI","Завантажити сертифікат")</f>
        <v>Завантажити сертифікат</v>
      </c>
    </row>
    <row r="4026" spans="1:5" x14ac:dyDescent="0.3">
      <c r="A4026" s="2" t="s">
        <v>8229</v>
      </c>
      <c r="B4026" s="2" t="s">
        <v>5</v>
      </c>
      <c r="C4026" s="2" t="s">
        <v>8230</v>
      </c>
      <c r="D4026" s="2" t="s">
        <v>8202</v>
      </c>
      <c r="E4026" s="2" t="str">
        <f>HYPERLINK("https://talan.bank.gov.ua/get-user-certificate/sec1etHnBAHdXge3gL7v","Завантажити сертифікат")</f>
        <v>Завантажити сертифікат</v>
      </c>
    </row>
    <row r="4027" spans="1:5" x14ac:dyDescent="0.3">
      <c r="A4027" s="2" t="s">
        <v>8231</v>
      </c>
      <c r="B4027" s="2" t="s">
        <v>5</v>
      </c>
      <c r="C4027" s="2" t="s">
        <v>8232</v>
      </c>
      <c r="D4027" s="2" t="s">
        <v>8202</v>
      </c>
      <c r="E4027" s="2" t="str">
        <f>HYPERLINK("https://talan.bank.gov.ua/get-user-certificate/sec1eQPjpInOrld4RnJ-","Завантажити сертифікат")</f>
        <v>Завантажити сертифікат</v>
      </c>
    </row>
    <row r="4028" spans="1:5" x14ac:dyDescent="0.3">
      <c r="A4028" s="2" t="s">
        <v>8233</v>
      </c>
      <c r="B4028" s="2" t="s">
        <v>5</v>
      </c>
      <c r="C4028" s="2" t="s">
        <v>8234</v>
      </c>
      <c r="D4028" s="2" t="s">
        <v>8202</v>
      </c>
      <c r="E4028" s="2" t="str">
        <f>HYPERLINK("https://talan.bank.gov.ua/get-user-certificate/sec1efwXNqNCL4G399gr","Завантажити сертифікат")</f>
        <v>Завантажити сертифікат</v>
      </c>
    </row>
    <row r="4029" spans="1:5" x14ac:dyDescent="0.3">
      <c r="A4029" s="2" t="s">
        <v>8235</v>
      </c>
      <c r="B4029" s="2" t="s">
        <v>5</v>
      </c>
      <c r="C4029" s="2" t="s">
        <v>7667</v>
      </c>
      <c r="D4029" s="2" t="s">
        <v>8202</v>
      </c>
      <c r="E4029" s="2" t="str">
        <f>HYPERLINK("https://talan.bank.gov.ua/get-user-certificate/sec1eM_W60Ff0ieVBDZt","Завантажити сертифікат")</f>
        <v>Завантажити сертифікат</v>
      </c>
    </row>
    <row r="4030" spans="1:5" x14ac:dyDescent="0.3">
      <c r="A4030" s="2" t="s">
        <v>8236</v>
      </c>
      <c r="B4030" s="2" t="s">
        <v>5</v>
      </c>
      <c r="C4030" s="2" t="s">
        <v>8237</v>
      </c>
      <c r="D4030" s="2" t="s">
        <v>8202</v>
      </c>
      <c r="E4030" s="2" t="str">
        <f>HYPERLINK("https://talan.bank.gov.ua/get-user-certificate/sec1eZOOXbM1ZRTZzO3q","Завантажити сертифікат")</f>
        <v>Завантажити сертифікат</v>
      </c>
    </row>
    <row r="4031" spans="1:5" x14ac:dyDescent="0.3">
      <c r="A4031" s="2" t="s">
        <v>8238</v>
      </c>
      <c r="B4031" s="2" t="s">
        <v>5</v>
      </c>
      <c r="C4031" s="2" t="s">
        <v>8239</v>
      </c>
      <c r="D4031" s="2" t="s">
        <v>8202</v>
      </c>
      <c r="E4031" s="2" t="str">
        <f>HYPERLINK("https://talan.bank.gov.ua/get-user-certificate/sec1ejZi6s6xGeWfaFjH","Завантажити сертифікат")</f>
        <v>Завантажити сертифікат</v>
      </c>
    </row>
    <row r="4032" spans="1:5" x14ac:dyDescent="0.3">
      <c r="A4032" s="2" t="s">
        <v>8240</v>
      </c>
      <c r="B4032" s="2" t="s">
        <v>5</v>
      </c>
      <c r="C4032" s="2" t="s">
        <v>8241</v>
      </c>
      <c r="D4032" s="2" t="s">
        <v>8202</v>
      </c>
      <c r="E4032" s="2" t="str">
        <f>HYPERLINK("https://talan.bank.gov.ua/get-user-certificate/sec1e_E6Vs8s_ezCIxaw","Завантажити сертифікат")</f>
        <v>Завантажити сертифікат</v>
      </c>
    </row>
    <row r="4033" spans="1:5" x14ac:dyDescent="0.3">
      <c r="A4033" s="2" t="s">
        <v>8242</v>
      </c>
      <c r="B4033" s="2" t="s">
        <v>5</v>
      </c>
      <c r="C4033" s="2" t="s">
        <v>8243</v>
      </c>
      <c r="D4033" s="2" t="s">
        <v>8202</v>
      </c>
      <c r="E4033" s="2" t="str">
        <f>HYPERLINK("https://talan.bank.gov.ua/get-user-certificate/sec1eBhlqw1iHibWH5b1","Завантажити сертифікат")</f>
        <v>Завантажити сертифікат</v>
      </c>
    </row>
    <row r="4034" spans="1:5" x14ac:dyDescent="0.3">
      <c r="A4034" s="2" t="s">
        <v>8244</v>
      </c>
      <c r="B4034" s="2" t="s">
        <v>5</v>
      </c>
      <c r="C4034" s="2" t="s">
        <v>8245</v>
      </c>
      <c r="D4034" s="2" t="s">
        <v>8202</v>
      </c>
      <c r="E4034" s="2" t="str">
        <f>HYPERLINK("https://talan.bank.gov.ua/get-user-certificate/sec1eZiuw_GQLGQW2exm","Завантажити сертифікат")</f>
        <v>Завантажити сертифікат</v>
      </c>
    </row>
    <row r="4035" spans="1:5" x14ac:dyDescent="0.3">
      <c r="A4035" s="2" t="s">
        <v>8246</v>
      </c>
      <c r="B4035" s="2" t="s">
        <v>5</v>
      </c>
      <c r="C4035" s="2" t="s">
        <v>8247</v>
      </c>
      <c r="D4035" s="2" t="s">
        <v>8202</v>
      </c>
      <c r="E4035" s="2" t="str">
        <f>HYPERLINK("https://talan.bank.gov.ua/get-user-certificate/sec1ePWA0mPowmZDAGDM","Завантажити сертифікат")</f>
        <v>Завантажити сертифікат</v>
      </c>
    </row>
    <row r="4036" spans="1:5" x14ac:dyDescent="0.3">
      <c r="A4036" s="2" t="s">
        <v>8248</v>
      </c>
      <c r="B4036" s="2" t="s">
        <v>5</v>
      </c>
      <c r="C4036" s="2" t="s">
        <v>8249</v>
      </c>
      <c r="D4036" s="2" t="s">
        <v>8202</v>
      </c>
      <c r="E4036" s="2" t="str">
        <f>HYPERLINK("https://talan.bank.gov.ua/get-user-certificate/sec1e2BPQnlKR98M3h4u","Завантажити сертифікат")</f>
        <v>Завантажити сертифікат</v>
      </c>
    </row>
    <row r="4037" spans="1:5" x14ac:dyDescent="0.3">
      <c r="A4037" s="2" t="s">
        <v>8250</v>
      </c>
      <c r="B4037" s="2" t="s">
        <v>5</v>
      </c>
      <c r="C4037" s="2" t="s">
        <v>8251</v>
      </c>
      <c r="D4037" s="2" t="s">
        <v>8202</v>
      </c>
      <c r="E4037" s="2" t="str">
        <f>HYPERLINK("https://talan.bank.gov.ua/get-user-certificate/sec1eaQDQG5jVstSYqCB","Завантажити сертифікат")</f>
        <v>Завантажити сертифікат</v>
      </c>
    </row>
    <row r="4038" spans="1:5" x14ac:dyDescent="0.3">
      <c r="A4038" s="2" t="s">
        <v>8252</v>
      </c>
      <c r="B4038" s="2" t="s">
        <v>5</v>
      </c>
      <c r="C4038" s="2" t="s">
        <v>8253</v>
      </c>
      <c r="D4038" s="2" t="s">
        <v>8202</v>
      </c>
      <c r="E4038" s="2" t="str">
        <f>HYPERLINK("https://talan.bank.gov.ua/get-user-certificate/sec1ezx1RXLJGYwjWxPv","Завантажити сертифікат")</f>
        <v>Завантажити сертифікат</v>
      </c>
    </row>
    <row r="4039" spans="1:5" x14ac:dyDescent="0.3">
      <c r="A4039" s="2" t="s">
        <v>8254</v>
      </c>
      <c r="B4039" s="2" t="s">
        <v>5</v>
      </c>
      <c r="C4039" s="2" t="s">
        <v>8255</v>
      </c>
      <c r="D4039" s="2" t="s">
        <v>8202</v>
      </c>
      <c r="E4039" s="2" t="str">
        <f>HYPERLINK("https://talan.bank.gov.ua/get-user-certificate/sec1e5q59nvzrl2rQvsf","Завантажити сертифікат")</f>
        <v>Завантажити сертифікат</v>
      </c>
    </row>
    <row r="4040" spans="1:5" x14ac:dyDescent="0.3">
      <c r="A4040" s="2" t="s">
        <v>8256</v>
      </c>
      <c r="B4040" s="2" t="s">
        <v>5</v>
      </c>
      <c r="C4040" s="2" t="s">
        <v>8257</v>
      </c>
      <c r="D4040" s="2" t="s">
        <v>8202</v>
      </c>
      <c r="E4040" s="2" t="str">
        <f>HYPERLINK("https://talan.bank.gov.ua/get-user-certificate/sec1e5dOtGpecmrPu6yU","Завантажити сертифікат")</f>
        <v>Завантажити сертифікат</v>
      </c>
    </row>
    <row r="4041" spans="1:5" x14ac:dyDescent="0.3">
      <c r="A4041" s="2" t="s">
        <v>8258</v>
      </c>
      <c r="B4041" s="2" t="s">
        <v>5</v>
      </c>
      <c r="C4041" s="2" t="s">
        <v>8259</v>
      </c>
      <c r="D4041" s="2" t="s">
        <v>8202</v>
      </c>
      <c r="E4041" s="2" t="str">
        <f>HYPERLINK("https://talan.bank.gov.ua/get-user-certificate/sec1ekhJQSeWnhvRZshv","Завантажити сертифікат")</f>
        <v>Завантажити сертифікат</v>
      </c>
    </row>
    <row r="4042" spans="1:5" x14ac:dyDescent="0.3">
      <c r="A4042" s="2" t="s">
        <v>8260</v>
      </c>
      <c r="B4042" s="2" t="s">
        <v>5</v>
      </c>
      <c r="C4042" s="2" t="s">
        <v>8261</v>
      </c>
      <c r="D4042" s="2" t="s">
        <v>8202</v>
      </c>
      <c r="E4042" s="2" t="str">
        <f>HYPERLINK("https://talan.bank.gov.ua/get-user-certificate/sec1emk1FOGQO7THcugj","Завантажити сертифікат")</f>
        <v>Завантажити сертифікат</v>
      </c>
    </row>
    <row r="4043" spans="1:5" x14ac:dyDescent="0.3">
      <c r="A4043" s="2" t="s">
        <v>8262</v>
      </c>
      <c r="B4043" s="2" t="s">
        <v>5</v>
      </c>
      <c r="C4043" s="2" t="s">
        <v>8263</v>
      </c>
      <c r="D4043" s="2" t="s">
        <v>8202</v>
      </c>
      <c r="E4043" s="2" t="str">
        <f>HYPERLINK("https://talan.bank.gov.ua/get-user-certificate/sec1e3zXQscR1OLLJaeV","Завантажити сертифікат")</f>
        <v>Завантажити сертифікат</v>
      </c>
    </row>
    <row r="4044" spans="1:5" x14ac:dyDescent="0.3">
      <c r="A4044" s="2" t="s">
        <v>8264</v>
      </c>
      <c r="B4044" s="2" t="s">
        <v>5</v>
      </c>
      <c r="C4044" s="2" t="s">
        <v>8265</v>
      </c>
      <c r="D4044" s="2" t="s">
        <v>8202</v>
      </c>
      <c r="E4044" s="2" t="str">
        <f>HYPERLINK("https://talan.bank.gov.ua/get-user-certificate/sec1eV0jV0VO7kEF41Rd","Завантажити сертифікат")</f>
        <v>Завантажити сертифікат</v>
      </c>
    </row>
    <row r="4045" spans="1:5" x14ac:dyDescent="0.3">
      <c r="A4045" s="2" t="s">
        <v>8266</v>
      </c>
      <c r="B4045" s="2" t="s">
        <v>5</v>
      </c>
      <c r="C4045" s="2" t="s">
        <v>8267</v>
      </c>
      <c r="D4045" s="2" t="s">
        <v>8202</v>
      </c>
      <c r="E4045" s="2" t="str">
        <f>HYPERLINK("https://talan.bank.gov.ua/get-user-certificate/sec1e-oJUTkmbbgHYP_V","Завантажити сертифікат")</f>
        <v>Завантажити сертифікат</v>
      </c>
    </row>
    <row r="4046" spans="1:5" x14ac:dyDescent="0.3">
      <c r="A4046" s="2" t="s">
        <v>8268</v>
      </c>
      <c r="B4046" s="2" t="s">
        <v>5</v>
      </c>
      <c r="C4046" s="2" t="s">
        <v>8269</v>
      </c>
      <c r="D4046" s="2" t="s">
        <v>8202</v>
      </c>
      <c r="E4046" s="2" t="str">
        <f>HYPERLINK("https://talan.bank.gov.ua/get-user-certificate/sec1eZqvctcV-eU3n9aj","Завантажити сертифікат")</f>
        <v>Завантажити сертифікат</v>
      </c>
    </row>
    <row r="4047" spans="1:5" x14ac:dyDescent="0.3">
      <c r="A4047" s="2" t="s">
        <v>8270</v>
      </c>
      <c r="B4047" s="2" t="s">
        <v>5</v>
      </c>
      <c r="C4047" s="2" t="s">
        <v>8271</v>
      </c>
      <c r="D4047" s="2" t="s">
        <v>8202</v>
      </c>
      <c r="E4047" s="2" t="str">
        <f>HYPERLINK("https://talan.bank.gov.ua/get-user-certificate/sec1e68S24rWJkF5DII7","Завантажити сертифікат")</f>
        <v>Завантажити сертифікат</v>
      </c>
    </row>
    <row r="4048" spans="1:5" x14ac:dyDescent="0.3">
      <c r="A4048" s="2" t="s">
        <v>8272</v>
      </c>
      <c r="B4048" s="2" t="s">
        <v>5</v>
      </c>
      <c r="C4048" s="2" t="s">
        <v>8273</v>
      </c>
      <c r="D4048" s="2" t="s">
        <v>8202</v>
      </c>
      <c r="E4048" s="2" t="str">
        <f>HYPERLINK("https://talan.bank.gov.ua/get-user-certificate/sec1eydX5uE5BbxTRLsE","Завантажити сертифікат")</f>
        <v>Завантажити сертифікат</v>
      </c>
    </row>
    <row r="4049" spans="1:5" x14ac:dyDescent="0.3">
      <c r="A4049" s="2" t="s">
        <v>8274</v>
      </c>
      <c r="B4049" s="2" t="s">
        <v>5</v>
      </c>
      <c r="C4049" s="2" t="s">
        <v>8275</v>
      </c>
      <c r="D4049" s="2" t="s">
        <v>8202</v>
      </c>
      <c r="E4049" s="2" t="str">
        <f>HYPERLINK("https://talan.bank.gov.ua/get-user-certificate/sec1eKALffssgVT4LLQi","Завантажити сертифікат")</f>
        <v>Завантажити сертифікат</v>
      </c>
    </row>
    <row r="4050" spans="1:5" x14ac:dyDescent="0.3">
      <c r="A4050" s="2" t="s">
        <v>8276</v>
      </c>
      <c r="B4050" s="2" t="s">
        <v>5</v>
      </c>
      <c r="C4050" s="2" t="s">
        <v>8277</v>
      </c>
      <c r="D4050" s="2" t="s">
        <v>8202</v>
      </c>
      <c r="E4050" s="2" t="str">
        <f>HYPERLINK("https://talan.bank.gov.ua/get-user-certificate/sec1e3nPi_kj1hFWZR_F","Завантажити сертифікат")</f>
        <v>Завантажити сертифікат</v>
      </c>
    </row>
    <row r="4051" spans="1:5" x14ac:dyDescent="0.3">
      <c r="A4051" s="2" t="s">
        <v>8278</v>
      </c>
      <c r="B4051" s="2" t="s">
        <v>5</v>
      </c>
      <c r="C4051" s="2" t="s">
        <v>8279</v>
      </c>
      <c r="D4051" s="2" t="s">
        <v>8202</v>
      </c>
      <c r="E4051" s="2" t="str">
        <f>HYPERLINK("https://talan.bank.gov.ua/get-user-certificate/sec1em_gWKsdFghkCeD3","Завантажити сертифікат")</f>
        <v>Завантажити сертифікат</v>
      </c>
    </row>
    <row r="4052" spans="1:5" x14ac:dyDescent="0.3">
      <c r="A4052" s="2" t="s">
        <v>8280</v>
      </c>
      <c r="B4052" s="2" t="s">
        <v>5</v>
      </c>
      <c r="C4052" s="2" t="s">
        <v>8281</v>
      </c>
      <c r="D4052" s="2" t="s">
        <v>8202</v>
      </c>
      <c r="E4052" s="2" t="str">
        <f>HYPERLINK("https://talan.bank.gov.ua/get-user-certificate/sec1elwo1mpcyA1oLfux","Завантажити сертифікат")</f>
        <v>Завантажити сертифікат</v>
      </c>
    </row>
    <row r="4053" spans="1:5" x14ac:dyDescent="0.3">
      <c r="A4053" s="2" t="s">
        <v>8282</v>
      </c>
      <c r="B4053" s="2" t="s">
        <v>5</v>
      </c>
      <c r="C4053" s="2" t="s">
        <v>8283</v>
      </c>
      <c r="D4053" s="2" t="s">
        <v>8202</v>
      </c>
      <c r="E4053" s="2" t="str">
        <f>HYPERLINK("https://talan.bank.gov.ua/get-user-certificate/sec1eJt0VHUyPUS52dIx","Завантажити сертифікат")</f>
        <v>Завантажити сертифікат</v>
      </c>
    </row>
    <row r="4054" spans="1:5" x14ac:dyDescent="0.3">
      <c r="A4054" s="2" t="s">
        <v>8284</v>
      </c>
      <c r="B4054" s="2" t="s">
        <v>5</v>
      </c>
      <c r="C4054" s="2" t="s">
        <v>8285</v>
      </c>
      <c r="D4054" s="2" t="s">
        <v>8202</v>
      </c>
      <c r="E4054" s="2" t="str">
        <f>HYPERLINK("https://talan.bank.gov.ua/get-user-certificate/sec1eahsjc1fU3c1yBPO","Завантажити сертифікат")</f>
        <v>Завантажити сертифікат</v>
      </c>
    </row>
    <row r="4055" spans="1:5" x14ac:dyDescent="0.3">
      <c r="A4055" s="2" t="s">
        <v>8286</v>
      </c>
      <c r="B4055" s="2" t="s">
        <v>5</v>
      </c>
      <c r="C4055" s="2" t="s">
        <v>8287</v>
      </c>
      <c r="D4055" s="2" t="s">
        <v>8202</v>
      </c>
      <c r="E4055" s="2" t="str">
        <f>HYPERLINK("https://talan.bank.gov.ua/get-user-certificate/sec1e_MNjFF-nHiYf-ao","Завантажити сертифікат")</f>
        <v>Завантажити сертифікат</v>
      </c>
    </row>
    <row r="4056" spans="1:5" x14ac:dyDescent="0.3">
      <c r="A4056" s="2" t="s">
        <v>8288</v>
      </c>
      <c r="B4056" s="2" t="s">
        <v>5</v>
      </c>
      <c r="C4056" s="2" t="s">
        <v>8289</v>
      </c>
      <c r="D4056" s="2" t="s">
        <v>8202</v>
      </c>
      <c r="E4056" s="2" t="str">
        <f>HYPERLINK("https://talan.bank.gov.ua/get-user-certificate/sec1e6auzKAFLyprHmF_","Завантажити сертифікат")</f>
        <v>Завантажити сертифікат</v>
      </c>
    </row>
    <row r="4057" spans="1:5" x14ac:dyDescent="0.3">
      <c r="A4057" s="2" t="s">
        <v>8290</v>
      </c>
      <c r="B4057" s="2" t="s">
        <v>5</v>
      </c>
      <c r="C4057" s="2" t="s">
        <v>8291</v>
      </c>
      <c r="D4057" s="2" t="s">
        <v>8202</v>
      </c>
      <c r="E4057" s="2" t="str">
        <f>HYPERLINK("https://talan.bank.gov.ua/get-user-certificate/sec1e42ujXKC02KnzNNs","Завантажити сертифікат")</f>
        <v>Завантажити сертифікат</v>
      </c>
    </row>
    <row r="4058" spans="1:5" x14ac:dyDescent="0.3">
      <c r="A4058" s="2" t="s">
        <v>8292</v>
      </c>
      <c r="B4058" s="2" t="s">
        <v>5</v>
      </c>
      <c r="C4058" s="2" t="s">
        <v>6501</v>
      </c>
      <c r="D4058" s="2" t="s">
        <v>8202</v>
      </c>
      <c r="E4058" s="2" t="str">
        <f>HYPERLINK("https://talan.bank.gov.ua/get-user-certificate/sec1evQ6xvJWmwPqBFmH","Завантажити сертифікат")</f>
        <v>Завантажити сертифікат</v>
      </c>
    </row>
    <row r="4059" spans="1:5" x14ac:dyDescent="0.3">
      <c r="A4059" s="2" t="s">
        <v>8293</v>
      </c>
      <c r="B4059" s="2" t="s">
        <v>5</v>
      </c>
      <c r="C4059" s="2" t="s">
        <v>8294</v>
      </c>
      <c r="D4059" s="2" t="s">
        <v>8202</v>
      </c>
      <c r="E4059" s="2" t="str">
        <f>HYPERLINK("https://talan.bank.gov.ua/get-user-certificate/sec1ej58uQaTfLC9UQCF","Завантажити сертифікат")</f>
        <v>Завантажити сертифікат</v>
      </c>
    </row>
    <row r="4060" spans="1:5" x14ac:dyDescent="0.3">
      <c r="A4060" s="2" t="s">
        <v>8295</v>
      </c>
      <c r="B4060" s="2" t="s">
        <v>5</v>
      </c>
      <c r="C4060" s="2" t="s">
        <v>8296</v>
      </c>
      <c r="D4060" s="2" t="s">
        <v>8202</v>
      </c>
      <c r="E4060" s="2" t="str">
        <f>HYPERLINK("https://talan.bank.gov.ua/get-user-certificate/sec1eSIc3tD5eKSG_eB4","Завантажити сертифікат")</f>
        <v>Завантажити сертифікат</v>
      </c>
    </row>
    <row r="4061" spans="1:5" x14ac:dyDescent="0.3">
      <c r="A4061" s="2" t="s">
        <v>8297</v>
      </c>
      <c r="B4061" s="2" t="s">
        <v>5</v>
      </c>
      <c r="C4061" s="2" t="s">
        <v>8298</v>
      </c>
      <c r="D4061" s="2" t="s">
        <v>8202</v>
      </c>
      <c r="E4061" s="2" t="str">
        <f>HYPERLINK("https://talan.bank.gov.ua/get-user-certificate/sec1eT04uM0ctCf5ryiS","Завантажити сертифікат")</f>
        <v>Завантажити сертифікат</v>
      </c>
    </row>
    <row r="4062" spans="1:5" x14ac:dyDescent="0.3">
      <c r="A4062" s="2" t="s">
        <v>8299</v>
      </c>
      <c r="B4062" s="2" t="s">
        <v>5</v>
      </c>
      <c r="C4062" s="2" t="s">
        <v>8300</v>
      </c>
      <c r="D4062" s="2" t="s">
        <v>8202</v>
      </c>
      <c r="E4062" s="2" t="str">
        <f>HYPERLINK("https://talan.bank.gov.ua/get-user-certificate/sec1eksJKtpkO9rZw0uo","Завантажити сертифікат")</f>
        <v>Завантажити сертифікат</v>
      </c>
    </row>
    <row r="4063" spans="1:5" x14ac:dyDescent="0.3">
      <c r="A4063" s="2" t="s">
        <v>8301</v>
      </c>
      <c r="B4063" s="2" t="s">
        <v>5</v>
      </c>
      <c r="C4063" s="2" t="s">
        <v>8302</v>
      </c>
      <c r="D4063" s="2" t="s">
        <v>8202</v>
      </c>
      <c r="E4063" s="2" t="str">
        <f>HYPERLINK("https://talan.bank.gov.ua/get-user-certificate/sec1eqQYtMq5nZtXZR61","Завантажити сертифікат")</f>
        <v>Завантажити сертифікат</v>
      </c>
    </row>
    <row r="4064" spans="1:5" x14ac:dyDescent="0.3">
      <c r="A4064" s="2" t="s">
        <v>8303</v>
      </c>
      <c r="B4064" s="2" t="s">
        <v>5</v>
      </c>
      <c r="C4064" s="2" t="s">
        <v>8304</v>
      </c>
      <c r="D4064" s="2" t="s">
        <v>8202</v>
      </c>
      <c r="E4064" s="2" t="str">
        <f>HYPERLINK("https://talan.bank.gov.ua/get-user-certificate/sec1eXtxPiLICaV5GB2B","Завантажити сертифікат")</f>
        <v>Завантажити сертифікат</v>
      </c>
    </row>
    <row r="4065" spans="1:5" x14ac:dyDescent="0.3">
      <c r="A4065" s="2" t="s">
        <v>8305</v>
      </c>
      <c r="B4065" s="2" t="s">
        <v>5</v>
      </c>
      <c r="C4065" s="2" t="s">
        <v>8306</v>
      </c>
      <c r="D4065" s="2" t="s">
        <v>8202</v>
      </c>
      <c r="E4065" s="2" t="str">
        <f>HYPERLINK("https://talan.bank.gov.ua/get-user-certificate/sec1e71Q_DYeYFpx-7E5","Завантажити сертифікат")</f>
        <v>Завантажити сертифікат</v>
      </c>
    </row>
    <row r="4066" spans="1:5" x14ac:dyDescent="0.3">
      <c r="A4066" s="2" t="s">
        <v>8307</v>
      </c>
      <c r="B4066" s="2" t="s">
        <v>5</v>
      </c>
      <c r="C4066" s="2" t="s">
        <v>8308</v>
      </c>
      <c r="D4066" s="2" t="s">
        <v>8202</v>
      </c>
      <c r="E4066" s="2" t="str">
        <f>HYPERLINK("https://talan.bank.gov.ua/get-user-certificate/sec1eSMnbvww4FPc7566","Завантажити сертифікат")</f>
        <v>Завантажити сертифікат</v>
      </c>
    </row>
    <row r="4067" spans="1:5" x14ac:dyDescent="0.3">
      <c r="A4067" s="2" t="s">
        <v>8309</v>
      </c>
      <c r="B4067" s="2" t="s">
        <v>5</v>
      </c>
      <c r="C4067" s="2" t="s">
        <v>8310</v>
      </c>
      <c r="D4067" s="2" t="s">
        <v>8202</v>
      </c>
      <c r="E4067" s="2" t="str">
        <f>HYPERLINK("https://talan.bank.gov.ua/get-user-certificate/sec1eDqaFebTviWxW5BX","Завантажити сертифікат")</f>
        <v>Завантажити сертифікат</v>
      </c>
    </row>
    <row r="4068" spans="1:5" x14ac:dyDescent="0.3">
      <c r="A4068" s="2" t="s">
        <v>8311</v>
      </c>
      <c r="B4068" s="2" t="s">
        <v>5</v>
      </c>
      <c r="C4068" s="2" t="s">
        <v>8312</v>
      </c>
      <c r="D4068" s="2" t="s">
        <v>8202</v>
      </c>
      <c r="E4068" s="2" t="str">
        <f>HYPERLINK("https://talan.bank.gov.ua/get-user-certificate/sec1elLvw9IR2ba7etCb","Завантажити сертифікат")</f>
        <v>Завантажити сертифікат</v>
      </c>
    </row>
    <row r="4069" spans="1:5" x14ac:dyDescent="0.3">
      <c r="A4069" s="2" t="s">
        <v>8313</v>
      </c>
      <c r="B4069" s="2" t="s">
        <v>5</v>
      </c>
      <c r="C4069" s="2" t="s">
        <v>8314</v>
      </c>
      <c r="D4069" s="2" t="s">
        <v>8202</v>
      </c>
      <c r="E4069" s="2" t="str">
        <f>HYPERLINK("https://talan.bank.gov.ua/get-user-certificate/sec1eo-vZWT2qtYrmoib","Завантажити сертифікат")</f>
        <v>Завантажити сертифікат</v>
      </c>
    </row>
    <row r="4070" spans="1:5" x14ac:dyDescent="0.3">
      <c r="A4070" s="2" t="s">
        <v>8315</v>
      </c>
      <c r="B4070" s="2" t="s">
        <v>5</v>
      </c>
      <c r="C4070" s="2" t="s">
        <v>8316</v>
      </c>
      <c r="D4070" s="2" t="s">
        <v>8202</v>
      </c>
      <c r="E4070" s="2" t="str">
        <f>HYPERLINK("https://talan.bank.gov.ua/get-user-certificate/sec1etPEN_kfM4alZj1H","Завантажити сертифікат")</f>
        <v>Завантажити сертифікат</v>
      </c>
    </row>
    <row r="4071" spans="1:5" x14ac:dyDescent="0.3">
      <c r="A4071" s="2" t="s">
        <v>8317</v>
      </c>
      <c r="B4071" s="2" t="s">
        <v>5</v>
      </c>
      <c r="C4071" s="2" t="s">
        <v>8318</v>
      </c>
      <c r="D4071" s="2" t="s">
        <v>8202</v>
      </c>
      <c r="E4071" s="2" t="str">
        <f>HYPERLINK("https://talan.bank.gov.ua/get-user-certificate/sec1eK10n4Kwrr7j0b-K","Завантажити сертифікат")</f>
        <v>Завантажити сертифікат</v>
      </c>
    </row>
    <row r="4072" spans="1:5" x14ac:dyDescent="0.3">
      <c r="A4072" s="2" t="s">
        <v>8319</v>
      </c>
      <c r="B4072" s="2" t="s">
        <v>5</v>
      </c>
      <c r="C4072" s="2" t="s">
        <v>8320</v>
      </c>
      <c r="D4072" s="2" t="s">
        <v>8202</v>
      </c>
      <c r="E4072" s="2" t="str">
        <f>HYPERLINK("https://talan.bank.gov.ua/get-user-certificate/sec1e0KrAG4HQQDLabkD","Завантажити сертифікат")</f>
        <v>Завантажити сертифікат</v>
      </c>
    </row>
    <row r="4073" spans="1:5" x14ac:dyDescent="0.3">
      <c r="A4073" s="2" t="s">
        <v>8321</v>
      </c>
      <c r="B4073" s="2" t="s">
        <v>5</v>
      </c>
      <c r="C4073" s="2" t="s">
        <v>8322</v>
      </c>
      <c r="D4073" s="2" t="s">
        <v>8202</v>
      </c>
      <c r="E4073" s="2" t="str">
        <f>HYPERLINK("https://talan.bank.gov.ua/get-user-certificate/sec1eB-2sVj8neT16XO7","Завантажити сертифікат")</f>
        <v>Завантажити сертифікат</v>
      </c>
    </row>
    <row r="4074" spans="1:5" x14ac:dyDescent="0.3">
      <c r="A4074" s="2" t="s">
        <v>8323</v>
      </c>
      <c r="B4074" s="2" t="s">
        <v>5</v>
      </c>
      <c r="C4074" s="2" t="s">
        <v>8324</v>
      </c>
      <c r="D4074" s="2" t="s">
        <v>8202</v>
      </c>
      <c r="E4074" s="2" t="str">
        <f>HYPERLINK("https://talan.bank.gov.ua/get-user-certificate/sec1eCqpjVVcRIu11jtj","Завантажити сертифікат")</f>
        <v>Завантажити сертифікат</v>
      </c>
    </row>
    <row r="4075" spans="1:5" x14ac:dyDescent="0.3">
      <c r="A4075" s="2" t="s">
        <v>8325</v>
      </c>
      <c r="B4075" s="2" t="s">
        <v>5</v>
      </c>
      <c r="C4075" s="2" t="s">
        <v>8326</v>
      </c>
      <c r="D4075" s="2" t="s">
        <v>8202</v>
      </c>
      <c r="E4075" s="2" t="str">
        <f>HYPERLINK("https://talan.bank.gov.ua/get-user-certificate/sec1ekMtd4203YxcpM6m","Завантажити сертифікат")</f>
        <v>Завантажити сертифікат</v>
      </c>
    </row>
    <row r="4076" spans="1:5" x14ac:dyDescent="0.3">
      <c r="A4076" s="2" t="s">
        <v>8327</v>
      </c>
      <c r="B4076" s="2" t="s">
        <v>5</v>
      </c>
      <c r="C4076" s="2" t="s">
        <v>8328</v>
      </c>
      <c r="D4076" s="2" t="s">
        <v>8202</v>
      </c>
      <c r="E4076" s="2" t="str">
        <f>HYPERLINK("https://talan.bank.gov.ua/get-user-certificate/sec1e0MToWIMW4Uv7JOX","Завантажити сертифікат")</f>
        <v>Завантажити сертифікат</v>
      </c>
    </row>
    <row r="4077" spans="1:5" x14ac:dyDescent="0.3">
      <c r="A4077" s="2" t="s">
        <v>8329</v>
      </c>
      <c r="B4077" s="2" t="s">
        <v>5</v>
      </c>
      <c r="C4077" s="2" t="s">
        <v>8330</v>
      </c>
      <c r="D4077" s="2" t="s">
        <v>8202</v>
      </c>
      <c r="E4077" s="2" t="str">
        <f>HYPERLINK("https://talan.bank.gov.ua/get-user-certificate/sec1eas4eZyhh3PdXCyY","Завантажити сертифікат")</f>
        <v>Завантажити сертифікат</v>
      </c>
    </row>
    <row r="4078" spans="1:5" x14ac:dyDescent="0.3">
      <c r="A4078" s="2" t="s">
        <v>8331</v>
      </c>
      <c r="B4078" s="2" t="s">
        <v>5</v>
      </c>
      <c r="C4078" s="2" t="s">
        <v>8332</v>
      </c>
      <c r="D4078" s="2" t="s">
        <v>8202</v>
      </c>
      <c r="E4078" s="2" t="str">
        <f>HYPERLINK("https://talan.bank.gov.ua/get-user-certificate/sec1eO0c9hBLDleZ20LR","Завантажити сертифікат")</f>
        <v>Завантажити сертифікат</v>
      </c>
    </row>
    <row r="4079" spans="1:5" x14ac:dyDescent="0.3">
      <c r="A4079" s="2" t="s">
        <v>8333</v>
      </c>
      <c r="B4079" s="2" t="s">
        <v>5</v>
      </c>
      <c r="C4079" s="2" t="s">
        <v>8334</v>
      </c>
      <c r="D4079" s="2" t="s">
        <v>8335</v>
      </c>
      <c r="E4079" s="2" t="str">
        <f>HYPERLINK("https://talan.bank.gov.ua/get-user-certificate/sec1enLUGsgBZhf6iimM","Завантажити сертифікат")</f>
        <v>Завантажити сертифікат</v>
      </c>
    </row>
    <row r="4080" spans="1:5" x14ac:dyDescent="0.3">
      <c r="A4080" s="2" t="s">
        <v>8336</v>
      </c>
      <c r="B4080" s="2" t="s">
        <v>5</v>
      </c>
      <c r="C4080" s="2" t="s">
        <v>8337</v>
      </c>
      <c r="D4080" s="2" t="s">
        <v>8335</v>
      </c>
      <c r="E4080" s="2" t="str">
        <f>HYPERLINK("https://talan.bank.gov.ua/get-user-certificate/sec1e-Y1Is1EPu49zO0t","Завантажити сертифікат")</f>
        <v>Завантажити сертифікат</v>
      </c>
    </row>
    <row r="4081" spans="1:5" x14ac:dyDescent="0.3">
      <c r="A4081" s="2" t="s">
        <v>8338</v>
      </c>
      <c r="B4081" s="2" t="s">
        <v>5</v>
      </c>
      <c r="C4081" s="2" t="s">
        <v>8339</v>
      </c>
      <c r="D4081" s="2" t="s">
        <v>8335</v>
      </c>
      <c r="E4081" s="2" t="str">
        <f>HYPERLINK("https://talan.bank.gov.ua/get-user-certificate/sec1eBrX5lG-lExaFuUj","Завантажити сертифікат")</f>
        <v>Завантажити сертифікат</v>
      </c>
    </row>
    <row r="4082" spans="1:5" x14ac:dyDescent="0.3">
      <c r="A4082" s="2" t="s">
        <v>8340</v>
      </c>
      <c r="B4082" s="2" t="s">
        <v>5</v>
      </c>
      <c r="C4082" s="2" t="s">
        <v>8341</v>
      </c>
      <c r="D4082" s="2" t="s">
        <v>8335</v>
      </c>
      <c r="E4082" s="2" t="str">
        <f>HYPERLINK("https://talan.bank.gov.ua/get-user-certificate/sec1ecXfW1lYaj5MvGaW","Завантажити сертифікат")</f>
        <v>Завантажити сертифікат</v>
      </c>
    </row>
    <row r="4083" spans="1:5" x14ac:dyDescent="0.3">
      <c r="A4083" s="2" t="s">
        <v>8342</v>
      </c>
      <c r="B4083" s="2" t="s">
        <v>5</v>
      </c>
      <c r="C4083" s="2" t="s">
        <v>8343</v>
      </c>
      <c r="D4083" s="2" t="s">
        <v>8335</v>
      </c>
      <c r="E4083" s="2" t="str">
        <f>HYPERLINK("https://talan.bank.gov.ua/get-user-certificate/sec1eqd2gpaM96J9S2oi","Завантажити сертифікат")</f>
        <v>Завантажити сертифікат</v>
      </c>
    </row>
    <row r="4084" spans="1:5" x14ac:dyDescent="0.3">
      <c r="A4084" s="2" t="s">
        <v>8344</v>
      </c>
      <c r="B4084" s="2" t="s">
        <v>5</v>
      </c>
      <c r="C4084" s="2" t="s">
        <v>8345</v>
      </c>
      <c r="D4084" s="2" t="s">
        <v>8335</v>
      </c>
      <c r="E4084" s="2" t="str">
        <f>HYPERLINK("https://talan.bank.gov.ua/get-user-certificate/sec1ev1a2xtwsTPVrWYf","Завантажити сертифікат")</f>
        <v>Завантажити сертифікат</v>
      </c>
    </row>
    <row r="4085" spans="1:5" x14ac:dyDescent="0.3">
      <c r="A4085" s="2" t="s">
        <v>8346</v>
      </c>
      <c r="B4085" s="2" t="s">
        <v>5</v>
      </c>
      <c r="C4085" s="2" t="s">
        <v>8347</v>
      </c>
      <c r="D4085" s="2" t="s">
        <v>8335</v>
      </c>
      <c r="E4085" s="2" t="str">
        <f>HYPERLINK("https://talan.bank.gov.ua/get-user-certificate/sec1em7kPukqGbIE7sta","Завантажити сертифікат")</f>
        <v>Завантажити сертифікат</v>
      </c>
    </row>
    <row r="4086" spans="1:5" x14ac:dyDescent="0.3">
      <c r="A4086" s="2" t="s">
        <v>8348</v>
      </c>
      <c r="B4086" s="2" t="s">
        <v>5</v>
      </c>
      <c r="C4086" s="2" t="s">
        <v>8349</v>
      </c>
      <c r="D4086" s="2" t="s">
        <v>8335</v>
      </c>
      <c r="E4086" s="2" t="str">
        <f>HYPERLINK("https://talan.bank.gov.ua/get-user-certificate/sec1edV-GT07ZMDTg77a","Завантажити сертифікат")</f>
        <v>Завантажити сертифікат</v>
      </c>
    </row>
    <row r="4087" spans="1:5" x14ac:dyDescent="0.3">
      <c r="A4087" s="2" t="s">
        <v>8350</v>
      </c>
      <c r="B4087" s="2" t="s">
        <v>5</v>
      </c>
      <c r="C4087" s="2" t="s">
        <v>8351</v>
      </c>
      <c r="D4087" s="2" t="s">
        <v>8335</v>
      </c>
      <c r="E4087" s="2" t="str">
        <f>HYPERLINK("https://talan.bank.gov.ua/get-user-certificate/sec1eYgLl82rS8aU1mFL","Завантажити сертифікат")</f>
        <v>Завантажити сертифікат</v>
      </c>
    </row>
    <row r="4088" spans="1:5" x14ac:dyDescent="0.3">
      <c r="A4088" s="2" t="s">
        <v>8352</v>
      </c>
      <c r="B4088" s="2" t="s">
        <v>5</v>
      </c>
      <c r="C4088" s="2" t="s">
        <v>8353</v>
      </c>
      <c r="D4088" s="2" t="s">
        <v>8335</v>
      </c>
      <c r="E4088" s="2" t="str">
        <f>HYPERLINK("https://talan.bank.gov.ua/get-user-certificate/sec1e1gb1Y5MbamrD0Ek","Завантажити сертифікат")</f>
        <v>Завантажити сертифікат</v>
      </c>
    </row>
    <row r="4089" spans="1:5" x14ac:dyDescent="0.3">
      <c r="A4089" s="2" t="s">
        <v>8354</v>
      </c>
      <c r="B4089" s="2" t="s">
        <v>5</v>
      </c>
      <c r="C4089" s="2" t="s">
        <v>8355</v>
      </c>
      <c r="D4089" s="2" t="s">
        <v>8335</v>
      </c>
      <c r="E4089" s="2" t="str">
        <f>HYPERLINK("https://talan.bank.gov.ua/get-user-certificate/sec1eZrMJoyFGTIj8p7T","Завантажити сертифікат")</f>
        <v>Завантажити сертифікат</v>
      </c>
    </row>
    <row r="4090" spans="1:5" x14ac:dyDescent="0.3">
      <c r="A4090" s="2" t="s">
        <v>8356</v>
      </c>
      <c r="B4090" s="2" t="s">
        <v>5</v>
      </c>
      <c r="C4090" s="2" t="s">
        <v>8357</v>
      </c>
      <c r="D4090" s="2" t="s">
        <v>8335</v>
      </c>
      <c r="E4090" s="2" t="str">
        <f>HYPERLINK("https://talan.bank.gov.ua/get-user-certificate/sec1exx4sZCiF6jHTB6Q","Завантажити сертифікат")</f>
        <v>Завантажити сертифікат</v>
      </c>
    </row>
    <row r="4091" spans="1:5" x14ac:dyDescent="0.3">
      <c r="A4091" s="2" t="s">
        <v>8358</v>
      </c>
      <c r="B4091" s="2" t="s">
        <v>5</v>
      </c>
      <c r="C4091" s="2" t="s">
        <v>8359</v>
      </c>
      <c r="D4091" s="2" t="s">
        <v>8335</v>
      </c>
      <c r="E4091" s="2" t="str">
        <f>HYPERLINK("https://talan.bank.gov.ua/get-user-certificate/sec1exK_Pp12S8ZWPn08","Завантажити сертифікат")</f>
        <v>Завантажити сертифікат</v>
      </c>
    </row>
    <row r="4092" spans="1:5" x14ac:dyDescent="0.3">
      <c r="A4092" s="2" t="s">
        <v>8360</v>
      </c>
      <c r="B4092" s="2" t="s">
        <v>5</v>
      </c>
      <c r="C4092" s="2" t="s">
        <v>8361</v>
      </c>
      <c r="D4092" s="2" t="s">
        <v>8335</v>
      </c>
      <c r="E4092" s="2" t="str">
        <f>HYPERLINK("https://talan.bank.gov.ua/get-user-certificate/sec1eXHgN50jVrbYBuWs","Завантажити сертифікат")</f>
        <v>Завантажити сертифікат</v>
      </c>
    </row>
    <row r="4093" spans="1:5" x14ac:dyDescent="0.3">
      <c r="A4093" s="2" t="s">
        <v>8362</v>
      </c>
      <c r="B4093" s="2" t="s">
        <v>5</v>
      </c>
      <c r="C4093" s="2" t="s">
        <v>8363</v>
      </c>
      <c r="D4093" s="2" t="s">
        <v>8335</v>
      </c>
      <c r="E4093" s="2" t="str">
        <f>HYPERLINK("https://talan.bank.gov.ua/get-user-certificate/sec1eFPvSiCFaVbuofBo","Завантажити сертифікат")</f>
        <v>Завантажити сертифікат</v>
      </c>
    </row>
    <row r="4094" spans="1:5" x14ac:dyDescent="0.3">
      <c r="A4094" s="2" t="s">
        <v>8364</v>
      </c>
      <c r="B4094" s="2" t="s">
        <v>5</v>
      </c>
      <c r="C4094" s="2" t="s">
        <v>8365</v>
      </c>
      <c r="D4094" s="2" t="s">
        <v>8335</v>
      </c>
      <c r="E4094" s="2" t="str">
        <f>HYPERLINK("https://talan.bank.gov.ua/get-user-certificate/sec1eqdJIMPaRRDzcKYs","Завантажити сертифікат")</f>
        <v>Завантажити сертифікат</v>
      </c>
    </row>
    <row r="4095" spans="1:5" x14ac:dyDescent="0.3">
      <c r="A4095" s="2" t="s">
        <v>8366</v>
      </c>
      <c r="B4095" s="2" t="s">
        <v>5</v>
      </c>
      <c r="C4095" s="2" t="s">
        <v>8367</v>
      </c>
      <c r="D4095" s="2" t="s">
        <v>8335</v>
      </c>
      <c r="E4095" s="2" t="str">
        <f>HYPERLINK("https://talan.bank.gov.ua/get-user-certificate/sec1ey9KPI257tlmsyM6","Завантажити сертифікат")</f>
        <v>Завантажити сертифікат</v>
      </c>
    </row>
    <row r="4096" spans="1:5" x14ac:dyDescent="0.3">
      <c r="A4096" s="2" t="s">
        <v>8368</v>
      </c>
      <c r="B4096" s="2" t="s">
        <v>5</v>
      </c>
      <c r="C4096" s="2" t="s">
        <v>8369</v>
      </c>
      <c r="D4096" s="2" t="s">
        <v>8335</v>
      </c>
      <c r="E4096" s="2" t="str">
        <f>HYPERLINK("https://talan.bank.gov.ua/get-user-certificate/sec1et6hwCK57etbxsQJ","Завантажити сертифікат")</f>
        <v>Завантажити сертифікат</v>
      </c>
    </row>
    <row r="4097" spans="1:5" x14ac:dyDescent="0.3">
      <c r="A4097" s="2" t="s">
        <v>8370</v>
      </c>
      <c r="B4097" s="2" t="s">
        <v>5</v>
      </c>
      <c r="C4097" s="2" t="s">
        <v>8371</v>
      </c>
      <c r="D4097" s="2" t="s">
        <v>8335</v>
      </c>
      <c r="E4097" s="2" t="str">
        <f>HYPERLINK("https://talan.bank.gov.ua/get-user-certificate/sec1eSyWXZGcKb-urIjM","Завантажити сертифікат")</f>
        <v>Завантажити сертифікат</v>
      </c>
    </row>
    <row r="4098" spans="1:5" x14ac:dyDescent="0.3">
      <c r="A4098" s="2" t="s">
        <v>8372</v>
      </c>
      <c r="B4098" s="2" t="s">
        <v>5</v>
      </c>
      <c r="C4098" s="2" t="s">
        <v>8373</v>
      </c>
      <c r="D4098" s="2" t="s">
        <v>8335</v>
      </c>
      <c r="E4098" s="2" t="str">
        <f>HYPERLINK("https://talan.bank.gov.ua/get-user-certificate/sec1eoURqk4W3nIeACHi","Завантажити сертифікат")</f>
        <v>Завантажити сертифікат</v>
      </c>
    </row>
    <row r="4099" spans="1:5" x14ac:dyDescent="0.3">
      <c r="A4099" s="2" t="s">
        <v>8374</v>
      </c>
      <c r="B4099" s="2" t="s">
        <v>5</v>
      </c>
      <c r="C4099" s="2" t="s">
        <v>8375</v>
      </c>
      <c r="D4099" s="2" t="s">
        <v>8335</v>
      </c>
      <c r="E4099" s="2" t="str">
        <f>HYPERLINK("https://talan.bank.gov.ua/get-user-certificate/sec1ei6Txm9J_JRC7XXX","Завантажити сертифікат")</f>
        <v>Завантажити сертифікат</v>
      </c>
    </row>
    <row r="4100" spans="1:5" x14ac:dyDescent="0.3">
      <c r="A4100" s="2" t="s">
        <v>8376</v>
      </c>
      <c r="B4100" s="2" t="s">
        <v>5</v>
      </c>
      <c r="C4100" s="2" t="s">
        <v>8377</v>
      </c>
      <c r="D4100" s="2" t="s">
        <v>8335</v>
      </c>
      <c r="E4100" s="2" t="str">
        <f>HYPERLINK("https://talan.bank.gov.ua/get-user-certificate/sec1eR1pZfvJU3pczy-q","Завантажити сертифікат")</f>
        <v>Завантажити сертифікат</v>
      </c>
    </row>
    <row r="4101" spans="1:5" x14ac:dyDescent="0.3">
      <c r="A4101" s="2" t="s">
        <v>8378</v>
      </c>
      <c r="B4101" s="2" t="s">
        <v>5</v>
      </c>
      <c r="C4101" s="2" t="s">
        <v>8379</v>
      </c>
      <c r="D4101" s="2" t="s">
        <v>8335</v>
      </c>
      <c r="E4101" s="2" t="str">
        <f>HYPERLINK("https://talan.bank.gov.ua/get-user-certificate/sec1eB6V2bVLnhlio9-l","Завантажити сертифікат")</f>
        <v>Завантажити сертифікат</v>
      </c>
    </row>
    <row r="4102" spans="1:5" x14ac:dyDescent="0.3">
      <c r="A4102" s="2" t="s">
        <v>8380</v>
      </c>
      <c r="B4102" s="2" t="s">
        <v>5</v>
      </c>
      <c r="C4102" s="2" t="s">
        <v>8381</v>
      </c>
      <c r="D4102" s="2" t="s">
        <v>8335</v>
      </c>
      <c r="E4102" s="2" t="str">
        <f>HYPERLINK("https://talan.bank.gov.ua/get-user-certificate/sec1es8B3rTBOZCwaW7g","Завантажити сертифікат")</f>
        <v>Завантажити сертифікат</v>
      </c>
    </row>
    <row r="4103" spans="1:5" x14ac:dyDescent="0.3">
      <c r="A4103" s="2" t="s">
        <v>8382</v>
      </c>
      <c r="B4103" s="2" t="s">
        <v>5</v>
      </c>
      <c r="C4103" s="2" t="s">
        <v>8383</v>
      </c>
      <c r="D4103" s="2" t="s">
        <v>8335</v>
      </c>
      <c r="E4103" s="2" t="str">
        <f>HYPERLINK("https://talan.bank.gov.ua/get-user-certificate/sec1e-YJkP-Rq8hHeKgy","Завантажити сертифікат")</f>
        <v>Завантажити сертифікат</v>
      </c>
    </row>
    <row r="4104" spans="1:5" x14ac:dyDescent="0.3">
      <c r="A4104" s="2" t="s">
        <v>8384</v>
      </c>
      <c r="B4104" s="2" t="s">
        <v>5</v>
      </c>
      <c r="C4104" s="2" t="s">
        <v>8385</v>
      </c>
      <c r="D4104" s="2" t="s">
        <v>8335</v>
      </c>
      <c r="E4104" s="2" t="str">
        <f>HYPERLINK("https://talan.bank.gov.ua/get-user-certificate/sec1eFJMZtmVkaJFXro2","Завантажити сертифікат")</f>
        <v>Завантажити сертифікат</v>
      </c>
    </row>
    <row r="4105" spans="1:5" x14ac:dyDescent="0.3">
      <c r="A4105" s="2" t="s">
        <v>8386</v>
      </c>
      <c r="B4105" s="2" t="s">
        <v>5</v>
      </c>
      <c r="C4105" s="2" t="s">
        <v>8387</v>
      </c>
      <c r="D4105" s="2" t="s">
        <v>8335</v>
      </c>
      <c r="E4105" s="2" t="str">
        <f>HYPERLINK("https://talan.bank.gov.ua/get-user-certificate/sec1e_Kt7iiNsPXDOcU_","Завантажити сертифікат")</f>
        <v>Завантажити сертифікат</v>
      </c>
    </row>
    <row r="4106" spans="1:5" x14ac:dyDescent="0.3">
      <c r="A4106" s="2" t="s">
        <v>8388</v>
      </c>
      <c r="B4106" s="2" t="s">
        <v>5</v>
      </c>
      <c r="C4106" s="2" t="s">
        <v>8389</v>
      </c>
      <c r="D4106" s="2" t="s">
        <v>8335</v>
      </c>
      <c r="E4106" s="2" t="str">
        <f>HYPERLINK("https://talan.bank.gov.ua/get-user-certificate/sec1e-VHDcDIXeIKkRrl","Завантажити сертифікат")</f>
        <v>Завантажити сертифікат</v>
      </c>
    </row>
    <row r="4107" spans="1:5" x14ac:dyDescent="0.3">
      <c r="A4107" s="2" t="s">
        <v>8390</v>
      </c>
      <c r="B4107" s="2" t="s">
        <v>5</v>
      </c>
      <c r="C4107" s="2" t="s">
        <v>8391</v>
      </c>
      <c r="D4107" s="2" t="s">
        <v>8335</v>
      </c>
      <c r="E4107" s="2" t="str">
        <f>HYPERLINK("https://talan.bank.gov.ua/get-user-certificate/sec1ew4XYKmmm5n0PTWl","Завантажити сертифікат")</f>
        <v>Завантажити сертифікат</v>
      </c>
    </row>
    <row r="4108" spans="1:5" x14ac:dyDescent="0.3">
      <c r="A4108" s="2" t="s">
        <v>8392</v>
      </c>
      <c r="B4108" s="2" t="s">
        <v>5</v>
      </c>
      <c r="C4108" s="2" t="s">
        <v>8393</v>
      </c>
      <c r="D4108" s="2" t="s">
        <v>8335</v>
      </c>
      <c r="E4108" s="2" t="str">
        <f>HYPERLINK("https://talan.bank.gov.ua/get-user-certificate/sec1ei-bwre1R2G8o88G","Завантажити сертифікат")</f>
        <v>Завантажити сертифікат</v>
      </c>
    </row>
    <row r="4109" spans="1:5" x14ac:dyDescent="0.3">
      <c r="A4109" s="2" t="s">
        <v>8394</v>
      </c>
      <c r="B4109" s="2" t="s">
        <v>5</v>
      </c>
      <c r="C4109" s="2" t="s">
        <v>8395</v>
      </c>
      <c r="D4109" s="2" t="s">
        <v>8335</v>
      </c>
      <c r="E4109" s="2" t="str">
        <f>HYPERLINK("https://talan.bank.gov.ua/get-user-certificate/sec1e46AuvmfdSqWtDIl","Завантажити сертифікат")</f>
        <v>Завантажити сертифікат</v>
      </c>
    </row>
    <row r="4110" spans="1:5" x14ac:dyDescent="0.3">
      <c r="A4110" s="2" t="s">
        <v>8396</v>
      </c>
      <c r="B4110" s="2" t="s">
        <v>5</v>
      </c>
      <c r="C4110" s="2" t="s">
        <v>8397</v>
      </c>
      <c r="D4110" s="2" t="s">
        <v>8398</v>
      </c>
      <c r="E4110" s="2" t="str">
        <f>HYPERLINK("https://talan.bank.gov.ua/get-user-certificate/sec1e0FaoRwm95kVCyg_","Завантажити сертифікат")</f>
        <v>Завантажити сертифікат</v>
      </c>
    </row>
    <row r="4111" spans="1:5" x14ac:dyDescent="0.3">
      <c r="A4111" s="2" t="s">
        <v>8399</v>
      </c>
      <c r="B4111" s="2" t="s">
        <v>5</v>
      </c>
      <c r="C4111" s="2" t="s">
        <v>8400</v>
      </c>
      <c r="D4111" s="2" t="s">
        <v>8398</v>
      </c>
      <c r="E4111" s="2" t="str">
        <f>HYPERLINK("https://talan.bank.gov.ua/get-user-certificate/sec1eyEoxB94deKt2jEd","Завантажити сертифікат")</f>
        <v>Завантажити сертифікат</v>
      </c>
    </row>
    <row r="4112" spans="1:5" x14ac:dyDescent="0.3">
      <c r="A4112" s="2" t="s">
        <v>8401</v>
      </c>
      <c r="B4112" s="2" t="s">
        <v>5</v>
      </c>
      <c r="C4112" s="2" t="s">
        <v>8402</v>
      </c>
      <c r="D4112" s="2" t="s">
        <v>8398</v>
      </c>
      <c r="E4112" s="2" t="str">
        <f>HYPERLINK("https://talan.bank.gov.ua/get-user-certificate/sec1eTHuvwbL2H_lbUfe","Завантажити сертифікат")</f>
        <v>Завантажити сертифікат</v>
      </c>
    </row>
    <row r="4113" spans="1:5" x14ac:dyDescent="0.3">
      <c r="A4113" s="2" t="s">
        <v>8403</v>
      </c>
      <c r="B4113" s="2" t="s">
        <v>5</v>
      </c>
      <c r="C4113" s="2" t="s">
        <v>8404</v>
      </c>
      <c r="D4113" s="2" t="s">
        <v>8398</v>
      </c>
      <c r="E4113" s="2" t="str">
        <f>HYPERLINK("https://talan.bank.gov.ua/get-user-certificate/sec1e-zF0QMsrrjFUXJT","Завантажити сертифікат")</f>
        <v>Завантажити сертифікат</v>
      </c>
    </row>
    <row r="4114" spans="1:5" x14ac:dyDescent="0.3">
      <c r="A4114" s="2" t="s">
        <v>8405</v>
      </c>
      <c r="B4114" s="2" t="s">
        <v>5</v>
      </c>
      <c r="C4114" s="2" t="s">
        <v>8406</v>
      </c>
      <c r="D4114" s="2" t="s">
        <v>8398</v>
      </c>
      <c r="E4114" s="2" t="str">
        <f>HYPERLINK("https://talan.bank.gov.ua/get-user-certificate/sec1eye6aQ73zpFGuhAq","Завантажити сертифікат")</f>
        <v>Завантажити сертифікат</v>
      </c>
    </row>
    <row r="4115" spans="1:5" x14ac:dyDescent="0.3">
      <c r="A4115" s="2" t="s">
        <v>8407</v>
      </c>
      <c r="B4115" s="2" t="s">
        <v>5</v>
      </c>
      <c r="C4115" s="2" t="s">
        <v>8408</v>
      </c>
      <c r="D4115" s="2" t="s">
        <v>8398</v>
      </c>
      <c r="E4115" s="2" t="str">
        <f>HYPERLINK("https://talan.bank.gov.ua/get-user-certificate/sec1et7oKUYZc7yGZWMA","Завантажити сертифікат")</f>
        <v>Завантажити сертифікат</v>
      </c>
    </row>
    <row r="4116" spans="1:5" x14ac:dyDescent="0.3">
      <c r="A4116" s="2" t="s">
        <v>8409</v>
      </c>
      <c r="B4116" s="2" t="s">
        <v>5</v>
      </c>
      <c r="C4116" s="2" t="s">
        <v>8410</v>
      </c>
      <c r="D4116" s="2" t="s">
        <v>8398</v>
      </c>
      <c r="E4116" s="2" t="str">
        <f>HYPERLINK("https://talan.bank.gov.ua/get-user-certificate/sec1eRuAt0JBNdVrEp5V","Завантажити сертифікат")</f>
        <v>Завантажити сертифікат</v>
      </c>
    </row>
    <row r="4117" spans="1:5" x14ac:dyDescent="0.3">
      <c r="A4117" s="2" t="s">
        <v>8411</v>
      </c>
      <c r="B4117" s="2" t="s">
        <v>5</v>
      </c>
      <c r="C4117" s="2" t="s">
        <v>8412</v>
      </c>
      <c r="D4117" s="2" t="s">
        <v>8398</v>
      </c>
      <c r="E4117" s="2" t="str">
        <f>HYPERLINK("https://talan.bank.gov.ua/get-user-certificate/sec1eaOonVVPhQigI-ua","Завантажити сертифікат")</f>
        <v>Завантажити сертифікат</v>
      </c>
    </row>
    <row r="4118" spans="1:5" x14ac:dyDescent="0.3">
      <c r="A4118" s="2" t="s">
        <v>8413</v>
      </c>
      <c r="B4118" s="2" t="s">
        <v>5</v>
      </c>
      <c r="C4118" s="2" t="s">
        <v>8414</v>
      </c>
      <c r="D4118" s="2" t="s">
        <v>8398</v>
      </c>
      <c r="E4118" s="2" t="str">
        <f>HYPERLINK("https://talan.bank.gov.ua/get-user-certificate/sec1eHJAPjA4lSzPxb1K","Завантажити сертифікат")</f>
        <v>Завантажити сертифікат</v>
      </c>
    </row>
    <row r="4119" spans="1:5" x14ac:dyDescent="0.3">
      <c r="A4119" s="2" t="s">
        <v>8415</v>
      </c>
      <c r="B4119" s="2" t="s">
        <v>5</v>
      </c>
      <c r="C4119" s="2" t="s">
        <v>8416</v>
      </c>
      <c r="D4119" s="2" t="s">
        <v>8398</v>
      </c>
      <c r="E4119" s="2" t="str">
        <f>HYPERLINK("https://talan.bank.gov.ua/get-user-certificate/sec1e4mJrEEYC8pSGm7A","Завантажити сертифікат")</f>
        <v>Завантажити сертифікат</v>
      </c>
    </row>
    <row r="4120" spans="1:5" x14ac:dyDescent="0.3">
      <c r="A4120" s="2" t="s">
        <v>8417</v>
      </c>
      <c r="B4120" s="2" t="s">
        <v>5</v>
      </c>
      <c r="C4120" s="2" t="s">
        <v>8418</v>
      </c>
      <c r="D4120" s="2" t="s">
        <v>8398</v>
      </c>
      <c r="E4120" s="2" t="str">
        <f>HYPERLINK("https://talan.bank.gov.ua/get-user-certificate/sec1eYxo-HV0wbp2xXHu","Завантажити сертифікат")</f>
        <v>Завантажити сертифікат</v>
      </c>
    </row>
    <row r="4121" spans="1:5" x14ac:dyDescent="0.3">
      <c r="A4121" s="2" t="s">
        <v>8419</v>
      </c>
      <c r="B4121" s="2" t="s">
        <v>5</v>
      </c>
      <c r="C4121" s="2" t="s">
        <v>8420</v>
      </c>
      <c r="D4121" s="2" t="s">
        <v>8398</v>
      </c>
      <c r="E4121" s="2" t="str">
        <f>HYPERLINK("https://talan.bank.gov.ua/get-user-certificate/sec1eYm-MwDCJXNRjqKn","Завантажити сертифікат")</f>
        <v>Завантажити сертифікат</v>
      </c>
    </row>
    <row r="4122" spans="1:5" x14ac:dyDescent="0.3">
      <c r="A4122" s="2" t="s">
        <v>8421</v>
      </c>
      <c r="B4122" s="2" t="s">
        <v>5</v>
      </c>
      <c r="C4122" s="2" t="s">
        <v>8422</v>
      </c>
      <c r="D4122" s="2" t="s">
        <v>8398</v>
      </c>
      <c r="E4122" s="2" t="str">
        <f>HYPERLINK("https://talan.bank.gov.ua/get-user-certificate/sec1eUacRIKKyHNIDdrD","Завантажити сертифікат")</f>
        <v>Завантажити сертифікат</v>
      </c>
    </row>
    <row r="4123" spans="1:5" x14ac:dyDescent="0.3">
      <c r="A4123" s="2" t="s">
        <v>8423</v>
      </c>
      <c r="B4123" s="2" t="s">
        <v>5</v>
      </c>
      <c r="C4123" s="2" t="s">
        <v>8424</v>
      </c>
      <c r="D4123" s="2" t="s">
        <v>8398</v>
      </c>
      <c r="E4123" s="2" t="str">
        <f>HYPERLINK("https://talan.bank.gov.ua/get-user-certificate/sec1eK4f31W2IvxXbRhA","Завантажити сертифікат")</f>
        <v>Завантажити сертифікат</v>
      </c>
    </row>
    <row r="4124" spans="1:5" x14ac:dyDescent="0.3">
      <c r="A4124" s="2" t="s">
        <v>8425</v>
      </c>
      <c r="B4124" s="2" t="s">
        <v>5</v>
      </c>
      <c r="C4124" s="2" t="s">
        <v>8426</v>
      </c>
      <c r="D4124" s="2" t="s">
        <v>8398</v>
      </c>
      <c r="E4124" s="2" t="str">
        <f>HYPERLINK("https://talan.bank.gov.ua/get-user-certificate/sec1eQdJYmibo0FkkHXU","Завантажити сертифікат")</f>
        <v>Завантажити сертифікат</v>
      </c>
    </row>
    <row r="4125" spans="1:5" x14ac:dyDescent="0.3">
      <c r="A4125" s="2" t="s">
        <v>8427</v>
      </c>
      <c r="B4125" s="2" t="s">
        <v>5</v>
      </c>
      <c r="C4125" s="2" t="s">
        <v>8428</v>
      </c>
      <c r="D4125" s="2" t="s">
        <v>8398</v>
      </c>
      <c r="E4125" s="2" t="str">
        <f>HYPERLINK("https://talan.bank.gov.ua/get-user-certificate/sec1esH1GnmtsN9yeXgW","Завантажити сертифікат")</f>
        <v>Завантажити сертифікат</v>
      </c>
    </row>
    <row r="4126" spans="1:5" x14ac:dyDescent="0.3">
      <c r="A4126" s="2" t="s">
        <v>8429</v>
      </c>
      <c r="B4126" s="2" t="s">
        <v>5</v>
      </c>
      <c r="C4126" s="2" t="s">
        <v>8430</v>
      </c>
      <c r="D4126" s="2" t="s">
        <v>8398</v>
      </c>
      <c r="E4126" s="2" t="str">
        <f>HYPERLINK("https://talan.bank.gov.ua/get-user-certificate/sec1eISviYSy9MbYrcLa","Завантажити сертифікат")</f>
        <v>Завантажити сертифікат</v>
      </c>
    </row>
    <row r="4127" spans="1:5" x14ac:dyDescent="0.3">
      <c r="A4127" s="2" t="s">
        <v>8431</v>
      </c>
      <c r="B4127" s="2" t="s">
        <v>5</v>
      </c>
      <c r="C4127" s="2" t="s">
        <v>8432</v>
      </c>
      <c r="D4127" s="2" t="s">
        <v>8398</v>
      </c>
      <c r="E4127" s="2" t="str">
        <f>HYPERLINK("https://talan.bank.gov.ua/get-user-certificate/sec1eYXJzRSMtoNtad0s","Завантажити сертифікат")</f>
        <v>Завантажити сертифікат</v>
      </c>
    </row>
    <row r="4128" spans="1:5" x14ac:dyDescent="0.3">
      <c r="A4128" s="2" t="s">
        <v>8433</v>
      </c>
      <c r="B4128" s="2" t="s">
        <v>5</v>
      </c>
      <c r="C4128" s="2" t="s">
        <v>8434</v>
      </c>
      <c r="D4128" s="2" t="s">
        <v>8398</v>
      </c>
      <c r="E4128" s="2" t="str">
        <f>HYPERLINK("https://talan.bank.gov.ua/get-user-certificate/sec1ehcRi4wQOPnswc_4","Завантажити сертифікат")</f>
        <v>Завантажити сертифікат</v>
      </c>
    </row>
    <row r="4129" spans="1:5" x14ac:dyDescent="0.3">
      <c r="A4129" s="2" t="s">
        <v>8435</v>
      </c>
      <c r="B4129" s="2" t="s">
        <v>5</v>
      </c>
      <c r="C4129" s="2" t="s">
        <v>8436</v>
      </c>
      <c r="D4129" s="2" t="s">
        <v>8398</v>
      </c>
      <c r="E4129" s="2" t="str">
        <f>HYPERLINK("https://talan.bank.gov.ua/get-user-certificate/sec1eBXNBnUNY-sCBopI","Завантажити сертифікат")</f>
        <v>Завантажити сертифікат</v>
      </c>
    </row>
    <row r="4130" spans="1:5" x14ac:dyDescent="0.3">
      <c r="A4130" s="2" t="s">
        <v>8437</v>
      </c>
      <c r="B4130" s="2" t="s">
        <v>5</v>
      </c>
      <c r="C4130" s="2" t="s">
        <v>8438</v>
      </c>
      <c r="D4130" s="2" t="s">
        <v>8398</v>
      </c>
      <c r="E4130" s="2" t="str">
        <f>HYPERLINK("https://talan.bank.gov.ua/get-user-certificate/sec1eyDMcFg9ptp0kBul","Завантажити сертифікат")</f>
        <v>Завантажити сертифікат</v>
      </c>
    </row>
    <row r="4131" spans="1:5" x14ac:dyDescent="0.3">
      <c r="A4131" s="2" t="s">
        <v>8439</v>
      </c>
      <c r="B4131" s="2" t="s">
        <v>5</v>
      </c>
      <c r="C4131" s="2" t="s">
        <v>8440</v>
      </c>
      <c r="D4131" s="2" t="s">
        <v>8398</v>
      </c>
      <c r="E4131" s="2" t="str">
        <f>HYPERLINK("https://talan.bank.gov.ua/get-user-certificate/sec1eJ7Uc7QB6jRC3JlO","Завантажити сертифікат")</f>
        <v>Завантажити сертифікат</v>
      </c>
    </row>
    <row r="4132" spans="1:5" x14ac:dyDescent="0.3">
      <c r="A4132" s="2" t="s">
        <v>8441</v>
      </c>
      <c r="B4132" s="2" t="s">
        <v>5</v>
      </c>
      <c r="C4132" s="2" t="s">
        <v>8442</v>
      </c>
      <c r="D4132" s="2" t="s">
        <v>8398</v>
      </c>
      <c r="E4132" s="2" t="str">
        <f>HYPERLINK("https://talan.bank.gov.ua/get-user-certificate/sec1e3omiOlpwRc1ZU78","Завантажити сертифікат")</f>
        <v>Завантажити сертифікат</v>
      </c>
    </row>
    <row r="4133" spans="1:5" x14ac:dyDescent="0.3">
      <c r="A4133" s="2" t="s">
        <v>8443</v>
      </c>
      <c r="B4133" s="2" t="s">
        <v>5</v>
      </c>
      <c r="C4133" s="2" t="s">
        <v>8444</v>
      </c>
      <c r="D4133" s="2" t="s">
        <v>8398</v>
      </c>
      <c r="E4133" s="2" t="str">
        <f>HYPERLINK("https://talan.bank.gov.ua/get-user-certificate/sec1erHzJ5sazriEjyl-","Завантажити сертифікат")</f>
        <v>Завантажити сертифікат</v>
      </c>
    </row>
    <row r="4134" spans="1:5" x14ac:dyDescent="0.3">
      <c r="A4134" s="2" t="s">
        <v>8445</v>
      </c>
      <c r="B4134" s="2" t="s">
        <v>5</v>
      </c>
      <c r="C4134" s="2" t="s">
        <v>8446</v>
      </c>
      <c r="D4134" s="2" t="s">
        <v>8398</v>
      </c>
      <c r="E4134" s="2" t="str">
        <f>HYPERLINK("https://talan.bank.gov.ua/get-user-certificate/sec1enKydI_MKN4g57QC","Завантажити сертифікат")</f>
        <v>Завантажити сертифікат</v>
      </c>
    </row>
    <row r="4135" spans="1:5" x14ac:dyDescent="0.3">
      <c r="A4135" s="2" t="s">
        <v>8447</v>
      </c>
      <c r="B4135" s="2" t="s">
        <v>5</v>
      </c>
      <c r="C4135" s="2" t="s">
        <v>8448</v>
      </c>
      <c r="D4135" s="2" t="s">
        <v>8398</v>
      </c>
      <c r="E4135" s="2" t="str">
        <f>HYPERLINK("https://talan.bank.gov.ua/get-user-certificate/sec1e-uhF0IAr3bXb1Z8","Завантажити сертифікат")</f>
        <v>Завантажити сертифікат</v>
      </c>
    </row>
    <row r="4136" spans="1:5" x14ac:dyDescent="0.3">
      <c r="A4136" s="2" t="s">
        <v>8449</v>
      </c>
      <c r="B4136" s="2" t="s">
        <v>5</v>
      </c>
      <c r="C4136" s="2" t="s">
        <v>8450</v>
      </c>
      <c r="D4136" s="2" t="s">
        <v>8398</v>
      </c>
      <c r="E4136" s="2" t="str">
        <f>HYPERLINK("https://talan.bank.gov.ua/get-user-certificate/sec1ef1czvhv5THK-7Rc","Завантажити сертифікат")</f>
        <v>Завантажити сертифікат</v>
      </c>
    </row>
    <row r="4137" spans="1:5" x14ac:dyDescent="0.3">
      <c r="A4137" s="2" t="s">
        <v>8451</v>
      </c>
      <c r="B4137" s="2" t="s">
        <v>5</v>
      </c>
      <c r="C4137" s="2" t="s">
        <v>8452</v>
      </c>
      <c r="D4137" s="2" t="s">
        <v>8398</v>
      </c>
      <c r="E4137" s="2" t="str">
        <f>HYPERLINK("https://talan.bank.gov.ua/get-user-certificate/sec1ep99vS2HinJblmvi","Завантажити сертифікат")</f>
        <v>Завантажити сертифікат</v>
      </c>
    </row>
    <row r="4138" spans="1:5" x14ac:dyDescent="0.3">
      <c r="A4138" s="2" t="s">
        <v>8453</v>
      </c>
      <c r="B4138" s="2" t="s">
        <v>5</v>
      </c>
      <c r="C4138" s="2" t="s">
        <v>8454</v>
      </c>
      <c r="D4138" s="2" t="s">
        <v>8398</v>
      </c>
      <c r="E4138" s="2" t="str">
        <f>HYPERLINK("https://talan.bank.gov.ua/get-user-certificate/sec1e-QXFLo3oNfiXI-t","Завантажити сертифікат")</f>
        <v>Завантажити сертифікат</v>
      </c>
    </row>
    <row r="4139" spans="1:5" x14ac:dyDescent="0.3">
      <c r="A4139" s="2" t="s">
        <v>8455</v>
      </c>
      <c r="B4139" s="2" t="s">
        <v>5</v>
      </c>
      <c r="C4139" s="2" t="s">
        <v>8456</v>
      </c>
      <c r="D4139" s="2" t="s">
        <v>8398</v>
      </c>
      <c r="E4139" s="2" t="str">
        <f>HYPERLINK("https://talan.bank.gov.ua/get-user-certificate/sec1ehSzeU9aBObsfy9r","Завантажити сертифікат")</f>
        <v>Завантажити сертифікат</v>
      </c>
    </row>
    <row r="4140" spans="1:5" x14ac:dyDescent="0.3">
      <c r="A4140" s="2" t="s">
        <v>8457</v>
      </c>
      <c r="B4140" s="2" t="s">
        <v>5</v>
      </c>
      <c r="C4140" s="2" t="s">
        <v>8458</v>
      </c>
      <c r="D4140" s="2" t="s">
        <v>8398</v>
      </c>
      <c r="E4140" s="2" t="str">
        <f>HYPERLINK("https://talan.bank.gov.ua/get-user-certificate/sec1ezImZSycI0agE-4S","Завантажити сертифікат")</f>
        <v>Завантажити сертифікат</v>
      </c>
    </row>
    <row r="4141" spans="1:5" x14ac:dyDescent="0.3">
      <c r="A4141" s="2" t="s">
        <v>8459</v>
      </c>
      <c r="B4141" s="2" t="s">
        <v>5</v>
      </c>
      <c r="C4141" s="2" t="s">
        <v>8460</v>
      </c>
      <c r="D4141" s="2" t="s">
        <v>8398</v>
      </c>
      <c r="E4141" s="2" t="str">
        <f>HYPERLINK("https://talan.bank.gov.ua/get-user-certificate/sec1eNA0hVVf7Hnv5Uin","Завантажити сертифікат")</f>
        <v>Завантажити сертифікат</v>
      </c>
    </row>
    <row r="4142" spans="1:5" x14ac:dyDescent="0.3">
      <c r="A4142" s="2" t="s">
        <v>8461</v>
      </c>
      <c r="B4142" s="2" t="s">
        <v>5</v>
      </c>
      <c r="C4142" s="2" t="s">
        <v>8462</v>
      </c>
      <c r="D4142" s="2" t="s">
        <v>8398</v>
      </c>
      <c r="E4142" s="2" t="str">
        <f>HYPERLINK("https://talan.bank.gov.ua/get-user-certificate/sec1ezmdqUBylKadIXl7","Завантажити сертифікат")</f>
        <v>Завантажити сертифікат</v>
      </c>
    </row>
    <row r="4143" spans="1:5" x14ac:dyDescent="0.3">
      <c r="A4143" s="2" t="s">
        <v>8463</v>
      </c>
      <c r="B4143" s="2" t="s">
        <v>5</v>
      </c>
      <c r="C4143" s="2" t="s">
        <v>8464</v>
      </c>
      <c r="D4143" s="2" t="s">
        <v>8398</v>
      </c>
      <c r="E4143" s="2" t="str">
        <f>HYPERLINK("https://talan.bank.gov.ua/get-user-certificate/sec1eSSg_OyTtQJwZz8c","Завантажити сертифікат")</f>
        <v>Завантажити сертифікат</v>
      </c>
    </row>
    <row r="4144" spans="1:5" x14ac:dyDescent="0.3">
      <c r="A4144" s="2" t="s">
        <v>8465</v>
      </c>
      <c r="B4144" s="2" t="s">
        <v>5</v>
      </c>
      <c r="C4144" s="2" t="s">
        <v>8466</v>
      </c>
      <c r="D4144" s="2" t="s">
        <v>8398</v>
      </c>
      <c r="E4144" s="2" t="str">
        <f>HYPERLINK("https://talan.bank.gov.ua/get-user-certificate/sec1eyGnHSthYfh65IZg","Завантажити сертифікат")</f>
        <v>Завантажити сертифікат</v>
      </c>
    </row>
    <row r="4145" spans="1:5" x14ac:dyDescent="0.3">
      <c r="A4145" s="2" t="s">
        <v>8467</v>
      </c>
      <c r="B4145" s="2" t="s">
        <v>5</v>
      </c>
      <c r="C4145" s="2" t="s">
        <v>8468</v>
      </c>
      <c r="D4145" s="2" t="s">
        <v>8398</v>
      </c>
      <c r="E4145" s="2" t="str">
        <f>HYPERLINK("https://talan.bank.gov.ua/get-user-certificate/sec1e-meHbK4NofzyT-p","Завантажити сертифікат")</f>
        <v>Завантажити сертифікат</v>
      </c>
    </row>
    <row r="4146" spans="1:5" x14ac:dyDescent="0.3">
      <c r="A4146" s="2" t="s">
        <v>8469</v>
      </c>
      <c r="B4146" s="2" t="s">
        <v>5</v>
      </c>
      <c r="C4146" s="2" t="s">
        <v>8470</v>
      </c>
      <c r="D4146" s="2" t="s">
        <v>8398</v>
      </c>
      <c r="E4146" s="2" t="str">
        <f>HYPERLINK("https://talan.bank.gov.ua/get-user-certificate/sec1e69jwTTlqqsSZBCB","Завантажити сертифікат")</f>
        <v>Завантажити сертифікат</v>
      </c>
    </row>
    <row r="4147" spans="1:5" x14ac:dyDescent="0.3">
      <c r="A4147" s="2" t="s">
        <v>8471</v>
      </c>
      <c r="B4147" s="2" t="s">
        <v>5</v>
      </c>
      <c r="C4147" s="2" t="s">
        <v>8472</v>
      </c>
      <c r="D4147" s="2" t="s">
        <v>8398</v>
      </c>
      <c r="E4147" s="2" t="str">
        <f>HYPERLINK("https://talan.bank.gov.ua/get-user-certificate/sec1erdOSW2cT68h52G2","Завантажити сертифікат")</f>
        <v>Завантажити сертифікат</v>
      </c>
    </row>
    <row r="4148" spans="1:5" x14ac:dyDescent="0.3">
      <c r="A4148" s="2" t="s">
        <v>8473</v>
      </c>
      <c r="B4148" s="2" t="s">
        <v>5</v>
      </c>
      <c r="C4148" s="2" t="s">
        <v>8474</v>
      </c>
      <c r="D4148" s="2" t="s">
        <v>8398</v>
      </c>
      <c r="E4148" s="2" t="str">
        <f>HYPERLINK("https://talan.bank.gov.ua/get-user-certificate/sec1eYqKE0isFLcuXeep","Завантажити сертифікат")</f>
        <v>Завантажити сертифікат</v>
      </c>
    </row>
    <row r="4149" spans="1:5" x14ac:dyDescent="0.3">
      <c r="A4149" s="2" t="s">
        <v>8475</v>
      </c>
      <c r="B4149" s="2" t="s">
        <v>5</v>
      </c>
      <c r="C4149" s="2" t="s">
        <v>8476</v>
      </c>
      <c r="D4149" s="2" t="s">
        <v>8398</v>
      </c>
      <c r="E4149" s="2" t="str">
        <f>HYPERLINK("https://talan.bank.gov.ua/get-user-certificate/sec1ep_VqvXRoR59Isnw","Завантажити сертифікат")</f>
        <v>Завантажити сертифікат</v>
      </c>
    </row>
    <row r="4150" spans="1:5" x14ac:dyDescent="0.3">
      <c r="A4150" s="2" t="s">
        <v>8477</v>
      </c>
      <c r="B4150" s="2" t="s">
        <v>5</v>
      </c>
      <c r="C4150" s="2" t="s">
        <v>8478</v>
      </c>
      <c r="D4150" s="2" t="s">
        <v>8398</v>
      </c>
      <c r="E4150" s="2" t="str">
        <f>HYPERLINK("https://talan.bank.gov.ua/get-user-certificate/sec1eqTle4cHfh1TrtrY","Завантажити сертифікат")</f>
        <v>Завантажити сертифікат</v>
      </c>
    </row>
    <row r="4151" spans="1:5" x14ac:dyDescent="0.3">
      <c r="A4151" s="2" t="s">
        <v>8479</v>
      </c>
      <c r="B4151" s="2" t="s">
        <v>5</v>
      </c>
      <c r="C4151" s="2" t="s">
        <v>8480</v>
      </c>
      <c r="D4151" s="2" t="s">
        <v>8398</v>
      </c>
      <c r="E4151" s="2" t="str">
        <f>HYPERLINK("https://talan.bank.gov.ua/get-user-certificate/sec1ezGmWumUezDmax3V","Завантажити сертифікат")</f>
        <v>Завантажити сертифікат</v>
      </c>
    </row>
    <row r="4152" spans="1:5" x14ac:dyDescent="0.3">
      <c r="A4152" s="2" t="s">
        <v>8481</v>
      </c>
      <c r="B4152" s="2" t="s">
        <v>5</v>
      </c>
      <c r="C4152" s="2" t="s">
        <v>8482</v>
      </c>
      <c r="D4152" s="2" t="s">
        <v>8398</v>
      </c>
      <c r="E4152" s="2" t="str">
        <f>HYPERLINK("https://talan.bank.gov.ua/get-user-certificate/sec1eGLfok2BnSWCCzXg","Завантажити сертифікат")</f>
        <v>Завантажити сертифікат</v>
      </c>
    </row>
    <row r="4153" spans="1:5" x14ac:dyDescent="0.3">
      <c r="A4153" s="2" t="s">
        <v>8483</v>
      </c>
      <c r="B4153" s="2" t="s">
        <v>5</v>
      </c>
      <c r="C4153" s="2" t="s">
        <v>8484</v>
      </c>
      <c r="D4153" s="2" t="s">
        <v>8398</v>
      </c>
      <c r="E4153" s="2" t="str">
        <f>HYPERLINK("https://talan.bank.gov.ua/get-user-certificate/sec1eio7ty83CUrhRSwV","Завантажити сертифікат")</f>
        <v>Завантажити сертифікат</v>
      </c>
    </row>
    <row r="4154" spans="1:5" x14ac:dyDescent="0.3">
      <c r="A4154" s="2" t="s">
        <v>8485</v>
      </c>
      <c r="B4154" s="2" t="s">
        <v>5</v>
      </c>
      <c r="C4154" s="2" t="s">
        <v>8486</v>
      </c>
      <c r="D4154" s="2" t="s">
        <v>8398</v>
      </c>
      <c r="E4154" s="2" t="str">
        <f>HYPERLINK("https://talan.bank.gov.ua/get-user-certificate/sec1eZGKw7sK5WyAKNZQ","Завантажити сертифікат")</f>
        <v>Завантажити сертифікат</v>
      </c>
    </row>
    <row r="4155" spans="1:5" x14ac:dyDescent="0.3">
      <c r="A4155" s="2" t="s">
        <v>8487</v>
      </c>
      <c r="B4155" s="2" t="s">
        <v>5</v>
      </c>
      <c r="C4155" s="2" t="s">
        <v>8488</v>
      </c>
      <c r="D4155" s="2" t="s">
        <v>8398</v>
      </c>
      <c r="E4155" s="2" t="str">
        <f>HYPERLINK("https://talan.bank.gov.ua/get-user-certificate/sec1erbexCNh0CY0Th3f","Завантажити сертифікат")</f>
        <v>Завантажити сертифікат</v>
      </c>
    </row>
    <row r="4156" spans="1:5" x14ac:dyDescent="0.3">
      <c r="A4156" s="2" t="s">
        <v>8489</v>
      </c>
      <c r="B4156" s="2" t="s">
        <v>5</v>
      </c>
      <c r="C4156" s="2" t="s">
        <v>8490</v>
      </c>
      <c r="D4156" s="2" t="s">
        <v>8398</v>
      </c>
      <c r="E4156" s="2" t="str">
        <f>HYPERLINK("https://talan.bank.gov.ua/get-user-certificate/sec1eyKlLtJIkmiIZbtU","Завантажити сертифікат")</f>
        <v>Завантажити сертифікат</v>
      </c>
    </row>
    <row r="4157" spans="1:5" x14ac:dyDescent="0.3">
      <c r="A4157" s="2" t="s">
        <v>8491</v>
      </c>
      <c r="B4157" s="2" t="s">
        <v>5</v>
      </c>
      <c r="C4157" s="2" t="s">
        <v>8492</v>
      </c>
      <c r="D4157" s="2" t="s">
        <v>8398</v>
      </c>
      <c r="E4157" s="2" t="str">
        <f>HYPERLINK("https://talan.bank.gov.ua/get-user-certificate/sec1eSJR9NMQUaiHGak9","Завантажити сертифікат")</f>
        <v>Завантажити сертифікат</v>
      </c>
    </row>
    <row r="4158" spans="1:5" x14ac:dyDescent="0.3">
      <c r="A4158" s="2" t="s">
        <v>8493</v>
      </c>
      <c r="B4158" s="2" t="s">
        <v>5</v>
      </c>
      <c r="C4158" s="2" t="s">
        <v>8494</v>
      </c>
      <c r="D4158" s="2" t="s">
        <v>8398</v>
      </c>
      <c r="E4158" s="2" t="str">
        <f>HYPERLINK("https://talan.bank.gov.ua/get-user-certificate/sec1ephK9vLbe0oiXsXh","Завантажити сертифікат")</f>
        <v>Завантажити сертифікат</v>
      </c>
    </row>
    <row r="4159" spans="1:5" x14ac:dyDescent="0.3">
      <c r="A4159" s="2" t="s">
        <v>8495</v>
      </c>
      <c r="B4159" s="2" t="s">
        <v>5</v>
      </c>
      <c r="C4159" s="2" t="s">
        <v>8496</v>
      </c>
      <c r="D4159" s="2" t="s">
        <v>8398</v>
      </c>
      <c r="E4159" s="2" t="str">
        <f>HYPERLINK("https://talan.bank.gov.ua/get-user-certificate/sec1e7svnTrMwxGTSmGk","Завантажити сертифікат")</f>
        <v>Завантажити сертифікат</v>
      </c>
    </row>
    <row r="4160" spans="1:5" x14ac:dyDescent="0.3">
      <c r="A4160" s="2" t="s">
        <v>8497</v>
      </c>
      <c r="B4160" s="2" t="s">
        <v>5</v>
      </c>
      <c r="C4160" s="2" t="s">
        <v>8498</v>
      </c>
      <c r="D4160" s="2" t="s">
        <v>8398</v>
      </c>
      <c r="E4160" s="2" t="str">
        <f>HYPERLINK("https://talan.bank.gov.ua/get-user-certificate/sec1ewFJneiMil_FlVeo","Завантажити сертифікат")</f>
        <v>Завантажити сертифікат</v>
      </c>
    </row>
    <row r="4161" spans="1:5" x14ac:dyDescent="0.3">
      <c r="A4161" s="2" t="s">
        <v>8499</v>
      </c>
      <c r="B4161" s="2" t="s">
        <v>5</v>
      </c>
      <c r="C4161" s="2" t="s">
        <v>8500</v>
      </c>
      <c r="D4161" s="2" t="s">
        <v>8398</v>
      </c>
      <c r="E4161" s="2" t="str">
        <f>HYPERLINK("https://talan.bank.gov.ua/get-user-certificate/sec1elu0QQ-CjDkZMp3r","Завантажити сертифікат")</f>
        <v>Завантажити сертифікат</v>
      </c>
    </row>
    <row r="4162" spans="1:5" x14ac:dyDescent="0.3">
      <c r="A4162" s="2" t="s">
        <v>8501</v>
      </c>
      <c r="B4162" s="2" t="s">
        <v>5</v>
      </c>
      <c r="C4162" s="2" t="s">
        <v>8502</v>
      </c>
      <c r="D4162" s="2" t="s">
        <v>8398</v>
      </c>
      <c r="E4162" s="2" t="str">
        <f>HYPERLINK("https://talan.bank.gov.ua/get-user-certificate/sec1eYfPSOcNipuSeZgb","Завантажити сертифікат")</f>
        <v>Завантажити сертифікат</v>
      </c>
    </row>
    <row r="4163" spans="1:5" x14ac:dyDescent="0.3">
      <c r="A4163" s="2" t="s">
        <v>8503</v>
      </c>
      <c r="B4163" s="2" t="s">
        <v>5</v>
      </c>
      <c r="C4163" s="2" t="s">
        <v>8504</v>
      </c>
      <c r="D4163" s="2" t="s">
        <v>8398</v>
      </c>
      <c r="E4163" s="2" t="str">
        <f>HYPERLINK("https://talan.bank.gov.ua/get-user-certificate/sec1eYUeLm6EoxnAezA_","Завантажити сертифікат")</f>
        <v>Завантажити сертифікат</v>
      </c>
    </row>
    <row r="4164" spans="1:5" x14ac:dyDescent="0.3">
      <c r="A4164" s="2" t="s">
        <v>8505</v>
      </c>
      <c r="B4164" s="2" t="s">
        <v>5</v>
      </c>
      <c r="C4164" s="2" t="s">
        <v>8506</v>
      </c>
      <c r="D4164" s="2" t="s">
        <v>8398</v>
      </c>
      <c r="E4164" s="2" t="str">
        <f>HYPERLINK("https://talan.bank.gov.ua/get-user-certificate/sec1e7N2QBCofvSw_LH5","Завантажити сертифікат")</f>
        <v>Завантажити сертифікат</v>
      </c>
    </row>
    <row r="4165" spans="1:5" x14ac:dyDescent="0.3">
      <c r="A4165" s="2" t="s">
        <v>8507</v>
      </c>
      <c r="B4165" s="2" t="s">
        <v>5</v>
      </c>
      <c r="C4165" s="2" t="s">
        <v>8508</v>
      </c>
      <c r="D4165" s="2" t="s">
        <v>8398</v>
      </c>
      <c r="E4165" s="2" t="str">
        <f>HYPERLINK("https://talan.bank.gov.ua/get-user-certificate/sec1eQo2soS538S6l3wB","Завантажити сертифікат")</f>
        <v>Завантажити сертифікат</v>
      </c>
    </row>
    <row r="4166" spans="1:5" x14ac:dyDescent="0.3">
      <c r="A4166" s="2" t="s">
        <v>8509</v>
      </c>
      <c r="B4166" s="2" t="s">
        <v>5</v>
      </c>
      <c r="C4166" s="2" t="s">
        <v>8510</v>
      </c>
      <c r="D4166" s="2" t="s">
        <v>8398</v>
      </c>
      <c r="E4166" s="2" t="str">
        <f>HYPERLINK("https://talan.bank.gov.ua/get-user-certificate/sec1e2NCe9QsIR1kALzZ","Завантажити сертифікат")</f>
        <v>Завантажити сертифікат</v>
      </c>
    </row>
    <row r="4167" spans="1:5" x14ac:dyDescent="0.3">
      <c r="A4167" s="2" t="s">
        <v>8511</v>
      </c>
      <c r="B4167" s="2" t="s">
        <v>5</v>
      </c>
      <c r="C4167" s="2" t="s">
        <v>8512</v>
      </c>
      <c r="D4167" s="2" t="s">
        <v>8398</v>
      </c>
      <c r="E4167" s="2" t="str">
        <f>HYPERLINK("https://talan.bank.gov.ua/get-user-certificate/sec1eQjrtr4Eh1ubPJjb","Завантажити сертифікат")</f>
        <v>Завантажити сертифікат</v>
      </c>
    </row>
    <row r="4168" spans="1:5" x14ac:dyDescent="0.3">
      <c r="A4168" s="2" t="s">
        <v>8513</v>
      </c>
      <c r="B4168" s="2" t="s">
        <v>5</v>
      </c>
      <c r="C4168" s="2" t="s">
        <v>8514</v>
      </c>
      <c r="D4168" s="2" t="s">
        <v>8398</v>
      </c>
      <c r="E4168" s="2" t="str">
        <f>HYPERLINK("https://talan.bank.gov.ua/get-user-certificate/sec1eXPabsQa7nDTg0Qk","Завантажити сертифікат")</f>
        <v>Завантажити сертифікат</v>
      </c>
    </row>
    <row r="4169" spans="1:5" x14ac:dyDescent="0.3">
      <c r="A4169" s="2" t="s">
        <v>8515</v>
      </c>
      <c r="B4169" s="2" t="s">
        <v>5</v>
      </c>
      <c r="C4169" s="2" t="s">
        <v>8516</v>
      </c>
      <c r="D4169" s="2" t="s">
        <v>8398</v>
      </c>
      <c r="E4169" s="2" t="str">
        <f>HYPERLINK("https://talan.bank.gov.ua/get-user-certificate/sec1ecHKvkcZPJWUD1Od","Завантажити сертифікат")</f>
        <v>Завантажити сертифікат</v>
      </c>
    </row>
    <row r="4170" spans="1:5" x14ac:dyDescent="0.3">
      <c r="A4170" s="2" t="s">
        <v>8517</v>
      </c>
      <c r="B4170" s="2" t="s">
        <v>5</v>
      </c>
      <c r="C4170" s="2" t="s">
        <v>8518</v>
      </c>
      <c r="D4170" s="2" t="s">
        <v>8398</v>
      </c>
      <c r="E4170" s="2" t="str">
        <f>HYPERLINK("https://talan.bank.gov.ua/get-user-certificate/sec1eB9IqS8EpUuwLVl_","Завантажити сертифікат")</f>
        <v>Завантажити сертифікат</v>
      </c>
    </row>
    <row r="4171" spans="1:5" x14ac:dyDescent="0.3">
      <c r="A4171" s="2" t="s">
        <v>8519</v>
      </c>
      <c r="B4171" s="2" t="s">
        <v>5</v>
      </c>
      <c r="C4171" s="2" t="s">
        <v>8520</v>
      </c>
      <c r="D4171" s="2" t="s">
        <v>8398</v>
      </c>
      <c r="E4171" s="2" t="str">
        <f>HYPERLINK("https://talan.bank.gov.ua/get-user-certificate/sec1eVVDZVCeZtGzZ0hG","Завантажити сертифікат")</f>
        <v>Завантажити сертифікат</v>
      </c>
    </row>
    <row r="4172" spans="1:5" x14ac:dyDescent="0.3">
      <c r="A4172" s="2" t="s">
        <v>8521</v>
      </c>
      <c r="B4172" s="2" t="s">
        <v>5</v>
      </c>
      <c r="C4172" s="2" t="s">
        <v>8522</v>
      </c>
      <c r="D4172" s="2" t="s">
        <v>8398</v>
      </c>
      <c r="E4172" s="2" t="str">
        <f>HYPERLINK("https://talan.bank.gov.ua/get-user-certificate/sec1e0_NlMOH1NJRKfYR","Завантажити сертифікат")</f>
        <v>Завантажити сертифікат</v>
      </c>
    </row>
    <row r="4173" spans="1:5" x14ac:dyDescent="0.3">
      <c r="A4173" s="2" t="s">
        <v>8523</v>
      </c>
      <c r="B4173" s="2" t="s">
        <v>5</v>
      </c>
      <c r="C4173" s="2" t="s">
        <v>8524</v>
      </c>
      <c r="D4173" s="2" t="s">
        <v>8398</v>
      </c>
      <c r="E4173" s="2" t="str">
        <f>HYPERLINK("https://talan.bank.gov.ua/get-user-certificate/sec1eMwVX7EUQdYu3txu","Завантажити сертифікат")</f>
        <v>Завантажити сертифікат</v>
      </c>
    </row>
    <row r="4174" spans="1:5" x14ac:dyDescent="0.3">
      <c r="A4174" s="2" t="s">
        <v>8525</v>
      </c>
      <c r="B4174" s="2" t="s">
        <v>5</v>
      </c>
      <c r="C4174" s="2" t="s">
        <v>8526</v>
      </c>
      <c r="D4174" s="2" t="s">
        <v>8398</v>
      </c>
      <c r="E4174" s="2" t="str">
        <f>HYPERLINK("https://talan.bank.gov.ua/get-user-certificate/sec1eEDG8zQ03TW5z3Ql","Завантажити сертифікат")</f>
        <v>Завантажити сертифікат</v>
      </c>
    </row>
    <row r="4175" spans="1:5" x14ac:dyDescent="0.3">
      <c r="A4175" s="2" t="s">
        <v>8527</v>
      </c>
      <c r="B4175" s="2" t="s">
        <v>5</v>
      </c>
      <c r="C4175" s="2" t="s">
        <v>8528</v>
      </c>
      <c r="D4175" s="2" t="s">
        <v>8398</v>
      </c>
      <c r="E4175" s="2" t="str">
        <f>HYPERLINK("https://talan.bank.gov.ua/get-user-certificate/sec1ejqaaFnMvqQZqkP9","Завантажити сертифікат")</f>
        <v>Завантажити сертифікат</v>
      </c>
    </row>
    <row r="4176" spans="1:5" x14ac:dyDescent="0.3">
      <c r="A4176" s="2" t="s">
        <v>8529</v>
      </c>
      <c r="B4176" s="2" t="s">
        <v>5</v>
      </c>
      <c r="C4176" s="2" t="s">
        <v>8530</v>
      </c>
      <c r="D4176" s="2" t="s">
        <v>8398</v>
      </c>
      <c r="E4176" s="2" t="str">
        <f>HYPERLINK("https://talan.bank.gov.ua/get-user-certificate/sec1ek1IYwyp4p8x6_gu","Завантажити сертифікат")</f>
        <v>Завантажити сертифікат</v>
      </c>
    </row>
    <row r="4177" spans="1:5" x14ac:dyDescent="0.3">
      <c r="A4177" s="2" t="s">
        <v>8531</v>
      </c>
      <c r="B4177" s="2" t="s">
        <v>5</v>
      </c>
      <c r="C4177" s="2" t="s">
        <v>8532</v>
      </c>
      <c r="D4177" s="2" t="s">
        <v>8398</v>
      </c>
      <c r="E4177" s="2" t="str">
        <f>HYPERLINK("https://talan.bank.gov.ua/get-user-certificate/sec1eFJEYa9_IdRJ1p7W","Завантажити сертифікат")</f>
        <v>Завантажити сертифікат</v>
      </c>
    </row>
    <row r="4178" spans="1:5" x14ac:dyDescent="0.3">
      <c r="A4178" s="2" t="s">
        <v>8533</v>
      </c>
      <c r="B4178" s="2" t="s">
        <v>5</v>
      </c>
      <c r="C4178" s="2" t="s">
        <v>8534</v>
      </c>
      <c r="D4178" s="2" t="s">
        <v>8398</v>
      </c>
      <c r="E4178" s="2" t="str">
        <f>HYPERLINK("https://talan.bank.gov.ua/get-user-certificate/sec1eO1VfgIL-7sk8lyr","Завантажити сертифікат")</f>
        <v>Завантажити сертифікат</v>
      </c>
    </row>
    <row r="4179" spans="1:5" x14ac:dyDescent="0.3">
      <c r="A4179" s="2" t="s">
        <v>8535</v>
      </c>
      <c r="B4179" s="2" t="s">
        <v>5</v>
      </c>
      <c r="C4179" s="2" t="s">
        <v>8536</v>
      </c>
      <c r="D4179" s="2" t="s">
        <v>8398</v>
      </c>
      <c r="E4179" s="2" t="str">
        <f>HYPERLINK("https://talan.bank.gov.ua/get-user-certificate/sec1ezuOvHMR5Gq-DZdB","Завантажити сертифікат")</f>
        <v>Завантажити сертифікат</v>
      </c>
    </row>
    <row r="4180" spans="1:5" x14ac:dyDescent="0.3">
      <c r="A4180" s="2" t="s">
        <v>8537</v>
      </c>
      <c r="B4180" s="2" t="s">
        <v>5</v>
      </c>
      <c r="C4180" s="2" t="s">
        <v>8538</v>
      </c>
      <c r="D4180" s="2" t="s">
        <v>8398</v>
      </c>
      <c r="E4180" s="2" t="str">
        <f>HYPERLINK("https://talan.bank.gov.ua/get-user-certificate/sec1e5oVT8x94vdIXlVh","Завантажити сертифікат")</f>
        <v>Завантажити сертифікат</v>
      </c>
    </row>
    <row r="4181" spans="1:5" x14ac:dyDescent="0.3">
      <c r="A4181" s="2" t="s">
        <v>8539</v>
      </c>
      <c r="B4181" s="2" t="s">
        <v>5</v>
      </c>
      <c r="C4181" s="2" t="s">
        <v>8540</v>
      </c>
      <c r="D4181" s="2" t="s">
        <v>8398</v>
      </c>
      <c r="E4181" s="2" t="str">
        <f>HYPERLINK("https://talan.bank.gov.ua/get-user-certificate/sec1eTSKVIGSW3xNurID","Завантажити сертифікат")</f>
        <v>Завантажити сертифікат</v>
      </c>
    </row>
    <row r="4182" spans="1:5" x14ac:dyDescent="0.3">
      <c r="A4182" s="2" t="s">
        <v>8541</v>
      </c>
      <c r="B4182" s="2" t="s">
        <v>5</v>
      </c>
      <c r="C4182" s="2" t="s">
        <v>8542</v>
      </c>
      <c r="D4182" s="2" t="s">
        <v>8398</v>
      </c>
      <c r="E4182" s="2" t="str">
        <f>HYPERLINK("https://talan.bank.gov.ua/get-user-certificate/sec1eR8YyoLkkAEU41PE","Завантажити сертифікат")</f>
        <v>Завантажити сертифікат</v>
      </c>
    </row>
    <row r="4183" spans="1:5" x14ac:dyDescent="0.3">
      <c r="A4183" s="2" t="s">
        <v>8543</v>
      </c>
      <c r="B4183" s="2" t="s">
        <v>5</v>
      </c>
      <c r="C4183" s="2" t="s">
        <v>4757</v>
      </c>
      <c r="D4183" s="2" t="s">
        <v>8398</v>
      </c>
      <c r="E4183" s="2" t="str">
        <f>HYPERLINK("https://talan.bank.gov.ua/get-user-certificate/sec1ek8gadegUjOj3jbe","Завантажити сертифікат")</f>
        <v>Завантажити сертифікат</v>
      </c>
    </row>
    <row r="4184" spans="1:5" x14ac:dyDescent="0.3">
      <c r="A4184" s="2" t="s">
        <v>8544</v>
      </c>
      <c r="B4184" s="2" t="s">
        <v>5</v>
      </c>
      <c r="C4184" s="2" t="s">
        <v>8545</v>
      </c>
      <c r="D4184" s="2" t="s">
        <v>8398</v>
      </c>
      <c r="E4184" s="2" t="str">
        <f>HYPERLINK("https://talan.bank.gov.ua/get-user-certificate/sec1eLWuOLzRiPtyG1eN","Завантажити сертифікат")</f>
        <v>Завантажити сертифікат</v>
      </c>
    </row>
    <row r="4185" spans="1:5" x14ac:dyDescent="0.3">
      <c r="A4185" s="2" t="s">
        <v>8546</v>
      </c>
      <c r="B4185" s="2" t="s">
        <v>5</v>
      </c>
      <c r="C4185" s="2" t="s">
        <v>8547</v>
      </c>
      <c r="D4185" s="2" t="s">
        <v>8398</v>
      </c>
      <c r="E4185" s="2" t="str">
        <f>HYPERLINK("https://talan.bank.gov.ua/get-user-certificate/sec1eLVAGiWze549-PWo","Завантажити сертифікат")</f>
        <v>Завантажити сертифікат</v>
      </c>
    </row>
    <row r="4186" spans="1:5" x14ac:dyDescent="0.3">
      <c r="A4186" s="2" t="s">
        <v>8548</v>
      </c>
      <c r="B4186" s="2" t="s">
        <v>5</v>
      </c>
      <c r="C4186" s="2" t="s">
        <v>8549</v>
      </c>
      <c r="D4186" s="2" t="s">
        <v>8398</v>
      </c>
      <c r="E4186" s="2" t="str">
        <f>HYPERLINK("https://talan.bank.gov.ua/get-user-certificate/sec1ecYgxijbcTTf9NEq","Завантажити сертифікат")</f>
        <v>Завантажити сертифікат</v>
      </c>
    </row>
    <row r="4187" spans="1:5" x14ac:dyDescent="0.3">
      <c r="A4187" s="2" t="s">
        <v>8550</v>
      </c>
      <c r="B4187" s="2" t="s">
        <v>5</v>
      </c>
      <c r="C4187" s="2" t="s">
        <v>8551</v>
      </c>
      <c r="D4187" s="2" t="s">
        <v>8398</v>
      </c>
      <c r="E4187" s="2" t="str">
        <f>HYPERLINK("https://talan.bank.gov.ua/get-user-certificate/sec1emjOGDhy2Tz7nUGi","Завантажити сертифікат")</f>
        <v>Завантажити сертифікат</v>
      </c>
    </row>
    <row r="4188" spans="1:5" x14ac:dyDescent="0.3">
      <c r="A4188" s="2" t="s">
        <v>8552</v>
      </c>
      <c r="B4188" s="2" t="s">
        <v>5</v>
      </c>
      <c r="C4188" s="2" t="s">
        <v>8553</v>
      </c>
      <c r="D4188" s="2" t="s">
        <v>8398</v>
      </c>
      <c r="E4188" s="2" t="str">
        <f>HYPERLINK("https://talan.bank.gov.ua/get-user-certificate/sec1eE3IQZiFMxzsSvjE","Завантажити сертифікат")</f>
        <v>Завантажити сертифікат</v>
      </c>
    </row>
    <row r="4189" spans="1:5" x14ac:dyDescent="0.3">
      <c r="A4189" s="2" t="s">
        <v>8554</v>
      </c>
      <c r="B4189" s="2" t="s">
        <v>5</v>
      </c>
      <c r="C4189" s="2" t="s">
        <v>8555</v>
      </c>
      <c r="D4189" s="2" t="s">
        <v>8398</v>
      </c>
      <c r="E4189" s="2" t="str">
        <f>HYPERLINK("https://talan.bank.gov.ua/get-user-certificate/sec1euZ-XWm6isrVOskU","Завантажити сертифікат")</f>
        <v>Завантажити сертифікат</v>
      </c>
    </row>
    <row r="4190" spans="1:5" x14ac:dyDescent="0.3">
      <c r="A4190" s="2" t="s">
        <v>8556</v>
      </c>
      <c r="B4190" s="2" t="s">
        <v>5</v>
      </c>
      <c r="C4190" s="2" t="s">
        <v>8557</v>
      </c>
      <c r="D4190" s="2" t="s">
        <v>8398</v>
      </c>
      <c r="E4190" s="2" t="str">
        <f>HYPERLINK("https://talan.bank.gov.ua/get-user-certificate/sec1eKwWfATigl0MBWac","Завантажити сертифікат")</f>
        <v>Завантажити сертифікат</v>
      </c>
    </row>
    <row r="4191" spans="1:5" x14ac:dyDescent="0.3">
      <c r="A4191" s="2" t="s">
        <v>8558</v>
      </c>
      <c r="B4191" s="2" t="s">
        <v>5</v>
      </c>
      <c r="C4191" s="2" t="s">
        <v>8559</v>
      </c>
      <c r="D4191" s="2" t="s">
        <v>8398</v>
      </c>
      <c r="E4191" s="2" t="str">
        <f>HYPERLINK("https://talan.bank.gov.ua/get-user-certificate/sec1eciORIx-0wlnD_Xb","Завантажити сертифікат")</f>
        <v>Завантажити сертифікат</v>
      </c>
    </row>
    <row r="4192" spans="1:5" x14ac:dyDescent="0.3">
      <c r="A4192" s="2" t="s">
        <v>8560</v>
      </c>
      <c r="B4192" s="2" t="s">
        <v>5</v>
      </c>
      <c r="C4192" s="2" t="s">
        <v>8561</v>
      </c>
      <c r="D4192" s="2" t="s">
        <v>8398</v>
      </c>
      <c r="E4192" s="2" t="str">
        <f>HYPERLINK("https://talan.bank.gov.ua/get-user-certificate/sec1esjVnOIlrsve99Dr","Завантажити сертифікат")</f>
        <v>Завантажити сертифікат</v>
      </c>
    </row>
    <row r="4193" spans="1:5" x14ac:dyDescent="0.3">
      <c r="A4193" s="2" t="s">
        <v>8562</v>
      </c>
      <c r="B4193" s="2" t="s">
        <v>5</v>
      </c>
      <c r="C4193" s="2" t="s">
        <v>8563</v>
      </c>
      <c r="D4193" s="2" t="s">
        <v>8398</v>
      </c>
      <c r="E4193" s="2" t="str">
        <f>HYPERLINK("https://talan.bank.gov.ua/get-user-certificate/sec1ewEWPEuzApR-TTe_","Завантажити сертифікат")</f>
        <v>Завантажити сертифікат</v>
      </c>
    </row>
    <row r="4194" spans="1:5" x14ac:dyDescent="0.3">
      <c r="A4194" s="2" t="s">
        <v>8564</v>
      </c>
      <c r="B4194" s="2" t="s">
        <v>5</v>
      </c>
      <c r="C4194" s="2" t="s">
        <v>8565</v>
      </c>
      <c r="D4194" s="2" t="s">
        <v>8398</v>
      </c>
      <c r="E4194" s="2" t="str">
        <f>HYPERLINK("https://talan.bank.gov.ua/get-user-certificate/sec1eXfyI8x0A_IJCJuQ","Завантажити сертифікат")</f>
        <v>Завантажити сертифікат</v>
      </c>
    </row>
    <row r="4195" spans="1:5" x14ac:dyDescent="0.3">
      <c r="A4195" s="2" t="s">
        <v>8566</v>
      </c>
      <c r="B4195" s="2" t="s">
        <v>5</v>
      </c>
      <c r="C4195" s="2" t="s">
        <v>8567</v>
      </c>
      <c r="D4195" s="2" t="s">
        <v>8398</v>
      </c>
      <c r="E4195" s="2" t="str">
        <f>HYPERLINK("https://talan.bank.gov.ua/get-user-certificate/sec1e8y4Rhp5DwFR6tVx","Завантажити сертифікат")</f>
        <v>Завантажити сертифікат</v>
      </c>
    </row>
    <row r="4196" spans="1:5" x14ac:dyDescent="0.3">
      <c r="A4196" s="2" t="s">
        <v>8568</v>
      </c>
      <c r="B4196" s="2" t="s">
        <v>5</v>
      </c>
      <c r="C4196" s="2" t="s">
        <v>8569</v>
      </c>
      <c r="D4196" s="2" t="s">
        <v>8398</v>
      </c>
      <c r="E4196" s="2" t="str">
        <f>HYPERLINK("https://talan.bank.gov.ua/get-user-certificate/sec1eYD4ZjMZ3zybg0Wd","Завантажити сертифікат")</f>
        <v>Завантажити сертифікат</v>
      </c>
    </row>
    <row r="4197" spans="1:5" x14ac:dyDescent="0.3">
      <c r="A4197" s="2" t="s">
        <v>8570</v>
      </c>
      <c r="B4197" s="2" t="s">
        <v>5</v>
      </c>
      <c r="C4197" s="2" t="s">
        <v>8571</v>
      </c>
      <c r="D4197" s="2" t="s">
        <v>8398</v>
      </c>
      <c r="E4197" s="2" t="str">
        <f>HYPERLINK("https://talan.bank.gov.ua/get-user-certificate/sec1e3_UN57HWdS_ahtQ","Завантажити сертифікат")</f>
        <v>Завантажити сертифікат</v>
      </c>
    </row>
    <row r="4198" spans="1:5" x14ac:dyDescent="0.3">
      <c r="A4198" s="2" t="s">
        <v>8572</v>
      </c>
      <c r="B4198" s="2" t="s">
        <v>5</v>
      </c>
      <c r="C4198" s="2" t="s">
        <v>8573</v>
      </c>
      <c r="D4198" s="2" t="s">
        <v>8398</v>
      </c>
      <c r="E4198" s="2" t="str">
        <f>HYPERLINK("https://talan.bank.gov.ua/get-user-certificate/sec1e3TFmGYmu_C2Ho9d","Завантажити сертифікат")</f>
        <v>Завантажити сертифікат</v>
      </c>
    </row>
    <row r="4199" spans="1:5" x14ac:dyDescent="0.3">
      <c r="A4199" s="2" t="s">
        <v>8574</v>
      </c>
      <c r="B4199" s="2" t="s">
        <v>5</v>
      </c>
      <c r="C4199" s="2" t="s">
        <v>8575</v>
      </c>
      <c r="D4199" s="2" t="s">
        <v>8398</v>
      </c>
      <c r="E4199" s="2" t="str">
        <f>HYPERLINK("https://talan.bank.gov.ua/get-user-certificate/sec1eT6MWaemEDW0jLmc","Завантажити сертифікат")</f>
        <v>Завантажити сертифікат</v>
      </c>
    </row>
    <row r="4200" spans="1:5" x14ac:dyDescent="0.3">
      <c r="A4200" s="2" t="s">
        <v>8576</v>
      </c>
      <c r="B4200" s="2" t="s">
        <v>5</v>
      </c>
      <c r="C4200" s="2" t="s">
        <v>8577</v>
      </c>
      <c r="D4200" s="2" t="s">
        <v>8398</v>
      </c>
      <c r="E4200" s="2" t="str">
        <f>HYPERLINK("https://talan.bank.gov.ua/get-user-certificate/sec1exIV7t-wmvri8lSd","Завантажити сертифікат")</f>
        <v>Завантажити сертифікат</v>
      </c>
    </row>
    <row r="4201" spans="1:5" x14ac:dyDescent="0.3">
      <c r="A4201" s="2" t="s">
        <v>8578</v>
      </c>
      <c r="B4201" s="2" t="s">
        <v>5</v>
      </c>
      <c r="C4201" s="2" t="s">
        <v>8579</v>
      </c>
      <c r="D4201" s="2" t="s">
        <v>8398</v>
      </c>
      <c r="E4201" s="2" t="str">
        <f>HYPERLINK("https://talan.bank.gov.ua/get-user-certificate/sec1eggBH1FfrD0DTGyS","Завантажити сертифікат")</f>
        <v>Завантажити сертифікат</v>
      </c>
    </row>
    <row r="4202" spans="1:5" x14ac:dyDescent="0.3">
      <c r="A4202" s="2" t="s">
        <v>8580</v>
      </c>
      <c r="B4202" s="2" t="s">
        <v>5</v>
      </c>
      <c r="C4202" s="2" t="s">
        <v>8581</v>
      </c>
      <c r="D4202" s="2" t="s">
        <v>8398</v>
      </c>
      <c r="E4202" s="2" t="str">
        <f>HYPERLINK("https://talan.bank.gov.ua/get-user-certificate/sec1eJh_BODi5ED3d49M","Завантажити сертифікат")</f>
        <v>Завантажити сертифікат</v>
      </c>
    </row>
    <row r="4203" spans="1:5" x14ac:dyDescent="0.3">
      <c r="A4203" s="2" t="s">
        <v>8582</v>
      </c>
      <c r="B4203" s="2" t="s">
        <v>5</v>
      </c>
      <c r="C4203" s="2" t="s">
        <v>8583</v>
      </c>
      <c r="D4203" s="2" t="s">
        <v>8398</v>
      </c>
      <c r="E4203" s="2" t="str">
        <f>HYPERLINK("https://talan.bank.gov.ua/get-user-certificate/sec1eRURZrJmAAl7h3P4","Завантажити сертифікат")</f>
        <v>Завантажити сертифікат</v>
      </c>
    </row>
    <row r="4204" spans="1:5" x14ac:dyDescent="0.3">
      <c r="A4204" s="2" t="s">
        <v>8584</v>
      </c>
      <c r="B4204" s="2" t="s">
        <v>5</v>
      </c>
      <c r="C4204" s="2" t="s">
        <v>8585</v>
      </c>
      <c r="D4204" s="2" t="s">
        <v>8398</v>
      </c>
      <c r="E4204" s="2" t="str">
        <f>HYPERLINK("https://talan.bank.gov.ua/get-user-certificate/sec1eUOVl4Mx7UEDJlVl","Завантажити сертифікат")</f>
        <v>Завантажити сертифікат</v>
      </c>
    </row>
    <row r="4205" spans="1:5" x14ac:dyDescent="0.3">
      <c r="A4205" s="2" t="s">
        <v>8586</v>
      </c>
      <c r="B4205" s="2" t="s">
        <v>5</v>
      </c>
      <c r="C4205" s="2" t="s">
        <v>8587</v>
      </c>
      <c r="D4205" s="2" t="s">
        <v>8398</v>
      </c>
      <c r="E4205" s="2" t="str">
        <f>HYPERLINK("https://talan.bank.gov.ua/get-user-certificate/sec1eMPABjxoXbEfYig6","Завантажити сертифікат")</f>
        <v>Завантажити сертифікат</v>
      </c>
    </row>
    <row r="4206" spans="1:5" x14ac:dyDescent="0.3">
      <c r="A4206" s="2" t="s">
        <v>8588</v>
      </c>
      <c r="B4206" s="2" t="s">
        <v>5</v>
      </c>
      <c r="C4206" s="2" t="s">
        <v>8589</v>
      </c>
      <c r="D4206" s="2" t="s">
        <v>8398</v>
      </c>
      <c r="E4206" s="2" t="str">
        <f>HYPERLINK("https://talan.bank.gov.ua/get-user-certificate/sec1eCvvPGC388r3217h","Завантажити сертифікат")</f>
        <v>Завантажити сертифікат</v>
      </c>
    </row>
    <row r="4207" spans="1:5" x14ac:dyDescent="0.3">
      <c r="A4207" s="2" t="s">
        <v>8590</v>
      </c>
      <c r="B4207" s="2" t="s">
        <v>5</v>
      </c>
      <c r="C4207" s="2" t="s">
        <v>8591</v>
      </c>
      <c r="D4207" s="2" t="s">
        <v>8398</v>
      </c>
      <c r="E4207" s="2" t="str">
        <f>HYPERLINK("https://talan.bank.gov.ua/get-user-certificate/sec1ekQNy0iHzptymP2_","Завантажити сертифікат")</f>
        <v>Завантажити сертифікат</v>
      </c>
    </row>
    <row r="4208" spans="1:5" x14ac:dyDescent="0.3">
      <c r="A4208" s="2" t="s">
        <v>8592</v>
      </c>
      <c r="B4208" s="2" t="s">
        <v>5</v>
      </c>
      <c r="C4208" s="2" t="s">
        <v>8593</v>
      </c>
      <c r="D4208" s="2" t="s">
        <v>8398</v>
      </c>
      <c r="E4208" s="2" t="str">
        <f>HYPERLINK("https://talan.bank.gov.ua/get-user-certificate/sec1eGGT1nFzv9j4_PMA","Завантажити сертифікат")</f>
        <v>Завантажити сертифікат</v>
      </c>
    </row>
    <row r="4209" spans="1:5" x14ac:dyDescent="0.3">
      <c r="A4209" s="2" t="s">
        <v>8594</v>
      </c>
      <c r="B4209" s="2" t="s">
        <v>5</v>
      </c>
      <c r="C4209" s="2" t="s">
        <v>8595</v>
      </c>
      <c r="D4209" s="2" t="s">
        <v>8398</v>
      </c>
      <c r="E4209" s="2" t="str">
        <f>HYPERLINK("https://talan.bank.gov.ua/get-user-certificate/sec1eTDiyUOa8XC1NSAZ","Завантажити сертифікат")</f>
        <v>Завантажити сертифікат</v>
      </c>
    </row>
    <row r="4210" spans="1:5" x14ac:dyDescent="0.3">
      <c r="A4210" s="2" t="s">
        <v>8596</v>
      </c>
      <c r="B4210" s="2" t="s">
        <v>5</v>
      </c>
      <c r="C4210" s="2" t="s">
        <v>8597</v>
      </c>
      <c r="D4210" s="2" t="s">
        <v>8398</v>
      </c>
      <c r="E4210" s="2" t="str">
        <f>HYPERLINK("https://talan.bank.gov.ua/get-user-certificate/sec1eUS3k67jrJOckhJU","Завантажити сертифікат")</f>
        <v>Завантажити сертифікат</v>
      </c>
    </row>
    <row r="4211" spans="1:5" x14ac:dyDescent="0.3">
      <c r="A4211" s="2" t="s">
        <v>8598</v>
      </c>
      <c r="B4211" s="2" t="s">
        <v>5</v>
      </c>
      <c r="C4211" s="2" t="s">
        <v>8599</v>
      </c>
      <c r="D4211" s="2" t="s">
        <v>8398</v>
      </c>
      <c r="E4211" s="2" t="str">
        <f>HYPERLINK("https://talan.bank.gov.ua/get-user-certificate/sec1ecIZlauZIwTfHgEO","Завантажити сертифікат")</f>
        <v>Завантажити сертифікат</v>
      </c>
    </row>
    <row r="4212" spans="1:5" x14ac:dyDescent="0.3">
      <c r="A4212" s="2" t="s">
        <v>8600</v>
      </c>
      <c r="B4212" s="2" t="s">
        <v>5</v>
      </c>
      <c r="C4212" s="2" t="s">
        <v>8601</v>
      </c>
      <c r="D4212" s="2" t="s">
        <v>8602</v>
      </c>
      <c r="E4212" s="2" t="str">
        <f>HYPERLINK("https://talan.bank.gov.ua/get-user-certificate/sec1eRWrNTbENhFyKuJ6","Завантажити сертифікат")</f>
        <v>Завантажити сертифікат</v>
      </c>
    </row>
    <row r="4213" spans="1:5" x14ac:dyDescent="0.3">
      <c r="A4213" s="2" t="s">
        <v>8603</v>
      </c>
      <c r="B4213" s="2" t="s">
        <v>5</v>
      </c>
      <c r="C4213" s="2" t="s">
        <v>8604</v>
      </c>
      <c r="D4213" s="2" t="s">
        <v>8602</v>
      </c>
      <c r="E4213" s="2" t="str">
        <f>HYPERLINK("https://talan.bank.gov.ua/get-user-certificate/sec1ed0ImqSGyPZABiol","Завантажити сертифікат")</f>
        <v>Завантажити сертифікат</v>
      </c>
    </row>
    <row r="4214" spans="1:5" x14ac:dyDescent="0.3">
      <c r="A4214" s="2" t="s">
        <v>8605</v>
      </c>
      <c r="B4214" s="2" t="s">
        <v>5</v>
      </c>
      <c r="C4214" s="2" t="s">
        <v>8606</v>
      </c>
      <c r="D4214" s="2" t="s">
        <v>8602</v>
      </c>
      <c r="E4214" s="2" t="str">
        <f>HYPERLINK("https://talan.bank.gov.ua/get-user-certificate/sec1e-UbbK0ztMwz3Kkl","Завантажити сертифікат")</f>
        <v>Завантажити сертифікат</v>
      </c>
    </row>
    <row r="4215" spans="1:5" x14ac:dyDescent="0.3">
      <c r="A4215" s="2" t="s">
        <v>8607</v>
      </c>
      <c r="B4215" s="2" t="s">
        <v>5</v>
      </c>
      <c r="C4215" s="2" t="s">
        <v>8608</v>
      </c>
      <c r="D4215" s="2" t="s">
        <v>8602</v>
      </c>
      <c r="E4215" s="2" t="str">
        <f>HYPERLINK("https://talan.bank.gov.ua/get-user-certificate/sec1e37O3O47cg6GdNqQ","Завантажити сертифікат")</f>
        <v>Завантажити сертифікат</v>
      </c>
    </row>
    <row r="4216" spans="1:5" x14ac:dyDescent="0.3">
      <c r="A4216" s="2" t="s">
        <v>8609</v>
      </c>
      <c r="B4216" s="2" t="s">
        <v>5</v>
      </c>
      <c r="C4216" s="2" t="s">
        <v>8610</v>
      </c>
      <c r="D4216" s="2" t="s">
        <v>8602</v>
      </c>
      <c r="E4216" s="2" t="str">
        <f>HYPERLINK("https://talan.bank.gov.ua/get-user-certificate/sec1eNrDtyl7mVqeirl2","Завантажити сертифікат")</f>
        <v>Завантажити сертифікат</v>
      </c>
    </row>
    <row r="4217" spans="1:5" x14ac:dyDescent="0.3">
      <c r="A4217" s="2" t="s">
        <v>8611</v>
      </c>
      <c r="B4217" s="2" t="s">
        <v>5</v>
      </c>
      <c r="C4217" s="2" t="s">
        <v>8612</v>
      </c>
      <c r="D4217" s="2" t="s">
        <v>8602</v>
      </c>
      <c r="E4217" s="2" t="str">
        <f>HYPERLINK("https://talan.bank.gov.ua/get-user-certificate/sec1e2-8KNjyyoGjl32G","Завантажити сертифікат")</f>
        <v>Завантажити сертифікат</v>
      </c>
    </row>
    <row r="4218" spans="1:5" x14ac:dyDescent="0.3">
      <c r="A4218" s="2" t="s">
        <v>8613</v>
      </c>
      <c r="B4218" s="2" t="s">
        <v>5</v>
      </c>
      <c r="C4218" s="2" t="s">
        <v>8614</v>
      </c>
      <c r="D4218" s="2" t="s">
        <v>8602</v>
      </c>
      <c r="E4218" s="2" t="str">
        <f>HYPERLINK("https://talan.bank.gov.ua/get-user-certificate/sec1ewTHpqtYFxFWT12P","Завантажити сертифікат")</f>
        <v>Завантажити сертифікат</v>
      </c>
    </row>
    <row r="4219" spans="1:5" x14ac:dyDescent="0.3">
      <c r="A4219" s="2" t="s">
        <v>8615</v>
      </c>
      <c r="B4219" s="2" t="s">
        <v>5</v>
      </c>
      <c r="C4219" s="2" t="s">
        <v>8616</v>
      </c>
      <c r="D4219" s="2" t="s">
        <v>8602</v>
      </c>
      <c r="E4219" s="2" t="str">
        <f>HYPERLINK("https://talan.bank.gov.ua/get-user-certificate/sec1enwW-NgI_FIq9TDb","Завантажити сертифікат")</f>
        <v>Завантажити сертифікат</v>
      </c>
    </row>
    <row r="4220" spans="1:5" x14ac:dyDescent="0.3">
      <c r="A4220" s="2" t="s">
        <v>8617</v>
      </c>
      <c r="B4220" s="2" t="s">
        <v>5</v>
      </c>
      <c r="C4220" s="2" t="s">
        <v>8618</v>
      </c>
      <c r="D4220" s="2" t="s">
        <v>8602</v>
      </c>
      <c r="E4220" s="2" t="str">
        <f>HYPERLINK("https://talan.bank.gov.ua/get-user-certificate/sec1evm495KgGnRUYnIG","Завантажити сертифікат")</f>
        <v>Завантажити сертифікат</v>
      </c>
    </row>
    <row r="4221" spans="1:5" x14ac:dyDescent="0.3">
      <c r="A4221" s="2" t="s">
        <v>8619</v>
      </c>
      <c r="B4221" s="2" t="s">
        <v>5</v>
      </c>
      <c r="C4221" s="2" t="s">
        <v>8620</v>
      </c>
      <c r="D4221" s="2" t="s">
        <v>8602</v>
      </c>
      <c r="E4221" s="2" t="str">
        <f>HYPERLINK("https://talan.bank.gov.ua/get-user-certificate/sec1eiAEMM6A1WZ3tB38","Завантажити сертифікат")</f>
        <v>Завантажити сертифікат</v>
      </c>
    </row>
    <row r="4222" spans="1:5" x14ac:dyDescent="0.3">
      <c r="A4222" s="2" t="s">
        <v>8621</v>
      </c>
      <c r="B4222" s="2" t="s">
        <v>5</v>
      </c>
      <c r="C4222" s="2" t="s">
        <v>8622</v>
      </c>
      <c r="D4222" s="2" t="s">
        <v>8602</v>
      </c>
      <c r="E4222" s="2" t="str">
        <f>HYPERLINK("https://talan.bank.gov.ua/get-user-certificate/sec1eD14e64rvBfef1O_","Завантажити сертифікат")</f>
        <v>Завантажити сертифікат</v>
      </c>
    </row>
    <row r="4223" spans="1:5" x14ac:dyDescent="0.3">
      <c r="A4223" s="2" t="s">
        <v>8623</v>
      </c>
      <c r="B4223" s="2" t="s">
        <v>5</v>
      </c>
      <c r="C4223" s="2" t="s">
        <v>8624</v>
      </c>
      <c r="D4223" s="2" t="s">
        <v>8602</v>
      </c>
      <c r="E4223" s="2" t="str">
        <f>HYPERLINK("https://talan.bank.gov.ua/get-user-certificate/sec1en5iAitsI_o66ppq","Завантажити сертифікат")</f>
        <v>Завантажити сертифікат</v>
      </c>
    </row>
    <row r="4224" spans="1:5" x14ac:dyDescent="0.3">
      <c r="A4224" s="2" t="s">
        <v>8625</v>
      </c>
      <c r="B4224" s="2" t="s">
        <v>5</v>
      </c>
      <c r="C4224" s="2" t="s">
        <v>8626</v>
      </c>
      <c r="D4224" s="2" t="s">
        <v>8602</v>
      </c>
      <c r="E4224" s="2" t="str">
        <f>HYPERLINK("https://talan.bank.gov.ua/get-user-certificate/sec1eNDl4h8xexAuYsyf","Завантажити сертифікат")</f>
        <v>Завантажити сертифікат</v>
      </c>
    </row>
    <row r="4225" spans="1:5" x14ac:dyDescent="0.3">
      <c r="A4225" s="2" t="s">
        <v>8627</v>
      </c>
      <c r="B4225" s="2" t="s">
        <v>5</v>
      </c>
      <c r="C4225" s="2" t="s">
        <v>8628</v>
      </c>
      <c r="D4225" s="2" t="s">
        <v>8602</v>
      </c>
      <c r="E4225" s="2" t="str">
        <f>HYPERLINK("https://talan.bank.gov.ua/get-user-certificate/sec1ex41tdSPl1fEvyBQ","Завантажити сертифікат")</f>
        <v>Завантажити сертифікат</v>
      </c>
    </row>
    <row r="4226" spans="1:5" x14ac:dyDescent="0.3">
      <c r="A4226" s="2" t="s">
        <v>8629</v>
      </c>
      <c r="B4226" s="2" t="s">
        <v>5</v>
      </c>
      <c r="C4226" s="2" t="s">
        <v>8630</v>
      </c>
      <c r="D4226" s="2" t="s">
        <v>8602</v>
      </c>
      <c r="E4226" s="2" t="str">
        <f>HYPERLINK("https://talan.bank.gov.ua/get-user-certificate/sec1eZQUrzZh77O-9SCT","Завантажити сертифікат")</f>
        <v>Завантажити сертифікат</v>
      </c>
    </row>
    <row r="4227" spans="1:5" x14ac:dyDescent="0.3">
      <c r="A4227" s="2" t="s">
        <v>8631</v>
      </c>
      <c r="B4227" s="2" t="s">
        <v>5</v>
      </c>
      <c r="C4227" s="2" t="s">
        <v>8632</v>
      </c>
      <c r="D4227" s="2" t="s">
        <v>8602</v>
      </c>
      <c r="E4227" s="2" t="str">
        <f>HYPERLINK("https://talan.bank.gov.ua/get-user-certificate/sec1eo-UZQTYnACUUyH_","Завантажити сертифікат")</f>
        <v>Завантажити сертифікат</v>
      </c>
    </row>
    <row r="4228" spans="1:5" x14ac:dyDescent="0.3">
      <c r="A4228" s="2" t="s">
        <v>8633</v>
      </c>
      <c r="B4228" s="2" t="s">
        <v>5</v>
      </c>
      <c r="C4228" s="2" t="s">
        <v>8634</v>
      </c>
      <c r="D4228" s="2" t="s">
        <v>8602</v>
      </c>
      <c r="E4228" s="2" t="str">
        <f>HYPERLINK("https://talan.bank.gov.ua/get-user-certificate/sec1e1x_chE66u0g_neE","Завантажити сертифікат")</f>
        <v>Завантажити сертифікат</v>
      </c>
    </row>
    <row r="4229" spans="1:5" x14ac:dyDescent="0.3">
      <c r="A4229" s="2" t="s">
        <v>8635</v>
      </c>
      <c r="B4229" s="2" t="s">
        <v>5</v>
      </c>
      <c r="C4229" s="2" t="s">
        <v>8636</v>
      </c>
      <c r="D4229" s="2" t="s">
        <v>8602</v>
      </c>
      <c r="E4229" s="2" t="str">
        <f>HYPERLINK("https://talan.bank.gov.ua/get-user-certificate/sec1ewqe7k8XD0u6tFLD","Завантажити сертифікат")</f>
        <v>Завантажити сертифікат</v>
      </c>
    </row>
    <row r="4230" spans="1:5" x14ac:dyDescent="0.3">
      <c r="A4230" s="2" t="s">
        <v>8637</v>
      </c>
      <c r="B4230" s="2" t="s">
        <v>5</v>
      </c>
      <c r="C4230" s="2" t="s">
        <v>8638</v>
      </c>
      <c r="D4230" s="2" t="s">
        <v>8602</v>
      </c>
      <c r="E4230" s="2" t="str">
        <f>HYPERLINK("https://talan.bank.gov.ua/get-user-certificate/sec1eiRh8oCE5Of2oE4A","Завантажити сертифікат")</f>
        <v>Завантажити сертифікат</v>
      </c>
    </row>
    <row r="4231" spans="1:5" x14ac:dyDescent="0.3">
      <c r="A4231" s="2" t="s">
        <v>8639</v>
      </c>
      <c r="B4231" s="2" t="s">
        <v>5</v>
      </c>
      <c r="C4231" s="2" t="s">
        <v>8640</v>
      </c>
      <c r="D4231" s="2" t="s">
        <v>8602</v>
      </c>
      <c r="E4231" s="2" t="str">
        <f>HYPERLINK("https://talan.bank.gov.ua/get-user-certificate/sec1eZUcvM2M6HRvaN-F","Завантажити сертифікат")</f>
        <v>Завантажити сертифікат</v>
      </c>
    </row>
    <row r="4232" spans="1:5" x14ac:dyDescent="0.3">
      <c r="A4232" s="2" t="s">
        <v>8641</v>
      </c>
      <c r="B4232" s="2" t="s">
        <v>5</v>
      </c>
      <c r="C4232" s="2" t="s">
        <v>8642</v>
      </c>
      <c r="D4232" s="2" t="s">
        <v>8602</v>
      </c>
      <c r="E4232" s="2" t="str">
        <f>HYPERLINK("https://talan.bank.gov.ua/get-user-certificate/sec1es9RzuGlD2_K0TsX","Завантажити сертифікат")</f>
        <v>Завантажити сертифікат</v>
      </c>
    </row>
    <row r="4233" spans="1:5" x14ac:dyDescent="0.3">
      <c r="A4233" s="2" t="s">
        <v>8643</v>
      </c>
      <c r="B4233" s="2" t="s">
        <v>5</v>
      </c>
      <c r="C4233" s="2" t="s">
        <v>8644</v>
      </c>
      <c r="D4233" s="2" t="s">
        <v>8602</v>
      </c>
      <c r="E4233" s="2" t="str">
        <f>HYPERLINK("https://talan.bank.gov.ua/get-user-certificate/sec1ebJX9QieLLAJdbKc","Завантажити сертифікат")</f>
        <v>Завантажити сертифікат</v>
      </c>
    </row>
    <row r="4234" spans="1:5" x14ac:dyDescent="0.3">
      <c r="A4234" s="2" t="s">
        <v>8645</v>
      </c>
      <c r="B4234" s="2" t="s">
        <v>5</v>
      </c>
      <c r="C4234" s="2" t="s">
        <v>8646</v>
      </c>
      <c r="D4234" s="2" t="s">
        <v>8602</v>
      </c>
      <c r="E4234" s="2" t="str">
        <f>HYPERLINK("https://talan.bank.gov.ua/get-user-certificate/sec1eKnXx-AgzCm5eFhB","Завантажити сертифікат")</f>
        <v>Завантажити сертифікат</v>
      </c>
    </row>
    <row r="4235" spans="1:5" x14ac:dyDescent="0.3">
      <c r="A4235" s="2" t="s">
        <v>8647</v>
      </c>
      <c r="B4235" s="2" t="s">
        <v>5</v>
      </c>
      <c r="C4235" s="2" t="s">
        <v>8648</v>
      </c>
      <c r="D4235" s="2" t="s">
        <v>8602</v>
      </c>
      <c r="E4235" s="2" t="str">
        <f>HYPERLINK("https://talan.bank.gov.ua/get-user-certificate/sec1etA6WERw85tUgIcv","Завантажити сертифікат")</f>
        <v>Завантажити сертифікат</v>
      </c>
    </row>
    <row r="4236" spans="1:5" x14ac:dyDescent="0.3">
      <c r="A4236" s="2" t="s">
        <v>8649</v>
      </c>
      <c r="B4236" s="2" t="s">
        <v>5</v>
      </c>
      <c r="C4236" s="2" t="s">
        <v>8650</v>
      </c>
      <c r="D4236" s="2" t="s">
        <v>8602</v>
      </c>
      <c r="E4236" s="2" t="str">
        <f>HYPERLINK("https://talan.bank.gov.ua/get-user-certificate/sec1eS4bcx-RuQRVAfRs","Завантажити сертифікат")</f>
        <v>Завантажити сертифікат</v>
      </c>
    </row>
    <row r="4237" spans="1:5" x14ac:dyDescent="0.3">
      <c r="A4237" s="2" t="s">
        <v>8651</v>
      </c>
      <c r="B4237" s="2" t="s">
        <v>5</v>
      </c>
      <c r="C4237" s="2" t="s">
        <v>8652</v>
      </c>
      <c r="D4237" s="2" t="s">
        <v>8602</v>
      </c>
      <c r="E4237" s="2" t="str">
        <f>HYPERLINK("https://talan.bank.gov.ua/get-user-certificate/sec1eK2iGXGfsY9WRy2y","Завантажити сертифікат")</f>
        <v>Завантажити сертифікат</v>
      </c>
    </row>
    <row r="4238" spans="1:5" x14ac:dyDescent="0.3">
      <c r="A4238" s="2" t="s">
        <v>8653</v>
      </c>
      <c r="B4238" s="2" t="s">
        <v>5</v>
      </c>
      <c r="C4238" s="2" t="s">
        <v>8654</v>
      </c>
      <c r="D4238" s="2" t="s">
        <v>8602</v>
      </c>
      <c r="E4238" s="2" t="str">
        <f>HYPERLINK("https://talan.bank.gov.ua/get-user-certificate/sec1eDxGKfYxlMTU529A","Завантажити сертифікат")</f>
        <v>Завантажити сертифікат</v>
      </c>
    </row>
    <row r="4239" spans="1:5" x14ac:dyDescent="0.3">
      <c r="A4239" s="2" t="s">
        <v>8655</v>
      </c>
      <c r="B4239" s="2" t="s">
        <v>5</v>
      </c>
      <c r="C4239" s="2" t="s">
        <v>8656</v>
      </c>
      <c r="D4239" s="2" t="s">
        <v>8602</v>
      </c>
      <c r="E4239" s="2" t="str">
        <f>HYPERLINK("https://talan.bank.gov.ua/get-user-certificate/sec1er5iekr61kAvewo_","Завантажити сертифікат")</f>
        <v>Завантажити сертифікат</v>
      </c>
    </row>
    <row r="4240" spans="1:5" x14ac:dyDescent="0.3">
      <c r="A4240" s="2" t="s">
        <v>8657</v>
      </c>
      <c r="B4240" s="2" t="s">
        <v>5</v>
      </c>
      <c r="C4240" s="2" t="s">
        <v>8658</v>
      </c>
      <c r="D4240" s="2" t="s">
        <v>8602</v>
      </c>
      <c r="E4240" s="2" t="str">
        <f>HYPERLINK("https://talan.bank.gov.ua/get-user-certificate/sec1eK_sYoCnkd05VlBL","Завантажити сертифікат")</f>
        <v>Завантажити сертифікат</v>
      </c>
    </row>
    <row r="4241" spans="1:5" x14ac:dyDescent="0.3">
      <c r="A4241" s="2" t="s">
        <v>8659</v>
      </c>
      <c r="B4241" s="2" t="s">
        <v>5</v>
      </c>
      <c r="C4241" s="2" t="s">
        <v>8660</v>
      </c>
      <c r="D4241" s="2" t="s">
        <v>8602</v>
      </c>
      <c r="E4241" s="2" t="str">
        <f>HYPERLINK("https://talan.bank.gov.ua/get-user-certificate/sec1eAUQtZCyt442qSa2","Завантажити сертифікат")</f>
        <v>Завантажити сертифікат</v>
      </c>
    </row>
    <row r="4242" spans="1:5" x14ac:dyDescent="0.3">
      <c r="A4242" s="2" t="s">
        <v>8661</v>
      </c>
      <c r="B4242" s="2" t="s">
        <v>5</v>
      </c>
      <c r="C4242" s="2" t="s">
        <v>8662</v>
      </c>
      <c r="D4242" s="2" t="s">
        <v>8602</v>
      </c>
      <c r="E4242" s="2" t="str">
        <f>HYPERLINK("https://talan.bank.gov.ua/get-user-certificate/sec1eFehmHpWLFWchaoZ","Завантажити сертифікат")</f>
        <v>Завантажити сертифікат</v>
      </c>
    </row>
    <row r="4243" spans="1:5" x14ac:dyDescent="0.3">
      <c r="A4243" s="2" t="s">
        <v>8663</v>
      </c>
      <c r="B4243" s="2" t="s">
        <v>5</v>
      </c>
      <c r="C4243" s="2" t="s">
        <v>8664</v>
      </c>
      <c r="D4243" s="2" t="s">
        <v>8602</v>
      </c>
      <c r="E4243" s="2" t="str">
        <f>HYPERLINK("https://talan.bank.gov.ua/get-user-certificate/sec1eViRK3kt_hfHQWdT","Завантажити сертифікат")</f>
        <v>Завантажити сертифікат</v>
      </c>
    </row>
    <row r="4244" spans="1:5" x14ac:dyDescent="0.3">
      <c r="A4244" s="2" t="s">
        <v>8665</v>
      </c>
      <c r="B4244" s="2" t="s">
        <v>5</v>
      </c>
      <c r="C4244" s="2" t="s">
        <v>8666</v>
      </c>
      <c r="D4244" s="2" t="s">
        <v>8602</v>
      </c>
      <c r="E4244" s="2" t="str">
        <f>HYPERLINK("https://talan.bank.gov.ua/get-user-certificate/sec1erLQy-pDV5UIjdf5","Завантажити сертифікат")</f>
        <v>Завантажити сертифікат</v>
      </c>
    </row>
    <row r="4245" spans="1:5" x14ac:dyDescent="0.3">
      <c r="A4245" s="2" t="s">
        <v>8667</v>
      </c>
      <c r="B4245" s="2" t="s">
        <v>5</v>
      </c>
      <c r="C4245" s="2" t="s">
        <v>8668</v>
      </c>
      <c r="D4245" s="2" t="s">
        <v>8602</v>
      </c>
      <c r="E4245" s="2" t="str">
        <f>HYPERLINK("https://talan.bank.gov.ua/get-user-certificate/sec1etSUkcDNlqH28psH","Завантажити сертифікат")</f>
        <v>Завантажити сертифікат</v>
      </c>
    </row>
    <row r="4246" spans="1:5" x14ac:dyDescent="0.3">
      <c r="A4246" s="2" t="s">
        <v>8669</v>
      </c>
      <c r="B4246" s="2" t="s">
        <v>5</v>
      </c>
      <c r="C4246" s="2" t="s">
        <v>8670</v>
      </c>
      <c r="D4246" s="2" t="s">
        <v>8602</v>
      </c>
      <c r="E4246" s="2" t="str">
        <f>HYPERLINK("https://talan.bank.gov.ua/get-user-certificate/sec1eEJCwq7SpAtiRrOr","Завантажити сертифікат")</f>
        <v>Завантажити сертифікат</v>
      </c>
    </row>
    <row r="4247" spans="1:5" x14ac:dyDescent="0.3">
      <c r="A4247" s="2" t="s">
        <v>8671</v>
      </c>
      <c r="B4247" s="2" t="s">
        <v>5</v>
      </c>
      <c r="C4247" s="2" t="s">
        <v>8672</v>
      </c>
      <c r="D4247" s="2" t="s">
        <v>8602</v>
      </c>
      <c r="E4247" s="2" t="str">
        <f>HYPERLINK("https://talan.bank.gov.ua/get-user-certificate/sec1ervX2nA3klB63xJo","Завантажити сертифікат")</f>
        <v>Завантажити сертифікат</v>
      </c>
    </row>
    <row r="4248" spans="1:5" x14ac:dyDescent="0.3">
      <c r="A4248" s="2" t="s">
        <v>8673</v>
      </c>
      <c r="B4248" s="2" t="s">
        <v>5</v>
      </c>
      <c r="C4248" s="2" t="s">
        <v>8674</v>
      </c>
      <c r="D4248" s="2" t="s">
        <v>8602</v>
      </c>
      <c r="E4248" s="2" t="str">
        <f>HYPERLINK("https://talan.bank.gov.ua/get-user-certificate/sec1eU1zmVl7GPMKQW8a","Завантажити сертифікат")</f>
        <v>Завантажити сертифікат</v>
      </c>
    </row>
    <row r="4249" spans="1:5" x14ac:dyDescent="0.3">
      <c r="A4249" s="2" t="s">
        <v>8675</v>
      </c>
      <c r="B4249" s="2" t="s">
        <v>5</v>
      </c>
      <c r="C4249" s="2" t="s">
        <v>8676</v>
      </c>
      <c r="D4249" s="2" t="s">
        <v>8602</v>
      </c>
      <c r="E4249" s="2" t="str">
        <f>HYPERLINK("https://talan.bank.gov.ua/get-user-certificate/sec1e1ftuxykyKixIr5B","Завантажити сертифікат")</f>
        <v>Завантажити сертифікат</v>
      </c>
    </row>
    <row r="4250" spans="1:5" x14ac:dyDescent="0.3">
      <c r="A4250" s="2" t="s">
        <v>8677</v>
      </c>
      <c r="B4250" s="2" t="s">
        <v>5</v>
      </c>
      <c r="C4250" s="2" t="s">
        <v>8678</v>
      </c>
      <c r="D4250" s="2" t="s">
        <v>8602</v>
      </c>
      <c r="E4250" s="2" t="str">
        <f>HYPERLINK("https://talan.bank.gov.ua/get-user-certificate/sec1eWFmy3N9SwkjC__V","Завантажити сертифікат")</f>
        <v>Завантажити сертифікат</v>
      </c>
    </row>
    <row r="4251" spans="1:5" x14ac:dyDescent="0.3">
      <c r="A4251" s="2" t="s">
        <v>8679</v>
      </c>
      <c r="B4251" s="2" t="s">
        <v>5</v>
      </c>
      <c r="C4251" s="2" t="s">
        <v>8680</v>
      </c>
      <c r="D4251" s="2" t="s">
        <v>8602</v>
      </c>
      <c r="E4251" s="2" t="str">
        <f>HYPERLINK("https://talan.bank.gov.ua/get-user-certificate/sec1edILjAOjNFbHD56A","Завантажити сертифікат")</f>
        <v>Завантажити сертифікат</v>
      </c>
    </row>
    <row r="4252" spans="1:5" x14ac:dyDescent="0.3">
      <c r="A4252" s="2" t="s">
        <v>8681</v>
      </c>
      <c r="B4252" s="2" t="s">
        <v>5</v>
      </c>
      <c r="C4252" s="2" t="s">
        <v>8682</v>
      </c>
      <c r="D4252" s="2" t="s">
        <v>8602</v>
      </c>
      <c r="E4252" s="2" t="str">
        <f>HYPERLINK("https://talan.bank.gov.ua/get-user-certificate/sec1e93y9N13xpdI7CVO","Завантажити сертифікат")</f>
        <v>Завантажити сертифікат</v>
      </c>
    </row>
    <row r="4253" spans="1:5" x14ac:dyDescent="0.3">
      <c r="A4253" s="2" t="s">
        <v>8683</v>
      </c>
      <c r="B4253" s="2" t="s">
        <v>5</v>
      </c>
      <c r="C4253" s="2" t="s">
        <v>8684</v>
      </c>
      <c r="D4253" s="2" t="s">
        <v>8602</v>
      </c>
      <c r="E4253" s="2" t="str">
        <f>HYPERLINK("https://talan.bank.gov.ua/get-user-certificate/sec1eFcDPR2Hl5Qhh7zo","Завантажити сертифікат")</f>
        <v>Завантажити сертифікат</v>
      </c>
    </row>
    <row r="4254" spans="1:5" x14ac:dyDescent="0.3">
      <c r="A4254" s="2" t="s">
        <v>8685</v>
      </c>
      <c r="B4254" s="2" t="s">
        <v>5</v>
      </c>
      <c r="C4254" s="2" t="s">
        <v>8686</v>
      </c>
      <c r="D4254" s="2" t="s">
        <v>8602</v>
      </c>
      <c r="E4254" s="2" t="str">
        <f>HYPERLINK("https://talan.bank.gov.ua/get-user-certificate/sec1eJLyDlYm8OmCNnPV","Завантажити сертифікат")</f>
        <v>Завантажити сертифікат</v>
      </c>
    </row>
    <row r="4255" spans="1:5" x14ac:dyDescent="0.3">
      <c r="A4255" s="2" t="s">
        <v>8687</v>
      </c>
      <c r="B4255" s="2" t="s">
        <v>5</v>
      </c>
      <c r="C4255" s="2" t="s">
        <v>8688</v>
      </c>
      <c r="D4255" s="2" t="s">
        <v>8602</v>
      </c>
      <c r="E4255" s="2" t="str">
        <f>HYPERLINK("https://talan.bank.gov.ua/get-user-certificate/sec1eIx0SvYS9c064nsv","Завантажити сертифікат")</f>
        <v>Завантажити сертифікат</v>
      </c>
    </row>
    <row r="4256" spans="1:5" x14ac:dyDescent="0.3">
      <c r="A4256" s="2" t="s">
        <v>8689</v>
      </c>
      <c r="B4256" s="2" t="s">
        <v>5</v>
      </c>
      <c r="C4256" s="2" t="s">
        <v>8690</v>
      </c>
      <c r="D4256" s="2" t="s">
        <v>8602</v>
      </c>
      <c r="E4256" s="2" t="str">
        <f>HYPERLINK("https://talan.bank.gov.ua/get-user-certificate/sec1ewi4G5tCow7dxWNX","Завантажити сертифікат")</f>
        <v>Завантажити сертифікат</v>
      </c>
    </row>
    <row r="4257" spans="1:5" x14ac:dyDescent="0.3">
      <c r="A4257" s="2" t="s">
        <v>8691</v>
      </c>
      <c r="B4257" s="2" t="s">
        <v>5</v>
      </c>
      <c r="C4257" s="2" t="s">
        <v>8692</v>
      </c>
      <c r="D4257" s="2" t="s">
        <v>8602</v>
      </c>
      <c r="E4257" s="2" t="str">
        <f>HYPERLINK("https://talan.bank.gov.ua/get-user-certificate/sec1eZojQRBXQEag4nLU","Завантажити сертифікат")</f>
        <v>Завантажити сертифікат</v>
      </c>
    </row>
    <row r="4258" spans="1:5" x14ac:dyDescent="0.3">
      <c r="A4258" s="2" t="s">
        <v>8693</v>
      </c>
      <c r="B4258" s="2" t="s">
        <v>5</v>
      </c>
      <c r="C4258" s="2" t="s">
        <v>8694</v>
      </c>
      <c r="D4258" s="2" t="s">
        <v>8602</v>
      </c>
      <c r="E4258" s="2" t="str">
        <f>HYPERLINK("https://talan.bank.gov.ua/get-user-certificate/sec1eR13dbTV6RGDli2J","Завантажити сертифікат")</f>
        <v>Завантажити сертифікат</v>
      </c>
    </row>
    <row r="4259" spans="1:5" x14ac:dyDescent="0.3">
      <c r="A4259" s="2" t="s">
        <v>8695</v>
      </c>
      <c r="B4259" s="2" t="s">
        <v>5</v>
      </c>
      <c r="C4259" s="2" t="s">
        <v>8696</v>
      </c>
      <c r="D4259" s="2" t="s">
        <v>8602</v>
      </c>
      <c r="E4259" s="2" t="str">
        <f>HYPERLINK("https://talan.bank.gov.ua/get-user-certificate/sec1e6RDbT8GHn57387x","Завантажити сертифікат")</f>
        <v>Завантажити сертифікат</v>
      </c>
    </row>
    <row r="4260" spans="1:5" x14ac:dyDescent="0.3">
      <c r="A4260" s="2" t="s">
        <v>8697</v>
      </c>
      <c r="B4260" s="2" t="s">
        <v>5</v>
      </c>
      <c r="C4260" s="2" t="s">
        <v>8698</v>
      </c>
      <c r="D4260" s="2" t="s">
        <v>8602</v>
      </c>
      <c r="E4260" s="2" t="str">
        <f>HYPERLINK("https://talan.bank.gov.ua/get-user-certificate/sec1ehtH5xf9zVVYCLas","Завантажити сертифікат")</f>
        <v>Завантажити сертифікат</v>
      </c>
    </row>
    <row r="4261" spans="1:5" x14ac:dyDescent="0.3">
      <c r="A4261" s="2" t="s">
        <v>8699</v>
      </c>
      <c r="B4261" s="2" t="s">
        <v>5</v>
      </c>
      <c r="C4261" s="2" t="s">
        <v>8700</v>
      </c>
      <c r="D4261" s="2" t="s">
        <v>8602</v>
      </c>
      <c r="E4261" s="2" t="str">
        <f>HYPERLINK("https://talan.bank.gov.ua/get-user-certificate/sec1eVKznx6P56BulKP5","Завантажити сертифікат")</f>
        <v>Завантажити сертифікат</v>
      </c>
    </row>
    <row r="4262" spans="1:5" x14ac:dyDescent="0.3">
      <c r="A4262" s="2" t="s">
        <v>8701</v>
      </c>
      <c r="B4262" s="2" t="s">
        <v>5</v>
      </c>
      <c r="C4262" s="2" t="s">
        <v>8702</v>
      </c>
      <c r="D4262" s="2" t="s">
        <v>8602</v>
      </c>
      <c r="E4262" s="2" t="str">
        <f>HYPERLINK("https://talan.bank.gov.ua/get-user-certificate/sec1egUOtJuGTPB0T9pA","Завантажити сертифікат")</f>
        <v>Завантажити сертифікат</v>
      </c>
    </row>
    <row r="4263" spans="1:5" x14ac:dyDescent="0.3">
      <c r="A4263" s="2" t="s">
        <v>8703</v>
      </c>
      <c r="B4263" s="2" t="s">
        <v>5</v>
      </c>
      <c r="C4263" s="2" t="s">
        <v>8704</v>
      </c>
      <c r="D4263" s="2" t="s">
        <v>8602</v>
      </c>
      <c r="E4263" s="2" t="str">
        <f>HYPERLINK("https://talan.bank.gov.ua/get-user-certificate/sec1eqdd_Ul6QOHkgf8N","Завантажити сертифікат")</f>
        <v>Завантажити сертифікат</v>
      </c>
    </row>
    <row r="4264" spans="1:5" x14ac:dyDescent="0.3">
      <c r="A4264" s="2" t="s">
        <v>8705</v>
      </c>
      <c r="B4264" s="2" t="s">
        <v>5</v>
      </c>
      <c r="C4264" s="2" t="s">
        <v>8706</v>
      </c>
      <c r="D4264" s="2" t="s">
        <v>8602</v>
      </c>
      <c r="E4264" s="2" t="str">
        <f>HYPERLINK("https://talan.bank.gov.ua/get-user-certificate/sec1e6VR7zjiaSf8hYxO","Завантажити сертифікат")</f>
        <v>Завантажити сертифікат</v>
      </c>
    </row>
    <row r="4265" spans="1:5" x14ac:dyDescent="0.3">
      <c r="A4265" s="2" t="s">
        <v>8707</v>
      </c>
      <c r="B4265" s="2" t="s">
        <v>5</v>
      </c>
      <c r="C4265" s="2" t="s">
        <v>8708</v>
      </c>
      <c r="D4265" s="2" t="s">
        <v>8602</v>
      </c>
      <c r="E4265" s="2" t="str">
        <f>HYPERLINK("https://talan.bank.gov.ua/get-user-certificate/sec1e_9P9BOU8ITInNzg","Завантажити сертифікат")</f>
        <v>Завантажити сертифікат</v>
      </c>
    </row>
    <row r="4266" spans="1:5" x14ac:dyDescent="0.3">
      <c r="A4266" s="2" t="s">
        <v>8709</v>
      </c>
      <c r="B4266" s="2" t="s">
        <v>5</v>
      </c>
      <c r="C4266" s="2" t="s">
        <v>8710</v>
      </c>
      <c r="D4266" s="2" t="s">
        <v>8602</v>
      </c>
      <c r="E4266" s="2" t="str">
        <f>HYPERLINK("https://talan.bank.gov.ua/get-user-certificate/sec1eFM1SR7huL4WnZyS","Завантажити сертифікат")</f>
        <v>Завантажити сертифікат</v>
      </c>
    </row>
    <row r="4267" spans="1:5" x14ac:dyDescent="0.3">
      <c r="A4267" s="2" t="s">
        <v>8711</v>
      </c>
      <c r="B4267" s="2" t="s">
        <v>5</v>
      </c>
      <c r="C4267" s="2" t="s">
        <v>8712</v>
      </c>
      <c r="D4267" s="2" t="s">
        <v>8602</v>
      </c>
      <c r="E4267" s="2" t="str">
        <f>HYPERLINK("https://talan.bank.gov.ua/get-user-certificate/sec1eVIeXjJRmm7R4fPU","Завантажити сертифікат")</f>
        <v>Завантажити сертифікат</v>
      </c>
    </row>
    <row r="4268" spans="1:5" x14ac:dyDescent="0.3">
      <c r="A4268" s="2" t="s">
        <v>8713</v>
      </c>
      <c r="B4268" s="2" t="s">
        <v>5</v>
      </c>
      <c r="C4268" s="2" t="s">
        <v>8714</v>
      </c>
      <c r="D4268" s="2" t="s">
        <v>8602</v>
      </c>
      <c r="E4268" s="2" t="str">
        <f>HYPERLINK("https://talan.bank.gov.ua/get-user-certificate/sec1ev-gtnRrrssdowLK","Завантажити сертифікат")</f>
        <v>Завантажити сертифікат</v>
      </c>
    </row>
    <row r="4269" spans="1:5" x14ac:dyDescent="0.3">
      <c r="A4269" s="2" t="s">
        <v>8715</v>
      </c>
      <c r="B4269" s="2" t="s">
        <v>5</v>
      </c>
      <c r="C4269" s="2" t="s">
        <v>8716</v>
      </c>
      <c r="D4269" s="2" t="s">
        <v>8717</v>
      </c>
      <c r="E4269" s="2" t="str">
        <f>HYPERLINK("https://talan.bank.gov.ua/get-user-certificate/sec1ecupuMzhU5hbX3nw","Завантажити сертифікат")</f>
        <v>Завантажити сертифікат</v>
      </c>
    </row>
    <row r="4270" spans="1:5" x14ac:dyDescent="0.3">
      <c r="A4270" s="2" t="s">
        <v>8718</v>
      </c>
      <c r="B4270" s="2" t="s">
        <v>5</v>
      </c>
      <c r="C4270" s="2" t="s">
        <v>8719</v>
      </c>
      <c r="D4270" s="2" t="s">
        <v>8717</v>
      </c>
      <c r="E4270" s="2" t="str">
        <f>HYPERLINK("https://talan.bank.gov.ua/get-user-certificate/sec1eQV_lelJ0pPU07MT","Завантажити сертифікат")</f>
        <v>Завантажити сертифікат</v>
      </c>
    </row>
    <row r="4271" spans="1:5" x14ac:dyDescent="0.3">
      <c r="A4271" s="2" t="s">
        <v>8720</v>
      </c>
      <c r="B4271" s="2" t="s">
        <v>5</v>
      </c>
      <c r="C4271" s="2" t="s">
        <v>8721</v>
      </c>
      <c r="D4271" s="2" t="s">
        <v>8717</v>
      </c>
      <c r="E4271" s="2" t="str">
        <f>HYPERLINK("https://talan.bank.gov.ua/get-user-certificate/sec1eSfw-q4P1hVmUfDw","Завантажити сертифікат")</f>
        <v>Завантажити сертифікат</v>
      </c>
    </row>
    <row r="4272" spans="1:5" x14ac:dyDescent="0.3">
      <c r="A4272" s="2" t="s">
        <v>8722</v>
      </c>
      <c r="B4272" s="2" t="s">
        <v>5</v>
      </c>
      <c r="C4272" s="2" t="s">
        <v>8723</v>
      </c>
      <c r="D4272" s="2" t="s">
        <v>8717</v>
      </c>
      <c r="E4272" s="2" t="str">
        <f>HYPERLINK("https://talan.bank.gov.ua/get-user-certificate/sec1ekmuj77D0hyAa0Vc","Завантажити сертифікат")</f>
        <v>Завантажити сертифікат</v>
      </c>
    </row>
    <row r="4273" spans="1:5" x14ac:dyDescent="0.3">
      <c r="A4273" s="2" t="s">
        <v>8724</v>
      </c>
      <c r="B4273" s="2" t="s">
        <v>5</v>
      </c>
      <c r="C4273" s="2" t="s">
        <v>8725</v>
      </c>
      <c r="D4273" s="2" t="s">
        <v>8717</v>
      </c>
      <c r="E4273" s="2" t="str">
        <f>HYPERLINK("https://talan.bank.gov.ua/get-user-certificate/sec1e1zmMIgwlxo5iqWF","Завантажити сертифікат")</f>
        <v>Завантажити сертифікат</v>
      </c>
    </row>
    <row r="4274" spans="1:5" x14ac:dyDescent="0.3">
      <c r="A4274" s="2" t="s">
        <v>8726</v>
      </c>
      <c r="B4274" s="2" t="s">
        <v>5</v>
      </c>
      <c r="C4274" s="2" t="s">
        <v>8727</v>
      </c>
      <c r="D4274" s="2" t="s">
        <v>8728</v>
      </c>
      <c r="E4274" s="2" t="str">
        <f>HYPERLINK("https://talan.bank.gov.ua/get-user-certificate/sec1eaxpEveYZLwB8dw0","Завантажити сертифікат")</f>
        <v>Завантажити сертифікат</v>
      </c>
    </row>
    <row r="4275" spans="1:5" x14ac:dyDescent="0.3">
      <c r="A4275" s="2" t="s">
        <v>8729</v>
      </c>
      <c r="B4275" s="2" t="s">
        <v>5</v>
      </c>
      <c r="C4275" s="2" t="s">
        <v>8730</v>
      </c>
      <c r="D4275" s="2" t="s">
        <v>8728</v>
      </c>
      <c r="E4275" s="2" t="str">
        <f>HYPERLINK("https://talan.bank.gov.ua/get-user-certificate/sec1eArTS_9_Mty_qEMc","Завантажити сертифікат")</f>
        <v>Завантажити сертифікат</v>
      </c>
    </row>
    <row r="4276" spans="1:5" x14ac:dyDescent="0.3">
      <c r="A4276" s="2" t="s">
        <v>8731</v>
      </c>
      <c r="B4276" s="2" t="s">
        <v>5</v>
      </c>
      <c r="C4276" s="2" t="s">
        <v>8732</v>
      </c>
      <c r="D4276" s="2" t="s">
        <v>8728</v>
      </c>
      <c r="E4276" s="2" t="str">
        <f>HYPERLINK("https://talan.bank.gov.ua/get-user-certificate/sec1eJqN5XWw-xN9h2vZ","Завантажити сертифікат")</f>
        <v>Завантажити сертифікат</v>
      </c>
    </row>
    <row r="4277" spans="1:5" x14ac:dyDescent="0.3">
      <c r="A4277" s="2" t="s">
        <v>8733</v>
      </c>
      <c r="B4277" s="2" t="s">
        <v>5</v>
      </c>
      <c r="C4277" s="2" t="s">
        <v>8734</v>
      </c>
      <c r="D4277" s="2" t="s">
        <v>8728</v>
      </c>
      <c r="E4277" s="2" t="str">
        <f>HYPERLINK("https://talan.bank.gov.ua/get-user-certificate/sec1elCJf1OQ5mBTPHSP","Завантажити сертифікат")</f>
        <v>Завантажити сертифікат</v>
      </c>
    </row>
    <row r="4278" spans="1:5" x14ac:dyDescent="0.3">
      <c r="A4278" s="2" t="s">
        <v>8735</v>
      </c>
      <c r="B4278" s="2" t="s">
        <v>5</v>
      </c>
      <c r="C4278" s="2" t="s">
        <v>8736</v>
      </c>
      <c r="D4278" s="2" t="s">
        <v>8728</v>
      </c>
      <c r="E4278" s="2" t="str">
        <f>HYPERLINK("https://talan.bank.gov.ua/get-user-certificate/sec1eBPjq0XMABM7dxnb","Завантажити сертифікат")</f>
        <v>Завантажити сертифікат</v>
      </c>
    </row>
    <row r="4279" spans="1:5" x14ac:dyDescent="0.3">
      <c r="A4279" s="2" t="s">
        <v>8737</v>
      </c>
      <c r="B4279" s="2" t="s">
        <v>5</v>
      </c>
      <c r="C4279" s="2" t="s">
        <v>8738</v>
      </c>
      <c r="D4279" s="2" t="s">
        <v>8728</v>
      </c>
      <c r="E4279" s="2" t="str">
        <f>HYPERLINK("https://talan.bank.gov.ua/get-user-certificate/sec1eHykyxq857W_dFpk","Завантажити сертифікат")</f>
        <v>Завантажити сертифікат</v>
      </c>
    </row>
    <row r="4280" spans="1:5" x14ac:dyDescent="0.3">
      <c r="A4280" s="2" t="s">
        <v>8739</v>
      </c>
      <c r="B4280" s="2" t="s">
        <v>5</v>
      </c>
      <c r="C4280" s="2" t="s">
        <v>8740</v>
      </c>
      <c r="D4280" s="2" t="s">
        <v>8728</v>
      </c>
      <c r="E4280" s="2" t="str">
        <f>HYPERLINK("https://talan.bank.gov.ua/get-user-certificate/sec1ePs0OQ5fi_XQAyxO","Завантажити сертифікат")</f>
        <v>Завантажити сертифікат</v>
      </c>
    </row>
    <row r="4281" spans="1:5" x14ac:dyDescent="0.3">
      <c r="A4281" s="2" t="s">
        <v>8741</v>
      </c>
      <c r="B4281" s="2" t="s">
        <v>5</v>
      </c>
      <c r="C4281" s="2" t="s">
        <v>8742</v>
      </c>
      <c r="D4281" s="2" t="s">
        <v>8728</v>
      </c>
      <c r="E4281" s="2" t="str">
        <f>HYPERLINK("https://talan.bank.gov.ua/get-user-certificate/sec1esVoZBbSrDv_ax5_","Завантажити сертифікат")</f>
        <v>Завантажити сертифікат</v>
      </c>
    </row>
    <row r="4282" spans="1:5" x14ac:dyDescent="0.3">
      <c r="A4282" s="2" t="s">
        <v>8743</v>
      </c>
      <c r="B4282" s="2" t="s">
        <v>5</v>
      </c>
      <c r="C4282" s="2" t="s">
        <v>8744</v>
      </c>
      <c r="D4282" s="2" t="s">
        <v>8728</v>
      </c>
      <c r="E4282" s="2" t="str">
        <f>HYPERLINK("https://talan.bank.gov.ua/get-user-certificate/sec1egA9cbFi3oRvBmYw","Завантажити сертифікат")</f>
        <v>Завантажити сертифікат</v>
      </c>
    </row>
    <row r="4283" spans="1:5" x14ac:dyDescent="0.3">
      <c r="A4283" s="2" t="s">
        <v>8745</v>
      </c>
      <c r="B4283" s="2" t="s">
        <v>5</v>
      </c>
      <c r="C4283" s="2" t="s">
        <v>8746</v>
      </c>
      <c r="D4283" s="2" t="s">
        <v>8728</v>
      </c>
      <c r="E4283" s="2" t="str">
        <f>HYPERLINK("https://talan.bank.gov.ua/get-user-certificate/sec1eBLHjFPkUU-ND-HF","Завантажити сертифікат")</f>
        <v>Завантажити сертифікат</v>
      </c>
    </row>
    <row r="4284" spans="1:5" x14ac:dyDescent="0.3">
      <c r="A4284" s="2" t="s">
        <v>8747</v>
      </c>
      <c r="B4284" s="2" t="s">
        <v>5</v>
      </c>
      <c r="C4284" s="2" t="s">
        <v>8748</v>
      </c>
      <c r="D4284" s="2" t="s">
        <v>8728</v>
      </c>
      <c r="E4284" s="2" t="str">
        <f>HYPERLINK("https://talan.bank.gov.ua/get-user-certificate/sec1epcbaWNxb33EUN5W","Завантажити сертифікат")</f>
        <v>Завантажити сертифікат</v>
      </c>
    </row>
    <row r="4285" spans="1:5" x14ac:dyDescent="0.3">
      <c r="A4285" s="2" t="s">
        <v>8749</v>
      </c>
      <c r="B4285" s="2" t="s">
        <v>5</v>
      </c>
      <c r="C4285" s="2" t="s">
        <v>8750</v>
      </c>
      <c r="D4285" s="2" t="s">
        <v>8728</v>
      </c>
      <c r="E4285" s="2" t="str">
        <f>HYPERLINK("https://talan.bank.gov.ua/get-user-certificate/sec1ecLNIAUvGvTQuSM9","Завантажити сертифікат")</f>
        <v>Завантажити сертифікат</v>
      </c>
    </row>
    <row r="4286" spans="1:5" x14ac:dyDescent="0.3">
      <c r="A4286" s="2" t="s">
        <v>8751</v>
      </c>
      <c r="B4286" s="2" t="s">
        <v>5</v>
      </c>
      <c r="C4286" s="2" t="s">
        <v>8752</v>
      </c>
      <c r="D4286" s="2" t="s">
        <v>8728</v>
      </c>
      <c r="E4286" s="2" t="str">
        <f>HYPERLINK("https://talan.bank.gov.ua/get-user-certificate/sec1egW7xlzo1Bh7QFj7","Завантажити сертифікат")</f>
        <v>Завантажити сертифікат</v>
      </c>
    </row>
    <row r="4287" spans="1:5" x14ac:dyDescent="0.3">
      <c r="A4287" s="2" t="s">
        <v>8753</v>
      </c>
      <c r="B4287" s="2" t="s">
        <v>5</v>
      </c>
      <c r="C4287" s="2" t="s">
        <v>8754</v>
      </c>
      <c r="D4287" s="2" t="s">
        <v>8728</v>
      </c>
      <c r="E4287" s="2" t="str">
        <f>HYPERLINK("https://talan.bank.gov.ua/get-user-certificate/sec1eCaF5BwVMTL9dtUq","Завантажити сертифікат")</f>
        <v>Завантажити сертифікат</v>
      </c>
    </row>
    <row r="4288" spans="1:5" x14ac:dyDescent="0.3">
      <c r="A4288" s="2" t="s">
        <v>8755</v>
      </c>
      <c r="B4288" s="2" t="s">
        <v>5</v>
      </c>
      <c r="C4288" s="2" t="s">
        <v>8756</v>
      </c>
      <c r="D4288" s="2" t="s">
        <v>8728</v>
      </c>
      <c r="E4288" s="2" t="str">
        <f>HYPERLINK("https://talan.bank.gov.ua/get-user-certificate/sec1eE-JpXGJ-XRFXjBk","Завантажити сертифікат")</f>
        <v>Завантажити сертифікат</v>
      </c>
    </row>
    <row r="4289" spans="1:5" x14ac:dyDescent="0.3">
      <c r="A4289" s="2" t="s">
        <v>8757</v>
      </c>
      <c r="B4289" s="2" t="s">
        <v>5</v>
      </c>
      <c r="C4289" s="2" t="s">
        <v>8758</v>
      </c>
      <c r="D4289" s="2" t="s">
        <v>8728</v>
      </c>
      <c r="E4289" s="2" t="str">
        <f>HYPERLINK("https://talan.bank.gov.ua/get-user-certificate/sec1eRhAWdBIQj0ZnaLc","Завантажити сертифікат")</f>
        <v>Завантажити сертифікат</v>
      </c>
    </row>
    <row r="4290" spans="1:5" x14ac:dyDescent="0.3">
      <c r="A4290" s="2" t="s">
        <v>8759</v>
      </c>
      <c r="B4290" s="2" t="s">
        <v>5</v>
      </c>
      <c r="C4290" s="2" t="s">
        <v>8760</v>
      </c>
      <c r="D4290" s="2" t="s">
        <v>8728</v>
      </c>
      <c r="E4290" s="2" t="str">
        <f>HYPERLINK("https://talan.bank.gov.ua/get-user-certificate/sec1eeFpMq452VbvHB2I","Завантажити сертифікат")</f>
        <v>Завантажити сертифікат</v>
      </c>
    </row>
    <row r="4291" spans="1:5" x14ac:dyDescent="0.3">
      <c r="A4291" s="2" t="s">
        <v>8761</v>
      </c>
      <c r="B4291" s="2" t="s">
        <v>5</v>
      </c>
      <c r="C4291" s="2" t="s">
        <v>8762</v>
      </c>
      <c r="D4291" s="2" t="s">
        <v>8728</v>
      </c>
      <c r="E4291" s="2" t="str">
        <f>HYPERLINK("https://talan.bank.gov.ua/get-user-certificate/sec1eqwpIkqCxcAHRkV0","Завантажити сертифікат")</f>
        <v>Завантажити сертифікат</v>
      </c>
    </row>
    <row r="4292" spans="1:5" x14ac:dyDescent="0.3">
      <c r="A4292" s="2" t="s">
        <v>8763</v>
      </c>
      <c r="B4292" s="2" t="s">
        <v>5</v>
      </c>
      <c r="C4292" s="2" t="s">
        <v>8764</v>
      </c>
      <c r="D4292" s="2" t="s">
        <v>8728</v>
      </c>
      <c r="E4292" s="2" t="str">
        <f>HYPERLINK("https://talan.bank.gov.ua/get-user-certificate/sec1eaeF9bC2JrY7oW7O","Завантажити сертифікат")</f>
        <v>Завантажити сертифікат</v>
      </c>
    </row>
    <row r="4293" spans="1:5" x14ac:dyDescent="0.3">
      <c r="A4293" s="2" t="s">
        <v>8765</v>
      </c>
      <c r="B4293" s="2" t="s">
        <v>5</v>
      </c>
      <c r="C4293" s="2" t="s">
        <v>8766</v>
      </c>
      <c r="D4293" s="2" t="s">
        <v>8728</v>
      </c>
      <c r="E4293" s="2" t="str">
        <f>HYPERLINK("https://talan.bank.gov.ua/get-user-certificate/sec1e7ARGffVgGaOdJqL","Завантажити сертифікат")</f>
        <v>Завантажити сертифікат</v>
      </c>
    </row>
    <row r="4294" spans="1:5" x14ac:dyDescent="0.3">
      <c r="A4294" s="2" t="s">
        <v>8767</v>
      </c>
      <c r="B4294" s="2" t="s">
        <v>5</v>
      </c>
      <c r="C4294" s="2" t="s">
        <v>8768</v>
      </c>
      <c r="D4294" s="2" t="s">
        <v>8769</v>
      </c>
      <c r="E4294" s="2" t="str">
        <f>HYPERLINK("https://talan.bank.gov.ua/get-user-certificate/sec1edE2GWxG6UKMHySG","Завантажити сертифікат")</f>
        <v>Завантажити сертифікат</v>
      </c>
    </row>
    <row r="4295" spans="1:5" x14ac:dyDescent="0.3">
      <c r="A4295" s="2" t="s">
        <v>8770</v>
      </c>
      <c r="B4295" s="2" t="s">
        <v>5</v>
      </c>
      <c r="C4295" s="2" t="s">
        <v>8771</v>
      </c>
      <c r="D4295" s="2" t="s">
        <v>8769</v>
      </c>
      <c r="E4295" s="2" t="str">
        <f>HYPERLINK("https://talan.bank.gov.ua/get-user-certificate/sec1ew3Z25JJxZT0xLP6","Завантажити сертифікат")</f>
        <v>Завантажити сертифікат</v>
      </c>
    </row>
    <row r="4296" spans="1:5" x14ac:dyDescent="0.3">
      <c r="A4296" s="2" t="s">
        <v>8772</v>
      </c>
      <c r="B4296" s="2" t="s">
        <v>5</v>
      </c>
      <c r="C4296" s="2" t="s">
        <v>8773</v>
      </c>
      <c r="D4296" s="2" t="s">
        <v>8769</v>
      </c>
      <c r="E4296" s="2" t="str">
        <f>HYPERLINK("https://talan.bank.gov.ua/get-user-certificate/sec1e8Jgg1AcMz__Os4F","Завантажити сертифікат")</f>
        <v>Завантажити сертифікат</v>
      </c>
    </row>
    <row r="4297" spans="1:5" x14ac:dyDescent="0.3">
      <c r="A4297" s="2" t="s">
        <v>8774</v>
      </c>
      <c r="B4297" s="2" t="s">
        <v>5</v>
      </c>
      <c r="C4297" s="2" t="s">
        <v>8775</v>
      </c>
      <c r="D4297" s="2" t="s">
        <v>8769</v>
      </c>
      <c r="E4297" s="2" t="str">
        <f>HYPERLINK("https://talan.bank.gov.ua/get-user-certificate/sec1erAHxDGUcOlRbZqn","Завантажити сертифікат")</f>
        <v>Завантажити сертифікат</v>
      </c>
    </row>
    <row r="4298" spans="1:5" x14ac:dyDescent="0.3">
      <c r="A4298" s="2" t="s">
        <v>8776</v>
      </c>
      <c r="B4298" s="2" t="s">
        <v>5</v>
      </c>
      <c r="C4298" s="2" t="s">
        <v>8777</v>
      </c>
      <c r="D4298" s="2" t="s">
        <v>8769</v>
      </c>
      <c r="E4298" s="2" t="str">
        <f>HYPERLINK("https://talan.bank.gov.ua/get-user-certificate/sec1eUuCHiByjFEvqm-F","Завантажити сертифікат")</f>
        <v>Завантажити сертифікат</v>
      </c>
    </row>
    <row r="4299" spans="1:5" x14ac:dyDescent="0.3">
      <c r="A4299" s="2" t="s">
        <v>8778</v>
      </c>
      <c r="B4299" s="2" t="s">
        <v>5</v>
      </c>
      <c r="C4299" s="2" t="s">
        <v>8779</v>
      </c>
      <c r="D4299" s="2" t="s">
        <v>8769</v>
      </c>
      <c r="E4299" s="2" t="str">
        <f>HYPERLINK("https://talan.bank.gov.ua/get-user-certificate/sec1eJBBBfuIpwQtQGsB","Завантажити сертифікат")</f>
        <v>Завантажити сертифікат</v>
      </c>
    </row>
    <row r="4300" spans="1:5" x14ac:dyDescent="0.3">
      <c r="A4300" s="2" t="s">
        <v>8780</v>
      </c>
      <c r="B4300" s="2" t="s">
        <v>5</v>
      </c>
      <c r="C4300" s="2" t="s">
        <v>8781</v>
      </c>
      <c r="D4300" s="2" t="s">
        <v>8769</v>
      </c>
      <c r="E4300" s="2" t="str">
        <f>HYPERLINK("https://talan.bank.gov.ua/get-user-certificate/sec1e4bfPaZz_bz4rdMj","Завантажити сертифікат")</f>
        <v>Завантажити сертифікат</v>
      </c>
    </row>
    <row r="4301" spans="1:5" x14ac:dyDescent="0.3">
      <c r="A4301" s="2" t="s">
        <v>8782</v>
      </c>
      <c r="B4301" s="2" t="s">
        <v>5</v>
      </c>
      <c r="C4301" s="2" t="s">
        <v>4721</v>
      </c>
      <c r="D4301" s="2" t="s">
        <v>8769</v>
      </c>
      <c r="E4301" s="2" t="str">
        <f>HYPERLINK("https://talan.bank.gov.ua/get-user-certificate/sec1euy11DuaW4cKzppU","Завантажити сертифікат")</f>
        <v>Завантажити сертифікат</v>
      </c>
    </row>
    <row r="4302" spans="1:5" x14ac:dyDescent="0.3">
      <c r="A4302" s="2" t="s">
        <v>8783</v>
      </c>
      <c r="B4302" s="2" t="s">
        <v>5</v>
      </c>
      <c r="C4302" s="2" t="s">
        <v>8784</v>
      </c>
      <c r="D4302" s="2" t="s">
        <v>8769</v>
      </c>
      <c r="E4302" s="2" t="str">
        <f>HYPERLINK("https://talan.bank.gov.ua/get-user-certificate/sec1e8jWKHpUrVAn9lBA","Завантажити сертифікат")</f>
        <v>Завантажити сертифікат</v>
      </c>
    </row>
    <row r="4303" spans="1:5" x14ac:dyDescent="0.3">
      <c r="A4303" s="2" t="s">
        <v>8785</v>
      </c>
      <c r="B4303" s="2" t="s">
        <v>5</v>
      </c>
      <c r="C4303" s="2" t="s">
        <v>8786</v>
      </c>
      <c r="D4303" s="2" t="s">
        <v>8769</v>
      </c>
      <c r="E4303" s="2" t="str">
        <f>HYPERLINK("https://talan.bank.gov.ua/get-user-certificate/sec1eBoUhCcH-sJZGBqN","Завантажити сертифікат")</f>
        <v>Завантажити сертифікат</v>
      </c>
    </row>
    <row r="4304" spans="1:5" x14ac:dyDescent="0.3">
      <c r="A4304" s="2" t="s">
        <v>8787</v>
      </c>
      <c r="B4304" s="2" t="s">
        <v>5</v>
      </c>
      <c r="C4304" s="2" t="s">
        <v>8788</v>
      </c>
      <c r="D4304" s="2" t="s">
        <v>8769</v>
      </c>
      <c r="E4304" s="2" t="str">
        <f>HYPERLINK("https://talan.bank.gov.ua/get-user-certificate/sec1e_xVhNsZm0kRrlDz","Завантажити сертифікат")</f>
        <v>Завантажити сертифікат</v>
      </c>
    </row>
    <row r="4305" spans="1:5" x14ac:dyDescent="0.3">
      <c r="A4305" s="2" t="s">
        <v>8789</v>
      </c>
      <c r="B4305" s="2" t="s">
        <v>5</v>
      </c>
      <c r="C4305" s="2" t="s">
        <v>8790</v>
      </c>
      <c r="D4305" s="2" t="s">
        <v>8769</v>
      </c>
      <c r="E4305" s="2" t="str">
        <f>HYPERLINK("https://talan.bank.gov.ua/get-user-certificate/sec1eQ6FEjY7eJWeQ-WD","Завантажити сертифікат")</f>
        <v>Завантажити сертифікат</v>
      </c>
    </row>
    <row r="4306" spans="1:5" x14ac:dyDescent="0.3">
      <c r="A4306" s="2" t="s">
        <v>8791</v>
      </c>
      <c r="B4306" s="2" t="s">
        <v>5</v>
      </c>
      <c r="C4306" s="2" t="s">
        <v>8792</v>
      </c>
      <c r="D4306" s="2" t="s">
        <v>8769</v>
      </c>
      <c r="E4306" s="2" t="str">
        <f>HYPERLINK("https://talan.bank.gov.ua/get-user-certificate/sec1ejaD01eBUI1oPXmt","Завантажити сертифікат")</f>
        <v>Завантажити сертифікат</v>
      </c>
    </row>
    <row r="4307" spans="1:5" x14ac:dyDescent="0.3">
      <c r="A4307" s="2" t="s">
        <v>8793</v>
      </c>
      <c r="B4307" s="2" t="s">
        <v>5</v>
      </c>
      <c r="C4307" s="2" t="s">
        <v>8794</v>
      </c>
      <c r="D4307" s="2" t="s">
        <v>8769</v>
      </c>
      <c r="E4307" s="2" t="str">
        <f>HYPERLINK("https://talan.bank.gov.ua/get-user-certificate/sec1eLwN4MgzUcKTXFO7","Завантажити сертифікат")</f>
        <v>Завантажити сертифікат</v>
      </c>
    </row>
    <row r="4308" spans="1:5" x14ac:dyDescent="0.3">
      <c r="A4308" s="2" t="s">
        <v>8795</v>
      </c>
      <c r="B4308" s="2" t="s">
        <v>5</v>
      </c>
      <c r="C4308" s="2" t="s">
        <v>8796</v>
      </c>
      <c r="D4308" s="2" t="s">
        <v>8092</v>
      </c>
      <c r="E4308" s="2" t="str">
        <f>HYPERLINK("https://talan.bank.gov.ua/get-user-certificate/sec1e3aM21eJ_AQ3hkQX","Завантажити сертифікат")</f>
        <v>Завантажити сертифікат</v>
      </c>
    </row>
    <row r="4309" spans="1:5" x14ac:dyDescent="0.3">
      <c r="A4309" s="2" t="s">
        <v>8797</v>
      </c>
      <c r="B4309" s="2" t="s">
        <v>5</v>
      </c>
      <c r="C4309" s="2" t="s">
        <v>8798</v>
      </c>
      <c r="D4309" s="2" t="s">
        <v>8092</v>
      </c>
      <c r="E4309" s="2" t="str">
        <f>HYPERLINK("https://talan.bank.gov.ua/get-user-certificate/sec1eLcBvuRwE6PxV024","Завантажити сертифікат")</f>
        <v>Завантажити сертифікат</v>
      </c>
    </row>
    <row r="4310" spans="1:5" x14ac:dyDescent="0.3">
      <c r="A4310" s="2" t="s">
        <v>8799</v>
      </c>
      <c r="B4310" s="2" t="s">
        <v>5</v>
      </c>
      <c r="C4310" s="2" t="s">
        <v>8800</v>
      </c>
      <c r="D4310" s="2" t="s">
        <v>8092</v>
      </c>
      <c r="E4310" s="2" t="str">
        <f>HYPERLINK("https://talan.bank.gov.ua/get-user-certificate/sec1emBFtzQ1tMQivfe3","Завантажити сертифікат")</f>
        <v>Завантажити сертифікат</v>
      </c>
    </row>
    <row r="4311" spans="1:5" x14ac:dyDescent="0.3">
      <c r="A4311" s="2" t="s">
        <v>8801</v>
      </c>
      <c r="B4311" s="2" t="s">
        <v>5</v>
      </c>
      <c r="C4311" s="2" t="s">
        <v>8802</v>
      </c>
      <c r="D4311" s="2" t="s">
        <v>8092</v>
      </c>
      <c r="E4311" s="2" t="str">
        <f>HYPERLINK("https://talan.bank.gov.ua/get-user-certificate/sec1erSLZUwx-RQIZnQY","Завантажити сертифікат")</f>
        <v>Завантажити сертифікат</v>
      </c>
    </row>
    <row r="4312" spans="1:5" x14ac:dyDescent="0.3">
      <c r="A4312" s="2" t="s">
        <v>8803</v>
      </c>
      <c r="B4312" s="2" t="s">
        <v>5</v>
      </c>
      <c r="C4312" s="2" t="s">
        <v>8804</v>
      </c>
      <c r="D4312" s="2" t="s">
        <v>8092</v>
      </c>
      <c r="E4312" s="2" t="str">
        <f>HYPERLINK("https://talan.bank.gov.ua/get-user-certificate/sec1egEJr7DdtB6a5vJT","Завантажити сертифікат")</f>
        <v>Завантажити сертифікат</v>
      </c>
    </row>
    <row r="4313" spans="1:5" x14ac:dyDescent="0.3">
      <c r="A4313" s="2" t="s">
        <v>8805</v>
      </c>
      <c r="B4313" s="2" t="s">
        <v>5</v>
      </c>
      <c r="C4313" s="2" t="s">
        <v>8806</v>
      </c>
      <c r="D4313" s="2" t="s">
        <v>8092</v>
      </c>
      <c r="E4313" s="2" t="str">
        <f>HYPERLINK("https://talan.bank.gov.ua/get-user-certificate/sec1eORoZXaaR_FjntKX","Завантажити сертифікат")</f>
        <v>Завантажити сертифікат</v>
      </c>
    </row>
    <row r="4314" spans="1:5" x14ac:dyDescent="0.3">
      <c r="A4314" s="2" t="s">
        <v>8807</v>
      </c>
      <c r="B4314" s="2" t="s">
        <v>5</v>
      </c>
      <c r="C4314" s="2" t="s">
        <v>8808</v>
      </c>
      <c r="D4314" s="2" t="s">
        <v>8092</v>
      </c>
      <c r="E4314" s="2" t="str">
        <f>HYPERLINK("https://talan.bank.gov.ua/get-user-certificate/sec1eBnFKfdlSfT0k1NG","Завантажити сертифікат")</f>
        <v>Завантажити сертифікат</v>
      </c>
    </row>
    <row r="4315" spans="1:5" x14ac:dyDescent="0.3">
      <c r="A4315" s="2" t="s">
        <v>8809</v>
      </c>
      <c r="B4315" s="2" t="s">
        <v>5</v>
      </c>
      <c r="C4315" s="2" t="s">
        <v>8810</v>
      </c>
      <c r="D4315" s="2" t="s">
        <v>8092</v>
      </c>
      <c r="E4315" s="2" t="str">
        <f>HYPERLINK("https://talan.bank.gov.ua/get-user-certificate/sec1egeWvGj44rGj4nZn","Завантажити сертифікат")</f>
        <v>Завантажити сертифікат</v>
      </c>
    </row>
    <row r="4316" spans="1:5" x14ac:dyDescent="0.3">
      <c r="A4316" s="2" t="s">
        <v>8811</v>
      </c>
      <c r="B4316" s="2" t="s">
        <v>5</v>
      </c>
      <c r="C4316" s="2" t="s">
        <v>8812</v>
      </c>
      <c r="D4316" s="2" t="s">
        <v>8092</v>
      </c>
      <c r="E4316" s="2" t="str">
        <f>HYPERLINK("https://talan.bank.gov.ua/get-user-certificate/sec1eoEM1Qs_WLDrtYnL","Завантажити сертифікат")</f>
        <v>Завантажити сертифікат</v>
      </c>
    </row>
    <row r="4317" spans="1:5" x14ac:dyDescent="0.3">
      <c r="A4317" s="2" t="s">
        <v>8813</v>
      </c>
      <c r="B4317" s="2" t="s">
        <v>5</v>
      </c>
      <c r="C4317" s="2" t="s">
        <v>8814</v>
      </c>
      <c r="D4317" s="2" t="s">
        <v>8092</v>
      </c>
      <c r="E4317" s="2" t="str">
        <f>HYPERLINK("https://talan.bank.gov.ua/get-user-certificate/sec1e8HlBBjqflgTepqc","Завантажити сертифікат")</f>
        <v>Завантажити сертифікат</v>
      </c>
    </row>
    <row r="4318" spans="1:5" x14ac:dyDescent="0.3">
      <c r="A4318" s="2" t="s">
        <v>8815</v>
      </c>
      <c r="B4318" s="2" t="s">
        <v>5</v>
      </c>
      <c r="C4318" s="2" t="s">
        <v>8816</v>
      </c>
      <c r="D4318" s="2" t="s">
        <v>8092</v>
      </c>
      <c r="E4318" s="2" t="str">
        <f>HYPERLINK("https://talan.bank.gov.ua/get-user-certificate/sec1efE96sAKE5S-JZvV","Завантажити сертифікат")</f>
        <v>Завантажити сертифікат</v>
      </c>
    </row>
    <row r="4319" spans="1:5" x14ac:dyDescent="0.3">
      <c r="A4319" s="2" t="s">
        <v>8817</v>
      </c>
      <c r="B4319" s="2" t="s">
        <v>5</v>
      </c>
      <c r="C4319" s="2" t="s">
        <v>8818</v>
      </c>
      <c r="D4319" s="2" t="s">
        <v>8092</v>
      </c>
      <c r="E4319" s="2" t="str">
        <f>HYPERLINK("https://talan.bank.gov.ua/get-user-certificate/sec1egnoD4H_mQ2VB01Y","Завантажити сертифікат")</f>
        <v>Завантажити сертифікат</v>
      </c>
    </row>
    <row r="4320" spans="1:5" x14ac:dyDescent="0.3">
      <c r="A4320" s="2" t="s">
        <v>8819</v>
      </c>
      <c r="B4320" s="2" t="s">
        <v>5</v>
      </c>
      <c r="C4320" s="2" t="s">
        <v>8820</v>
      </c>
      <c r="D4320" s="2" t="s">
        <v>8092</v>
      </c>
      <c r="E4320" s="2" t="str">
        <f>HYPERLINK("https://talan.bank.gov.ua/get-user-certificate/sec1evrrnX0Ojo3lBpFV","Завантажити сертифікат")</f>
        <v>Завантажити сертифікат</v>
      </c>
    </row>
    <row r="4321" spans="1:5" x14ac:dyDescent="0.3">
      <c r="A4321" s="2" t="s">
        <v>8821</v>
      </c>
      <c r="B4321" s="2" t="s">
        <v>5</v>
      </c>
      <c r="C4321" s="2" t="s">
        <v>8822</v>
      </c>
      <c r="D4321" s="2" t="s">
        <v>8092</v>
      </c>
      <c r="E4321" s="2" t="str">
        <f>HYPERLINK("https://talan.bank.gov.ua/get-user-certificate/sec1ep7qaZq0hodrTd1C","Завантажити сертифікат")</f>
        <v>Завантажити сертифікат</v>
      </c>
    </row>
    <row r="4322" spans="1:5" x14ac:dyDescent="0.3">
      <c r="A4322" s="2" t="s">
        <v>8823</v>
      </c>
      <c r="B4322" s="2" t="s">
        <v>5</v>
      </c>
      <c r="C4322" s="2" t="s">
        <v>8824</v>
      </c>
      <c r="D4322" s="2" t="s">
        <v>8092</v>
      </c>
      <c r="E4322" s="2" t="str">
        <f>HYPERLINK("https://talan.bank.gov.ua/get-user-certificate/sec1eVzQl7jKFOoMKlKu","Завантажити сертифікат")</f>
        <v>Завантажити сертифікат</v>
      </c>
    </row>
    <row r="4323" spans="1:5" x14ac:dyDescent="0.3">
      <c r="A4323" s="2" t="s">
        <v>8825</v>
      </c>
      <c r="B4323" s="2" t="s">
        <v>5</v>
      </c>
      <c r="C4323" s="2" t="s">
        <v>8826</v>
      </c>
      <c r="D4323" s="2" t="s">
        <v>8092</v>
      </c>
      <c r="E4323" s="2" t="str">
        <f>HYPERLINK("https://talan.bank.gov.ua/get-user-certificate/sec1etyMlLZ1yYMLeVS6","Завантажити сертифікат")</f>
        <v>Завантажити сертифікат</v>
      </c>
    </row>
    <row r="4324" spans="1:5" x14ac:dyDescent="0.3">
      <c r="A4324" s="2" t="s">
        <v>8827</v>
      </c>
      <c r="B4324" s="2" t="s">
        <v>5</v>
      </c>
      <c r="C4324" s="2" t="s">
        <v>8828</v>
      </c>
      <c r="D4324" s="2" t="s">
        <v>8092</v>
      </c>
      <c r="E4324" s="2" t="str">
        <f>HYPERLINK("https://talan.bank.gov.ua/get-user-certificate/sec1edFlMzSh-ewxPXpt","Завантажити сертифікат")</f>
        <v>Завантажити сертифікат</v>
      </c>
    </row>
    <row r="4325" spans="1:5" x14ac:dyDescent="0.3">
      <c r="A4325" s="2" t="s">
        <v>8829</v>
      </c>
      <c r="B4325" s="2" t="s">
        <v>5</v>
      </c>
      <c r="C4325" s="2" t="s">
        <v>8830</v>
      </c>
      <c r="D4325" s="2" t="s">
        <v>8092</v>
      </c>
      <c r="E4325" s="2" t="str">
        <f>HYPERLINK("https://talan.bank.gov.ua/get-user-certificate/sec1eqlK21qXIjrYk4wL","Завантажити сертифікат")</f>
        <v>Завантажити сертифікат</v>
      </c>
    </row>
    <row r="4326" spans="1:5" x14ac:dyDescent="0.3">
      <c r="A4326" s="2" t="s">
        <v>8831</v>
      </c>
      <c r="B4326" s="2" t="s">
        <v>5</v>
      </c>
      <c r="C4326" s="2" t="s">
        <v>8832</v>
      </c>
      <c r="D4326" s="2" t="s">
        <v>8092</v>
      </c>
      <c r="E4326" s="2" t="str">
        <f>HYPERLINK("https://talan.bank.gov.ua/get-user-certificate/sec1eEejX4cJZGeG-Y1U","Завантажити сертифікат")</f>
        <v>Завантажити сертифікат</v>
      </c>
    </row>
    <row r="4327" spans="1:5" x14ac:dyDescent="0.3">
      <c r="A4327" s="2" t="s">
        <v>8833</v>
      </c>
      <c r="B4327" s="2" t="s">
        <v>5</v>
      </c>
      <c r="C4327" s="2" t="s">
        <v>8834</v>
      </c>
      <c r="D4327" s="2" t="s">
        <v>8092</v>
      </c>
      <c r="E4327" s="2" t="str">
        <f>HYPERLINK("https://talan.bank.gov.ua/get-user-certificate/sec1ebssNA8RO6o3zzU7","Завантажити сертифікат")</f>
        <v>Завантажити сертифікат</v>
      </c>
    </row>
    <row r="4328" spans="1:5" x14ac:dyDescent="0.3">
      <c r="A4328" s="2" t="s">
        <v>8835</v>
      </c>
      <c r="B4328" s="2" t="s">
        <v>5</v>
      </c>
      <c r="C4328" s="2" t="s">
        <v>8836</v>
      </c>
      <c r="D4328" s="2" t="s">
        <v>8092</v>
      </c>
      <c r="E4328" s="2" t="str">
        <f>HYPERLINK("https://talan.bank.gov.ua/get-user-certificate/sec1eV9qJZQtdxu_H-9O","Завантажити сертифікат")</f>
        <v>Завантажити сертифікат</v>
      </c>
    </row>
    <row r="4329" spans="1:5" x14ac:dyDescent="0.3">
      <c r="A4329" s="2" t="s">
        <v>8837</v>
      </c>
      <c r="B4329" s="2" t="s">
        <v>5</v>
      </c>
      <c r="C4329" s="2" t="s">
        <v>8838</v>
      </c>
      <c r="D4329" s="2" t="s">
        <v>8092</v>
      </c>
      <c r="E4329" s="2" t="str">
        <f>HYPERLINK("https://talan.bank.gov.ua/get-user-certificate/sec1eGcUCvOLd6l_o2fO","Завантажити сертифікат")</f>
        <v>Завантажити сертифікат</v>
      </c>
    </row>
    <row r="4330" spans="1:5" x14ac:dyDescent="0.3">
      <c r="A4330" s="2" t="s">
        <v>8839</v>
      </c>
      <c r="B4330" s="2" t="s">
        <v>5</v>
      </c>
      <c r="C4330" s="2" t="s">
        <v>8840</v>
      </c>
      <c r="D4330" s="2" t="s">
        <v>8092</v>
      </c>
      <c r="E4330" s="2" t="str">
        <f>HYPERLINK("https://talan.bank.gov.ua/get-user-certificate/sec1e_cWl3a4E2mR4ERS","Завантажити сертифікат")</f>
        <v>Завантажити сертифікат</v>
      </c>
    </row>
    <row r="4331" spans="1:5" x14ac:dyDescent="0.3">
      <c r="A4331" s="2" t="s">
        <v>8841</v>
      </c>
      <c r="B4331" s="2" t="s">
        <v>5</v>
      </c>
      <c r="C4331" s="2" t="s">
        <v>8842</v>
      </c>
      <c r="D4331" s="2" t="s">
        <v>8092</v>
      </c>
      <c r="E4331" s="2" t="str">
        <f>HYPERLINK("https://talan.bank.gov.ua/get-user-certificate/sec1ec-VqWYoUEG8Cv5R","Завантажити сертифікат")</f>
        <v>Завантажити сертифікат</v>
      </c>
    </row>
    <row r="4332" spans="1:5" x14ac:dyDescent="0.3">
      <c r="A4332" s="2" t="s">
        <v>8843</v>
      </c>
      <c r="B4332" s="2" t="s">
        <v>5</v>
      </c>
      <c r="C4332" s="2" t="s">
        <v>8844</v>
      </c>
      <c r="D4332" s="2" t="s">
        <v>8092</v>
      </c>
      <c r="E4332" s="2" t="str">
        <f>HYPERLINK("https://talan.bank.gov.ua/get-user-certificate/sec1evMTnQ9tN7bubN1H","Завантажити сертифікат")</f>
        <v>Завантажити сертифікат</v>
      </c>
    </row>
    <row r="4333" spans="1:5" x14ac:dyDescent="0.3">
      <c r="A4333" s="2" t="s">
        <v>8845</v>
      </c>
      <c r="B4333" s="2" t="s">
        <v>5</v>
      </c>
      <c r="C4333" s="2" t="s">
        <v>8846</v>
      </c>
      <c r="D4333" s="2" t="s">
        <v>3636</v>
      </c>
      <c r="E4333" s="2" t="str">
        <f>HYPERLINK("https://talan.bank.gov.ua/get-user-certificate/sec1exnKiPewyOm2e9tx","Завантажити сертифікат")</f>
        <v>Завантажити сертифікат</v>
      </c>
    </row>
    <row r="4334" spans="1:5" x14ac:dyDescent="0.3">
      <c r="A4334" s="2" t="s">
        <v>8847</v>
      </c>
      <c r="B4334" s="2" t="s">
        <v>5</v>
      </c>
      <c r="C4334" s="2" t="s">
        <v>8848</v>
      </c>
      <c r="D4334" s="2" t="s">
        <v>3636</v>
      </c>
      <c r="E4334" s="2" t="str">
        <f>HYPERLINK("https://talan.bank.gov.ua/get-user-certificate/sec1em9RxcRk37tUBSbH","Завантажити сертифікат")</f>
        <v>Завантажити сертифікат</v>
      </c>
    </row>
    <row r="4335" spans="1:5" x14ac:dyDescent="0.3">
      <c r="A4335" s="2" t="s">
        <v>8849</v>
      </c>
      <c r="B4335" s="2" t="s">
        <v>5</v>
      </c>
      <c r="C4335" s="2" t="s">
        <v>8850</v>
      </c>
      <c r="D4335" s="2" t="s">
        <v>3636</v>
      </c>
      <c r="E4335" s="2" t="str">
        <f>HYPERLINK("https://talan.bank.gov.ua/get-user-certificate/sec1eJ6flS-e_M166M15","Завантажити сертифікат")</f>
        <v>Завантажити сертифікат</v>
      </c>
    </row>
    <row r="4336" spans="1:5" x14ac:dyDescent="0.3">
      <c r="A4336" s="2" t="s">
        <v>8851</v>
      </c>
      <c r="B4336" s="2" t="s">
        <v>5</v>
      </c>
      <c r="C4336" s="2" t="s">
        <v>8852</v>
      </c>
      <c r="D4336" s="2" t="s">
        <v>3636</v>
      </c>
      <c r="E4336" s="2" t="str">
        <f>HYPERLINK("https://talan.bank.gov.ua/get-user-certificate/sec1eBCSlpbpHk52yA2x","Завантажити сертифікат")</f>
        <v>Завантажити сертифікат</v>
      </c>
    </row>
    <row r="4337" spans="1:5" x14ac:dyDescent="0.3">
      <c r="A4337" s="2" t="s">
        <v>8853</v>
      </c>
      <c r="B4337" s="2" t="s">
        <v>5</v>
      </c>
      <c r="C4337" s="2" t="s">
        <v>8854</v>
      </c>
      <c r="D4337" s="2" t="s">
        <v>3636</v>
      </c>
      <c r="E4337" s="2" t="str">
        <f>HYPERLINK("https://talan.bank.gov.ua/get-user-certificate/sec1eUeNn3DWZzZ92qHK","Завантажити сертифікат")</f>
        <v>Завантажити сертифікат</v>
      </c>
    </row>
    <row r="4338" spans="1:5" x14ac:dyDescent="0.3">
      <c r="A4338" s="2" t="s">
        <v>8855</v>
      </c>
      <c r="B4338" s="2" t="s">
        <v>5</v>
      </c>
      <c r="C4338" s="2" t="s">
        <v>8856</v>
      </c>
      <c r="D4338" s="2" t="s">
        <v>3636</v>
      </c>
      <c r="E4338" s="2" t="str">
        <f>HYPERLINK("https://talan.bank.gov.ua/get-user-certificate/sec1eh-BE-TZl7UH92AX","Завантажити сертифікат")</f>
        <v>Завантажити сертифікат</v>
      </c>
    </row>
    <row r="4339" spans="1:5" x14ac:dyDescent="0.3">
      <c r="A4339" s="2" t="s">
        <v>8857</v>
      </c>
      <c r="B4339" s="2" t="s">
        <v>5</v>
      </c>
      <c r="C4339" s="2" t="s">
        <v>8858</v>
      </c>
      <c r="D4339" s="2" t="s">
        <v>3636</v>
      </c>
      <c r="E4339" s="2" t="str">
        <f>HYPERLINK("https://talan.bank.gov.ua/get-user-certificate/sec1eFd1-MGj_6urdL6P","Завантажити сертифікат")</f>
        <v>Завантажити сертифікат</v>
      </c>
    </row>
    <row r="4340" spans="1:5" x14ac:dyDescent="0.3">
      <c r="A4340" s="2" t="s">
        <v>8859</v>
      </c>
      <c r="B4340" s="2" t="s">
        <v>5</v>
      </c>
      <c r="C4340" s="2" t="s">
        <v>8860</v>
      </c>
      <c r="D4340" s="2" t="s">
        <v>3636</v>
      </c>
      <c r="E4340" s="2" t="str">
        <f>HYPERLINK("https://talan.bank.gov.ua/get-user-certificate/sec1eH3lM_z_ld6H-E6H","Завантажити сертифікат")</f>
        <v>Завантажити сертифікат</v>
      </c>
    </row>
    <row r="4341" spans="1:5" x14ac:dyDescent="0.3">
      <c r="A4341" s="2" t="s">
        <v>8861</v>
      </c>
      <c r="B4341" s="2" t="s">
        <v>5</v>
      </c>
      <c r="C4341" s="2" t="s">
        <v>8862</v>
      </c>
      <c r="D4341" s="2" t="s">
        <v>3636</v>
      </c>
      <c r="E4341" s="2" t="str">
        <f>HYPERLINK("https://talan.bank.gov.ua/get-user-certificate/sec1e0djHjM2MaO3UfE0","Завантажити сертифікат")</f>
        <v>Завантажити сертифікат</v>
      </c>
    </row>
    <row r="4342" spans="1:5" x14ac:dyDescent="0.3">
      <c r="A4342" s="2" t="s">
        <v>8863</v>
      </c>
      <c r="B4342" s="2" t="s">
        <v>5</v>
      </c>
      <c r="C4342" s="2" t="s">
        <v>8864</v>
      </c>
      <c r="D4342" s="2" t="s">
        <v>3636</v>
      </c>
      <c r="E4342" s="2" t="str">
        <f>HYPERLINK("https://talan.bank.gov.ua/get-user-certificate/sec1eyIvZ2bX4Dtw-JrE","Завантажити сертифікат")</f>
        <v>Завантажити сертифікат</v>
      </c>
    </row>
    <row r="4343" spans="1:5" x14ac:dyDescent="0.3">
      <c r="A4343" s="2" t="s">
        <v>8865</v>
      </c>
      <c r="B4343" s="2" t="s">
        <v>5</v>
      </c>
      <c r="C4343" s="2" t="s">
        <v>8866</v>
      </c>
      <c r="D4343" s="2" t="s">
        <v>3636</v>
      </c>
      <c r="E4343" s="2" t="str">
        <f>HYPERLINK("https://talan.bank.gov.ua/get-user-certificate/sec1eJkqFVIzbPhhIT1a","Завантажити сертифікат")</f>
        <v>Завантажити сертифікат</v>
      </c>
    </row>
    <row r="4344" spans="1:5" x14ac:dyDescent="0.3">
      <c r="A4344" s="2" t="s">
        <v>8867</v>
      </c>
      <c r="B4344" s="2" t="s">
        <v>5</v>
      </c>
      <c r="C4344" s="2" t="s">
        <v>8868</v>
      </c>
      <c r="D4344" s="2" t="s">
        <v>3636</v>
      </c>
      <c r="E4344" s="2" t="str">
        <f>HYPERLINK("https://talan.bank.gov.ua/get-user-certificate/sec1e8Af0e11H-edtWlO","Завантажити сертифікат")</f>
        <v>Завантажити сертифікат</v>
      </c>
    </row>
    <row r="4345" spans="1:5" x14ac:dyDescent="0.3">
      <c r="A4345" s="2" t="s">
        <v>8869</v>
      </c>
      <c r="B4345" s="2" t="s">
        <v>5</v>
      </c>
      <c r="C4345" s="2" t="s">
        <v>8870</v>
      </c>
      <c r="D4345" s="2" t="s">
        <v>3636</v>
      </c>
      <c r="E4345" s="2" t="str">
        <f>HYPERLINK("https://talan.bank.gov.ua/get-user-certificate/sec1eUByGph1FOKhJTQ4","Завантажити сертифікат")</f>
        <v>Завантажити сертифікат</v>
      </c>
    </row>
    <row r="4346" spans="1:5" x14ac:dyDescent="0.3">
      <c r="A4346" s="2" t="s">
        <v>8871</v>
      </c>
      <c r="B4346" s="2" t="s">
        <v>5</v>
      </c>
      <c r="C4346" s="2" t="s">
        <v>8872</v>
      </c>
      <c r="D4346" s="2" t="s">
        <v>3636</v>
      </c>
      <c r="E4346" s="2" t="str">
        <f>HYPERLINK("https://talan.bank.gov.ua/get-user-certificate/sec1eMXIDJcx4ja8aYPI","Завантажити сертифікат")</f>
        <v>Завантажити сертифікат</v>
      </c>
    </row>
    <row r="4347" spans="1:5" x14ac:dyDescent="0.3">
      <c r="A4347" s="2" t="s">
        <v>8873</v>
      </c>
      <c r="B4347" s="2" t="s">
        <v>5</v>
      </c>
      <c r="C4347" s="2" t="s">
        <v>8874</v>
      </c>
      <c r="D4347" s="2" t="s">
        <v>3636</v>
      </c>
      <c r="E4347" s="2" t="str">
        <f>HYPERLINK("https://talan.bank.gov.ua/get-user-certificate/sec1eEayNs6ORRTKM2KZ","Завантажити сертифікат")</f>
        <v>Завантажити сертифікат</v>
      </c>
    </row>
    <row r="4348" spans="1:5" x14ac:dyDescent="0.3">
      <c r="A4348" s="2" t="s">
        <v>8875</v>
      </c>
      <c r="B4348" s="2" t="s">
        <v>5</v>
      </c>
      <c r="C4348" s="2" t="s">
        <v>8876</v>
      </c>
      <c r="D4348" s="2" t="s">
        <v>8877</v>
      </c>
      <c r="E4348" s="2" t="str">
        <f>HYPERLINK("https://talan.bank.gov.ua/get-user-certificate/sec1edliDOWh-ptCnc0P","Завантажити сертифікат")</f>
        <v>Завантажити сертифікат</v>
      </c>
    </row>
    <row r="4349" spans="1:5" x14ac:dyDescent="0.3">
      <c r="A4349" s="2" t="s">
        <v>8878</v>
      </c>
      <c r="B4349" s="2" t="s">
        <v>5</v>
      </c>
      <c r="C4349" s="2" t="s">
        <v>8879</v>
      </c>
      <c r="D4349" s="2" t="s">
        <v>8877</v>
      </c>
      <c r="E4349" s="2" t="str">
        <f>HYPERLINK("https://talan.bank.gov.ua/get-user-certificate/sec1eU0QTMjZ0hLe49Hb","Завантажити сертифікат")</f>
        <v>Завантажити сертифікат</v>
      </c>
    </row>
    <row r="4350" spans="1:5" x14ac:dyDescent="0.3">
      <c r="A4350" s="2" t="s">
        <v>8880</v>
      </c>
      <c r="B4350" s="2" t="s">
        <v>5</v>
      </c>
      <c r="C4350" s="2" t="s">
        <v>8881</v>
      </c>
      <c r="D4350" s="2" t="s">
        <v>8877</v>
      </c>
      <c r="E4350" s="2" t="str">
        <f>HYPERLINK("https://talan.bank.gov.ua/get-user-certificate/sec1e2igP-MzwcvDHPKr","Завантажити сертифікат")</f>
        <v>Завантажити сертифікат</v>
      </c>
    </row>
    <row r="4351" spans="1:5" x14ac:dyDescent="0.3">
      <c r="A4351" s="2" t="s">
        <v>8882</v>
      </c>
      <c r="B4351" s="2" t="s">
        <v>5</v>
      </c>
      <c r="C4351" s="2" t="s">
        <v>8883</v>
      </c>
      <c r="D4351" s="2" t="s">
        <v>8877</v>
      </c>
      <c r="E4351" s="2" t="str">
        <f>HYPERLINK("https://talan.bank.gov.ua/get-user-certificate/sec1enPs9IFHofHBSsVd","Завантажити сертифікат")</f>
        <v>Завантажити сертифікат</v>
      </c>
    </row>
    <row r="4352" spans="1:5" x14ac:dyDescent="0.3">
      <c r="A4352" s="2" t="s">
        <v>8884</v>
      </c>
      <c r="B4352" s="2" t="s">
        <v>5</v>
      </c>
      <c r="C4352" s="2" t="s">
        <v>8885</v>
      </c>
      <c r="D4352" s="2" t="s">
        <v>8877</v>
      </c>
      <c r="E4352" s="2" t="str">
        <f>HYPERLINK("https://talan.bank.gov.ua/get-user-certificate/sec1eF_13WdBojaFaDfX","Завантажити сертифікат")</f>
        <v>Завантажити сертифікат</v>
      </c>
    </row>
    <row r="4353" spans="1:5" x14ac:dyDescent="0.3">
      <c r="A4353" s="2" t="s">
        <v>8886</v>
      </c>
      <c r="B4353" s="2" t="s">
        <v>5</v>
      </c>
      <c r="C4353" s="2" t="s">
        <v>8887</v>
      </c>
      <c r="D4353" s="2" t="s">
        <v>8877</v>
      </c>
      <c r="E4353" s="2" t="str">
        <f>HYPERLINK("https://talan.bank.gov.ua/get-user-certificate/sec1e6Dm2BAEggX4Bjy0","Завантажити сертифікат")</f>
        <v>Завантажити сертифікат</v>
      </c>
    </row>
    <row r="4354" spans="1:5" x14ac:dyDescent="0.3">
      <c r="A4354" s="2" t="s">
        <v>8888</v>
      </c>
      <c r="B4354" s="2" t="s">
        <v>5</v>
      </c>
      <c r="C4354" s="2" t="s">
        <v>8889</v>
      </c>
      <c r="D4354" s="2" t="s">
        <v>8877</v>
      </c>
      <c r="E4354" s="2" t="str">
        <f>HYPERLINK("https://talan.bank.gov.ua/get-user-certificate/sec1esQTfZHDH1D7gbf7","Завантажити сертифікат")</f>
        <v>Завантажити сертифікат</v>
      </c>
    </row>
    <row r="4355" spans="1:5" x14ac:dyDescent="0.3">
      <c r="A4355" s="2" t="s">
        <v>8890</v>
      </c>
      <c r="B4355" s="2" t="s">
        <v>5</v>
      </c>
      <c r="C4355" s="2" t="s">
        <v>8891</v>
      </c>
      <c r="D4355" s="2" t="s">
        <v>8877</v>
      </c>
      <c r="E4355" s="2" t="str">
        <f>HYPERLINK("https://talan.bank.gov.ua/get-user-certificate/sec1eYWhv7TyTh805CSm","Завантажити сертифікат")</f>
        <v>Завантажити сертифікат</v>
      </c>
    </row>
    <row r="4356" spans="1:5" x14ac:dyDescent="0.3">
      <c r="A4356" s="2" t="s">
        <v>8892</v>
      </c>
      <c r="B4356" s="2" t="s">
        <v>5</v>
      </c>
      <c r="C4356" s="2" t="s">
        <v>8893</v>
      </c>
      <c r="D4356" s="2" t="s">
        <v>8877</v>
      </c>
      <c r="E4356" s="2" t="str">
        <f>HYPERLINK("https://talan.bank.gov.ua/get-user-certificate/sec1eBymvPvh7QnKWiR8","Завантажити сертифікат")</f>
        <v>Завантажити сертифікат</v>
      </c>
    </row>
    <row r="4357" spans="1:5" x14ac:dyDescent="0.3">
      <c r="A4357" s="2" t="s">
        <v>8894</v>
      </c>
      <c r="B4357" s="2" t="s">
        <v>5</v>
      </c>
      <c r="C4357" s="2" t="s">
        <v>8895</v>
      </c>
      <c r="D4357" s="2" t="s">
        <v>8877</v>
      </c>
      <c r="E4357" s="2" t="str">
        <f>HYPERLINK("https://talan.bank.gov.ua/get-user-certificate/sec1eYlw_9pBQqX0NjYM","Завантажити сертифікат")</f>
        <v>Завантажити сертифікат</v>
      </c>
    </row>
    <row r="4358" spans="1:5" x14ac:dyDescent="0.3">
      <c r="A4358" s="2" t="s">
        <v>8896</v>
      </c>
      <c r="B4358" s="2" t="s">
        <v>5</v>
      </c>
      <c r="C4358" s="2" t="s">
        <v>8897</v>
      </c>
      <c r="D4358" s="2" t="s">
        <v>8877</v>
      </c>
      <c r="E4358" s="2" t="str">
        <f>HYPERLINK("https://talan.bank.gov.ua/get-user-certificate/sec1eyA2qpdRZZRFkCuc","Завантажити сертифікат")</f>
        <v>Завантажити сертифікат</v>
      </c>
    </row>
    <row r="4359" spans="1:5" x14ac:dyDescent="0.3">
      <c r="A4359" s="2" t="s">
        <v>8898</v>
      </c>
      <c r="B4359" s="2" t="s">
        <v>5</v>
      </c>
      <c r="C4359" s="2" t="s">
        <v>8899</v>
      </c>
      <c r="D4359" s="2" t="s">
        <v>8877</v>
      </c>
      <c r="E4359" s="2" t="str">
        <f>HYPERLINK("https://talan.bank.gov.ua/get-user-certificate/sec1ewirbjAmmEAlxZ5U","Завантажити сертифікат")</f>
        <v>Завантажити сертифікат</v>
      </c>
    </row>
    <row r="4360" spans="1:5" x14ac:dyDescent="0.3">
      <c r="A4360" s="2" t="s">
        <v>8900</v>
      </c>
      <c r="B4360" s="2" t="s">
        <v>5</v>
      </c>
      <c r="C4360" s="2" t="s">
        <v>8901</v>
      </c>
      <c r="D4360" s="2" t="s">
        <v>8877</v>
      </c>
      <c r="E4360" s="2" t="str">
        <f>HYPERLINK("https://talan.bank.gov.ua/get-user-certificate/sec1e5tX6ELFW3N16Uss","Завантажити сертифікат")</f>
        <v>Завантажити сертифікат</v>
      </c>
    </row>
    <row r="4361" spans="1:5" x14ac:dyDescent="0.3">
      <c r="A4361" s="2" t="s">
        <v>8902</v>
      </c>
      <c r="B4361" s="2" t="s">
        <v>5</v>
      </c>
      <c r="C4361" s="2" t="s">
        <v>8903</v>
      </c>
      <c r="D4361" s="2" t="s">
        <v>8877</v>
      </c>
      <c r="E4361" s="2" t="str">
        <f>HYPERLINK("https://talan.bank.gov.ua/get-user-certificate/sec1e-03J62reqcSCVUP","Завантажити сертифікат")</f>
        <v>Завантажити сертифікат</v>
      </c>
    </row>
    <row r="4362" spans="1:5" x14ac:dyDescent="0.3">
      <c r="A4362" s="2" t="s">
        <v>8904</v>
      </c>
      <c r="B4362" s="2" t="s">
        <v>5</v>
      </c>
      <c r="C4362" s="2" t="s">
        <v>8905</v>
      </c>
      <c r="D4362" s="2" t="s">
        <v>8877</v>
      </c>
      <c r="E4362" s="2" t="str">
        <f>HYPERLINK("https://talan.bank.gov.ua/get-user-certificate/sec1evFcweTE2S5Atwd_","Завантажити сертифікат")</f>
        <v>Завантажити сертифікат</v>
      </c>
    </row>
    <row r="4363" spans="1:5" x14ac:dyDescent="0.3">
      <c r="A4363" s="2" t="s">
        <v>8906</v>
      </c>
      <c r="B4363" s="2" t="s">
        <v>5</v>
      </c>
      <c r="C4363" s="2" t="s">
        <v>8907</v>
      </c>
      <c r="D4363" s="2" t="s">
        <v>8877</v>
      </c>
      <c r="E4363" s="2" t="str">
        <f>HYPERLINK("https://talan.bank.gov.ua/get-user-certificate/sec1ePcychleh-CA0WdA","Завантажити сертифікат")</f>
        <v>Завантажити сертифікат</v>
      </c>
    </row>
    <row r="4364" spans="1:5" x14ac:dyDescent="0.3">
      <c r="A4364" s="2" t="s">
        <v>8908</v>
      </c>
      <c r="B4364" s="2" t="s">
        <v>5</v>
      </c>
      <c r="C4364" s="2" t="s">
        <v>8909</v>
      </c>
      <c r="D4364" s="2" t="s">
        <v>8877</v>
      </c>
      <c r="E4364" s="2" t="str">
        <f>HYPERLINK("https://talan.bank.gov.ua/get-user-certificate/sec1e-vc4n7n8yd_92GU","Завантажити сертифікат")</f>
        <v>Завантажити сертифікат</v>
      </c>
    </row>
    <row r="4365" spans="1:5" x14ac:dyDescent="0.3">
      <c r="A4365" s="2" t="s">
        <v>8910</v>
      </c>
      <c r="B4365" s="2" t="s">
        <v>5</v>
      </c>
      <c r="C4365" s="2" t="s">
        <v>8911</v>
      </c>
      <c r="D4365" s="2" t="s">
        <v>8877</v>
      </c>
      <c r="E4365" s="2" t="str">
        <f>HYPERLINK("https://talan.bank.gov.ua/get-user-certificate/sec1eRAuwPcxuyUVQoWA","Завантажити сертифікат")</f>
        <v>Завантажити сертифікат</v>
      </c>
    </row>
    <row r="4366" spans="1:5" x14ac:dyDescent="0.3">
      <c r="A4366" s="2" t="s">
        <v>8912</v>
      </c>
      <c r="B4366" s="2" t="s">
        <v>5</v>
      </c>
      <c r="C4366" s="2" t="s">
        <v>8913</v>
      </c>
      <c r="D4366" s="2" t="s">
        <v>8877</v>
      </c>
      <c r="E4366" s="2" t="str">
        <f>HYPERLINK("https://talan.bank.gov.ua/get-user-certificate/sec1eZSoJX7KuJQytTZO","Завантажити сертифікат")</f>
        <v>Завантажити сертифікат</v>
      </c>
    </row>
    <row r="4367" spans="1:5" x14ac:dyDescent="0.3">
      <c r="A4367" s="2" t="s">
        <v>8914</v>
      </c>
      <c r="B4367" s="2" t="s">
        <v>5</v>
      </c>
      <c r="C4367" s="2" t="s">
        <v>8915</v>
      </c>
      <c r="D4367" s="2" t="s">
        <v>8877</v>
      </c>
      <c r="E4367" s="2" t="str">
        <f>HYPERLINK("https://talan.bank.gov.ua/get-user-certificate/sec1e6-ibKXFHgLpQmwz","Завантажити сертифікат")</f>
        <v>Завантажити сертифікат</v>
      </c>
    </row>
    <row r="4368" spans="1:5" x14ac:dyDescent="0.3">
      <c r="A4368" s="2" t="s">
        <v>8916</v>
      </c>
      <c r="B4368" s="2" t="s">
        <v>5</v>
      </c>
      <c r="C4368" s="2" t="s">
        <v>8917</v>
      </c>
      <c r="D4368" s="2" t="s">
        <v>8877</v>
      </c>
      <c r="E4368" s="2" t="str">
        <f>HYPERLINK("https://talan.bank.gov.ua/get-user-certificate/sec1eXjVKh8JzpAh9Dpa","Завантажити сертифікат")</f>
        <v>Завантажити сертифікат</v>
      </c>
    </row>
    <row r="4369" spans="1:5" x14ac:dyDescent="0.3">
      <c r="A4369" s="2" t="s">
        <v>8918</v>
      </c>
      <c r="B4369" s="2" t="s">
        <v>5</v>
      </c>
      <c r="C4369" s="2" t="s">
        <v>8919</v>
      </c>
      <c r="D4369" s="2" t="s">
        <v>8877</v>
      </c>
      <c r="E4369" s="2" t="str">
        <f>HYPERLINK("https://talan.bank.gov.ua/get-user-certificate/sec1eKyFgKXivkSnSCjz","Завантажити сертифікат")</f>
        <v>Завантажити сертифікат</v>
      </c>
    </row>
    <row r="4370" spans="1:5" x14ac:dyDescent="0.3">
      <c r="A4370" s="2" t="s">
        <v>8920</v>
      </c>
      <c r="B4370" s="2" t="s">
        <v>5</v>
      </c>
      <c r="C4370" s="2" t="s">
        <v>8921</v>
      </c>
      <c r="D4370" s="2" t="s">
        <v>8877</v>
      </c>
      <c r="E4370" s="2" t="str">
        <f>HYPERLINK("https://talan.bank.gov.ua/get-user-certificate/sec1eZhpH9whIpEkq28T","Завантажити сертифікат")</f>
        <v>Завантажити сертифікат</v>
      </c>
    </row>
    <row r="4371" spans="1:5" x14ac:dyDescent="0.3">
      <c r="A4371" s="2" t="s">
        <v>8922</v>
      </c>
      <c r="B4371" s="2" t="s">
        <v>5</v>
      </c>
      <c r="C4371" s="2" t="s">
        <v>8923</v>
      </c>
      <c r="D4371" s="2" t="s">
        <v>8877</v>
      </c>
      <c r="E4371" s="2" t="str">
        <f>HYPERLINK("https://talan.bank.gov.ua/get-user-certificate/sec1eRu6-8IuUgpn6jLB","Завантажити сертифікат")</f>
        <v>Завантажити сертифікат</v>
      </c>
    </row>
    <row r="4372" spans="1:5" x14ac:dyDescent="0.3">
      <c r="A4372" s="2" t="s">
        <v>8924</v>
      </c>
      <c r="B4372" s="2" t="s">
        <v>5</v>
      </c>
      <c r="C4372" s="2" t="s">
        <v>8925</v>
      </c>
      <c r="D4372" s="2" t="s">
        <v>8877</v>
      </c>
      <c r="E4372" s="2" t="str">
        <f>HYPERLINK("https://talan.bank.gov.ua/get-user-certificate/sec1eDDzaxw5DBVyltcG","Завантажити сертифікат")</f>
        <v>Завантажити сертифікат</v>
      </c>
    </row>
    <row r="4373" spans="1:5" x14ac:dyDescent="0.3">
      <c r="A4373" s="2" t="s">
        <v>8926</v>
      </c>
      <c r="B4373" s="2" t="s">
        <v>5</v>
      </c>
      <c r="C4373" s="2" t="s">
        <v>8927</v>
      </c>
      <c r="D4373" s="2" t="s">
        <v>8877</v>
      </c>
      <c r="E4373" s="2" t="str">
        <f>HYPERLINK("https://talan.bank.gov.ua/get-user-certificate/sec1eC4Zl7Mp241IM381","Завантажити сертифікат")</f>
        <v>Завантажити сертифікат</v>
      </c>
    </row>
    <row r="4374" spans="1:5" x14ac:dyDescent="0.3">
      <c r="A4374" s="2" t="s">
        <v>8928</v>
      </c>
      <c r="B4374" s="2" t="s">
        <v>5</v>
      </c>
      <c r="C4374" s="2" t="s">
        <v>8929</v>
      </c>
      <c r="D4374" s="2" t="s">
        <v>8877</v>
      </c>
      <c r="E4374" s="2" t="str">
        <f>HYPERLINK("https://talan.bank.gov.ua/get-user-certificate/sec1eniC5UvDyXm8mlz9","Завантажити сертифікат")</f>
        <v>Завантажити сертифікат</v>
      </c>
    </row>
    <row r="4375" spans="1:5" x14ac:dyDescent="0.3">
      <c r="A4375" s="2" t="s">
        <v>8930</v>
      </c>
      <c r="B4375" s="2" t="s">
        <v>5</v>
      </c>
      <c r="C4375" s="2" t="s">
        <v>8931</v>
      </c>
      <c r="D4375" s="2" t="s">
        <v>8877</v>
      </c>
      <c r="E4375" s="2" t="str">
        <f>HYPERLINK("https://talan.bank.gov.ua/get-user-certificate/sec1eTKDDhosapGNqxvY","Завантажити сертифікат")</f>
        <v>Завантажити сертифікат</v>
      </c>
    </row>
    <row r="4376" spans="1:5" x14ac:dyDescent="0.3">
      <c r="A4376" s="2" t="s">
        <v>8932</v>
      </c>
      <c r="B4376" s="2" t="s">
        <v>5</v>
      </c>
      <c r="C4376" s="2" t="s">
        <v>8933</v>
      </c>
      <c r="D4376" s="2" t="s">
        <v>8877</v>
      </c>
      <c r="E4376" s="2" t="str">
        <f>HYPERLINK("https://talan.bank.gov.ua/get-user-certificate/sec1eEbrbPXID3dMgAt9","Завантажити сертифікат")</f>
        <v>Завантажити сертифікат</v>
      </c>
    </row>
    <row r="4377" spans="1:5" x14ac:dyDescent="0.3">
      <c r="A4377" s="2" t="s">
        <v>8934</v>
      </c>
      <c r="B4377" s="2" t="s">
        <v>5</v>
      </c>
      <c r="C4377" s="2" t="s">
        <v>8935</v>
      </c>
      <c r="D4377" s="2" t="s">
        <v>8877</v>
      </c>
      <c r="E4377" s="2" t="str">
        <f>HYPERLINK("https://talan.bank.gov.ua/get-user-certificate/sec1etFJhePFirhYshiy","Завантажити сертифікат")</f>
        <v>Завантажити сертифікат</v>
      </c>
    </row>
    <row r="4378" spans="1:5" x14ac:dyDescent="0.3">
      <c r="A4378" s="2" t="s">
        <v>8936</v>
      </c>
      <c r="B4378" s="2" t="s">
        <v>5</v>
      </c>
      <c r="C4378" s="2" t="s">
        <v>8937</v>
      </c>
      <c r="D4378" s="2" t="s">
        <v>8877</v>
      </c>
      <c r="E4378" s="2" t="str">
        <f>HYPERLINK("https://talan.bank.gov.ua/get-user-certificate/sec1eEqEWrGWTRKWgidU","Завантажити сертифікат")</f>
        <v>Завантажити сертифікат</v>
      </c>
    </row>
    <row r="4379" spans="1:5" x14ac:dyDescent="0.3">
      <c r="A4379" s="2" t="s">
        <v>8938</v>
      </c>
      <c r="B4379" s="2" t="s">
        <v>5</v>
      </c>
      <c r="C4379" s="2" t="s">
        <v>8939</v>
      </c>
      <c r="D4379" s="2" t="s">
        <v>8877</v>
      </c>
      <c r="E4379" s="2" t="str">
        <f>HYPERLINK("https://talan.bank.gov.ua/get-user-certificate/sec1eM4-zUMdsggD1VHG","Завантажити сертифікат")</f>
        <v>Завантажити сертифікат</v>
      </c>
    </row>
    <row r="4380" spans="1:5" x14ac:dyDescent="0.3">
      <c r="A4380" s="2" t="s">
        <v>8940</v>
      </c>
      <c r="B4380" s="2" t="s">
        <v>5</v>
      </c>
      <c r="C4380" s="2" t="s">
        <v>8941</v>
      </c>
      <c r="D4380" s="2" t="s">
        <v>8877</v>
      </c>
      <c r="E4380" s="2" t="str">
        <f>HYPERLINK("https://talan.bank.gov.ua/get-user-certificate/sec1eeg0te2TFSqSrP5I","Завантажити сертифікат")</f>
        <v>Завантажити сертифікат</v>
      </c>
    </row>
    <row r="4381" spans="1:5" x14ac:dyDescent="0.3">
      <c r="A4381" s="2" t="s">
        <v>8942</v>
      </c>
      <c r="B4381" s="2" t="s">
        <v>5</v>
      </c>
      <c r="C4381" s="2" t="s">
        <v>8943</v>
      </c>
      <c r="D4381" s="2" t="s">
        <v>8877</v>
      </c>
      <c r="E4381" s="2" t="str">
        <f>HYPERLINK("https://talan.bank.gov.ua/get-user-certificate/sec1eV10nlmCO6iEnF63","Завантажити сертифікат")</f>
        <v>Завантажити сертифікат</v>
      </c>
    </row>
    <row r="4382" spans="1:5" x14ac:dyDescent="0.3">
      <c r="A4382" s="2" t="s">
        <v>8944</v>
      </c>
      <c r="B4382" s="2" t="s">
        <v>5</v>
      </c>
      <c r="C4382" s="2" t="s">
        <v>8945</v>
      </c>
      <c r="D4382" s="2" t="s">
        <v>8877</v>
      </c>
      <c r="E4382" s="2" t="str">
        <f>HYPERLINK("https://talan.bank.gov.ua/get-user-certificate/sec1eSBhAzxwCLzBcObw","Завантажити сертифікат")</f>
        <v>Завантажити сертифікат</v>
      </c>
    </row>
    <row r="4383" spans="1:5" x14ac:dyDescent="0.3">
      <c r="A4383" s="2" t="s">
        <v>8946</v>
      </c>
      <c r="B4383" s="2" t="s">
        <v>5</v>
      </c>
      <c r="C4383" s="2" t="s">
        <v>8947</v>
      </c>
      <c r="D4383" s="2" t="s">
        <v>8877</v>
      </c>
      <c r="E4383" s="2" t="str">
        <f>HYPERLINK("https://talan.bank.gov.ua/get-user-certificate/sec1eFboK1nLuAdlcGmL","Завантажити сертифікат")</f>
        <v>Завантажити сертифікат</v>
      </c>
    </row>
    <row r="4384" spans="1:5" x14ac:dyDescent="0.3">
      <c r="A4384" s="2" t="s">
        <v>8948</v>
      </c>
      <c r="B4384" s="2" t="s">
        <v>5</v>
      </c>
      <c r="C4384" s="2" t="s">
        <v>8949</v>
      </c>
      <c r="D4384" s="2" t="s">
        <v>8877</v>
      </c>
      <c r="E4384" s="2" t="str">
        <f>HYPERLINK("https://talan.bank.gov.ua/get-user-certificate/sec1e9rYnKg3PCBSSZ0U","Завантажити сертифікат")</f>
        <v>Завантажити сертифікат</v>
      </c>
    </row>
    <row r="4385" spans="1:5" x14ac:dyDescent="0.3">
      <c r="A4385" s="2" t="s">
        <v>8950</v>
      </c>
      <c r="B4385" s="2" t="s">
        <v>5</v>
      </c>
      <c r="C4385" s="2" t="s">
        <v>8951</v>
      </c>
      <c r="D4385" s="2" t="s">
        <v>8877</v>
      </c>
      <c r="E4385" s="2" t="str">
        <f>HYPERLINK("https://talan.bank.gov.ua/get-user-certificate/sec1ehgrMtEAHj7HQxEM","Завантажити сертифікат")</f>
        <v>Завантажити сертифікат</v>
      </c>
    </row>
    <row r="4386" spans="1:5" x14ac:dyDescent="0.3">
      <c r="A4386" s="2" t="s">
        <v>8952</v>
      </c>
      <c r="B4386" s="2" t="s">
        <v>5</v>
      </c>
      <c r="C4386" s="2" t="s">
        <v>8953</v>
      </c>
      <c r="D4386" s="2" t="s">
        <v>8877</v>
      </c>
      <c r="E4386" s="2" t="str">
        <f>HYPERLINK("https://talan.bank.gov.ua/get-user-certificate/sec1eszu9mHKH2PXNmFu","Завантажити сертифікат")</f>
        <v>Завантажити сертифікат</v>
      </c>
    </row>
    <row r="4387" spans="1:5" x14ac:dyDescent="0.3">
      <c r="A4387" s="2" t="s">
        <v>8954</v>
      </c>
      <c r="B4387" s="2" t="s">
        <v>5</v>
      </c>
      <c r="C4387" s="2" t="s">
        <v>8955</v>
      </c>
      <c r="D4387" s="2" t="s">
        <v>8877</v>
      </c>
      <c r="E4387" s="2" t="str">
        <f>HYPERLINK("https://talan.bank.gov.ua/get-user-certificate/sec1eqlF4b7ce0hsQ9vt","Завантажити сертифікат")</f>
        <v>Завантажити сертифікат</v>
      </c>
    </row>
    <row r="4388" spans="1:5" x14ac:dyDescent="0.3">
      <c r="A4388" s="2" t="s">
        <v>8956</v>
      </c>
      <c r="B4388" s="2" t="s">
        <v>5</v>
      </c>
      <c r="C4388" s="2" t="s">
        <v>8957</v>
      </c>
      <c r="D4388" s="2" t="s">
        <v>8877</v>
      </c>
      <c r="E4388" s="2" t="str">
        <f>HYPERLINK("https://talan.bank.gov.ua/get-user-certificate/sec1eJxrDprz2UVLTEwK","Завантажити сертифікат")</f>
        <v>Завантажити сертифікат</v>
      </c>
    </row>
    <row r="4389" spans="1:5" x14ac:dyDescent="0.3">
      <c r="A4389" s="2" t="s">
        <v>8958</v>
      </c>
      <c r="B4389" s="2" t="s">
        <v>5</v>
      </c>
      <c r="C4389" s="2" t="s">
        <v>8959</v>
      </c>
      <c r="D4389" s="2" t="s">
        <v>8877</v>
      </c>
      <c r="E4389" s="2" t="str">
        <f>HYPERLINK("https://talan.bank.gov.ua/get-user-certificate/sec1eVs3KJKW2VWr3jWV","Завантажити сертифікат")</f>
        <v>Завантажити сертифікат</v>
      </c>
    </row>
    <row r="4390" spans="1:5" x14ac:dyDescent="0.3">
      <c r="A4390" s="2" t="s">
        <v>8960</v>
      </c>
      <c r="B4390" s="2" t="s">
        <v>5</v>
      </c>
      <c r="C4390" s="2" t="s">
        <v>8961</v>
      </c>
      <c r="D4390" s="2" t="s">
        <v>8877</v>
      </c>
      <c r="E4390" s="2" t="str">
        <f>HYPERLINK("https://talan.bank.gov.ua/get-user-certificate/sec1e8P_R9L8jDYnD6Od","Завантажити сертифікат")</f>
        <v>Завантажити сертифікат</v>
      </c>
    </row>
    <row r="4391" spans="1:5" x14ac:dyDescent="0.3">
      <c r="A4391" s="2" t="s">
        <v>8962</v>
      </c>
      <c r="B4391" s="2" t="s">
        <v>5</v>
      </c>
      <c r="C4391" s="2" t="s">
        <v>8963</v>
      </c>
      <c r="D4391" s="2" t="s">
        <v>8877</v>
      </c>
      <c r="E4391" s="2" t="str">
        <f>HYPERLINK("https://talan.bank.gov.ua/get-user-certificate/sec1etf8qXc2kaaEgM7V","Завантажити сертифікат")</f>
        <v>Завантажити сертифікат</v>
      </c>
    </row>
    <row r="4392" spans="1:5" x14ac:dyDescent="0.3">
      <c r="A4392" s="2" t="s">
        <v>8964</v>
      </c>
      <c r="B4392" s="2" t="s">
        <v>5</v>
      </c>
      <c r="C4392" s="2" t="s">
        <v>8965</v>
      </c>
      <c r="D4392" s="2" t="s">
        <v>8877</v>
      </c>
      <c r="E4392" s="2" t="str">
        <f>HYPERLINK("https://talan.bank.gov.ua/get-user-certificate/sec1eqwQYBB9Z4f0tXCZ","Завантажити сертифікат")</f>
        <v>Завантажити сертифікат</v>
      </c>
    </row>
    <row r="4393" spans="1:5" x14ac:dyDescent="0.3">
      <c r="A4393" s="2" t="s">
        <v>8966</v>
      </c>
      <c r="B4393" s="2" t="s">
        <v>5</v>
      </c>
      <c r="C4393" s="2" t="s">
        <v>8967</v>
      </c>
      <c r="D4393" s="2" t="s">
        <v>8877</v>
      </c>
      <c r="E4393" s="2" t="str">
        <f>HYPERLINK("https://talan.bank.gov.ua/get-user-certificate/sec1ejEdfWU8g732FW-b","Завантажити сертифікат")</f>
        <v>Завантажити сертифікат</v>
      </c>
    </row>
    <row r="4394" spans="1:5" x14ac:dyDescent="0.3">
      <c r="A4394" s="2" t="s">
        <v>8968</v>
      </c>
      <c r="B4394" s="2" t="s">
        <v>5</v>
      </c>
      <c r="C4394" s="2" t="s">
        <v>8969</v>
      </c>
      <c r="D4394" s="2" t="s">
        <v>8877</v>
      </c>
      <c r="E4394" s="2" t="str">
        <f>HYPERLINK("https://talan.bank.gov.ua/get-user-certificate/sec1eHV90lJohjeag9MM","Завантажити сертифікат")</f>
        <v>Завантажити сертифікат</v>
      </c>
    </row>
    <row r="4395" spans="1:5" x14ac:dyDescent="0.3">
      <c r="A4395" s="2" t="s">
        <v>8970</v>
      </c>
      <c r="B4395" s="2" t="s">
        <v>5</v>
      </c>
      <c r="C4395" s="2" t="s">
        <v>8971</v>
      </c>
      <c r="D4395" s="2" t="s">
        <v>8877</v>
      </c>
      <c r="E4395" s="2" t="str">
        <f>HYPERLINK("https://talan.bank.gov.ua/get-user-certificate/sec1eKKWZy153PeMYCdl","Завантажити сертифікат")</f>
        <v>Завантажити сертифікат</v>
      </c>
    </row>
    <row r="4396" spans="1:5" x14ac:dyDescent="0.3">
      <c r="A4396" s="2" t="s">
        <v>8972</v>
      </c>
      <c r="B4396" s="2" t="s">
        <v>5</v>
      </c>
      <c r="C4396" s="2" t="s">
        <v>8973</v>
      </c>
      <c r="D4396" s="2" t="s">
        <v>8877</v>
      </c>
      <c r="E4396" s="2" t="str">
        <f>HYPERLINK("https://talan.bank.gov.ua/get-user-certificate/sec1ecsfB5UFgmPLMsQS","Завантажити сертифікат")</f>
        <v>Завантажити сертифікат</v>
      </c>
    </row>
    <row r="4397" spans="1:5" x14ac:dyDescent="0.3">
      <c r="A4397" s="2" t="s">
        <v>8974</v>
      </c>
      <c r="B4397" s="2" t="s">
        <v>5</v>
      </c>
      <c r="C4397" s="2" t="s">
        <v>8975</v>
      </c>
      <c r="D4397" s="2" t="s">
        <v>8877</v>
      </c>
      <c r="E4397" s="2" t="str">
        <f>HYPERLINK("https://talan.bank.gov.ua/get-user-certificate/sec1eP520Tfc8iqx52Z_","Завантажити сертифікат")</f>
        <v>Завантажити сертифікат</v>
      </c>
    </row>
    <row r="4398" spans="1:5" x14ac:dyDescent="0.3">
      <c r="A4398" s="2" t="s">
        <v>8976</v>
      </c>
      <c r="B4398" s="2" t="s">
        <v>5</v>
      </c>
      <c r="C4398" s="2" t="s">
        <v>8977</v>
      </c>
      <c r="D4398" s="2" t="s">
        <v>8877</v>
      </c>
      <c r="E4398" s="2" t="str">
        <f>HYPERLINK("https://talan.bank.gov.ua/get-user-certificate/sec1eiulUDKZRbPYm2Gh","Завантажити сертифікат")</f>
        <v>Завантажити сертифікат</v>
      </c>
    </row>
    <row r="4399" spans="1:5" x14ac:dyDescent="0.3">
      <c r="A4399" s="2" t="s">
        <v>8978</v>
      </c>
      <c r="B4399" s="2" t="s">
        <v>5</v>
      </c>
      <c r="C4399" s="2" t="s">
        <v>8979</v>
      </c>
      <c r="D4399" s="2" t="s">
        <v>8877</v>
      </c>
      <c r="E4399" s="2" t="str">
        <f>HYPERLINK("https://talan.bank.gov.ua/get-user-certificate/sec1eVk-60cn0_Neuk4Z","Завантажити сертифікат")</f>
        <v>Завантажити сертифікат</v>
      </c>
    </row>
    <row r="4400" spans="1:5" x14ac:dyDescent="0.3">
      <c r="A4400" s="2" t="s">
        <v>8980</v>
      </c>
      <c r="B4400" s="2" t="s">
        <v>5</v>
      </c>
      <c r="C4400" s="2" t="s">
        <v>8981</v>
      </c>
      <c r="D4400" s="2" t="s">
        <v>8877</v>
      </c>
      <c r="E4400" s="2" t="str">
        <f>HYPERLINK("https://talan.bank.gov.ua/get-user-certificate/sec1esFb-xZ4qKa3H4yh","Завантажити сертифікат")</f>
        <v>Завантажити сертифікат</v>
      </c>
    </row>
    <row r="4401" spans="1:5" x14ac:dyDescent="0.3">
      <c r="A4401" s="2" t="s">
        <v>8982</v>
      </c>
      <c r="B4401" s="2" t="s">
        <v>5</v>
      </c>
      <c r="C4401" s="2" t="s">
        <v>8983</v>
      </c>
      <c r="D4401" s="2" t="s">
        <v>8877</v>
      </c>
      <c r="E4401" s="2" t="str">
        <f>HYPERLINK("https://talan.bank.gov.ua/get-user-certificate/sec1eZkuSzIuM6LpPa2z","Завантажити сертифікат")</f>
        <v>Завантажити сертифікат</v>
      </c>
    </row>
    <row r="4402" spans="1:5" x14ac:dyDescent="0.3">
      <c r="A4402" s="2" t="s">
        <v>8984</v>
      </c>
      <c r="B4402" s="2" t="s">
        <v>5</v>
      </c>
      <c r="C4402" s="2" t="s">
        <v>8985</v>
      </c>
      <c r="D4402" s="2" t="s">
        <v>8877</v>
      </c>
      <c r="E4402" s="2" t="str">
        <f>HYPERLINK("https://talan.bank.gov.ua/get-user-certificate/sec1eYoJIFtay1e9ZeEc","Завантажити сертифікат")</f>
        <v>Завантажити сертифікат</v>
      </c>
    </row>
    <row r="4403" spans="1:5" x14ac:dyDescent="0.3">
      <c r="A4403" s="2" t="s">
        <v>8986</v>
      </c>
      <c r="B4403" s="2" t="s">
        <v>5</v>
      </c>
      <c r="C4403" s="2" t="s">
        <v>8987</v>
      </c>
      <c r="D4403" s="2" t="s">
        <v>8877</v>
      </c>
      <c r="E4403" s="2" t="str">
        <f>HYPERLINK("https://talan.bank.gov.ua/get-user-certificate/sec1etwE-OsMt8RrrqVL","Завантажити сертифікат")</f>
        <v>Завантажити сертифікат</v>
      </c>
    </row>
    <row r="4404" spans="1:5" x14ac:dyDescent="0.3">
      <c r="A4404" s="2" t="s">
        <v>8988</v>
      </c>
      <c r="B4404" s="2" t="s">
        <v>5</v>
      </c>
      <c r="C4404" s="2" t="s">
        <v>8989</v>
      </c>
      <c r="D4404" s="2" t="s">
        <v>8877</v>
      </c>
      <c r="E4404" s="2" t="str">
        <f>HYPERLINK("https://talan.bank.gov.ua/get-user-certificate/sec1eNefP7GNq1fZCQur","Завантажити сертифікат")</f>
        <v>Завантажити сертифікат</v>
      </c>
    </row>
    <row r="4405" spans="1:5" x14ac:dyDescent="0.3">
      <c r="A4405" s="2" t="s">
        <v>8990</v>
      </c>
      <c r="B4405" s="2" t="s">
        <v>5</v>
      </c>
      <c r="C4405" s="2" t="s">
        <v>8991</v>
      </c>
      <c r="D4405" s="2" t="s">
        <v>8877</v>
      </c>
      <c r="E4405" s="2" t="str">
        <f>HYPERLINK("https://talan.bank.gov.ua/get-user-certificate/sec1esN8XK8ZNJco3x8Q","Завантажити сертифікат")</f>
        <v>Завантажити сертифікат</v>
      </c>
    </row>
    <row r="4406" spans="1:5" x14ac:dyDescent="0.3">
      <c r="A4406" s="2" t="s">
        <v>8992</v>
      </c>
      <c r="B4406" s="2" t="s">
        <v>5</v>
      </c>
      <c r="C4406" s="2" t="s">
        <v>8993</v>
      </c>
      <c r="D4406" s="2" t="s">
        <v>8877</v>
      </c>
      <c r="E4406" s="2" t="str">
        <f>HYPERLINK("https://talan.bank.gov.ua/get-user-certificate/sec1e8squlqxr1BdBlgx","Завантажити сертифікат")</f>
        <v>Завантажити сертифікат</v>
      </c>
    </row>
    <row r="4407" spans="1:5" x14ac:dyDescent="0.3">
      <c r="A4407" s="2" t="s">
        <v>8994</v>
      </c>
      <c r="B4407" s="2" t="s">
        <v>5</v>
      </c>
      <c r="C4407" s="2" t="s">
        <v>8995</v>
      </c>
      <c r="D4407" s="2" t="s">
        <v>8877</v>
      </c>
      <c r="E4407" s="2" t="str">
        <f>HYPERLINK("https://talan.bank.gov.ua/get-user-certificate/sec1eOXTcxI3re3DfNhI","Завантажити сертифікат")</f>
        <v>Завантажити сертифікат</v>
      </c>
    </row>
    <row r="4408" spans="1:5" x14ac:dyDescent="0.3">
      <c r="A4408" s="2" t="s">
        <v>8996</v>
      </c>
      <c r="B4408" s="2" t="s">
        <v>5</v>
      </c>
      <c r="C4408" s="2" t="s">
        <v>8997</v>
      </c>
      <c r="D4408" s="2" t="s">
        <v>8877</v>
      </c>
      <c r="E4408" s="2" t="str">
        <f>HYPERLINK("https://talan.bank.gov.ua/get-user-certificate/sec1enXIle56W2d8HiuZ","Завантажити сертифікат")</f>
        <v>Завантажити сертифікат</v>
      </c>
    </row>
    <row r="4409" spans="1:5" x14ac:dyDescent="0.3">
      <c r="A4409" s="2" t="s">
        <v>8998</v>
      </c>
      <c r="B4409" s="2" t="s">
        <v>5</v>
      </c>
      <c r="C4409" s="2" t="s">
        <v>8999</v>
      </c>
      <c r="D4409" s="2" t="s">
        <v>8877</v>
      </c>
      <c r="E4409" s="2" t="str">
        <f>HYPERLINK("https://talan.bank.gov.ua/get-user-certificate/sec1eT5_IH-4n21ShBLq","Завантажити сертифікат")</f>
        <v>Завантажити сертифікат</v>
      </c>
    </row>
    <row r="4410" spans="1:5" x14ac:dyDescent="0.3">
      <c r="A4410" s="2" t="s">
        <v>9000</v>
      </c>
      <c r="B4410" s="2" t="s">
        <v>5</v>
      </c>
      <c r="C4410" s="2" t="s">
        <v>9001</v>
      </c>
      <c r="D4410" s="2" t="s">
        <v>8877</v>
      </c>
      <c r="E4410" s="2" t="str">
        <f>HYPERLINK("https://talan.bank.gov.ua/get-user-certificate/sec1eWMfdc_QGDVu8rcT","Завантажити сертифікат")</f>
        <v>Завантажити сертифікат</v>
      </c>
    </row>
    <row r="4411" spans="1:5" x14ac:dyDescent="0.3">
      <c r="A4411" s="2" t="s">
        <v>9002</v>
      </c>
      <c r="B4411" s="2" t="s">
        <v>5</v>
      </c>
      <c r="C4411" s="2" t="s">
        <v>9003</v>
      </c>
      <c r="D4411" s="2" t="s">
        <v>8877</v>
      </c>
      <c r="E4411" s="2" t="str">
        <f>HYPERLINK("https://talan.bank.gov.ua/get-user-certificate/sec1ehUJl0B1O6-s3Xpu","Завантажити сертифікат")</f>
        <v>Завантажити сертифікат</v>
      </c>
    </row>
    <row r="4412" spans="1:5" x14ac:dyDescent="0.3">
      <c r="A4412" s="2" t="s">
        <v>9004</v>
      </c>
      <c r="B4412" s="2" t="s">
        <v>5</v>
      </c>
      <c r="C4412" s="2" t="s">
        <v>9005</v>
      </c>
      <c r="D4412" s="2" t="s">
        <v>8877</v>
      </c>
      <c r="E4412" s="2" t="str">
        <f>HYPERLINK("https://talan.bank.gov.ua/get-user-certificate/sec1etucuDuC9eIUHtFf","Завантажити сертифікат")</f>
        <v>Завантажити сертифікат</v>
      </c>
    </row>
    <row r="4413" spans="1:5" x14ac:dyDescent="0.3">
      <c r="A4413" s="2" t="s">
        <v>9006</v>
      </c>
      <c r="B4413" s="2" t="s">
        <v>5</v>
      </c>
      <c r="C4413" s="2" t="s">
        <v>9007</v>
      </c>
      <c r="D4413" s="2" t="s">
        <v>8877</v>
      </c>
      <c r="E4413" s="2" t="str">
        <f>HYPERLINK("https://talan.bank.gov.ua/get-user-certificate/sec1eFe4p0_0RtZ4m1UU","Завантажити сертифікат")</f>
        <v>Завантажити сертифікат</v>
      </c>
    </row>
    <row r="4414" spans="1:5" x14ac:dyDescent="0.3">
      <c r="A4414" s="2" t="s">
        <v>9008</v>
      </c>
      <c r="B4414" s="2" t="s">
        <v>5</v>
      </c>
      <c r="C4414" s="2" t="s">
        <v>9009</v>
      </c>
      <c r="D4414" s="2" t="s">
        <v>8877</v>
      </c>
      <c r="E4414" s="2" t="str">
        <f>HYPERLINK("https://talan.bank.gov.ua/get-user-certificate/sec1eseZdCFMbDawu3rU","Завантажити сертифікат")</f>
        <v>Завантажити сертифікат</v>
      </c>
    </row>
    <row r="4415" spans="1:5" x14ac:dyDescent="0.3">
      <c r="A4415" s="2" t="s">
        <v>9010</v>
      </c>
      <c r="B4415" s="2" t="s">
        <v>5</v>
      </c>
      <c r="C4415" s="2" t="s">
        <v>9011</v>
      </c>
      <c r="D4415" s="2" t="s">
        <v>8877</v>
      </c>
      <c r="E4415" s="2" t="str">
        <f>HYPERLINK("https://talan.bank.gov.ua/get-user-certificate/sec1eR7KJ4QxGpn5tJng","Завантажити сертифікат")</f>
        <v>Завантажити сертифікат</v>
      </c>
    </row>
    <row r="4416" spans="1:5" x14ac:dyDescent="0.3">
      <c r="A4416" s="2" t="s">
        <v>9012</v>
      </c>
      <c r="B4416" s="2" t="s">
        <v>5</v>
      </c>
      <c r="C4416" s="2" t="s">
        <v>9013</v>
      </c>
      <c r="D4416" s="2" t="s">
        <v>8877</v>
      </c>
      <c r="E4416" s="2" t="str">
        <f>HYPERLINK("https://talan.bank.gov.ua/get-user-certificate/sec1epylAw5dN2W-2zaK","Завантажити сертифікат")</f>
        <v>Завантажити сертифікат</v>
      </c>
    </row>
    <row r="4417" spans="1:5" x14ac:dyDescent="0.3">
      <c r="A4417" s="2" t="s">
        <v>9014</v>
      </c>
      <c r="B4417" s="2" t="s">
        <v>5</v>
      </c>
      <c r="C4417" s="2" t="s">
        <v>9015</v>
      </c>
      <c r="D4417" s="2" t="s">
        <v>8877</v>
      </c>
      <c r="E4417" s="2" t="str">
        <f>HYPERLINK("https://talan.bank.gov.ua/get-user-certificate/sec1e_VlfTZSVbIm9MqJ","Завантажити сертифікат")</f>
        <v>Завантажити сертифікат</v>
      </c>
    </row>
    <row r="4418" spans="1:5" x14ac:dyDescent="0.3">
      <c r="A4418" s="2" t="s">
        <v>9016</v>
      </c>
      <c r="B4418" s="2" t="s">
        <v>5</v>
      </c>
      <c r="C4418" s="2" t="s">
        <v>9017</v>
      </c>
      <c r="D4418" s="2" t="s">
        <v>8877</v>
      </c>
      <c r="E4418" s="2" t="str">
        <f>HYPERLINK("https://talan.bank.gov.ua/get-user-certificate/sec1en9Wv0qT9kbonvGU","Завантажити сертифікат")</f>
        <v>Завантажити сертифікат</v>
      </c>
    </row>
    <row r="4419" spans="1:5" x14ac:dyDescent="0.3">
      <c r="A4419" s="2" t="s">
        <v>9018</v>
      </c>
      <c r="B4419" s="2" t="s">
        <v>5</v>
      </c>
      <c r="C4419" s="2" t="s">
        <v>9019</v>
      </c>
      <c r="D4419" s="2" t="s">
        <v>8877</v>
      </c>
      <c r="E4419" s="2" t="str">
        <f>HYPERLINK("https://talan.bank.gov.ua/get-user-certificate/sec1eScDGqx9BUaCeQJJ","Завантажити сертифікат")</f>
        <v>Завантажити сертифікат</v>
      </c>
    </row>
    <row r="4420" spans="1:5" x14ac:dyDescent="0.3">
      <c r="A4420" s="2" t="s">
        <v>9020</v>
      </c>
      <c r="B4420" s="2" t="s">
        <v>5</v>
      </c>
      <c r="C4420" s="2" t="s">
        <v>9021</v>
      </c>
      <c r="D4420" s="2" t="s">
        <v>8877</v>
      </c>
      <c r="E4420" s="2" t="str">
        <f>HYPERLINK("https://talan.bank.gov.ua/get-user-certificate/sec1e_hdM4FNRWq7-Lza","Завантажити сертифікат")</f>
        <v>Завантажити сертифікат</v>
      </c>
    </row>
    <row r="4421" spans="1:5" x14ac:dyDescent="0.3">
      <c r="A4421" s="2" t="s">
        <v>9022</v>
      </c>
      <c r="B4421" s="2" t="s">
        <v>5</v>
      </c>
      <c r="C4421" s="2" t="s">
        <v>9023</v>
      </c>
      <c r="D4421" s="2" t="s">
        <v>8877</v>
      </c>
      <c r="E4421" s="2" t="str">
        <f>HYPERLINK("https://talan.bank.gov.ua/get-user-certificate/sec1eAfIsJshY0USYsRW","Завантажити сертифікат")</f>
        <v>Завантажити сертифікат</v>
      </c>
    </row>
    <row r="4422" spans="1:5" x14ac:dyDescent="0.3">
      <c r="A4422" s="2" t="s">
        <v>9024</v>
      </c>
      <c r="B4422" s="2" t="s">
        <v>5</v>
      </c>
      <c r="C4422" s="2" t="s">
        <v>9025</v>
      </c>
      <c r="D4422" s="2" t="s">
        <v>8877</v>
      </c>
      <c r="E4422" s="2" t="str">
        <f>HYPERLINK("https://talan.bank.gov.ua/get-user-certificate/sec1e0lQHxbFh6xyqfMO","Завантажити сертифікат")</f>
        <v>Завантажити сертифікат</v>
      </c>
    </row>
    <row r="4423" spans="1:5" x14ac:dyDescent="0.3">
      <c r="A4423" s="2" t="s">
        <v>9026</v>
      </c>
      <c r="B4423" s="2" t="s">
        <v>5</v>
      </c>
      <c r="C4423" s="2" t="s">
        <v>9027</v>
      </c>
      <c r="D4423" s="2" t="s">
        <v>8877</v>
      </c>
      <c r="E4423" s="2" t="str">
        <f>HYPERLINK("https://talan.bank.gov.ua/get-user-certificate/sec1eOnBfJeoJoX8JRIC","Завантажити сертифікат")</f>
        <v>Завантажити сертифікат</v>
      </c>
    </row>
    <row r="4424" spans="1:5" x14ac:dyDescent="0.3">
      <c r="A4424" s="2" t="s">
        <v>9028</v>
      </c>
      <c r="B4424" s="2" t="s">
        <v>5</v>
      </c>
      <c r="C4424" s="2" t="s">
        <v>9029</v>
      </c>
      <c r="D4424" s="2" t="s">
        <v>8877</v>
      </c>
      <c r="E4424" s="2" t="str">
        <f>HYPERLINK("https://talan.bank.gov.ua/get-user-certificate/sec1eEtqjHvKLIUto6Ih","Завантажити сертифікат")</f>
        <v>Завантажити сертифікат</v>
      </c>
    </row>
    <row r="4425" spans="1:5" x14ac:dyDescent="0.3">
      <c r="A4425" s="2" t="s">
        <v>9030</v>
      </c>
      <c r="B4425" s="2" t="s">
        <v>5</v>
      </c>
      <c r="C4425" s="2" t="s">
        <v>9031</v>
      </c>
      <c r="D4425" s="2" t="s">
        <v>8877</v>
      </c>
      <c r="E4425" s="2" t="str">
        <f>HYPERLINK("https://talan.bank.gov.ua/get-user-certificate/sec1e_G-vwgEiN65kr_V","Завантажити сертифікат")</f>
        <v>Завантажити сертифікат</v>
      </c>
    </row>
    <row r="4426" spans="1:5" x14ac:dyDescent="0.3">
      <c r="A4426" s="2" t="s">
        <v>9032</v>
      </c>
      <c r="B4426" s="2" t="s">
        <v>5</v>
      </c>
      <c r="C4426" s="2" t="s">
        <v>9033</v>
      </c>
      <c r="D4426" s="2" t="s">
        <v>8877</v>
      </c>
      <c r="E4426" s="2" t="str">
        <f>HYPERLINK("https://talan.bank.gov.ua/get-user-certificate/sec1e2ZQ7nwIv3vAG2uq","Завантажити сертифікат")</f>
        <v>Завантажити сертифікат</v>
      </c>
    </row>
    <row r="4427" spans="1:5" x14ac:dyDescent="0.3">
      <c r="A4427" s="2" t="s">
        <v>9034</v>
      </c>
      <c r="B4427" s="2" t="s">
        <v>5</v>
      </c>
      <c r="C4427" s="2" t="s">
        <v>9035</v>
      </c>
      <c r="D4427" s="2" t="s">
        <v>8877</v>
      </c>
      <c r="E4427" s="2" t="str">
        <f>HYPERLINK("https://talan.bank.gov.ua/get-user-certificate/sec1ed9m9RKIoyKGJ2dd","Завантажити сертифікат")</f>
        <v>Завантажити сертифікат</v>
      </c>
    </row>
    <row r="4428" spans="1:5" x14ac:dyDescent="0.3">
      <c r="A4428" s="2" t="s">
        <v>9036</v>
      </c>
      <c r="B4428" s="2" t="s">
        <v>5</v>
      </c>
      <c r="C4428" s="2" t="s">
        <v>9037</v>
      </c>
      <c r="D4428" s="2" t="s">
        <v>8877</v>
      </c>
      <c r="E4428" s="2" t="str">
        <f>HYPERLINK("https://talan.bank.gov.ua/get-user-certificate/sec1ezEDXPix1ykAEoR-","Завантажити сертифікат")</f>
        <v>Завантажити сертифікат</v>
      </c>
    </row>
    <row r="4429" spans="1:5" x14ac:dyDescent="0.3">
      <c r="A4429" s="2" t="s">
        <v>9038</v>
      </c>
      <c r="B4429" s="2" t="s">
        <v>5</v>
      </c>
      <c r="C4429" s="2" t="s">
        <v>9039</v>
      </c>
      <c r="D4429" s="2" t="s">
        <v>8877</v>
      </c>
      <c r="E4429" s="2" t="str">
        <f>HYPERLINK("https://talan.bank.gov.ua/get-user-certificate/sec1e22NHmDRFS99phYz","Завантажити сертифікат")</f>
        <v>Завантажити сертифікат</v>
      </c>
    </row>
    <row r="4430" spans="1:5" x14ac:dyDescent="0.3">
      <c r="A4430" s="2" t="s">
        <v>9040</v>
      </c>
      <c r="B4430" s="2" t="s">
        <v>5</v>
      </c>
      <c r="C4430" s="2" t="s">
        <v>9041</v>
      </c>
      <c r="D4430" s="2" t="s">
        <v>8877</v>
      </c>
      <c r="E4430" s="2" t="str">
        <f>HYPERLINK("https://talan.bank.gov.ua/get-user-certificate/sec1eSt6SHtAE-nCRrnx","Завантажити сертифікат")</f>
        <v>Завантажити сертифікат</v>
      </c>
    </row>
    <row r="4431" spans="1:5" x14ac:dyDescent="0.3">
      <c r="A4431" s="2" t="s">
        <v>9042</v>
      </c>
      <c r="B4431" s="2" t="s">
        <v>5</v>
      </c>
      <c r="C4431" s="2" t="s">
        <v>9043</v>
      </c>
      <c r="D4431" s="2" t="s">
        <v>8877</v>
      </c>
      <c r="E4431" s="2" t="str">
        <f>HYPERLINK("https://talan.bank.gov.ua/get-user-certificate/sec1eYrmCHQS9vll6izX","Завантажити сертифікат")</f>
        <v>Завантажити сертифікат</v>
      </c>
    </row>
    <row r="4432" spans="1:5" x14ac:dyDescent="0.3">
      <c r="A4432" s="2" t="s">
        <v>9044</v>
      </c>
      <c r="B4432" s="2" t="s">
        <v>5</v>
      </c>
      <c r="C4432" s="2" t="s">
        <v>9045</v>
      </c>
      <c r="D4432" s="2" t="s">
        <v>8877</v>
      </c>
      <c r="E4432" s="2" t="str">
        <f>HYPERLINK("https://talan.bank.gov.ua/get-user-certificate/sec1eJ0HSFsqw8RKOJxR","Завантажити сертифікат")</f>
        <v>Завантажити сертифікат</v>
      </c>
    </row>
    <row r="4433" spans="1:5" x14ac:dyDescent="0.3">
      <c r="A4433" s="2" t="s">
        <v>9046</v>
      </c>
      <c r="B4433" s="2" t="s">
        <v>5</v>
      </c>
      <c r="C4433" s="2" t="s">
        <v>9047</v>
      </c>
      <c r="D4433" s="2" t="s">
        <v>8877</v>
      </c>
      <c r="E4433" s="2" t="str">
        <f>HYPERLINK("https://talan.bank.gov.ua/get-user-certificate/sec1eTHCynw__yjyWU-d","Завантажити сертифікат")</f>
        <v>Завантажити сертифікат</v>
      </c>
    </row>
    <row r="4434" spans="1:5" x14ac:dyDescent="0.3">
      <c r="A4434" s="2" t="s">
        <v>9048</v>
      </c>
      <c r="B4434" s="2" t="s">
        <v>5</v>
      </c>
      <c r="C4434" s="2" t="s">
        <v>9049</v>
      </c>
      <c r="D4434" s="2" t="s">
        <v>8877</v>
      </c>
      <c r="E4434" s="2" t="str">
        <f>HYPERLINK("https://talan.bank.gov.ua/get-user-certificate/sec1ey68GESH7bxVyQ8K","Завантажити сертифікат")</f>
        <v>Завантажити сертифікат</v>
      </c>
    </row>
    <row r="4435" spans="1:5" x14ac:dyDescent="0.3">
      <c r="A4435" s="2" t="s">
        <v>9050</v>
      </c>
      <c r="B4435" s="2" t="s">
        <v>5</v>
      </c>
      <c r="C4435" s="2" t="s">
        <v>9051</v>
      </c>
      <c r="D4435" s="2" t="s">
        <v>8877</v>
      </c>
      <c r="E4435" s="2" t="str">
        <f>HYPERLINK("https://talan.bank.gov.ua/get-user-certificate/sec1ebdqTlmZTDvRk045","Завантажити сертифікат")</f>
        <v>Завантажити сертифікат</v>
      </c>
    </row>
    <row r="4436" spans="1:5" x14ac:dyDescent="0.3">
      <c r="A4436" s="2" t="s">
        <v>9052</v>
      </c>
      <c r="B4436" s="2" t="s">
        <v>5</v>
      </c>
      <c r="C4436" s="2" t="s">
        <v>9053</v>
      </c>
      <c r="D4436" s="2" t="s">
        <v>8877</v>
      </c>
      <c r="E4436" s="2" t="str">
        <f>HYPERLINK("https://talan.bank.gov.ua/get-user-certificate/sec1eW9BOxGFa8535tl9","Завантажити сертифікат")</f>
        <v>Завантажити сертифікат</v>
      </c>
    </row>
    <row r="4437" spans="1:5" x14ac:dyDescent="0.3">
      <c r="A4437" s="2" t="s">
        <v>9054</v>
      </c>
      <c r="B4437" s="2" t="s">
        <v>5</v>
      </c>
      <c r="C4437" s="2" t="s">
        <v>9055</v>
      </c>
      <c r="D4437" s="2" t="s">
        <v>8877</v>
      </c>
      <c r="E4437" s="2" t="str">
        <f>HYPERLINK("https://talan.bank.gov.ua/get-user-certificate/sec1ep_QtvF_XRZ11th5","Завантажити сертифікат")</f>
        <v>Завантажити сертифікат</v>
      </c>
    </row>
    <row r="4438" spans="1:5" x14ac:dyDescent="0.3">
      <c r="A4438" s="2" t="s">
        <v>9056</v>
      </c>
      <c r="B4438" s="2" t="s">
        <v>5</v>
      </c>
      <c r="C4438" s="2" t="s">
        <v>9057</v>
      </c>
      <c r="D4438" s="2" t="s">
        <v>8877</v>
      </c>
      <c r="E4438" s="2" t="str">
        <f>HYPERLINK("https://talan.bank.gov.ua/get-user-certificate/sec1eyL9GqVtIcNlj1sT","Завантажити сертифікат")</f>
        <v>Завантажити сертифікат</v>
      </c>
    </row>
    <row r="4439" spans="1:5" x14ac:dyDescent="0.3">
      <c r="A4439" s="2" t="s">
        <v>9058</v>
      </c>
      <c r="B4439" s="2" t="s">
        <v>5</v>
      </c>
      <c r="C4439" s="2" t="s">
        <v>9059</v>
      </c>
      <c r="D4439" s="2" t="s">
        <v>8877</v>
      </c>
      <c r="E4439" s="2" t="str">
        <f>HYPERLINK("https://talan.bank.gov.ua/get-user-certificate/sec1ef9IBMo7zFmui_H4","Завантажити сертифікат")</f>
        <v>Завантажити сертифікат</v>
      </c>
    </row>
    <row r="4440" spans="1:5" x14ac:dyDescent="0.3">
      <c r="A4440" s="2" t="s">
        <v>9060</v>
      </c>
      <c r="B4440" s="2" t="s">
        <v>5</v>
      </c>
      <c r="C4440" s="2" t="s">
        <v>9061</v>
      </c>
      <c r="D4440" s="2" t="s">
        <v>8877</v>
      </c>
      <c r="E4440" s="2" t="str">
        <f>HYPERLINK("https://talan.bank.gov.ua/get-user-certificate/sec1ebzu17Oib71MMR-U","Завантажити сертифікат")</f>
        <v>Завантажити сертифікат</v>
      </c>
    </row>
    <row r="4441" spans="1:5" x14ac:dyDescent="0.3">
      <c r="A4441" s="2" t="s">
        <v>9062</v>
      </c>
      <c r="B4441" s="2" t="s">
        <v>5</v>
      </c>
      <c r="C4441" s="2" t="s">
        <v>9063</v>
      </c>
      <c r="D4441" s="2" t="s">
        <v>8877</v>
      </c>
      <c r="E4441" s="2" t="str">
        <f>HYPERLINK("https://talan.bank.gov.ua/get-user-certificate/sec1eBmSozEKim_dUu6u","Завантажити сертифікат")</f>
        <v>Завантажити сертифікат</v>
      </c>
    </row>
    <row r="4442" spans="1:5" x14ac:dyDescent="0.3">
      <c r="A4442" s="2" t="s">
        <v>9064</v>
      </c>
      <c r="B4442" s="2" t="s">
        <v>5</v>
      </c>
      <c r="C4442" s="2" t="s">
        <v>9065</v>
      </c>
      <c r="D4442" s="2" t="s">
        <v>8877</v>
      </c>
      <c r="E4442" s="2" t="str">
        <f>HYPERLINK("https://talan.bank.gov.ua/get-user-certificate/sec1e1DIANRPkklLhAwp","Завантажити сертифікат")</f>
        <v>Завантажити сертифікат</v>
      </c>
    </row>
    <row r="4443" spans="1:5" x14ac:dyDescent="0.3">
      <c r="A4443" s="2" t="s">
        <v>9066</v>
      </c>
      <c r="B4443" s="2" t="s">
        <v>5</v>
      </c>
      <c r="C4443" s="2" t="s">
        <v>9067</v>
      </c>
      <c r="D4443" s="2" t="s">
        <v>8877</v>
      </c>
      <c r="E4443" s="2" t="str">
        <f>HYPERLINK("https://talan.bank.gov.ua/get-user-certificate/sec1eSLNtlyejVWPi8H7","Завантажити сертифікат")</f>
        <v>Завантажити сертифікат</v>
      </c>
    </row>
    <row r="4444" spans="1:5" x14ac:dyDescent="0.3">
      <c r="A4444" s="2" t="s">
        <v>9068</v>
      </c>
      <c r="B4444" s="2" t="s">
        <v>5</v>
      </c>
      <c r="C4444" s="2" t="s">
        <v>9069</v>
      </c>
      <c r="D4444" s="2" t="s">
        <v>8877</v>
      </c>
      <c r="E4444" s="2" t="str">
        <f>HYPERLINK("https://talan.bank.gov.ua/get-user-certificate/sec1eaRk0gcfevMQ6qlT","Завантажити сертифікат")</f>
        <v>Завантажити сертифікат</v>
      </c>
    </row>
    <row r="4445" spans="1:5" x14ac:dyDescent="0.3">
      <c r="A4445" s="2" t="s">
        <v>9070</v>
      </c>
      <c r="B4445" s="2" t="s">
        <v>5</v>
      </c>
      <c r="C4445" s="2" t="s">
        <v>9071</v>
      </c>
      <c r="D4445" s="2" t="s">
        <v>8877</v>
      </c>
      <c r="E4445" s="2" t="str">
        <f>HYPERLINK("https://talan.bank.gov.ua/get-user-certificate/sec1eoZlkx6UUNYfqcVe","Завантажити сертифікат")</f>
        <v>Завантажити сертифікат</v>
      </c>
    </row>
    <row r="4446" spans="1:5" x14ac:dyDescent="0.3">
      <c r="A4446" s="2" t="s">
        <v>9072</v>
      </c>
      <c r="B4446" s="2" t="s">
        <v>5</v>
      </c>
      <c r="C4446" s="2" t="s">
        <v>9073</v>
      </c>
      <c r="D4446" s="2" t="s">
        <v>8877</v>
      </c>
      <c r="E4446" s="2" t="str">
        <f>HYPERLINK("https://talan.bank.gov.ua/get-user-certificate/sec1eorU_W9SW4SyohSG","Завантажити сертифікат")</f>
        <v>Завантажити сертифікат</v>
      </c>
    </row>
    <row r="4447" spans="1:5" x14ac:dyDescent="0.3">
      <c r="A4447" s="2" t="s">
        <v>9074</v>
      </c>
      <c r="B4447" s="2" t="s">
        <v>5</v>
      </c>
      <c r="C4447" s="2" t="s">
        <v>9075</v>
      </c>
      <c r="D4447" s="2" t="s">
        <v>8877</v>
      </c>
      <c r="E4447" s="2" t="str">
        <f>HYPERLINK("https://talan.bank.gov.ua/get-user-certificate/sec1eOof26ZXoRun9Mkb","Завантажити сертифікат")</f>
        <v>Завантажити сертифікат</v>
      </c>
    </row>
    <row r="4448" spans="1:5" x14ac:dyDescent="0.3">
      <c r="A4448" s="2" t="s">
        <v>9076</v>
      </c>
      <c r="B4448" s="2" t="s">
        <v>5</v>
      </c>
      <c r="C4448" s="2" t="s">
        <v>9077</v>
      </c>
      <c r="D4448" s="2" t="s">
        <v>8877</v>
      </c>
      <c r="E4448" s="2" t="str">
        <f>HYPERLINK("https://talan.bank.gov.ua/get-user-certificate/sec1eXuBvHltisrXb8rv","Завантажити сертифікат")</f>
        <v>Завантажити сертифікат</v>
      </c>
    </row>
    <row r="4449" spans="1:5" x14ac:dyDescent="0.3">
      <c r="A4449" s="2" t="s">
        <v>9078</v>
      </c>
      <c r="B4449" s="2" t="s">
        <v>5</v>
      </c>
      <c r="C4449" s="2" t="s">
        <v>9079</v>
      </c>
      <c r="D4449" s="2" t="s">
        <v>8877</v>
      </c>
      <c r="E4449" s="2" t="str">
        <f>HYPERLINK("https://talan.bank.gov.ua/get-user-certificate/sec1eOBRGy-a18WX3TPb","Завантажити сертифікат")</f>
        <v>Завантажити сертифікат</v>
      </c>
    </row>
    <row r="4450" spans="1:5" x14ac:dyDescent="0.3">
      <c r="A4450" s="2" t="s">
        <v>9080</v>
      </c>
      <c r="B4450" s="2" t="s">
        <v>5</v>
      </c>
      <c r="C4450" s="2" t="s">
        <v>9081</v>
      </c>
      <c r="D4450" s="2" t="s">
        <v>8877</v>
      </c>
      <c r="E4450" s="2" t="str">
        <f>HYPERLINK("https://talan.bank.gov.ua/get-user-certificate/sec1ewpfyxJKuOLchbnW","Завантажити сертифікат")</f>
        <v>Завантажити сертифікат</v>
      </c>
    </row>
    <row r="4451" spans="1:5" x14ac:dyDescent="0.3">
      <c r="A4451" s="2" t="s">
        <v>9082</v>
      </c>
      <c r="B4451" s="2" t="s">
        <v>5</v>
      </c>
      <c r="C4451" s="2" t="s">
        <v>9083</v>
      </c>
      <c r="D4451" s="2" t="s">
        <v>8877</v>
      </c>
      <c r="E4451" s="2" t="str">
        <f>HYPERLINK("https://talan.bank.gov.ua/get-user-certificate/sec1evMszjGdpiKIysqQ","Завантажити сертифікат")</f>
        <v>Завантажити сертифікат</v>
      </c>
    </row>
    <row r="4452" spans="1:5" x14ac:dyDescent="0.3">
      <c r="A4452" s="2" t="s">
        <v>9084</v>
      </c>
      <c r="B4452" s="2" t="s">
        <v>5</v>
      </c>
      <c r="C4452" s="2" t="s">
        <v>9085</v>
      </c>
      <c r="D4452" s="2" t="s">
        <v>8877</v>
      </c>
      <c r="E4452" s="2" t="str">
        <f>HYPERLINK("https://talan.bank.gov.ua/get-user-certificate/sec1e4j92TfHwfMnrQEp","Завантажити сертифікат")</f>
        <v>Завантажити сертифікат</v>
      </c>
    </row>
    <row r="4453" spans="1:5" x14ac:dyDescent="0.3">
      <c r="A4453" s="2" t="s">
        <v>9086</v>
      </c>
      <c r="B4453" s="2" t="s">
        <v>5</v>
      </c>
      <c r="C4453" s="2" t="s">
        <v>9087</v>
      </c>
      <c r="D4453" s="2" t="s">
        <v>8877</v>
      </c>
      <c r="E4453" s="2" t="str">
        <f>HYPERLINK("https://talan.bank.gov.ua/get-user-certificate/sec1ejLeIzTt-6EzI9ux","Завантажити сертифікат")</f>
        <v>Завантажити сертифікат</v>
      </c>
    </row>
    <row r="4454" spans="1:5" x14ac:dyDescent="0.3">
      <c r="A4454" s="2" t="s">
        <v>9088</v>
      </c>
      <c r="B4454" s="2" t="s">
        <v>5</v>
      </c>
      <c r="C4454" s="2" t="s">
        <v>9089</v>
      </c>
      <c r="D4454" s="2" t="s">
        <v>8877</v>
      </c>
      <c r="E4454" s="2" t="str">
        <f>HYPERLINK("https://talan.bank.gov.ua/get-user-certificate/sec1esM5d9EYB9B2Voy3","Завантажити сертифікат")</f>
        <v>Завантажити сертифікат</v>
      </c>
    </row>
    <row r="4455" spans="1:5" x14ac:dyDescent="0.3">
      <c r="A4455" s="2" t="s">
        <v>9090</v>
      </c>
      <c r="B4455" s="2" t="s">
        <v>5</v>
      </c>
      <c r="C4455" s="2" t="s">
        <v>9091</v>
      </c>
      <c r="D4455" s="2" t="s">
        <v>8877</v>
      </c>
      <c r="E4455" s="2" t="str">
        <f>HYPERLINK("https://talan.bank.gov.ua/get-user-certificate/sec1ejRhiZ-zZmCAwaTe","Завантажити сертифікат")</f>
        <v>Завантажити сертифікат</v>
      </c>
    </row>
    <row r="4456" spans="1:5" x14ac:dyDescent="0.3">
      <c r="A4456" s="2" t="s">
        <v>9092</v>
      </c>
      <c r="B4456" s="2" t="s">
        <v>5</v>
      </c>
      <c r="C4456" s="2" t="s">
        <v>9093</v>
      </c>
      <c r="D4456" s="2" t="s">
        <v>8877</v>
      </c>
      <c r="E4456" s="2" t="str">
        <f>HYPERLINK("https://talan.bank.gov.ua/get-user-certificate/sec1eTvUmfihZ-ZUlTya","Завантажити сертифікат")</f>
        <v>Завантажити сертифікат</v>
      </c>
    </row>
    <row r="4457" spans="1:5" x14ac:dyDescent="0.3">
      <c r="A4457" s="2" t="s">
        <v>9094</v>
      </c>
      <c r="B4457" s="2" t="s">
        <v>5</v>
      </c>
      <c r="C4457" s="2" t="s">
        <v>9095</v>
      </c>
      <c r="D4457" s="2" t="s">
        <v>8877</v>
      </c>
      <c r="E4457" s="2" t="str">
        <f>HYPERLINK("https://talan.bank.gov.ua/get-user-certificate/sec1eOkok7tbv3d5LHjD","Завантажити сертифікат")</f>
        <v>Завантажити сертифікат</v>
      </c>
    </row>
    <row r="4458" spans="1:5" x14ac:dyDescent="0.3">
      <c r="A4458" s="2" t="s">
        <v>9096</v>
      </c>
      <c r="B4458" s="2" t="s">
        <v>5</v>
      </c>
      <c r="C4458" s="2" t="s">
        <v>9097</v>
      </c>
      <c r="D4458" s="2" t="s">
        <v>8877</v>
      </c>
      <c r="E4458" s="2" t="str">
        <f>HYPERLINK("https://talan.bank.gov.ua/get-user-certificate/sec1eULJVB8LBeQEJyRk","Завантажити сертифікат")</f>
        <v>Завантажити сертифікат</v>
      </c>
    </row>
    <row r="4459" spans="1:5" x14ac:dyDescent="0.3">
      <c r="A4459" s="2" t="s">
        <v>9098</v>
      </c>
      <c r="B4459" s="2" t="s">
        <v>5</v>
      </c>
      <c r="C4459" s="2" t="s">
        <v>9099</v>
      </c>
      <c r="D4459" s="2" t="s">
        <v>8877</v>
      </c>
      <c r="E4459" s="2" t="str">
        <f>HYPERLINK("https://talan.bank.gov.ua/get-user-certificate/sec1eBJUKKuRUng6GHje","Завантажити сертифікат")</f>
        <v>Завантажити сертифікат</v>
      </c>
    </row>
    <row r="4460" spans="1:5" x14ac:dyDescent="0.3">
      <c r="A4460" s="2" t="s">
        <v>9100</v>
      </c>
      <c r="B4460" s="2" t="s">
        <v>5</v>
      </c>
      <c r="C4460" s="2" t="s">
        <v>9101</v>
      </c>
      <c r="D4460" s="2" t="s">
        <v>8877</v>
      </c>
      <c r="E4460" s="2" t="str">
        <f>HYPERLINK("https://talan.bank.gov.ua/get-user-certificate/sec1e0b-c9HvH0OWftgy","Завантажити сертифікат")</f>
        <v>Завантажити сертифікат</v>
      </c>
    </row>
    <row r="4461" spans="1:5" x14ac:dyDescent="0.3">
      <c r="A4461" s="2" t="s">
        <v>9102</v>
      </c>
      <c r="B4461" s="2" t="s">
        <v>5</v>
      </c>
      <c r="C4461" s="2" t="s">
        <v>9103</v>
      </c>
      <c r="D4461" s="2" t="s">
        <v>8877</v>
      </c>
      <c r="E4461" s="2" t="str">
        <f>HYPERLINK("https://talan.bank.gov.ua/get-user-certificate/sec1exFGCf1Fypf6TswI","Завантажити сертифікат")</f>
        <v>Завантажити сертифікат</v>
      </c>
    </row>
    <row r="4462" spans="1:5" x14ac:dyDescent="0.3">
      <c r="A4462" s="2" t="s">
        <v>9104</v>
      </c>
      <c r="B4462" s="2" t="s">
        <v>5</v>
      </c>
      <c r="C4462" s="2" t="s">
        <v>9105</v>
      </c>
      <c r="D4462" s="2" t="s">
        <v>8877</v>
      </c>
      <c r="E4462" s="2" t="str">
        <f>HYPERLINK("https://talan.bank.gov.ua/get-user-certificate/sec1eqK-rzYrDt8B675k","Завантажити сертифікат")</f>
        <v>Завантажити сертифікат</v>
      </c>
    </row>
    <row r="4463" spans="1:5" x14ac:dyDescent="0.3">
      <c r="A4463" s="2" t="s">
        <v>9106</v>
      </c>
      <c r="B4463" s="2" t="s">
        <v>5</v>
      </c>
      <c r="C4463" s="2" t="s">
        <v>9107</v>
      </c>
      <c r="D4463" s="2" t="s">
        <v>8877</v>
      </c>
      <c r="E4463" s="2" t="str">
        <f>HYPERLINK("https://talan.bank.gov.ua/get-user-certificate/sec1eLnM7G07VXaNhiRY","Завантажити сертифікат")</f>
        <v>Завантажити сертифікат</v>
      </c>
    </row>
    <row r="4464" spans="1:5" x14ac:dyDescent="0.3">
      <c r="A4464" s="2" t="s">
        <v>9108</v>
      </c>
      <c r="B4464" s="2" t="s">
        <v>5</v>
      </c>
      <c r="C4464" s="2" t="s">
        <v>9109</v>
      </c>
      <c r="D4464" s="2" t="s">
        <v>8877</v>
      </c>
      <c r="E4464" s="2" t="str">
        <f>HYPERLINK("https://talan.bank.gov.ua/get-user-certificate/sec1eXm6DALaGdQJR-U6","Завантажити сертифікат")</f>
        <v>Завантажити сертифікат</v>
      </c>
    </row>
    <row r="4465" spans="1:5" x14ac:dyDescent="0.3">
      <c r="A4465" s="2" t="s">
        <v>9110</v>
      </c>
      <c r="B4465" s="2" t="s">
        <v>5</v>
      </c>
      <c r="C4465" s="2" t="s">
        <v>9111</v>
      </c>
      <c r="D4465" s="2" t="s">
        <v>8877</v>
      </c>
      <c r="E4465" s="2" t="str">
        <f>HYPERLINK("https://talan.bank.gov.ua/get-user-certificate/sec1eT8OZsPN5yJpp3kT","Завантажити сертифікат")</f>
        <v>Завантажити сертифікат</v>
      </c>
    </row>
    <row r="4466" spans="1:5" x14ac:dyDescent="0.3">
      <c r="A4466" s="2" t="s">
        <v>9112</v>
      </c>
      <c r="B4466" s="2" t="s">
        <v>5</v>
      </c>
      <c r="C4466" s="2" t="s">
        <v>9113</v>
      </c>
      <c r="D4466" s="2" t="s">
        <v>8877</v>
      </c>
      <c r="E4466" s="2" t="str">
        <f>HYPERLINK("https://talan.bank.gov.ua/get-user-certificate/sec1eXbNRrp1hZBbnBSK","Завантажити сертифікат")</f>
        <v>Завантажити сертифікат</v>
      </c>
    </row>
    <row r="4467" spans="1:5" x14ac:dyDescent="0.3">
      <c r="A4467" s="2" t="s">
        <v>9114</v>
      </c>
      <c r="B4467" s="2" t="s">
        <v>5</v>
      </c>
      <c r="C4467" s="2" t="s">
        <v>9115</v>
      </c>
      <c r="D4467" s="2" t="s">
        <v>8877</v>
      </c>
      <c r="E4467" s="2" t="str">
        <f>HYPERLINK("https://talan.bank.gov.ua/get-user-certificate/sec1eryD2fXisVsr5pMT","Завантажити сертифікат")</f>
        <v>Завантажити сертифікат</v>
      </c>
    </row>
    <row r="4468" spans="1:5" x14ac:dyDescent="0.3">
      <c r="A4468" s="2" t="s">
        <v>9116</v>
      </c>
      <c r="B4468" s="2" t="s">
        <v>5</v>
      </c>
      <c r="C4468" s="2" t="s">
        <v>9117</v>
      </c>
      <c r="D4468" s="2" t="s">
        <v>8877</v>
      </c>
      <c r="E4468" s="2" t="str">
        <f>HYPERLINK("https://talan.bank.gov.ua/get-user-certificate/sec1eGnYuhpusqoPFlbM","Завантажити сертифікат")</f>
        <v>Завантажити сертифікат</v>
      </c>
    </row>
    <row r="4469" spans="1:5" x14ac:dyDescent="0.3">
      <c r="A4469" s="2" t="s">
        <v>9118</v>
      </c>
      <c r="B4469" s="2" t="s">
        <v>5</v>
      </c>
      <c r="C4469" s="2" t="s">
        <v>9119</v>
      </c>
      <c r="D4469" s="2" t="s">
        <v>8877</v>
      </c>
      <c r="E4469" s="2" t="str">
        <f>HYPERLINK("https://talan.bank.gov.ua/get-user-certificate/sec1eMONPPxnPmfFV1ER","Завантажити сертифікат")</f>
        <v>Завантажити сертифікат</v>
      </c>
    </row>
    <row r="4470" spans="1:5" x14ac:dyDescent="0.3">
      <c r="A4470" s="2" t="s">
        <v>9120</v>
      </c>
      <c r="B4470" s="2" t="s">
        <v>5</v>
      </c>
      <c r="C4470" s="2" t="s">
        <v>9121</v>
      </c>
      <c r="D4470" s="2" t="s">
        <v>8877</v>
      </c>
      <c r="E4470" s="2" t="str">
        <f>HYPERLINK("https://talan.bank.gov.ua/get-user-certificate/sec1eA5qUsIr_6RUlZwg","Завантажити сертифікат")</f>
        <v>Завантажити сертифікат</v>
      </c>
    </row>
    <row r="4471" spans="1:5" x14ac:dyDescent="0.3">
      <c r="A4471" s="2" t="s">
        <v>9122</v>
      </c>
      <c r="B4471" s="2" t="s">
        <v>5</v>
      </c>
      <c r="C4471" s="2" t="s">
        <v>9123</v>
      </c>
      <c r="D4471" s="2" t="s">
        <v>8877</v>
      </c>
      <c r="E4471" s="2" t="str">
        <f>HYPERLINK("https://talan.bank.gov.ua/get-user-certificate/sec1e7qAbiqgJUXTu-K8","Завантажити сертифікат")</f>
        <v>Завантажити сертифікат</v>
      </c>
    </row>
    <row r="4472" spans="1:5" x14ac:dyDescent="0.3">
      <c r="A4472" s="2" t="s">
        <v>9124</v>
      </c>
      <c r="B4472" s="2" t="s">
        <v>5</v>
      </c>
      <c r="C4472" s="2" t="s">
        <v>9125</v>
      </c>
      <c r="D4472" s="2" t="s">
        <v>8877</v>
      </c>
      <c r="E4472" s="2" t="str">
        <f>HYPERLINK("https://talan.bank.gov.ua/get-user-certificate/sec1e1bg7yHOFdQOGQ1h","Завантажити сертифікат")</f>
        <v>Завантажити сертифікат</v>
      </c>
    </row>
    <row r="4473" spans="1:5" x14ac:dyDescent="0.3">
      <c r="A4473" s="2" t="s">
        <v>9126</v>
      </c>
      <c r="B4473" s="2" t="s">
        <v>5</v>
      </c>
      <c r="C4473" s="2" t="s">
        <v>9127</v>
      </c>
      <c r="D4473" s="2" t="s">
        <v>8877</v>
      </c>
      <c r="E4473" s="2" t="str">
        <f>HYPERLINK("https://talan.bank.gov.ua/get-user-certificate/sec1er8HvG0lQ6WG7bqI","Завантажити сертифікат")</f>
        <v>Завантажити сертифікат</v>
      </c>
    </row>
    <row r="4474" spans="1:5" x14ac:dyDescent="0.3">
      <c r="A4474" s="2" t="s">
        <v>9128</v>
      </c>
      <c r="B4474" s="2" t="s">
        <v>5</v>
      </c>
      <c r="C4474" s="2" t="s">
        <v>9129</v>
      </c>
      <c r="D4474" s="2" t="s">
        <v>8877</v>
      </c>
      <c r="E4474" s="2" t="str">
        <f>HYPERLINK("https://talan.bank.gov.ua/get-user-certificate/sec1eUcQaAJcb3O0uS29","Завантажити сертифікат")</f>
        <v>Завантажити сертифікат</v>
      </c>
    </row>
    <row r="4475" spans="1:5" x14ac:dyDescent="0.3">
      <c r="A4475" s="2" t="s">
        <v>9130</v>
      </c>
      <c r="B4475" s="2" t="s">
        <v>5</v>
      </c>
      <c r="C4475" s="2" t="s">
        <v>9131</v>
      </c>
      <c r="D4475" s="2" t="s">
        <v>8877</v>
      </c>
      <c r="E4475" s="2" t="str">
        <f>HYPERLINK("https://talan.bank.gov.ua/get-user-certificate/sec1eg1EmnxeBrU5JDbp","Завантажити сертифікат")</f>
        <v>Завантажити сертифікат</v>
      </c>
    </row>
    <row r="4476" spans="1:5" x14ac:dyDescent="0.3">
      <c r="A4476" s="2" t="s">
        <v>9132</v>
      </c>
      <c r="B4476" s="2" t="s">
        <v>5</v>
      </c>
      <c r="C4476" s="2" t="s">
        <v>9133</v>
      </c>
      <c r="D4476" s="2" t="s">
        <v>8877</v>
      </c>
      <c r="E4476" s="2" t="str">
        <f>HYPERLINK("https://talan.bank.gov.ua/get-user-certificate/sec1eHJ_tkgi7LojxMHs","Завантажити сертифікат")</f>
        <v>Завантажити сертифікат</v>
      </c>
    </row>
    <row r="4477" spans="1:5" x14ac:dyDescent="0.3">
      <c r="A4477" s="2" t="s">
        <v>9134</v>
      </c>
      <c r="B4477" s="2" t="s">
        <v>5</v>
      </c>
      <c r="C4477" s="2" t="s">
        <v>9135</v>
      </c>
      <c r="D4477" s="2" t="s">
        <v>8877</v>
      </c>
      <c r="E4477" s="2" t="str">
        <f>HYPERLINK("https://talan.bank.gov.ua/get-user-certificate/sec1ePBvdVeSEF5tkXCW","Завантажити сертифікат")</f>
        <v>Завантажити сертифікат</v>
      </c>
    </row>
    <row r="4478" spans="1:5" x14ac:dyDescent="0.3">
      <c r="A4478" s="2" t="s">
        <v>9136</v>
      </c>
      <c r="B4478" s="2" t="s">
        <v>5</v>
      </c>
      <c r="C4478" s="2" t="s">
        <v>9137</v>
      </c>
      <c r="D4478" s="2" t="s">
        <v>8877</v>
      </c>
      <c r="E4478" s="2" t="str">
        <f>HYPERLINK("https://talan.bank.gov.ua/get-user-certificate/sec1eai-I0CPuWkBoLzG","Завантажити сертифікат")</f>
        <v>Завантажити сертифікат</v>
      </c>
    </row>
    <row r="4479" spans="1:5" x14ac:dyDescent="0.3">
      <c r="A4479" s="2" t="s">
        <v>9138</v>
      </c>
      <c r="B4479" s="2" t="s">
        <v>5</v>
      </c>
      <c r="C4479" s="2" t="s">
        <v>9139</v>
      </c>
      <c r="D4479" s="2" t="s">
        <v>8877</v>
      </c>
      <c r="E4479" s="2" t="str">
        <f>HYPERLINK("https://talan.bank.gov.ua/get-user-certificate/sec1ecatQcCpuEi9YL8O","Завантажити сертифікат")</f>
        <v>Завантажити сертифікат</v>
      </c>
    </row>
    <row r="4480" spans="1:5" x14ac:dyDescent="0.3">
      <c r="A4480" s="2" t="s">
        <v>9140</v>
      </c>
      <c r="B4480" s="2" t="s">
        <v>5</v>
      </c>
      <c r="C4480" s="2" t="s">
        <v>9141</v>
      </c>
      <c r="D4480" s="2" t="s">
        <v>8877</v>
      </c>
      <c r="E4480" s="2" t="str">
        <f>HYPERLINK("https://talan.bank.gov.ua/get-user-certificate/sec1eS3fOLx_U9nCrQ87","Завантажити сертифікат")</f>
        <v>Завантажити сертифікат</v>
      </c>
    </row>
    <row r="4481" spans="1:5" x14ac:dyDescent="0.3">
      <c r="A4481" s="2" t="s">
        <v>9142</v>
      </c>
      <c r="B4481" s="2" t="s">
        <v>5</v>
      </c>
      <c r="C4481" s="2" t="s">
        <v>9143</v>
      </c>
      <c r="D4481" s="2" t="s">
        <v>8877</v>
      </c>
      <c r="E4481" s="2" t="str">
        <f>HYPERLINK("https://talan.bank.gov.ua/get-user-certificate/sec1eUc9zu8aSIvWKJ2L","Завантажити сертифікат")</f>
        <v>Завантажити сертифікат</v>
      </c>
    </row>
    <row r="4482" spans="1:5" x14ac:dyDescent="0.3">
      <c r="A4482" s="2" t="s">
        <v>9144</v>
      </c>
      <c r="B4482" s="2" t="s">
        <v>5</v>
      </c>
      <c r="C4482" s="2" t="s">
        <v>9145</v>
      </c>
      <c r="D4482" s="2" t="s">
        <v>8877</v>
      </c>
      <c r="E4482" s="2" t="str">
        <f>HYPERLINK("https://talan.bank.gov.ua/get-user-certificate/sec1ePfyqFrKPQOANZ21","Завантажити сертифікат")</f>
        <v>Завантажити сертифікат</v>
      </c>
    </row>
    <row r="4483" spans="1:5" x14ac:dyDescent="0.3">
      <c r="A4483" s="2" t="s">
        <v>9146</v>
      </c>
      <c r="B4483" s="2" t="s">
        <v>5</v>
      </c>
      <c r="C4483" s="2" t="s">
        <v>9147</v>
      </c>
      <c r="D4483" s="2" t="s">
        <v>8877</v>
      </c>
      <c r="E4483" s="2" t="str">
        <f>HYPERLINK("https://talan.bank.gov.ua/get-user-certificate/sec1eBjyUBrybK5mph5y","Завантажити сертифікат")</f>
        <v>Завантажити сертифікат</v>
      </c>
    </row>
    <row r="4484" spans="1:5" x14ac:dyDescent="0.3">
      <c r="A4484" s="2" t="s">
        <v>9148</v>
      </c>
      <c r="B4484" s="2" t="s">
        <v>5</v>
      </c>
      <c r="C4484" s="2" t="s">
        <v>9149</v>
      </c>
      <c r="D4484" s="2" t="s">
        <v>8877</v>
      </c>
      <c r="E4484" s="2" t="str">
        <f>HYPERLINK("https://talan.bank.gov.ua/get-user-certificate/sec1eh6BqXUSS3LY4L2d","Завантажити сертифікат")</f>
        <v>Завантажити сертифікат</v>
      </c>
    </row>
    <row r="4485" spans="1:5" x14ac:dyDescent="0.3">
      <c r="A4485" s="2" t="s">
        <v>9150</v>
      </c>
      <c r="B4485" s="2" t="s">
        <v>5</v>
      </c>
      <c r="C4485" s="2" t="s">
        <v>9151</v>
      </c>
      <c r="D4485" s="2" t="s">
        <v>8877</v>
      </c>
      <c r="E4485" s="2" t="str">
        <f>HYPERLINK("https://talan.bank.gov.ua/get-user-certificate/sec1exVNqP_SHBBDXYof","Завантажити сертифікат")</f>
        <v>Завантажити сертифікат</v>
      </c>
    </row>
    <row r="4486" spans="1:5" x14ac:dyDescent="0.3">
      <c r="A4486" s="2" t="s">
        <v>9152</v>
      </c>
      <c r="B4486" s="2" t="s">
        <v>5</v>
      </c>
      <c r="C4486" s="2" t="s">
        <v>9153</v>
      </c>
      <c r="D4486" s="2" t="s">
        <v>8877</v>
      </c>
      <c r="E4486" s="2" t="str">
        <f>HYPERLINK("https://talan.bank.gov.ua/get-user-certificate/sec1eehCevPhFfUwVGfe","Завантажити сертифікат")</f>
        <v>Завантажити сертифікат</v>
      </c>
    </row>
    <row r="4487" spans="1:5" x14ac:dyDescent="0.3">
      <c r="A4487" s="2" t="s">
        <v>9154</v>
      </c>
      <c r="B4487" s="2" t="s">
        <v>5</v>
      </c>
      <c r="C4487" s="2" t="s">
        <v>9155</v>
      </c>
      <c r="D4487" s="2" t="s">
        <v>8877</v>
      </c>
      <c r="E4487" s="2" t="str">
        <f>HYPERLINK("https://talan.bank.gov.ua/get-user-certificate/sec1e9BB6zVfOAUx77fH","Завантажити сертифікат")</f>
        <v>Завантажити сертифікат</v>
      </c>
    </row>
    <row r="4488" spans="1:5" x14ac:dyDescent="0.3">
      <c r="A4488" s="2" t="s">
        <v>9156</v>
      </c>
      <c r="B4488" s="2" t="s">
        <v>5</v>
      </c>
      <c r="C4488" s="2" t="s">
        <v>9157</v>
      </c>
      <c r="D4488" s="2" t="s">
        <v>8877</v>
      </c>
      <c r="E4488" s="2" t="str">
        <f>HYPERLINK("https://talan.bank.gov.ua/get-user-certificate/sec1eZYE2tfZiLp1KVDS","Завантажити сертифікат")</f>
        <v>Завантажити сертифікат</v>
      </c>
    </row>
    <row r="4489" spans="1:5" x14ac:dyDescent="0.3">
      <c r="A4489" s="2" t="s">
        <v>9158</v>
      </c>
      <c r="B4489" s="2" t="s">
        <v>5</v>
      </c>
      <c r="C4489" s="2" t="s">
        <v>9159</v>
      </c>
      <c r="D4489" s="2" t="s">
        <v>8877</v>
      </c>
      <c r="E4489" s="2" t="str">
        <f>HYPERLINK("https://talan.bank.gov.ua/get-user-certificate/sec1esS0zovbiENLRu75","Завантажити сертифікат")</f>
        <v>Завантажити сертифікат</v>
      </c>
    </row>
    <row r="4490" spans="1:5" x14ac:dyDescent="0.3">
      <c r="A4490" s="2" t="s">
        <v>9160</v>
      </c>
      <c r="B4490" s="2" t="s">
        <v>5</v>
      </c>
      <c r="C4490" s="2" t="s">
        <v>9161</v>
      </c>
      <c r="D4490" s="2" t="s">
        <v>8877</v>
      </c>
      <c r="E4490" s="2" t="str">
        <f>HYPERLINK("https://talan.bank.gov.ua/get-user-certificate/sec1eEkLd_8p5zeMWQtA","Завантажити сертифікат")</f>
        <v>Завантажити сертифікат</v>
      </c>
    </row>
    <row r="4491" spans="1:5" x14ac:dyDescent="0.3">
      <c r="A4491" s="2" t="s">
        <v>9162</v>
      </c>
      <c r="B4491" s="2" t="s">
        <v>5</v>
      </c>
      <c r="C4491" s="2" t="s">
        <v>9163</v>
      </c>
      <c r="D4491" s="2" t="s">
        <v>8877</v>
      </c>
      <c r="E4491" s="2" t="str">
        <f>HYPERLINK("https://talan.bank.gov.ua/get-user-certificate/sec1e69mSSmLu0x500wQ","Завантажити сертифікат")</f>
        <v>Завантажити сертифікат</v>
      </c>
    </row>
    <row r="4492" spans="1:5" x14ac:dyDescent="0.3">
      <c r="A4492" s="2" t="s">
        <v>9164</v>
      </c>
      <c r="B4492" s="2" t="s">
        <v>5</v>
      </c>
      <c r="C4492" s="2" t="s">
        <v>9165</v>
      </c>
      <c r="D4492" s="2" t="s">
        <v>8877</v>
      </c>
      <c r="E4492" s="2" t="str">
        <f>HYPERLINK("https://talan.bank.gov.ua/get-user-certificate/sec1eLKkW8BEdBzKAIbt","Завантажити сертифікат")</f>
        <v>Завантажити сертифікат</v>
      </c>
    </row>
    <row r="4493" spans="1:5" x14ac:dyDescent="0.3">
      <c r="A4493" s="2" t="s">
        <v>9166</v>
      </c>
      <c r="B4493" s="2" t="s">
        <v>5</v>
      </c>
      <c r="C4493" s="2" t="s">
        <v>9167</v>
      </c>
      <c r="D4493" s="2" t="s">
        <v>8877</v>
      </c>
      <c r="E4493" s="2" t="str">
        <f>HYPERLINK("https://talan.bank.gov.ua/get-user-certificate/sec1e0JOqO2X-2y9QVo9","Завантажити сертифікат")</f>
        <v>Завантажити сертифікат</v>
      </c>
    </row>
    <row r="4494" spans="1:5" x14ac:dyDescent="0.3">
      <c r="A4494" s="2" t="s">
        <v>9168</v>
      </c>
      <c r="B4494" s="2" t="s">
        <v>5</v>
      </c>
      <c r="C4494" s="2" t="s">
        <v>9169</v>
      </c>
      <c r="D4494" s="2" t="s">
        <v>8877</v>
      </c>
      <c r="E4494" s="2" t="str">
        <f>HYPERLINK("https://talan.bank.gov.ua/get-user-certificate/sec1ea8yk8efzfM1LQ9u","Завантажити сертифікат")</f>
        <v>Завантажити сертифікат</v>
      </c>
    </row>
    <row r="4495" spans="1:5" x14ac:dyDescent="0.3">
      <c r="A4495" s="2" t="s">
        <v>9170</v>
      </c>
      <c r="B4495" s="2" t="s">
        <v>5</v>
      </c>
      <c r="C4495" s="2" t="s">
        <v>9171</v>
      </c>
      <c r="D4495" s="2" t="s">
        <v>8877</v>
      </c>
      <c r="E4495" s="2" t="str">
        <f>HYPERLINK("https://talan.bank.gov.ua/get-user-certificate/sec1edxaGEYhbvK61GVu","Завантажити сертифікат")</f>
        <v>Завантажити сертифікат</v>
      </c>
    </row>
    <row r="4496" spans="1:5" x14ac:dyDescent="0.3">
      <c r="A4496" s="2" t="s">
        <v>9172</v>
      </c>
      <c r="B4496" s="2" t="s">
        <v>5</v>
      </c>
      <c r="C4496" s="2" t="s">
        <v>9173</v>
      </c>
      <c r="D4496" s="2" t="s">
        <v>8877</v>
      </c>
      <c r="E4496" s="2" t="str">
        <f>HYPERLINK("https://talan.bank.gov.ua/get-user-certificate/sec1eSNIBL6BZo4E4sXo","Завантажити сертифікат")</f>
        <v>Завантажити сертифікат</v>
      </c>
    </row>
    <row r="4497" spans="1:5" x14ac:dyDescent="0.3">
      <c r="A4497" s="2" t="s">
        <v>9174</v>
      </c>
      <c r="B4497" s="2" t="s">
        <v>5</v>
      </c>
      <c r="C4497" s="2" t="s">
        <v>9175</v>
      </c>
      <c r="D4497" s="2" t="s">
        <v>8877</v>
      </c>
      <c r="E4497" s="2" t="str">
        <f>HYPERLINK("https://talan.bank.gov.ua/get-user-certificate/sec1evFYrm074iVij3II","Завантажити сертифікат")</f>
        <v>Завантажити сертифікат</v>
      </c>
    </row>
    <row r="4498" spans="1:5" x14ac:dyDescent="0.3">
      <c r="A4498" s="2" t="s">
        <v>9176</v>
      </c>
      <c r="B4498" s="2" t="s">
        <v>5</v>
      </c>
      <c r="C4498" s="2" t="s">
        <v>9177</v>
      </c>
      <c r="D4498" s="2" t="s">
        <v>8877</v>
      </c>
      <c r="E4498" s="2" t="str">
        <f>HYPERLINK("https://talan.bank.gov.ua/get-user-certificate/sec1eM0fiIdhl6Fth3iL","Завантажити сертифікат")</f>
        <v>Завантажити сертифікат</v>
      </c>
    </row>
    <row r="4499" spans="1:5" x14ac:dyDescent="0.3">
      <c r="A4499" s="2" t="s">
        <v>9178</v>
      </c>
      <c r="B4499" s="2" t="s">
        <v>5</v>
      </c>
      <c r="C4499" s="2" t="s">
        <v>9179</v>
      </c>
      <c r="D4499" s="2" t="s">
        <v>8877</v>
      </c>
      <c r="E4499" s="2" t="str">
        <f>HYPERLINK("https://talan.bank.gov.ua/get-user-certificate/sec1evh8TKej_rdr5Saz","Завантажити сертифікат")</f>
        <v>Завантажити сертифікат</v>
      </c>
    </row>
    <row r="4500" spans="1:5" x14ac:dyDescent="0.3">
      <c r="A4500" s="2" t="s">
        <v>9180</v>
      </c>
      <c r="B4500" s="2" t="s">
        <v>5</v>
      </c>
      <c r="C4500" s="2" t="s">
        <v>9181</v>
      </c>
      <c r="D4500" s="2" t="s">
        <v>8877</v>
      </c>
      <c r="E4500" s="2" t="str">
        <f>HYPERLINK("https://talan.bank.gov.ua/get-user-certificate/sec1eOIWi5nfPGVfYuqr","Завантажити сертифікат")</f>
        <v>Завантажити сертифікат</v>
      </c>
    </row>
    <row r="4501" spans="1:5" x14ac:dyDescent="0.3">
      <c r="A4501" s="2" t="s">
        <v>9182</v>
      </c>
      <c r="B4501" s="2" t="s">
        <v>5</v>
      </c>
      <c r="C4501" s="2" t="s">
        <v>9183</v>
      </c>
      <c r="D4501" s="2" t="s">
        <v>8877</v>
      </c>
      <c r="E4501" s="2" t="str">
        <f>HYPERLINK("https://talan.bank.gov.ua/get-user-certificate/sec1ef561hmdt6834YT7","Завантажити сертифікат")</f>
        <v>Завантажити сертифікат</v>
      </c>
    </row>
    <row r="4502" spans="1:5" x14ac:dyDescent="0.3">
      <c r="A4502" s="2" t="s">
        <v>9184</v>
      </c>
      <c r="B4502" s="2" t="s">
        <v>5</v>
      </c>
      <c r="C4502" s="2" t="s">
        <v>9185</v>
      </c>
      <c r="D4502" s="2" t="s">
        <v>8877</v>
      </c>
      <c r="E4502" s="2" t="str">
        <f>HYPERLINK("https://talan.bank.gov.ua/get-user-certificate/sec1empgr5r2cVEdpz38","Завантажити сертифікат")</f>
        <v>Завантажити сертифікат</v>
      </c>
    </row>
    <row r="4503" spans="1:5" x14ac:dyDescent="0.3">
      <c r="A4503" s="2" t="s">
        <v>9186</v>
      </c>
      <c r="B4503" s="2" t="s">
        <v>5</v>
      </c>
      <c r="C4503" s="2" t="s">
        <v>9187</v>
      </c>
      <c r="D4503" s="2" t="s">
        <v>8877</v>
      </c>
      <c r="E4503" s="2" t="str">
        <f>HYPERLINK("https://talan.bank.gov.ua/get-user-certificate/sec1e0SVDeIh60_6VWqS","Завантажити сертифікат")</f>
        <v>Завантажити сертифікат</v>
      </c>
    </row>
    <row r="4504" spans="1:5" x14ac:dyDescent="0.3">
      <c r="A4504" s="2" t="s">
        <v>9188</v>
      </c>
      <c r="B4504" s="2" t="s">
        <v>5</v>
      </c>
      <c r="C4504" s="2" t="s">
        <v>9189</v>
      </c>
      <c r="D4504" s="2" t="s">
        <v>8877</v>
      </c>
      <c r="E4504" s="2" t="str">
        <f>HYPERLINK("https://talan.bank.gov.ua/get-user-certificate/sec1ed9aiuJz3LUrq5lC","Завантажити сертифікат")</f>
        <v>Завантажити сертифікат</v>
      </c>
    </row>
    <row r="4505" spans="1:5" x14ac:dyDescent="0.3">
      <c r="A4505" s="2" t="s">
        <v>9190</v>
      </c>
      <c r="B4505" s="2" t="s">
        <v>5</v>
      </c>
      <c r="C4505" s="2" t="s">
        <v>9191</v>
      </c>
      <c r="D4505" s="2" t="s">
        <v>8877</v>
      </c>
      <c r="E4505" s="2" t="str">
        <f>HYPERLINK("https://talan.bank.gov.ua/get-user-certificate/sec1eIklBjDbtdjt723i","Завантажити сертифікат")</f>
        <v>Завантажити сертифікат</v>
      </c>
    </row>
    <row r="4506" spans="1:5" x14ac:dyDescent="0.3">
      <c r="A4506" s="2" t="s">
        <v>9192</v>
      </c>
      <c r="B4506" s="2" t="s">
        <v>5</v>
      </c>
      <c r="C4506" s="2" t="s">
        <v>9193</v>
      </c>
      <c r="D4506" s="2" t="s">
        <v>8877</v>
      </c>
      <c r="E4506" s="2" t="str">
        <f>HYPERLINK("https://talan.bank.gov.ua/get-user-certificate/sec1e1z8YuEDCzSOanOy","Завантажити сертифікат")</f>
        <v>Завантажити сертифікат</v>
      </c>
    </row>
    <row r="4507" spans="1:5" x14ac:dyDescent="0.3">
      <c r="A4507" s="2" t="s">
        <v>9194</v>
      </c>
      <c r="B4507" s="2" t="s">
        <v>5</v>
      </c>
      <c r="C4507" s="2" t="s">
        <v>9195</v>
      </c>
      <c r="D4507" s="2" t="s">
        <v>8877</v>
      </c>
      <c r="E4507" s="2" t="str">
        <f>HYPERLINK("https://talan.bank.gov.ua/get-user-certificate/sec1elnm1XeQJwbvbDcd","Завантажити сертифікат")</f>
        <v>Завантажити сертифікат</v>
      </c>
    </row>
    <row r="4508" spans="1:5" x14ac:dyDescent="0.3">
      <c r="A4508" s="2" t="s">
        <v>9196</v>
      </c>
      <c r="B4508" s="2" t="s">
        <v>5</v>
      </c>
      <c r="C4508" s="2" t="s">
        <v>9197</v>
      </c>
      <c r="D4508" s="2" t="s">
        <v>8877</v>
      </c>
      <c r="E4508" s="2" t="str">
        <f>HYPERLINK("https://talan.bank.gov.ua/get-user-certificate/sec1eWaMP3mdiD7Hz-Ym","Завантажити сертифікат")</f>
        <v>Завантажити сертифікат</v>
      </c>
    </row>
    <row r="4509" spans="1:5" x14ac:dyDescent="0.3">
      <c r="A4509" s="2" t="s">
        <v>9198</v>
      </c>
      <c r="B4509" s="2" t="s">
        <v>5</v>
      </c>
      <c r="C4509" s="2" t="s">
        <v>9199</v>
      </c>
      <c r="D4509" s="2" t="s">
        <v>8877</v>
      </c>
      <c r="E4509" s="2" t="str">
        <f>HYPERLINK("https://talan.bank.gov.ua/get-user-certificate/sec1eid66M2LNzDsNkcJ","Завантажити сертифікат")</f>
        <v>Завантажити сертифікат</v>
      </c>
    </row>
    <row r="4510" spans="1:5" x14ac:dyDescent="0.3">
      <c r="A4510" s="2" t="s">
        <v>9200</v>
      </c>
      <c r="B4510" s="2" t="s">
        <v>5</v>
      </c>
      <c r="C4510" s="2" t="s">
        <v>9201</v>
      </c>
      <c r="D4510" s="2" t="s">
        <v>8877</v>
      </c>
      <c r="E4510" s="2" t="str">
        <f>HYPERLINK("https://talan.bank.gov.ua/get-user-certificate/sec1efG_E3mjBRfZ8GIP","Завантажити сертифікат")</f>
        <v>Завантажити сертифікат</v>
      </c>
    </row>
    <row r="4511" spans="1:5" x14ac:dyDescent="0.3">
      <c r="A4511" s="2" t="s">
        <v>9202</v>
      </c>
      <c r="B4511" s="2" t="s">
        <v>5</v>
      </c>
      <c r="C4511" s="2" t="s">
        <v>9203</v>
      </c>
      <c r="D4511" s="2" t="s">
        <v>8877</v>
      </c>
      <c r="E4511" s="2" t="str">
        <f>HYPERLINK("https://talan.bank.gov.ua/get-user-certificate/sec1e86FOc2bKw9o3xKf","Завантажити сертифікат")</f>
        <v>Завантажити сертифікат</v>
      </c>
    </row>
    <row r="4512" spans="1:5" x14ac:dyDescent="0.3">
      <c r="A4512" s="2" t="s">
        <v>9204</v>
      </c>
      <c r="B4512" s="2" t="s">
        <v>5</v>
      </c>
      <c r="C4512" s="2" t="s">
        <v>9205</v>
      </c>
      <c r="D4512" s="2" t="s">
        <v>8877</v>
      </c>
      <c r="E4512" s="2" t="str">
        <f>HYPERLINK("https://talan.bank.gov.ua/get-user-certificate/sec1eBCkjTBk0VLIbQhf","Завантажити сертифікат")</f>
        <v>Завантажити сертифікат</v>
      </c>
    </row>
    <row r="4513" spans="1:5" x14ac:dyDescent="0.3">
      <c r="A4513" s="2" t="s">
        <v>9206</v>
      </c>
      <c r="B4513" s="2" t="s">
        <v>5</v>
      </c>
      <c r="C4513" s="2" t="s">
        <v>9207</v>
      </c>
      <c r="D4513" s="2" t="s">
        <v>8877</v>
      </c>
      <c r="E4513" s="2" t="str">
        <f>HYPERLINK("https://talan.bank.gov.ua/get-user-certificate/sec1excf5-MQDtG1CyAi","Завантажити сертифікат")</f>
        <v>Завантажити сертифікат</v>
      </c>
    </row>
    <row r="4514" spans="1:5" x14ac:dyDescent="0.3">
      <c r="A4514" s="2" t="s">
        <v>9208</v>
      </c>
      <c r="B4514" s="2" t="s">
        <v>5</v>
      </c>
      <c r="C4514" s="2" t="s">
        <v>9209</v>
      </c>
      <c r="D4514" s="2" t="s">
        <v>8877</v>
      </c>
      <c r="E4514" s="2" t="str">
        <f>HYPERLINK("https://talan.bank.gov.ua/get-user-certificate/sec1e3oI247pIcHidGvI","Завантажити сертифікат")</f>
        <v>Завантажити сертифікат</v>
      </c>
    </row>
    <row r="4515" spans="1:5" x14ac:dyDescent="0.3">
      <c r="A4515" s="2" t="s">
        <v>9210</v>
      </c>
      <c r="B4515" s="2" t="s">
        <v>5</v>
      </c>
      <c r="C4515" s="2" t="s">
        <v>9211</v>
      </c>
      <c r="D4515" s="2" t="s">
        <v>8877</v>
      </c>
      <c r="E4515" s="2" t="str">
        <f>HYPERLINK("https://talan.bank.gov.ua/get-user-certificate/sec1eFt5N7OOVU8gPlp0","Завантажити сертифікат")</f>
        <v>Завантажити сертифікат</v>
      </c>
    </row>
    <row r="4516" spans="1:5" x14ac:dyDescent="0.3">
      <c r="A4516" s="2" t="s">
        <v>9212</v>
      </c>
      <c r="B4516" s="2" t="s">
        <v>5</v>
      </c>
      <c r="C4516" s="2" t="s">
        <v>9213</v>
      </c>
      <c r="D4516" s="2" t="s">
        <v>8877</v>
      </c>
      <c r="E4516" s="2" t="str">
        <f>HYPERLINK("https://talan.bank.gov.ua/get-user-certificate/sec1ep2QAd2xCnHl3ss4","Завантажити сертифікат")</f>
        <v>Завантажити сертифікат</v>
      </c>
    </row>
    <row r="4517" spans="1:5" x14ac:dyDescent="0.3">
      <c r="A4517" s="2" t="s">
        <v>9214</v>
      </c>
      <c r="B4517" s="2" t="s">
        <v>5</v>
      </c>
      <c r="C4517" s="2" t="s">
        <v>9215</v>
      </c>
      <c r="D4517" s="2" t="s">
        <v>8877</v>
      </c>
      <c r="E4517" s="2" t="str">
        <f>HYPERLINK("https://talan.bank.gov.ua/get-user-certificate/sec1evDxs-XkOmxIHXXd","Завантажити сертифікат")</f>
        <v>Завантажити сертифікат</v>
      </c>
    </row>
    <row r="4518" spans="1:5" x14ac:dyDescent="0.3">
      <c r="A4518" s="2" t="s">
        <v>9216</v>
      </c>
      <c r="B4518" s="2" t="s">
        <v>5</v>
      </c>
      <c r="C4518" s="2" t="s">
        <v>9217</v>
      </c>
      <c r="D4518" s="2" t="s">
        <v>8877</v>
      </c>
      <c r="E4518" s="2" t="str">
        <f>HYPERLINK("https://talan.bank.gov.ua/get-user-certificate/sec1euI_IuTPZ2mzEkRT","Завантажити сертифікат")</f>
        <v>Завантажити сертифікат</v>
      </c>
    </row>
    <row r="4519" spans="1:5" x14ac:dyDescent="0.3">
      <c r="A4519" s="2" t="s">
        <v>9218</v>
      </c>
      <c r="B4519" s="2" t="s">
        <v>5</v>
      </c>
      <c r="C4519" s="2" t="s">
        <v>9219</v>
      </c>
      <c r="D4519" s="2" t="s">
        <v>8877</v>
      </c>
      <c r="E4519" s="2" t="str">
        <f>HYPERLINK("https://talan.bank.gov.ua/get-user-certificate/sec1efKihjiiGO0h78HG","Завантажити сертифікат")</f>
        <v>Завантажити сертифікат</v>
      </c>
    </row>
    <row r="4520" spans="1:5" x14ac:dyDescent="0.3">
      <c r="A4520" s="2" t="s">
        <v>9220</v>
      </c>
      <c r="B4520" s="2" t="s">
        <v>5</v>
      </c>
      <c r="C4520" s="2" t="s">
        <v>9221</v>
      </c>
      <c r="D4520" s="2" t="s">
        <v>8877</v>
      </c>
      <c r="E4520" s="2" t="str">
        <f>HYPERLINK("https://talan.bank.gov.ua/get-user-certificate/sec1eEc56ZUK9kKPJert","Завантажити сертифікат")</f>
        <v>Завантажити сертифікат</v>
      </c>
    </row>
    <row r="4521" spans="1:5" x14ac:dyDescent="0.3">
      <c r="A4521" s="2" t="s">
        <v>9222</v>
      </c>
      <c r="B4521" s="2" t="s">
        <v>5</v>
      </c>
      <c r="C4521" s="2" t="s">
        <v>9223</v>
      </c>
      <c r="D4521" s="2" t="s">
        <v>8877</v>
      </c>
      <c r="E4521" s="2" t="str">
        <f>HYPERLINK("https://talan.bank.gov.ua/get-user-certificate/sec1eeOFe7GbPQnjh7E6","Завантажити сертифікат")</f>
        <v>Завантажити сертифікат</v>
      </c>
    </row>
    <row r="4522" spans="1:5" x14ac:dyDescent="0.3">
      <c r="A4522" s="2" t="s">
        <v>9224</v>
      </c>
      <c r="B4522" s="2" t="s">
        <v>5</v>
      </c>
      <c r="C4522" s="2" t="s">
        <v>9225</v>
      </c>
      <c r="D4522" s="2" t="s">
        <v>8877</v>
      </c>
      <c r="E4522" s="2" t="str">
        <f>HYPERLINK("https://talan.bank.gov.ua/get-user-certificate/sec1ecHbUY87IZFlubhd","Завантажити сертифікат")</f>
        <v>Завантажити сертифікат</v>
      </c>
    </row>
    <row r="4523" spans="1:5" x14ac:dyDescent="0.3">
      <c r="A4523" s="2" t="s">
        <v>9226</v>
      </c>
      <c r="B4523" s="2" t="s">
        <v>5</v>
      </c>
      <c r="C4523" s="2" t="s">
        <v>9227</v>
      </c>
      <c r="D4523" s="2" t="s">
        <v>8877</v>
      </c>
      <c r="E4523" s="2" t="str">
        <f>HYPERLINK("https://talan.bank.gov.ua/get-user-certificate/sec1eqhJYVGDPdOwtxTl","Завантажити сертифікат")</f>
        <v>Завантажити сертифікат</v>
      </c>
    </row>
    <row r="4524" spans="1:5" x14ac:dyDescent="0.3">
      <c r="A4524" s="2" t="s">
        <v>9228</v>
      </c>
      <c r="B4524" s="2" t="s">
        <v>5</v>
      </c>
      <c r="C4524" s="2" t="s">
        <v>9229</v>
      </c>
      <c r="D4524" s="2" t="s">
        <v>9230</v>
      </c>
      <c r="E4524" s="2" t="str">
        <f>HYPERLINK("https://talan.bank.gov.ua/get-user-certificate/sec1ee38AXyLxWYe7xRj","Завантажити сертифікат")</f>
        <v>Завантажити сертифікат</v>
      </c>
    </row>
    <row r="4525" spans="1:5" x14ac:dyDescent="0.3">
      <c r="A4525" s="2" t="s">
        <v>9231</v>
      </c>
      <c r="B4525" s="2" t="s">
        <v>5</v>
      </c>
      <c r="C4525" s="2" t="s">
        <v>9232</v>
      </c>
      <c r="D4525" s="2" t="s">
        <v>9230</v>
      </c>
      <c r="E4525" s="2" t="str">
        <f>HYPERLINK("https://talan.bank.gov.ua/get-user-certificate/sec1ewgPJDHIUI8Rrzg4","Завантажити сертифікат")</f>
        <v>Завантажити сертифікат</v>
      </c>
    </row>
    <row r="4526" spans="1:5" x14ac:dyDescent="0.3">
      <c r="A4526" s="2" t="s">
        <v>9233</v>
      </c>
      <c r="B4526" s="2" t="s">
        <v>5</v>
      </c>
      <c r="C4526" s="2" t="s">
        <v>9234</v>
      </c>
      <c r="D4526" s="2" t="s">
        <v>9230</v>
      </c>
      <c r="E4526" s="2" t="str">
        <f>HYPERLINK("https://talan.bank.gov.ua/get-user-certificate/sec1eR1cmLsg334U7kOb","Завантажити сертифікат")</f>
        <v>Завантажити сертифікат</v>
      </c>
    </row>
    <row r="4527" spans="1:5" x14ac:dyDescent="0.3">
      <c r="A4527" s="2" t="s">
        <v>9235</v>
      </c>
      <c r="B4527" s="2" t="s">
        <v>5</v>
      </c>
      <c r="C4527" s="2" t="s">
        <v>9236</v>
      </c>
      <c r="D4527" s="2" t="s">
        <v>9230</v>
      </c>
      <c r="E4527" s="2" t="str">
        <f>HYPERLINK("https://talan.bank.gov.ua/get-user-certificate/sec1e7YMm7lU2ii9Y0Vp","Завантажити сертифікат")</f>
        <v>Завантажити сертифікат</v>
      </c>
    </row>
    <row r="4528" spans="1:5" x14ac:dyDescent="0.3">
      <c r="A4528" s="2" t="s">
        <v>9237</v>
      </c>
      <c r="B4528" s="2" t="s">
        <v>5</v>
      </c>
      <c r="C4528" s="2" t="s">
        <v>9238</v>
      </c>
      <c r="D4528" s="2" t="s">
        <v>9230</v>
      </c>
      <c r="E4528" s="2" t="str">
        <f>HYPERLINK("https://talan.bank.gov.ua/get-user-certificate/sec1ev44QIySxQyvZ2AJ","Завантажити сертифікат")</f>
        <v>Завантажити сертифікат</v>
      </c>
    </row>
    <row r="4529" spans="1:5" x14ac:dyDescent="0.3">
      <c r="A4529" s="2" t="s">
        <v>9239</v>
      </c>
      <c r="B4529" s="2" t="s">
        <v>5</v>
      </c>
      <c r="C4529" s="2" t="s">
        <v>9240</v>
      </c>
      <c r="D4529" s="2" t="s">
        <v>9230</v>
      </c>
      <c r="E4529" s="2" t="str">
        <f>HYPERLINK("https://talan.bank.gov.ua/get-user-certificate/sec1eLlEO33LTkELHlPB","Завантажити сертифікат")</f>
        <v>Завантажити сертифікат</v>
      </c>
    </row>
    <row r="4530" spans="1:5" x14ac:dyDescent="0.3">
      <c r="A4530" s="2" t="s">
        <v>9241</v>
      </c>
      <c r="B4530" s="2" t="s">
        <v>5</v>
      </c>
      <c r="C4530" s="2" t="s">
        <v>9242</v>
      </c>
      <c r="D4530" s="2" t="s">
        <v>9230</v>
      </c>
      <c r="E4530" s="2" t="str">
        <f>HYPERLINK("https://talan.bank.gov.ua/get-user-certificate/sec1ejpuu37l_v8-dBaU","Завантажити сертифікат")</f>
        <v>Завантажити сертифікат</v>
      </c>
    </row>
    <row r="4531" spans="1:5" x14ac:dyDescent="0.3">
      <c r="A4531" s="2" t="s">
        <v>9243</v>
      </c>
      <c r="B4531" s="2" t="s">
        <v>5</v>
      </c>
      <c r="C4531" s="2" t="s">
        <v>9244</v>
      </c>
      <c r="D4531" s="2" t="s">
        <v>9230</v>
      </c>
      <c r="E4531" s="2" t="str">
        <f>HYPERLINK("https://talan.bank.gov.ua/get-user-certificate/sec1esxG8eDy4jrt46ys","Завантажити сертифікат")</f>
        <v>Завантажити сертифікат</v>
      </c>
    </row>
    <row r="4532" spans="1:5" x14ac:dyDescent="0.3">
      <c r="A4532" s="2" t="s">
        <v>9245</v>
      </c>
      <c r="B4532" s="2" t="s">
        <v>5</v>
      </c>
      <c r="C4532" s="2" t="s">
        <v>9246</v>
      </c>
      <c r="D4532" s="2" t="s">
        <v>9230</v>
      </c>
      <c r="E4532" s="2" t="str">
        <f>HYPERLINK("https://talan.bank.gov.ua/get-user-certificate/sec1eu1PWJDKOtiuHHnF","Завантажити сертифікат")</f>
        <v>Завантажити сертифікат</v>
      </c>
    </row>
    <row r="4533" spans="1:5" x14ac:dyDescent="0.3">
      <c r="A4533" s="2" t="s">
        <v>9247</v>
      </c>
      <c r="B4533" s="2" t="s">
        <v>5</v>
      </c>
      <c r="C4533" s="2" t="s">
        <v>9248</v>
      </c>
      <c r="D4533" s="2" t="s">
        <v>9230</v>
      </c>
      <c r="E4533" s="2" t="str">
        <f>HYPERLINK("https://talan.bank.gov.ua/get-user-certificate/sec1e3sZQAgr-VWZkDDi","Завантажити сертифікат")</f>
        <v>Завантажити сертифікат</v>
      </c>
    </row>
    <row r="4534" spans="1:5" x14ac:dyDescent="0.3">
      <c r="A4534" s="2" t="s">
        <v>9249</v>
      </c>
      <c r="B4534" s="2" t="s">
        <v>5</v>
      </c>
      <c r="C4534" s="2" t="s">
        <v>9250</v>
      </c>
      <c r="D4534" s="2" t="s">
        <v>9230</v>
      </c>
      <c r="E4534" s="2" t="str">
        <f>HYPERLINK("https://talan.bank.gov.ua/get-user-certificate/sec1exJ0dUjyyeNRFlL4","Завантажити сертифікат")</f>
        <v>Завантажити сертифікат</v>
      </c>
    </row>
    <row r="4535" spans="1:5" x14ac:dyDescent="0.3">
      <c r="A4535" s="2" t="s">
        <v>9251</v>
      </c>
      <c r="B4535" s="2" t="s">
        <v>5</v>
      </c>
      <c r="C4535" s="2" t="s">
        <v>9252</v>
      </c>
      <c r="D4535" s="2" t="s">
        <v>9253</v>
      </c>
      <c r="E4535" s="2" t="str">
        <f>HYPERLINK("https://talan.bank.gov.ua/get-user-certificate/sec1eOBqUGQcgOo-vlBO","Завантажити сертифікат")</f>
        <v>Завантажити сертифікат</v>
      </c>
    </row>
    <row r="4536" spans="1:5" x14ac:dyDescent="0.3">
      <c r="A4536" s="2" t="s">
        <v>9254</v>
      </c>
      <c r="B4536" s="2" t="s">
        <v>5</v>
      </c>
      <c r="C4536" s="2" t="s">
        <v>9255</v>
      </c>
      <c r="D4536" s="2" t="s">
        <v>9253</v>
      </c>
      <c r="E4536" s="2" t="str">
        <f>HYPERLINK("https://talan.bank.gov.ua/get-user-certificate/sec1eg6lVOl6qS5myGgd","Завантажити сертифікат")</f>
        <v>Завантажити сертифікат</v>
      </c>
    </row>
    <row r="4537" spans="1:5" x14ac:dyDescent="0.3">
      <c r="A4537" s="2" t="s">
        <v>9256</v>
      </c>
      <c r="B4537" s="2" t="s">
        <v>5</v>
      </c>
      <c r="C4537" s="2" t="s">
        <v>9257</v>
      </c>
      <c r="D4537" s="2" t="s">
        <v>9253</v>
      </c>
      <c r="E4537" s="2" t="str">
        <f>HYPERLINK("https://talan.bank.gov.ua/get-user-certificate/sec1eG7xDiP6oegHVhPz","Завантажити сертифікат")</f>
        <v>Завантажити сертифікат</v>
      </c>
    </row>
    <row r="4538" spans="1:5" x14ac:dyDescent="0.3">
      <c r="A4538" s="2" t="s">
        <v>9258</v>
      </c>
      <c r="B4538" s="2" t="s">
        <v>5</v>
      </c>
      <c r="C4538" s="2" t="s">
        <v>9259</v>
      </c>
      <c r="D4538" s="2" t="s">
        <v>9253</v>
      </c>
      <c r="E4538" s="2" t="str">
        <f>HYPERLINK("https://talan.bank.gov.ua/get-user-certificate/sec1esHDSn87GRIiVlYe","Завантажити сертифікат")</f>
        <v>Завантажити сертифікат</v>
      </c>
    </row>
    <row r="4539" spans="1:5" x14ac:dyDescent="0.3">
      <c r="A4539" s="2" t="s">
        <v>9260</v>
      </c>
      <c r="B4539" s="2" t="s">
        <v>5</v>
      </c>
      <c r="C4539" s="2" t="s">
        <v>9261</v>
      </c>
      <c r="D4539" s="2" t="s">
        <v>9253</v>
      </c>
      <c r="E4539" s="2" t="str">
        <f>HYPERLINK("https://talan.bank.gov.ua/get-user-certificate/sec1ePAsbwRqk8PXHCch","Завантажити сертифікат")</f>
        <v>Завантажити сертифікат</v>
      </c>
    </row>
    <row r="4540" spans="1:5" x14ac:dyDescent="0.3">
      <c r="A4540" s="2" t="s">
        <v>9262</v>
      </c>
      <c r="B4540" s="2" t="s">
        <v>5</v>
      </c>
      <c r="C4540" s="2" t="s">
        <v>9263</v>
      </c>
      <c r="D4540" s="2" t="s">
        <v>9264</v>
      </c>
      <c r="E4540" s="2" t="str">
        <f>HYPERLINK("https://talan.bank.gov.ua/get-user-certificate/sec1eZgg7deygd1CtmmL","Завантажити сертифікат")</f>
        <v>Завантажити сертифікат</v>
      </c>
    </row>
    <row r="4541" spans="1:5" x14ac:dyDescent="0.3">
      <c r="A4541" s="2" t="s">
        <v>9265</v>
      </c>
      <c r="B4541" s="2" t="s">
        <v>5</v>
      </c>
      <c r="C4541" s="2" t="s">
        <v>9266</v>
      </c>
      <c r="D4541" s="2" t="s">
        <v>9264</v>
      </c>
      <c r="E4541" s="2" t="str">
        <f>HYPERLINK("https://talan.bank.gov.ua/get-user-certificate/sec1eM8tuF9imSxYQYFa","Завантажити сертифікат")</f>
        <v>Завантажити сертифікат</v>
      </c>
    </row>
    <row r="4542" spans="1:5" x14ac:dyDescent="0.3">
      <c r="A4542" s="2" t="s">
        <v>9267</v>
      </c>
      <c r="B4542" s="2" t="s">
        <v>5</v>
      </c>
      <c r="C4542" s="2" t="s">
        <v>9268</v>
      </c>
      <c r="D4542" s="2" t="s">
        <v>9264</v>
      </c>
      <c r="E4542" s="2" t="str">
        <f>HYPERLINK("https://talan.bank.gov.ua/get-user-certificate/sec1e038Q5JwrtM6OdIS","Завантажити сертифікат")</f>
        <v>Завантажити сертифікат</v>
      </c>
    </row>
    <row r="4543" spans="1:5" x14ac:dyDescent="0.3">
      <c r="A4543" s="2" t="s">
        <v>9269</v>
      </c>
      <c r="B4543" s="2" t="s">
        <v>5</v>
      </c>
      <c r="C4543" s="2" t="s">
        <v>9270</v>
      </c>
      <c r="D4543" s="2" t="s">
        <v>9264</v>
      </c>
      <c r="E4543" s="2" t="str">
        <f>HYPERLINK("https://talan.bank.gov.ua/get-user-certificate/sec1euM024-s0QUw3vCN","Завантажити сертифікат")</f>
        <v>Завантажити сертифікат</v>
      </c>
    </row>
    <row r="4544" spans="1:5" x14ac:dyDescent="0.3">
      <c r="A4544" s="2" t="s">
        <v>9271</v>
      </c>
      <c r="B4544" s="2" t="s">
        <v>5</v>
      </c>
      <c r="C4544" s="2" t="s">
        <v>9272</v>
      </c>
      <c r="D4544" s="2" t="s">
        <v>9264</v>
      </c>
      <c r="E4544" s="2" t="str">
        <f>HYPERLINK("https://talan.bank.gov.ua/get-user-certificate/sec1e4hc9AM23lXEJO6l","Завантажити сертифікат")</f>
        <v>Завантажити сертифікат</v>
      </c>
    </row>
    <row r="4545" spans="1:5" x14ac:dyDescent="0.3">
      <c r="A4545" s="2" t="s">
        <v>9273</v>
      </c>
      <c r="B4545" s="2" t="s">
        <v>5</v>
      </c>
      <c r="C4545" s="2" t="s">
        <v>9274</v>
      </c>
      <c r="D4545" s="2" t="s">
        <v>9264</v>
      </c>
      <c r="E4545" s="2" t="str">
        <f>HYPERLINK("https://talan.bank.gov.ua/get-user-certificate/sec1ejM-F1ucPYO0wObE","Завантажити сертифікат")</f>
        <v>Завантажити сертифікат</v>
      </c>
    </row>
    <row r="4546" spans="1:5" x14ac:dyDescent="0.3">
      <c r="A4546" s="2" t="s">
        <v>9275</v>
      </c>
      <c r="B4546" s="2" t="s">
        <v>5</v>
      </c>
      <c r="C4546" s="2" t="s">
        <v>9276</v>
      </c>
      <c r="D4546" s="2" t="s">
        <v>9264</v>
      </c>
      <c r="E4546" s="2" t="str">
        <f>HYPERLINK("https://talan.bank.gov.ua/get-user-certificate/sec1eg9lSl0Wk0Vf1J-Q","Завантажити сертифікат")</f>
        <v>Завантажити сертифікат</v>
      </c>
    </row>
    <row r="4547" spans="1:5" x14ac:dyDescent="0.3">
      <c r="A4547" s="2" t="s">
        <v>9277</v>
      </c>
      <c r="B4547" s="2" t="s">
        <v>5</v>
      </c>
      <c r="C4547" s="2" t="s">
        <v>9278</v>
      </c>
      <c r="D4547" s="2" t="s">
        <v>9264</v>
      </c>
      <c r="E4547" s="2" t="str">
        <f>HYPERLINK("https://talan.bank.gov.ua/get-user-certificate/sec1ex1_QdK9PntRCCoW","Завантажити сертифікат")</f>
        <v>Завантажити сертифікат</v>
      </c>
    </row>
    <row r="4548" spans="1:5" x14ac:dyDescent="0.3">
      <c r="A4548" s="2" t="s">
        <v>9279</v>
      </c>
      <c r="B4548" s="2" t="s">
        <v>5</v>
      </c>
      <c r="C4548" s="2" t="s">
        <v>9280</v>
      </c>
      <c r="D4548" s="2" t="s">
        <v>9264</v>
      </c>
      <c r="E4548" s="2" t="str">
        <f>HYPERLINK("https://talan.bank.gov.ua/get-user-certificate/sec1eBA-w_jNrnAH1Xtk","Завантажити сертифікат")</f>
        <v>Завантажити сертифікат</v>
      </c>
    </row>
    <row r="4549" spans="1:5" x14ac:dyDescent="0.3">
      <c r="A4549" s="2" t="s">
        <v>9281</v>
      </c>
      <c r="B4549" s="2" t="s">
        <v>5</v>
      </c>
      <c r="C4549" s="2" t="s">
        <v>9282</v>
      </c>
      <c r="D4549" s="2" t="s">
        <v>9264</v>
      </c>
      <c r="E4549" s="2" t="str">
        <f>HYPERLINK("https://talan.bank.gov.ua/get-user-certificate/sec1eZeaGODsp43_0AJQ","Завантажити сертифікат")</f>
        <v>Завантажити сертифікат</v>
      </c>
    </row>
    <row r="4550" spans="1:5" x14ac:dyDescent="0.3">
      <c r="A4550" s="2" t="s">
        <v>9283</v>
      </c>
      <c r="B4550" s="2" t="s">
        <v>5</v>
      </c>
      <c r="C4550" s="2" t="s">
        <v>9284</v>
      </c>
      <c r="D4550" s="2" t="s">
        <v>9264</v>
      </c>
      <c r="E4550" s="2" t="str">
        <f>HYPERLINK("https://talan.bank.gov.ua/get-user-certificate/sec1ewua4kD-pNnlYHi2","Завантажити сертифікат")</f>
        <v>Завантажити сертифікат</v>
      </c>
    </row>
    <row r="4551" spans="1:5" x14ac:dyDescent="0.3">
      <c r="A4551" s="2" t="s">
        <v>9285</v>
      </c>
      <c r="B4551" s="2" t="s">
        <v>5</v>
      </c>
      <c r="C4551" s="2" t="s">
        <v>9286</v>
      </c>
      <c r="D4551" s="2" t="s">
        <v>9264</v>
      </c>
      <c r="E4551" s="2" t="str">
        <f>HYPERLINK("https://talan.bank.gov.ua/get-user-certificate/sec1evGMDiJyJ2FcHje9","Завантажити сертифікат")</f>
        <v>Завантажити сертифікат</v>
      </c>
    </row>
    <row r="4552" spans="1:5" x14ac:dyDescent="0.3">
      <c r="A4552" s="2" t="s">
        <v>9287</v>
      </c>
      <c r="B4552" s="2" t="s">
        <v>5</v>
      </c>
      <c r="C4552" s="2" t="s">
        <v>9288</v>
      </c>
      <c r="D4552" s="2" t="s">
        <v>9264</v>
      </c>
      <c r="E4552" s="2" t="str">
        <f>HYPERLINK("https://talan.bank.gov.ua/get-user-certificate/sec1eQl4P0xfjzZlurqO","Завантажити сертифікат")</f>
        <v>Завантажити сертифікат</v>
      </c>
    </row>
    <row r="4553" spans="1:5" x14ac:dyDescent="0.3">
      <c r="A4553" s="2" t="s">
        <v>9289</v>
      </c>
      <c r="B4553" s="2" t="s">
        <v>5</v>
      </c>
      <c r="C4553" s="2" t="s">
        <v>9290</v>
      </c>
      <c r="D4553" s="2" t="s">
        <v>9264</v>
      </c>
      <c r="E4553" s="2" t="str">
        <f>HYPERLINK("https://talan.bank.gov.ua/get-user-certificate/sec1ek5HR2RkBO1QRPC0","Завантажити сертифікат")</f>
        <v>Завантажити сертифікат</v>
      </c>
    </row>
    <row r="4554" spans="1:5" x14ac:dyDescent="0.3">
      <c r="A4554" s="2" t="s">
        <v>9291</v>
      </c>
      <c r="B4554" s="2" t="s">
        <v>5</v>
      </c>
      <c r="C4554" s="2" t="s">
        <v>9292</v>
      </c>
      <c r="D4554" s="2" t="s">
        <v>9264</v>
      </c>
      <c r="E4554" s="2" t="str">
        <f>HYPERLINK("https://talan.bank.gov.ua/get-user-certificate/sec1efnuszmOEC8tHPms","Завантажити сертифікат")</f>
        <v>Завантажити сертифікат</v>
      </c>
    </row>
    <row r="4555" spans="1:5" x14ac:dyDescent="0.3">
      <c r="A4555" s="2" t="s">
        <v>9293</v>
      </c>
      <c r="B4555" s="2" t="s">
        <v>5</v>
      </c>
      <c r="C4555" s="2" t="s">
        <v>9294</v>
      </c>
      <c r="D4555" s="2" t="s">
        <v>9264</v>
      </c>
      <c r="E4555" s="2" t="str">
        <f>HYPERLINK("https://talan.bank.gov.ua/get-user-certificate/sec1eFNrOOuLCWYwi_0z","Завантажити сертифікат")</f>
        <v>Завантажити сертифікат</v>
      </c>
    </row>
    <row r="4556" spans="1:5" x14ac:dyDescent="0.3">
      <c r="A4556" s="2" t="s">
        <v>9295</v>
      </c>
      <c r="B4556" s="2" t="s">
        <v>5</v>
      </c>
      <c r="C4556" s="2" t="s">
        <v>9296</v>
      </c>
      <c r="D4556" s="2" t="s">
        <v>9264</v>
      </c>
      <c r="E4556" s="2" t="str">
        <f>HYPERLINK("https://talan.bank.gov.ua/get-user-certificate/sec1eutfiEz2SpJpbQln","Завантажити сертифікат")</f>
        <v>Завантажити сертифікат</v>
      </c>
    </row>
    <row r="4557" spans="1:5" x14ac:dyDescent="0.3">
      <c r="A4557" s="2" t="s">
        <v>9297</v>
      </c>
      <c r="B4557" s="2" t="s">
        <v>5</v>
      </c>
      <c r="C4557" s="2" t="s">
        <v>9298</v>
      </c>
      <c r="D4557" s="2" t="s">
        <v>9264</v>
      </c>
      <c r="E4557" s="2" t="str">
        <f>HYPERLINK("https://talan.bank.gov.ua/get-user-certificate/sec1ei4tBzbczbrASGuV","Завантажити сертифікат")</f>
        <v>Завантажити сертифікат</v>
      </c>
    </row>
    <row r="4558" spans="1:5" x14ac:dyDescent="0.3">
      <c r="A4558" s="2" t="s">
        <v>9299</v>
      </c>
      <c r="B4558" s="2" t="s">
        <v>5</v>
      </c>
      <c r="C4558" s="2" t="s">
        <v>9300</v>
      </c>
      <c r="D4558" s="2" t="s">
        <v>9264</v>
      </c>
      <c r="E4558" s="2" t="str">
        <f>HYPERLINK("https://talan.bank.gov.ua/get-user-certificate/sec1eyXH_7o5sPwm7t8z","Завантажити сертифікат")</f>
        <v>Завантажити сертифікат</v>
      </c>
    </row>
    <row r="4559" spans="1:5" x14ac:dyDescent="0.3">
      <c r="A4559" s="2" t="s">
        <v>9301</v>
      </c>
      <c r="B4559" s="2" t="s">
        <v>5</v>
      </c>
      <c r="C4559" s="2" t="s">
        <v>9302</v>
      </c>
      <c r="D4559" s="2" t="s">
        <v>9264</v>
      </c>
      <c r="E4559" s="2" t="str">
        <f>HYPERLINK("https://talan.bank.gov.ua/get-user-certificate/sec1e-hnrN9iH94f8WgQ","Завантажити сертифікат")</f>
        <v>Завантажити сертифікат</v>
      </c>
    </row>
    <row r="4560" spans="1:5" x14ac:dyDescent="0.3">
      <c r="A4560" s="2" t="s">
        <v>9303</v>
      </c>
      <c r="B4560" s="2" t="s">
        <v>5</v>
      </c>
      <c r="C4560" s="2" t="s">
        <v>9304</v>
      </c>
      <c r="D4560" s="2" t="s">
        <v>9264</v>
      </c>
      <c r="E4560" s="2" t="str">
        <f>HYPERLINK("https://talan.bank.gov.ua/get-user-certificate/sec1eLLzE2Y1iS_oKGiY","Завантажити сертифікат")</f>
        <v>Завантажити сертифікат</v>
      </c>
    </row>
    <row r="4561" spans="1:5" x14ac:dyDescent="0.3">
      <c r="A4561" s="2" t="s">
        <v>9305</v>
      </c>
      <c r="B4561" s="2" t="s">
        <v>5</v>
      </c>
      <c r="C4561" s="2" t="s">
        <v>9306</v>
      </c>
      <c r="D4561" s="2" t="s">
        <v>9264</v>
      </c>
      <c r="E4561" s="2" t="str">
        <f>HYPERLINK("https://talan.bank.gov.ua/get-user-certificate/sec1eFcmnOyOGObC9Zrk","Завантажити сертифікат")</f>
        <v>Завантажити сертифікат</v>
      </c>
    </row>
    <row r="4562" spans="1:5" x14ac:dyDescent="0.3">
      <c r="A4562" s="2" t="s">
        <v>9307</v>
      </c>
      <c r="B4562" s="2" t="s">
        <v>5</v>
      </c>
      <c r="C4562" s="2" t="s">
        <v>9308</v>
      </c>
      <c r="D4562" s="2" t="s">
        <v>9309</v>
      </c>
      <c r="E4562" s="2" t="str">
        <f>HYPERLINK("https://talan.bank.gov.ua/get-user-certificate/sec1eV6msRxbm1Kxro-e","Завантажити сертифікат")</f>
        <v>Завантажити сертифікат</v>
      </c>
    </row>
    <row r="4563" spans="1:5" x14ac:dyDescent="0.3">
      <c r="A4563" s="2" t="s">
        <v>9310</v>
      </c>
      <c r="B4563" s="2" t="s">
        <v>5</v>
      </c>
      <c r="C4563" s="2" t="s">
        <v>9311</v>
      </c>
      <c r="D4563" s="2" t="s">
        <v>9309</v>
      </c>
      <c r="E4563" s="2" t="str">
        <f>HYPERLINK("https://talan.bank.gov.ua/get-user-certificate/sec1evJqJ8mHaEYhlvU2","Завантажити сертифікат")</f>
        <v>Завантажити сертифікат</v>
      </c>
    </row>
    <row r="4564" spans="1:5" x14ac:dyDescent="0.3">
      <c r="A4564" s="2" t="s">
        <v>9312</v>
      </c>
      <c r="B4564" s="2" t="s">
        <v>5</v>
      </c>
      <c r="C4564" s="2" t="s">
        <v>9313</v>
      </c>
      <c r="D4564" s="2" t="s">
        <v>9309</v>
      </c>
      <c r="E4564" s="2" t="str">
        <f>HYPERLINK("https://talan.bank.gov.ua/get-user-certificate/sec1eECGIpuciuonaQ48","Завантажити сертифікат")</f>
        <v>Завантажити сертифікат</v>
      </c>
    </row>
    <row r="4565" spans="1:5" x14ac:dyDescent="0.3">
      <c r="A4565" s="2" t="s">
        <v>9314</v>
      </c>
      <c r="B4565" s="2" t="s">
        <v>5</v>
      </c>
      <c r="C4565" s="2" t="s">
        <v>9315</v>
      </c>
      <c r="D4565" s="2" t="s">
        <v>9309</v>
      </c>
      <c r="E4565" s="2" t="str">
        <f>HYPERLINK("https://talan.bank.gov.ua/get-user-certificate/sec1ezH3i1KJgegiGyys","Завантажити сертифікат")</f>
        <v>Завантажити сертифікат</v>
      </c>
    </row>
    <row r="4566" spans="1:5" x14ac:dyDescent="0.3">
      <c r="A4566" s="2" t="s">
        <v>9316</v>
      </c>
      <c r="B4566" s="2" t="s">
        <v>5</v>
      </c>
      <c r="C4566" s="2" t="s">
        <v>9317</v>
      </c>
      <c r="D4566" s="2" t="s">
        <v>9309</v>
      </c>
      <c r="E4566" s="2" t="str">
        <f>HYPERLINK("https://talan.bank.gov.ua/get-user-certificate/sec1eLnG_cg8NCBU3VgN","Завантажити сертифікат")</f>
        <v>Завантажити сертифікат</v>
      </c>
    </row>
    <row r="4567" spans="1:5" x14ac:dyDescent="0.3">
      <c r="A4567" s="2" t="s">
        <v>9318</v>
      </c>
      <c r="B4567" s="2" t="s">
        <v>5</v>
      </c>
      <c r="C4567" s="2" t="s">
        <v>9319</v>
      </c>
      <c r="D4567" s="2" t="s">
        <v>9309</v>
      </c>
      <c r="E4567" s="2" t="str">
        <f>HYPERLINK("https://talan.bank.gov.ua/get-user-certificate/sec1eYZ9CV2DbB3kOPlj","Завантажити сертифікат")</f>
        <v>Завантажити сертифікат</v>
      </c>
    </row>
    <row r="4568" spans="1:5" x14ac:dyDescent="0.3">
      <c r="A4568" s="2" t="s">
        <v>9320</v>
      </c>
      <c r="B4568" s="2" t="s">
        <v>5</v>
      </c>
      <c r="C4568" s="2" t="s">
        <v>9321</v>
      </c>
      <c r="D4568" s="2" t="s">
        <v>9309</v>
      </c>
      <c r="E4568" s="2" t="str">
        <f>HYPERLINK("https://talan.bank.gov.ua/get-user-certificate/sec1ereY4RDxNYD15DQt","Завантажити сертифікат")</f>
        <v>Завантажити сертифікат</v>
      </c>
    </row>
    <row r="4569" spans="1:5" x14ac:dyDescent="0.3">
      <c r="A4569" s="2" t="s">
        <v>9322</v>
      </c>
      <c r="B4569" s="2" t="s">
        <v>5</v>
      </c>
      <c r="C4569" s="2" t="s">
        <v>9323</v>
      </c>
      <c r="D4569" s="2" t="s">
        <v>9309</v>
      </c>
      <c r="E4569" s="2" t="str">
        <f>HYPERLINK("https://talan.bank.gov.ua/get-user-certificate/sec1ec-eeKhxV3iaQK2r","Завантажити сертифікат")</f>
        <v>Завантажити сертифікат</v>
      </c>
    </row>
    <row r="4570" spans="1:5" x14ac:dyDescent="0.3">
      <c r="A4570" s="2" t="s">
        <v>9324</v>
      </c>
      <c r="B4570" s="2" t="s">
        <v>5</v>
      </c>
      <c r="C4570" s="2" t="s">
        <v>9325</v>
      </c>
      <c r="D4570" s="2" t="s">
        <v>9309</v>
      </c>
      <c r="E4570" s="2" t="str">
        <f>HYPERLINK("https://talan.bank.gov.ua/get-user-certificate/sec1eAoBO955pG0x79H3","Завантажити сертифікат")</f>
        <v>Завантажити сертифікат</v>
      </c>
    </row>
    <row r="4571" spans="1:5" x14ac:dyDescent="0.3">
      <c r="A4571" s="2" t="s">
        <v>9326</v>
      </c>
      <c r="B4571" s="2" t="s">
        <v>5</v>
      </c>
      <c r="C4571" s="2" t="s">
        <v>9327</v>
      </c>
      <c r="D4571" s="2" t="s">
        <v>9309</v>
      </c>
      <c r="E4571" s="2" t="str">
        <f>HYPERLINK("https://talan.bank.gov.ua/get-user-certificate/sec1ecQS28e-zkLhzret","Завантажити сертифікат")</f>
        <v>Завантажити сертифікат</v>
      </c>
    </row>
    <row r="4572" spans="1:5" x14ac:dyDescent="0.3">
      <c r="A4572" s="2" t="s">
        <v>9328</v>
      </c>
      <c r="B4572" s="2" t="s">
        <v>5</v>
      </c>
      <c r="C4572" s="2" t="s">
        <v>9329</v>
      </c>
      <c r="D4572" s="2" t="s">
        <v>9309</v>
      </c>
      <c r="E4572" s="2" t="str">
        <f>HYPERLINK("https://talan.bank.gov.ua/get-user-certificate/sec1ekTGPK_rIygECqV3","Завантажити сертифікат")</f>
        <v>Завантажити сертифікат</v>
      </c>
    </row>
    <row r="4573" spans="1:5" x14ac:dyDescent="0.3">
      <c r="A4573" s="2" t="s">
        <v>9330</v>
      </c>
      <c r="B4573" s="2" t="s">
        <v>5</v>
      </c>
      <c r="C4573" s="2" t="s">
        <v>9331</v>
      </c>
      <c r="D4573" s="2" t="s">
        <v>9309</v>
      </c>
      <c r="E4573" s="2" t="str">
        <f>HYPERLINK("https://talan.bank.gov.ua/get-user-certificate/sec1eleCeIJ-AMgJtISz","Завантажити сертифікат")</f>
        <v>Завантажити сертифікат</v>
      </c>
    </row>
    <row r="4574" spans="1:5" x14ac:dyDescent="0.3">
      <c r="A4574" s="2" t="s">
        <v>9332</v>
      </c>
      <c r="B4574" s="2" t="s">
        <v>5</v>
      </c>
      <c r="C4574" s="2" t="s">
        <v>9333</v>
      </c>
      <c r="D4574" s="2" t="s">
        <v>9334</v>
      </c>
      <c r="E4574" s="2" t="str">
        <f>HYPERLINK("https://talan.bank.gov.ua/get-user-certificate/sec1eJfRS1PxhSEWzS4x","Завантажити сертифікат")</f>
        <v>Завантажити сертифікат</v>
      </c>
    </row>
    <row r="4575" spans="1:5" x14ac:dyDescent="0.3">
      <c r="A4575" s="2" t="s">
        <v>9335</v>
      </c>
      <c r="B4575" s="2" t="s">
        <v>5</v>
      </c>
      <c r="C4575" s="2" t="s">
        <v>9336</v>
      </c>
      <c r="D4575" s="2" t="s">
        <v>9334</v>
      </c>
      <c r="E4575" s="2" t="str">
        <f>HYPERLINK("https://talan.bank.gov.ua/get-user-certificate/sec1eFN0FJ8djRwLRIVu","Завантажити сертифікат")</f>
        <v>Завантажити сертифікат</v>
      </c>
    </row>
    <row r="4576" spans="1:5" x14ac:dyDescent="0.3">
      <c r="A4576" s="2" t="s">
        <v>9337</v>
      </c>
      <c r="B4576" s="2" t="s">
        <v>5</v>
      </c>
      <c r="C4576" s="2" t="s">
        <v>9338</v>
      </c>
      <c r="D4576" s="2" t="s">
        <v>9334</v>
      </c>
      <c r="E4576" s="2" t="str">
        <f>HYPERLINK("https://talan.bank.gov.ua/get-user-certificate/sec1e1sviUPed9IWbuWH","Завантажити сертифікат")</f>
        <v>Завантажити сертифікат</v>
      </c>
    </row>
    <row r="4577" spans="1:5" x14ac:dyDescent="0.3">
      <c r="A4577" s="2" t="s">
        <v>9339</v>
      </c>
      <c r="B4577" s="2" t="s">
        <v>5</v>
      </c>
      <c r="C4577" s="2" t="s">
        <v>6218</v>
      </c>
      <c r="D4577" s="2" t="s">
        <v>9334</v>
      </c>
      <c r="E4577" s="2" t="str">
        <f>HYPERLINK("https://talan.bank.gov.ua/get-user-certificate/sec1e7_gBoPOKldMOXbX","Завантажити сертифікат")</f>
        <v>Завантажити сертифікат</v>
      </c>
    </row>
    <row r="4578" spans="1:5" x14ac:dyDescent="0.3">
      <c r="A4578" s="2" t="s">
        <v>9340</v>
      </c>
      <c r="B4578" s="2" t="s">
        <v>5</v>
      </c>
      <c r="C4578" s="2" t="s">
        <v>9341</v>
      </c>
      <c r="D4578" s="2" t="s">
        <v>9334</v>
      </c>
      <c r="E4578" s="2" t="str">
        <f>HYPERLINK("https://talan.bank.gov.ua/get-user-certificate/sec1e8L8jVlDLYfDjQN3","Завантажити сертифікат")</f>
        <v>Завантажити сертифікат</v>
      </c>
    </row>
    <row r="4579" spans="1:5" x14ac:dyDescent="0.3">
      <c r="A4579" s="2" t="s">
        <v>9342</v>
      </c>
      <c r="B4579" s="2" t="s">
        <v>5</v>
      </c>
      <c r="C4579" s="2" t="s">
        <v>9343</v>
      </c>
      <c r="D4579" s="2" t="s">
        <v>9334</v>
      </c>
      <c r="E4579" s="2" t="str">
        <f>HYPERLINK("https://talan.bank.gov.ua/get-user-certificate/sec1eGIHz1sYA8mDHBAn","Завантажити сертифікат")</f>
        <v>Завантажити сертифікат</v>
      </c>
    </row>
    <row r="4580" spans="1:5" x14ac:dyDescent="0.3">
      <c r="A4580" s="2" t="s">
        <v>9344</v>
      </c>
      <c r="B4580" s="2" t="s">
        <v>5</v>
      </c>
      <c r="C4580" s="2" t="s">
        <v>9345</v>
      </c>
      <c r="D4580" s="2" t="s">
        <v>9334</v>
      </c>
      <c r="E4580" s="2" t="str">
        <f>HYPERLINK("https://talan.bank.gov.ua/get-user-certificate/sec1eDuA5mpTlXAuNRlp","Завантажити сертифікат")</f>
        <v>Завантажити сертифікат</v>
      </c>
    </row>
    <row r="4581" spans="1:5" x14ac:dyDescent="0.3">
      <c r="A4581" s="2" t="s">
        <v>9346</v>
      </c>
      <c r="B4581" s="2" t="s">
        <v>5</v>
      </c>
      <c r="C4581" s="2" t="s">
        <v>8784</v>
      </c>
      <c r="D4581" s="2" t="s">
        <v>9334</v>
      </c>
      <c r="E4581" s="2" t="str">
        <f>HYPERLINK("https://talan.bank.gov.ua/get-user-certificate/sec1eoQ2Jb3Q7uT3-Eo5","Завантажити сертифікат")</f>
        <v>Завантажити сертифікат</v>
      </c>
    </row>
    <row r="4582" spans="1:5" x14ac:dyDescent="0.3">
      <c r="A4582" s="2" t="s">
        <v>9347</v>
      </c>
      <c r="B4582" s="2" t="s">
        <v>5</v>
      </c>
      <c r="C4582" s="2" t="s">
        <v>9348</v>
      </c>
      <c r="D4582" s="2" t="s">
        <v>9334</v>
      </c>
      <c r="E4582" s="2" t="str">
        <f>HYPERLINK("https://talan.bank.gov.ua/get-user-certificate/sec1ebGwW1LmI5pva-N-","Завантажити сертифікат")</f>
        <v>Завантажити сертифікат</v>
      </c>
    </row>
    <row r="4583" spans="1:5" x14ac:dyDescent="0.3">
      <c r="A4583" s="2" t="s">
        <v>9349</v>
      </c>
      <c r="B4583" s="2" t="s">
        <v>5</v>
      </c>
      <c r="C4583" s="2" t="s">
        <v>9350</v>
      </c>
      <c r="D4583" s="2" t="s">
        <v>9334</v>
      </c>
      <c r="E4583" s="2" t="str">
        <f>HYPERLINK("https://talan.bank.gov.ua/get-user-certificate/sec1eKhue3eohqTfPBtT","Завантажити сертифікат")</f>
        <v>Завантажити сертифікат</v>
      </c>
    </row>
    <row r="4584" spans="1:5" x14ac:dyDescent="0.3">
      <c r="A4584" s="2" t="s">
        <v>9351</v>
      </c>
      <c r="B4584" s="2" t="s">
        <v>5</v>
      </c>
      <c r="C4584" s="2" t="s">
        <v>9352</v>
      </c>
      <c r="D4584" s="2" t="s">
        <v>9334</v>
      </c>
      <c r="E4584" s="2" t="str">
        <f>HYPERLINK("https://talan.bank.gov.ua/get-user-certificate/sec1eLkHPg-CL4nIXvrm","Завантажити сертифікат")</f>
        <v>Завантажити сертифікат</v>
      </c>
    </row>
    <row r="4585" spans="1:5" x14ac:dyDescent="0.3">
      <c r="A4585" s="2" t="s">
        <v>9353</v>
      </c>
      <c r="B4585" s="2" t="s">
        <v>5</v>
      </c>
      <c r="C4585" s="2" t="s">
        <v>9354</v>
      </c>
      <c r="D4585" s="2" t="s">
        <v>9334</v>
      </c>
      <c r="E4585" s="2" t="str">
        <f>HYPERLINK("https://talan.bank.gov.ua/get-user-certificate/sec1ewf71eQnhkjDOz6f","Завантажити сертифікат")</f>
        <v>Завантажити сертифікат</v>
      </c>
    </row>
    <row r="4586" spans="1:5" x14ac:dyDescent="0.3">
      <c r="A4586" s="2" t="s">
        <v>9355</v>
      </c>
      <c r="B4586" s="2" t="s">
        <v>5</v>
      </c>
      <c r="C4586" s="2" t="s">
        <v>9356</v>
      </c>
      <c r="D4586" s="2" t="s">
        <v>9334</v>
      </c>
      <c r="E4586" s="2" t="str">
        <f>HYPERLINK("https://talan.bank.gov.ua/get-user-certificate/sec1eyuM85v9kYUb8BiM","Завантажити сертифікат")</f>
        <v>Завантажити сертифікат</v>
      </c>
    </row>
    <row r="4587" spans="1:5" x14ac:dyDescent="0.3">
      <c r="A4587" s="2" t="s">
        <v>9357</v>
      </c>
      <c r="B4587" s="2" t="s">
        <v>5</v>
      </c>
      <c r="C4587" s="2" t="s">
        <v>9358</v>
      </c>
      <c r="D4587" s="2" t="s">
        <v>9334</v>
      </c>
      <c r="E4587" s="2" t="str">
        <f>HYPERLINK("https://talan.bank.gov.ua/get-user-certificate/sec1eoi6cBaWhdzutzjJ","Завантажити сертифікат")</f>
        <v>Завантажити сертифікат</v>
      </c>
    </row>
    <row r="4588" spans="1:5" x14ac:dyDescent="0.3">
      <c r="A4588" s="2" t="s">
        <v>9359</v>
      </c>
      <c r="B4588" s="2" t="s">
        <v>5</v>
      </c>
      <c r="C4588" s="2" t="s">
        <v>9360</v>
      </c>
      <c r="D4588" s="2" t="s">
        <v>9334</v>
      </c>
      <c r="E4588" s="2" t="str">
        <f>HYPERLINK("https://talan.bank.gov.ua/get-user-certificate/sec1eVvaSITb9nhtSKpu","Завантажити сертифікат")</f>
        <v>Завантажити сертифікат</v>
      </c>
    </row>
    <row r="4589" spans="1:5" x14ac:dyDescent="0.3">
      <c r="A4589" s="2" t="s">
        <v>9361</v>
      </c>
      <c r="B4589" s="2" t="s">
        <v>5</v>
      </c>
      <c r="C4589" s="2" t="s">
        <v>9362</v>
      </c>
      <c r="D4589" s="2" t="s">
        <v>9334</v>
      </c>
      <c r="E4589" s="2" t="str">
        <f>HYPERLINK("https://talan.bank.gov.ua/get-user-certificate/sec1e7_NMgMQuWzm1bBb","Завантажити сертифікат")</f>
        <v>Завантажити сертифікат</v>
      </c>
    </row>
    <row r="4590" spans="1:5" x14ac:dyDescent="0.3">
      <c r="A4590" s="2" t="s">
        <v>9363</v>
      </c>
      <c r="B4590" s="2" t="s">
        <v>5</v>
      </c>
      <c r="C4590" s="2" t="s">
        <v>9364</v>
      </c>
      <c r="D4590" s="2" t="s">
        <v>9334</v>
      </c>
      <c r="E4590" s="2" t="str">
        <f>HYPERLINK("https://talan.bank.gov.ua/get-user-certificate/sec1e5LIJAZnR43BYL3S","Завантажити сертифікат")</f>
        <v>Завантажити сертифікат</v>
      </c>
    </row>
    <row r="4591" spans="1:5" x14ac:dyDescent="0.3">
      <c r="A4591" s="2" t="s">
        <v>9365</v>
      </c>
      <c r="B4591" s="2" t="s">
        <v>5</v>
      </c>
      <c r="C4591" s="2" t="s">
        <v>9366</v>
      </c>
      <c r="D4591" s="2" t="s">
        <v>9334</v>
      </c>
      <c r="E4591" s="2" t="str">
        <f>HYPERLINK("https://talan.bank.gov.ua/get-user-certificate/sec1eKCog-bArHm2Lys_","Завантажити сертифікат")</f>
        <v>Завантажити сертифікат</v>
      </c>
    </row>
    <row r="4592" spans="1:5" x14ac:dyDescent="0.3">
      <c r="A4592" s="2" t="s">
        <v>9367</v>
      </c>
      <c r="B4592" s="2" t="s">
        <v>5</v>
      </c>
      <c r="C4592" s="2" t="s">
        <v>9368</v>
      </c>
      <c r="D4592" s="2" t="s">
        <v>9334</v>
      </c>
      <c r="E4592" s="2" t="str">
        <f>HYPERLINK("https://talan.bank.gov.ua/get-user-certificate/sec1e8aHFxMpjwIAxkP9","Завантажити сертифікат")</f>
        <v>Завантажити сертифікат</v>
      </c>
    </row>
    <row r="4593" spans="1:5" x14ac:dyDescent="0.3">
      <c r="A4593" s="2" t="s">
        <v>9369</v>
      </c>
      <c r="B4593" s="2" t="s">
        <v>5</v>
      </c>
      <c r="C4593" s="2" t="s">
        <v>9370</v>
      </c>
      <c r="D4593" s="2" t="s">
        <v>9334</v>
      </c>
      <c r="E4593" s="2" t="str">
        <f>HYPERLINK("https://talan.bank.gov.ua/get-user-certificate/sec1eTmkiHh5eq4vXy9E","Завантажити сертифікат")</f>
        <v>Завантажити сертифікат</v>
      </c>
    </row>
    <row r="4594" spans="1:5" x14ac:dyDescent="0.3">
      <c r="A4594" s="2" t="s">
        <v>9371</v>
      </c>
      <c r="B4594" s="2" t="s">
        <v>5</v>
      </c>
      <c r="C4594" s="2" t="s">
        <v>9372</v>
      </c>
      <c r="D4594" s="2" t="s">
        <v>9334</v>
      </c>
      <c r="E4594" s="2" t="str">
        <f>HYPERLINK("https://talan.bank.gov.ua/get-user-certificate/sec1eQECEZhENQxqQpDZ","Завантажити сертифікат")</f>
        <v>Завантажити сертифікат</v>
      </c>
    </row>
    <row r="4595" spans="1:5" x14ac:dyDescent="0.3">
      <c r="A4595" s="2" t="s">
        <v>9373</v>
      </c>
      <c r="B4595" s="2" t="s">
        <v>5</v>
      </c>
      <c r="C4595" s="2" t="s">
        <v>9374</v>
      </c>
      <c r="D4595" s="2" t="s">
        <v>9334</v>
      </c>
      <c r="E4595" s="2" t="str">
        <f>HYPERLINK("https://talan.bank.gov.ua/get-user-certificate/sec1eWnheFVAY5t4KnBN","Завантажити сертифікат")</f>
        <v>Завантажити сертифікат</v>
      </c>
    </row>
    <row r="4596" spans="1:5" x14ac:dyDescent="0.3">
      <c r="A4596" s="2" t="s">
        <v>9375</v>
      </c>
      <c r="B4596" s="2" t="s">
        <v>5</v>
      </c>
      <c r="C4596" s="2" t="s">
        <v>9376</v>
      </c>
      <c r="D4596" s="2" t="s">
        <v>9334</v>
      </c>
      <c r="E4596" s="2" t="str">
        <f>HYPERLINK("https://talan.bank.gov.ua/get-user-certificate/sec1e2YOOsnoTTDsbRpt","Завантажити сертифікат")</f>
        <v>Завантажити сертифікат</v>
      </c>
    </row>
    <row r="4597" spans="1:5" x14ac:dyDescent="0.3">
      <c r="A4597" s="2" t="s">
        <v>9377</v>
      </c>
      <c r="B4597" s="2" t="s">
        <v>5</v>
      </c>
      <c r="C4597" s="2" t="s">
        <v>9378</v>
      </c>
      <c r="D4597" s="2" t="s">
        <v>9334</v>
      </c>
      <c r="E4597" s="2" t="str">
        <f>HYPERLINK("https://talan.bank.gov.ua/get-user-certificate/sec1e5Hd4mCE11vBvUCz","Завантажити сертифікат")</f>
        <v>Завантажити сертифікат</v>
      </c>
    </row>
    <row r="4598" spans="1:5" x14ac:dyDescent="0.3">
      <c r="A4598" s="2" t="s">
        <v>9379</v>
      </c>
      <c r="B4598" s="2" t="s">
        <v>5</v>
      </c>
      <c r="C4598" s="2" t="s">
        <v>9380</v>
      </c>
      <c r="D4598" s="2" t="s">
        <v>9334</v>
      </c>
      <c r="E4598" s="2" t="str">
        <f>HYPERLINK("https://talan.bank.gov.ua/get-user-certificate/sec1edfMpET_JRnFRimB","Завантажити сертифікат")</f>
        <v>Завантажити сертифікат</v>
      </c>
    </row>
    <row r="4599" spans="1:5" x14ac:dyDescent="0.3">
      <c r="A4599" s="2" t="s">
        <v>9381</v>
      </c>
      <c r="B4599" s="2" t="s">
        <v>5</v>
      </c>
      <c r="C4599" s="2" t="s">
        <v>9382</v>
      </c>
      <c r="D4599" s="2" t="s">
        <v>9334</v>
      </c>
      <c r="E4599" s="2" t="str">
        <f>HYPERLINK("https://talan.bank.gov.ua/get-user-certificate/sec1eG6NzmNFW1VXM0Dr","Завантажити сертифікат")</f>
        <v>Завантажити сертифікат</v>
      </c>
    </row>
    <row r="4600" spans="1:5" x14ac:dyDescent="0.3">
      <c r="A4600" s="2" t="s">
        <v>9383</v>
      </c>
      <c r="B4600" s="2" t="s">
        <v>5</v>
      </c>
      <c r="C4600" s="2" t="s">
        <v>9384</v>
      </c>
      <c r="D4600" s="2" t="s">
        <v>9334</v>
      </c>
      <c r="E4600" s="2" t="str">
        <f>HYPERLINK("https://talan.bank.gov.ua/get-user-certificate/sec1edMfzJH4Xwa_B6od","Завантажити сертифікат")</f>
        <v>Завантажити сертифікат</v>
      </c>
    </row>
    <row r="4601" spans="1:5" x14ac:dyDescent="0.3">
      <c r="A4601" s="2" t="s">
        <v>9385</v>
      </c>
      <c r="B4601" s="2" t="s">
        <v>5</v>
      </c>
      <c r="C4601" s="2" t="s">
        <v>9386</v>
      </c>
      <c r="D4601" s="2" t="s">
        <v>9334</v>
      </c>
      <c r="E4601" s="2" t="str">
        <f>HYPERLINK("https://talan.bank.gov.ua/get-user-certificate/sec1ez5GFRFUXWZMIhAV","Завантажити сертифікат")</f>
        <v>Завантажити сертифікат</v>
      </c>
    </row>
    <row r="4602" spans="1:5" x14ac:dyDescent="0.3">
      <c r="A4602" s="2" t="s">
        <v>9387</v>
      </c>
      <c r="B4602" s="2" t="s">
        <v>5</v>
      </c>
      <c r="C4602" s="2" t="s">
        <v>9388</v>
      </c>
      <c r="D4602" s="2" t="s">
        <v>9334</v>
      </c>
      <c r="E4602" s="2" t="str">
        <f>HYPERLINK("https://talan.bank.gov.ua/get-user-certificate/sec1eI5f5ttREn1K3AIY","Завантажити сертифікат")</f>
        <v>Завантажити сертифікат</v>
      </c>
    </row>
    <row r="4603" spans="1:5" x14ac:dyDescent="0.3">
      <c r="A4603" s="2" t="s">
        <v>9389</v>
      </c>
      <c r="B4603" s="2" t="s">
        <v>5</v>
      </c>
      <c r="C4603" s="2" t="s">
        <v>9390</v>
      </c>
      <c r="D4603" s="2" t="s">
        <v>9334</v>
      </c>
      <c r="E4603" s="2" t="str">
        <f>HYPERLINK("https://talan.bank.gov.ua/get-user-certificate/sec1eSvcRB1DKeW2rSGq","Завантажити сертифікат")</f>
        <v>Завантажити сертифікат</v>
      </c>
    </row>
    <row r="4604" spans="1:5" x14ac:dyDescent="0.3">
      <c r="A4604" s="2" t="s">
        <v>9391</v>
      </c>
      <c r="B4604" s="2" t="s">
        <v>5</v>
      </c>
      <c r="C4604" s="2" t="s">
        <v>9392</v>
      </c>
      <c r="D4604" s="2" t="s">
        <v>9334</v>
      </c>
      <c r="E4604" s="2" t="str">
        <f>HYPERLINK("https://talan.bank.gov.ua/get-user-certificate/sec1er61LzbDvqbNArY_","Завантажити сертифікат")</f>
        <v>Завантажити сертифікат</v>
      </c>
    </row>
    <row r="4605" spans="1:5" x14ac:dyDescent="0.3">
      <c r="A4605" s="2" t="s">
        <v>9393</v>
      </c>
      <c r="B4605" s="2" t="s">
        <v>5</v>
      </c>
      <c r="C4605" s="2" t="s">
        <v>9394</v>
      </c>
      <c r="D4605" s="2" t="s">
        <v>9334</v>
      </c>
      <c r="E4605" s="2" t="str">
        <f>HYPERLINK("https://talan.bank.gov.ua/get-user-certificate/sec1e5uWgyx5loAnC7rC","Завантажити сертифікат")</f>
        <v>Завантажити сертифікат</v>
      </c>
    </row>
    <row r="4606" spans="1:5" x14ac:dyDescent="0.3">
      <c r="A4606" s="2" t="s">
        <v>9395</v>
      </c>
      <c r="B4606" s="2" t="s">
        <v>5</v>
      </c>
      <c r="C4606" s="2" t="s">
        <v>9396</v>
      </c>
      <c r="D4606" s="2" t="s">
        <v>9334</v>
      </c>
      <c r="E4606" s="2" t="str">
        <f>HYPERLINK("https://talan.bank.gov.ua/get-user-certificate/sec1ed34Hb7CTiY2Xom_","Завантажити сертифікат")</f>
        <v>Завантажити сертифікат</v>
      </c>
    </row>
    <row r="4607" spans="1:5" x14ac:dyDescent="0.3">
      <c r="A4607" s="2" t="s">
        <v>9397</v>
      </c>
      <c r="B4607" s="2" t="s">
        <v>5</v>
      </c>
      <c r="C4607" s="2" t="s">
        <v>9398</v>
      </c>
      <c r="D4607" s="2" t="s">
        <v>9334</v>
      </c>
      <c r="E4607" s="2" t="str">
        <f>HYPERLINK("https://talan.bank.gov.ua/get-user-certificate/sec1eJiKNMlLzBhcKJqy","Завантажити сертифікат")</f>
        <v>Завантажити сертифікат</v>
      </c>
    </row>
    <row r="4608" spans="1:5" x14ac:dyDescent="0.3">
      <c r="A4608" s="2" t="s">
        <v>9399</v>
      </c>
      <c r="B4608" s="2" t="s">
        <v>5</v>
      </c>
      <c r="C4608" s="2" t="s">
        <v>9400</v>
      </c>
      <c r="D4608" s="2" t="s">
        <v>9334</v>
      </c>
      <c r="E4608" s="2" t="str">
        <f>HYPERLINK("https://talan.bank.gov.ua/get-user-certificate/sec1eiVP4FPpHVeIuCVy","Завантажити сертифікат")</f>
        <v>Завантажити сертифікат</v>
      </c>
    </row>
    <row r="4609" spans="1:5" x14ac:dyDescent="0.3">
      <c r="A4609" s="2" t="s">
        <v>9401</v>
      </c>
      <c r="B4609" s="2" t="s">
        <v>5</v>
      </c>
      <c r="C4609" s="2" t="s">
        <v>9402</v>
      </c>
      <c r="D4609" s="2" t="s">
        <v>9334</v>
      </c>
      <c r="E4609" s="2" t="str">
        <f>HYPERLINK("https://talan.bank.gov.ua/get-user-certificate/sec1ek-SCOOetZX0-1le","Завантажити сертифікат")</f>
        <v>Завантажити сертифікат</v>
      </c>
    </row>
    <row r="4610" spans="1:5" x14ac:dyDescent="0.3">
      <c r="A4610" s="2" t="s">
        <v>9403</v>
      </c>
      <c r="B4610" s="2" t="s">
        <v>5</v>
      </c>
      <c r="C4610" s="2" t="s">
        <v>9404</v>
      </c>
      <c r="D4610" s="2" t="s">
        <v>9334</v>
      </c>
      <c r="E4610" s="2" t="str">
        <f>HYPERLINK("https://talan.bank.gov.ua/get-user-certificate/sec1eR0xpDDoQNnl17v7","Завантажити сертифікат")</f>
        <v>Завантажити сертифікат</v>
      </c>
    </row>
    <row r="4611" spans="1:5" x14ac:dyDescent="0.3">
      <c r="A4611" s="2" t="s">
        <v>9405</v>
      </c>
      <c r="B4611" s="2" t="s">
        <v>5</v>
      </c>
      <c r="C4611" s="2" t="s">
        <v>9406</v>
      </c>
      <c r="D4611" s="2" t="s">
        <v>9407</v>
      </c>
      <c r="E4611" s="2" t="str">
        <f>HYPERLINK("https://talan.bank.gov.ua/get-user-certificate/sec1eMa0lXQ5hr9GjuEC","Завантажити сертифікат")</f>
        <v>Завантажити сертифікат</v>
      </c>
    </row>
    <row r="4612" spans="1:5" x14ac:dyDescent="0.3">
      <c r="A4612" s="2" t="s">
        <v>9408</v>
      </c>
      <c r="B4612" s="2" t="s">
        <v>5</v>
      </c>
      <c r="C4612" s="2" t="s">
        <v>9409</v>
      </c>
      <c r="D4612" s="2" t="s">
        <v>9407</v>
      </c>
      <c r="E4612" s="2" t="str">
        <f>HYPERLINK("https://talan.bank.gov.ua/get-user-certificate/sec1eb7pEXKClTKj6x5S","Завантажити сертифікат")</f>
        <v>Завантажити сертифікат</v>
      </c>
    </row>
    <row r="4613" spans="1:5" x14ac:dyDescent="0.3">
      <c r="A4613" s="2" t="s">
        <v>9410</v>
      </c>
      <c r="B4613" s="2" t="s">
        <v>5</v>
      </c>
      <c r="C4613" s="2" t="s">
        <v>9411</v>
      </c>
      <c r="D4613" s="2" t="s">
        <v>9407</v>
      </c>
      <c r="E4613" s="2" t="str">
        <f>HYPERLINK("https://talan.bank.gov.ua/get-user-certificate/sec1eNdmrVzkerC8xjQN","Завантажити сертифікат")</f>
        <v>Завантажити сертифікат</v>
      </c>
    </row>
    <row r="4614" spans="1:5" x14ac:dyDescent="0.3">
      <c r="A4614" s="2" t="s">
        <v>9412</v>
      </c>
      <c r="B4614" s="2" t="s">
        <v>5</v>
      </c>
      <c r="C4614" s="2" t="s">
        <v>9413</v>
      </c>
      <c r="D4614" s="2" t="s">
        <v>9407</v>
      </c>
      <c r="E4614" s="2" t="str">
        <f>HYPERLINK("https://talan.bank.gov.ua/get-user-certificate/sec1eo1s_NrJmJzTH4RH","Завантажити сертифікат")</f>
        <v>Завантажити сертифікат</v>
      </c>
    </row>
    <row r="4615" spans="1:5" x14ac:dyDescent="0.3">
      <c r="A4615" s="2" t="s">
        <v>9414</v>
      </c>
      <c r="B4615" s="2" t="s">
        <v>5</v>
      </c>
      <c r="C4615" s="2" t="s">
        <v>9415</v>
      </c>
      <c r="D4615" s="2" t="s">
        <v>9407</v>
      </c>
      <c r="E4615" s="2" t="str">
        <f>HYPERLINK("https://talan.bank.gov.ua/get-user-certificate/sec1eV0S6zRs_jeEa0wX","Завантажити сертифікат")</f>
        <v>Завантажити сертифікат</v>
      </c>
    </row>
    <row r="4616" spans="1:5" x14ac:dyDescent="0.3">
      <c r="A4616" s="2" t="s">
        <v>9416</v>
      </c>
      <c r="B4616" s="2" t="s">
        <v>5</v>
      </c>
      <c r="C4616" s="2" t="s">
        <v>9417</v>
      </c>
      <c r="D4616" s="2" t="s">
        <v>9407</v>
      </c>
      <c r="E4616" s="2" t="str">
        <f>HYPERLINK("https://talan.bank.gov.ua/get-user-certificate/sec1euEIEGZ6uqYdaGny","Завантажити сертифікат")</f>
        <v>Завантажити сертифікат</v>
      </c>
    </row>
    <row r="4617" spans="1:5" x14ac:dyDescent="0.3">
      <c r="A4617" s="2" t="s">
        <v>9418</v>
      </c>
      <c r="B4617" s="2" t="s">
        <v>5</v>
      </c>
      <c r="C4617" s="2" t="s">
        <v>9419</v>
      </c>
      <c r="D4617" s="2" t="s">
        <v>9407</v>
      </c>
      <c r="E4617" s="2" t="str">
        <f>HYPERLINK("https://talan.bank.gov.ua/get-user-certificate/sec1eN_ketTmOrYyeMy9","Завантажити сертифікат")</f>
        <v>Завантажити сертифікат</v>
      </c>
    </row>
    <row r="4618" spans="1:5" x14ac:dyDescent="0.3">
      <c r="A4618" s="2" t="s">
        <v>9420</v>
      </c>
      <c r="B4618" s="2" t="s">
        <v>5</v>
      </c>
      <c r="C4618" s="2" t="s">
        <v>9421</v>
      </c>
      <c r="D4618" s="2" t="s">
        <v>9407</v>
      </c>
      <c r="E4618" s="2" t="str">
        <f>HYPERLINK("https://talan.bank.gov.ua/get-user-certificate/sec1ejjaWkT0POkqrYD3","Завантажити сертифікат")</f>
        <v>Завантажити сертифікат</v>
      </c>
    </row>
    <row r="4619" spans="1:5" x14ac:dyDescent="0.3">
      <c r="A4619" s="2" t="s">
        <v>9422</v>
      </c>
      <c r="B4619" s="2" t="s">
        <v>5</v>
      </c>
      <c r="C4619" s="2" t="s">
        <v>9423</v>
      </c>
      <c r="D4619" s="2" t="s">
        <v>9424</v>
      </c>
      <c r="E4619" s="2" t="str">
        <f>HYPERLINK("https://talan.bank.gov.ua/get-user-certificate/sec1eCuwTH-rV7TKQ5Kr","Завантажити сертифікат")</f>
        <v>Завантажити сертифікат</v>
      </c>
    </row>
    <row r="4620" spans="1:5" x14ac:dyDescent="0.3">
      <c r="A4620" s="2" t="s">
        <v>9425</v>
      </c>
      <c r="B4620" s="2" t="s">
        <v>5</v>
      </c>
      <c r="C4620" s="2" t="s">
        <v>9426</v>
      </c>
      <c r="D4620" s="2" t="s">
        <v>9427</v>
      </c>
      <c r="E4620" s="2" t="str">
        <f>HYPERLINK("https://talan.bank.gov.ua/get-user-certificate/sec1eg1eLW98ls_ecuMr","Завантажити сертифікат")</f>
        <v>Завантажити сертифікат</v>
      </c>
    </row>
    <row r="4621" spans="1:5" x14ac:dyDescent="0.3">
      <c r="A4621" s="2" t="s">
        <v>9428</v>
      </c>
      <c r="B4621" s="2" t="s">
        <v>5</v>
      </c>
      <c r="C4621" s="2" t="s">
        <v>9429</v>
      </c>
      <c r="D4621" s="2" t="s">
        <v>9430</v>
      </c>
      <c r="E4621" s="2" t="str">
        <f>HYPERLINK("https://talan.bank.gov.ua/get-user-certificate/sec1eiMfGWsOZm-tElN1","Завантажити сертифікат")</f>
        <v>Завантажити сертифікат</v>
      </c>
    </row>
    <row r="4622" spans="1:5" x14ac:dyDescent="0.3">
      <c r="A4622" s="2" t="s">
        <v>9431</v>
      </c>
      <c r="B4622" s="2" t="s">
        <v>5</v>
      </c>
      <c r="C4622" s="2" t="s">
        <v>9432</v>
      </c>
      <c r="D4622" s="2" t="s">
        <v>9433</v>
      </c>
      <c r="E4622" s="2" t="str">
        <f>HYPERLINK("https://talan.bank.gov.ua/get-user-certificate/sec1eEPgCNxPkwmkGDZj","Завантажити сертифікат")</f>
        <v>Завантажити сертифікат</v>
      </c>
    </row>
    <row r="4623" spans="1:5" x14ac:dyDescent="0.3">
      <c r="A4623" s="2" t="s">
        <v>9434</v>
      </c>
      <c r="B4623" s="2" t="s">
        <v>5</v>
      </c>
      <c r="C4623" s="2" t="s">
        <v>9435</v>
      </c>
      <c r="D4623" s="2" t="s">
        <v>9436</v>
      </c>
      <c r="E4623" s="2" t="str">
        <f>HYPERLINK("https://talan.bank.gov.ua/get-user-certificate/sec1esrnMkJ-cFUklidX","Завантажити сертифікат")</f>
        <v>Завантажити сертифікат</v>
      </c>
    </row>
    <row r="4624" spans="1:5" x14ac:dyDescent="0.3">
      <c r="A4624" s="2" t="s">
        <v>9437</v>
      </c>
      <c r="B4624" s="2" t="s">
        <v>5</v>
      </c>
      <c r="C4624" s="2" t="s">
        <v>9438</v>
      </c>
      <c r="D4624" s="2" t="s">
        <v>9439</v>
      </c>
      <c r="E4624" s="2" t="str">
        <f>HYPERLINK("https://talan.bank.gov.ua/get-user-certificate/sec1eG-0PaeOE-XN4Anh","Завантажити сертифікат")</f>
        <v>Завантажити сертифікат</v>
      </c>
    </row>
    <row r="4625" spans="1:5" x14ac:dyDescent="0.3">
      <c r="A4625" s="2" t="s">
        <v>9440</v>
      </c>
      <c r="B4625" s="2" t="s">
        <v>5</v>
      </c>
      <c r="C4625" s="2" t="s">
        <v>9441</v>
      </c>
      <c r="D4625" s="2" t="s">
        <v>9442</v>
      </c>
      <c r="E4625" s="2" t="str">
        <f>HYPERLINK("https://talan.bank.gov.ua/get-user-certificate/sec1eVwaUAuDkKGXgyew","Завантажити сертифікат")</f>
        <v>Завантажити сертифікат</v>
      </c>
    </row>
    <row r="4626" spans="1:5" x14ac:dyDescent="0.3">
      <c r="A4626" s="2" t="s">
        <v>9443</v>
      </c>
      <c r="B4626" s="2" t="s">
        <v>5</v>
      </c>
      <c r="C4626" s="2" t="s">
        <v>9444</v>
      </c>
      <c r="D4626" s="2" t="s">
        <v>9445</v>
      </c>
      <c r="E4626" s="2" t="str">
        <f>HYPERLINK("https://talan.bank.gov.ua/get-user-certificate/sec1ellnev9rEcqyw37I","Завантажити сертифікат")</f>
        <v>Завантажити сертифікат</v>
      </c>
    </row>
    <row r="4627" spans="1:5" x14ac:dyDescent="0.3">
      <c r="A4627" s="2" t="s">
        <v>9446</v>
      </c>
      <c r="B4627" s="2" t="s">
        <v>5</v>
      </c>
      <c r="C4627" s="2" t="s">
        <v>9447</v>
      </c>
      <c r="D4627" s="2" t="s">
        <v>9448</v>
      </c>
      <c r="E4627" s="2" t="str">
        <f>HYPERLINK("https://talan.bank.gov.ua/get-user-certificate/sec1ebcDKf0L3N-qdv9c","Завантажити сертифікат")</f>
        <v>Завантажити сертифікат</v>
      </c>
    </row>
    <row r="4628" spans="1:5" x14ac:dyDescent="0.3">
      <c r="A4628" s="2" t="s">
        <v>9449</v>
      </c>
      <c r="B4628" s="2" t="s">
        <v>5</v>
      </c>
      <c r="C4628" s="2" t="s">
        <v>9450</v>
      </c>
      <c r="D4628" s="2" t="s">
        <v>9451</v>
      </c>
      <c r="E4628" s="2" t="str">
        <f>HYPERLINK("https://talan.bank.gov.ua/get-user-certificate/sec1eFqCgomdWFHhvsau","Завантажити сертифікат")</f>
        <v>Завантажити сертифікат</v>
      </c>
    </row>
    <row r="4629" spans="1:5" x14ac:dyDescent="0.3">
      <c r="A4629" s="2" t="s">
        <v>9452</v>
      </c>
      <c r="B4629" s="2" t="s">
        <v>5</v>
      </c>
      <c r="C4629" s="2" t="s">
        <v>9453</v>
      </c>
      <c r="D4629" s="2" t="s">
        <v>9451</v>
      </c>
      <c r="E4629" s="2" t="str">
        <f>HYPERLINK("https://talan.bank.gov.ua/get-user-certificate/sec1enjkCKtSmHNJffC4","Завантажити сертифікат")</f>
        <v>Завантажити сертифікат</v>
      </c>
    </row>
    <row r="4630" spans="1:5" x14ac:dyDescent="0.3">
      <c r="A4630" s="2" t="s">
        <v>9454</v>
      </c>
      <c r="B4630" s="2" t="s">
        <v>5</v>
      </c>
      <c r="C4630" s="2" t="s">
        <v>9455</v>
      </c>
      <c r="D4630" s="2" t="s">
        <v>9451</v>
      </c>
      <c r="E4630" s="2" t="str">
        <f>HYPERLINK("https://talan.bank.gov.ua/get-user-certificate/sec1eO5uwfP75RgJGtZU","Завантажити сертифікат")</f>
        <v>Завантажити сертифікат</v>
      </c>
    </row>
    <row r="4631" spans="1:5" x14ac:dyDescent="0.3">
      <c r="A4631" s="2" t="s">
        <v>9456</v>
      </c>
      <c r="B4631" s="2" t="s">
        <v>5</v>
      </c>
      <c r="C4631" s="2" t="s">
        <v>9457</v>
      </c>
      <c r="D4631" s="2" t="s">
        <v>9451</v>
      </c>
      <c r="E4631" s="2" t="str">
        <f>HYPERLINK("https://talan.bank.gov.ua/get-user-certificate/sec1eibDjljAiVg8tGye","Завантажити сертифікат")</f>
        <v>Завантажити сертифікат</v>
      </c>
    </row>
    <row r="4632" spans="1:5" x14ac:dyDescent="0.3">
      <c r="A4632" s="2" t="s">
        <v>9458</v>
      </c>
      <c r="B4632" s="2" t="s">
        <v>5</v>
      </c>
      <c r="C4632" s="2" t="s">
        <v>9459</v>
      </c>
      <c r="D4632" s="2" t="s">
        <v>9451</v>
      </c>
      <c r="E4632" s="2" t="str">
        <f>HYPERLINK("https://talan.bank.gov.ua/get-user-certificate/sec1enArn6cj3ITi82IN","Завантажити сертифікат")</f>
        <v>Завантажити сертифікат</v>
      </c>
    </row>
    <row r="4633" spans="1:5" x14ac:dyDescent="0.3">
      <c r="A4633" s="2" t="s">
        <v>9460</v>
      </c>
      <c r="B4633" s="2" t="s">
        <v>5</v>
      </c>
      <c r="C4633" s="2" t="s">
        <v>9461</v>
      </c>
      <c r="D4633" s="2" t="s">
        <v>9451</v>
      </c>
      <c r="E4633" s="2" t="str">
        <f>HYPERLINK("https://talan.bank.gov.ua/get-user-certificate/sec1eIt9qBAjCNzHEs-9","Завантажити сертифікат")</f>
        <v>Завантажити сертифікат</v>
      </c>
    </row>
    <row r="4634" spans="1:5" x14ac:dyDescent="0.3">
      <c r="A4634" s="2" t="s">
        <v>9462</v>
      </c>
      <c r="B4634" s="2" t="s">
        <v>5</v>
      </c>
      <c r="C4634" s="2" t="s">
        <v>9463</v>
      </c>
      <c r="D4634" s="2" t="s">
        <v>9451</v>
      </c>
      <c r="E4634" s="2" t="str">
        <f>HYPERLINK("https://talan.bank.gov.ua/get-user-certificate/sec1ev2odzw51oo-j6wk","Завантажити сертифікат")</f>
        <v>Завантажити сертифікат</v>
      </c>
    </row>
    <row r="4635" spans="1:5" x14ac:dyDescent="0.3">
      <c r="A4635" s="2" t="s">
        <v>9464</v>
      </c>
      <c r="B4635" s="2" t="s">
        <v>5</v>
      </c>
      <c r="C4635" s="2" t="s">
        <v>9465</v>
      </c>
      <c r="D4635" s="2" t="s">
        <v>9451</v>
      </c>
      <c r="E4635" s="2" t="str">
        <f>HYPERLINK("https://talan.bank.gov.ua/get-user-certificate/sec1eOO6voZbYsC9OSxq","Завантажити сертифікат")</f>
        <v>Завантажити сертифікат</v>
      </c>
    </row>
    <row r="4636" spans="1:5" x14ac:dyDescent="0.3">
      <c r="A4636" s="2" t="s">
        <v>9466</v>
      </c>
      <c r="B4636" s="2" t="s">
        <v>5</v>
      </c>
      <c r="C4636" s="2" t="s">
        <v>9467</v>
      </c>
      <c r="D4636" s="2" t="s">
        <v>9451</v>
      </c>
      <c r="E4636" s="2" t="str">
        <f>HYPERLINK("https://talan.bank.gov.ua/get-user-certificate/sec1eEfXwIekanNgJvoF","Завантажити сертифікат")</f>
        <v>Завантажити сертифікат</v>
      </c>
    </row>
    <row r="4637" spans="1:5" x14ac:dyDescent="0.3">
      <c r="A4637" s="2" t="s">
        <v>9468</v>
      </c>
      <c r="B4637" s="2" t="s">
        <v>5</v>
      </c>
      <c r="C4637" s="2" t="s">
        <v>9469</v>
      </c>
      <c r="D4637" s="2" t="s">
        <v>9451</v>
      </c>
      <c r="E4637" s="2" t="str">
        <f>HYPERLINK("https://talan.bank.gov.ua/get-user-certificate/sec1e8JPRSMnwzvvgGGY","Завантажити сертифікат")</f>
        <v>Завантажити сертифікат</v>
      </c>
    </row>
    <row r="4638" spans="1:5" x14ac:dyDescent="0.3">
      <c r="A4638" s="2" t="s">
        <v>9470</v>
      </c>
      <c r="B4638" s="2" t="s">
        <v>5</v>
      </c>
      <c r="C4638" s="2" t="s">
        <v>9471</v>
      </c>
      <c r="D4638" s="2" t="s">
        <v>9451</v>
      </c>
      <c r="E4638" s="2" t="str">
        <f>HYPERLINK("https://talan.bank.gov.ua/get-user-certificate/sec1es4wlMl7IKLg7NkM","Завантажити сертифікат")</f>
        <v>Завантажити сертифікат</v>
      </c>
    </row>
    <row r="4639" spans="1:5" x14ac:dyDescent="0.3">
      <c r="A4639" s="2" t="s">
        <v>9472</v>
      </c>
      <c r="B4639" s="2" t="s">
        <v>5</v>
      </c>
      <c r="C4639" s="2" t="s">
        <v>9304</v>
      </c>
      <c r="D4639" s="2" t="s">
        <v>9451</v>
      </c>
      <c r="E4639" s="2" t="str">
        <f>HYPERLINK("https://talan.bank.gov.ua/get-user-certificate/sec1e-7OOzrRIu-12aLN","Завантажити сертифікат")</f>
        <v>Завантажити сертифікат</v>
      </c>
    </row>
    <row r="4640" spans="1:5" x14ac:dyDescent="0.3">
      <c r="A4640" s="2" t="s">
        <v>9473</v>
      </c>
      <c r="B4640" s="2" t="s">
        <v>5</v>
      </c>
      <c r="C4640" s="2" t="s">
        <v>9474</v>
      </c>
      <c r="D4640" s="2" t="s">
        <v>9451</v>
      </c>
      <c r="E4640" s="2" t="str">
        <f>HYPERLINK("https://talan.bank.gov.ua/get-user-certificate/sec1eXM-n-UFim62ulWa","Завантажити сертифікат")</f>
        <v>Завантажити сертифікат</v>
      </c>
    </row>
    <row r="4641" spans="1:5" x14ac:dyDescent="0.3">
      <c r="A4641" s="2" t="s">
        <v>9475</v>
      </c>
      <c r="B4641" s="2" t="s">
        <v>5</v>
      </c>
      <c r="C4641" s="2" t="s">
        <v>9476</v>
      </c>
      <c r="D4641" s="2" t="s">
        <v>9451</v>
      </c>
      <c r="E4641" s="2" t="str">
        <f>HYPERLINK("https://talan.bank.gov.ua/get-user-certificate/sec1e3yt2wW2GXpQ4eVZ","Завантажити сертифікат")</f>
        <v>Завантажити сертифікат</v>
      </c>
    </row>
    <row r="4642" spans="1:5" x14ac:dyDescent="0.3">
      <c r="A4642" s="2" t="s">
        <v>9477</v>
      </c>
      <c r="B4642" s="2" t="s">
        <v>5</v>
      </c>
      <c r="C4642" s="2" t="s">
        <v>9478</v>
      </c>
      <c r="D4642" s="2" t="s">
        <v>9451</v>
      </c>
      <c r="E4642" s="2" t="str">
        <f>HYPERLINK("https://talan.bank.gov.ua/get-user-certificate/sec1eso_qs4yD7npx4H3","Завантажити сертифікат")</f>
        <v>Завантажити сертифікат</v>
      </c>
    </row>
    <row r="4643" spans="1:5" x14ac:dyDescent="0.3">
      <c r="A4643" s="2" t="s">
        <v>9479</v>
      </c>
      <c r="B4643" s="2" t="s">
        <v>5</v>
      </c>
      <c r="C4643" s="2" t="s">
        <v>9480</v>
      </c>
      <c r="D4643" s="2" t="s">
        <v>9451</v>
      </c>
      <c r="E4643" s="2" t="str">
        <f>HYPERLINK("https://talan.bank.gov.ua/get-user-certificate/sec1eMQQqDBs2TppwhuA","Завантажити сертифікат")</f>
        <v>Завантажити сертифікат</v>
      </c>
    </row>
    <row r="4644" spans="1:5" x14ac:dyDescent="0.3">
      <c r="A4644" s="2" t="s">
        <v>9481</v>
      </c>
      <c r="B4644" s="2" t="s">
        <v>5</v>
      </c>
      <c r="C4644" s="2" t="s">
        <v>9482</v>
      </c>
      <c r="D4644" s="2" t="s">
        <v>9451</v>
      </c>
      <c r="E4644" s="2" t="str">
        <f>HYPERLINK("https://talan.bank.gov.ua/get-user-certificate/sec1e38Z4L5QNhvnOqnw","Завантажити сертифікат")</f>
        <v>Завантажити сертифікат</v>
      </c>
    </row>
    <row r="4645" spans="1:5" x14ac:dyDescent="0.3">
      <c r="A4645" s="2" t="s">
        <v>9483</v>
      </c>
      <c r="B4645" s="2" t="s">
        <v>5</v>
      </c>
      <c r="C4645" s="2" t="s">
        <v>9484</v>
      </c>
      <c r="D4645" s="2" t="s">
        <v>9451</v>
      </c>
      <c r="E4645" s="2" t="str">
        <f>HYPERLINK("https://talan.bank.gov.ua/get-user-certificate/sec1eiAju3ztwYW8P5Hz","Завантажити сертифікат")</f>
        <v>Завантажити сертифікат</v>
      </c>
    </row>
    <row r="4646" spans="1:5" x14ac:dyDescent="0.3">
      <c r="A4646" s="2" t="s">
        <v>9485</v>
      </c>
      <c r="B4646" s="2" t="s">
        <v>5</v>
      </c>
      <c r="C4646" s="2" t="s">
        <v>9486</v>
      </c>
      <c r="D4646" s="2" t="s">
        <v>9487</v>
      </c>
      <c r="E4646" s="2" t="str">
        <f>HYPERLINK("https://talan.bank.gov.ua/get-user-certificate/sec1ezjBVXEdQX7CmpCO","Завантажити сертифікат")</f>
        <v>Завантажити сертифікат</v>
      </c>
    </row>
    <row r="4647" spans="1:5" x14ac:dyDescent="0.3">
      <c r="A4647" s="2" t="s">
        <v>9488</v>
      </c>
      <c r="B4647" s="2" t="s">
        <v>5</v>
      </c>
      <c r="C4647" s="2" t="s">
        <v>9489</v>
      </c>
      <c r="D4647" s="2" t="s">
        <v>9487</v>
      </c>
      <c r="E4647" s="2" t="str">
        <f>HYPERLINK("https://talan.bank.gov.ua/get-user-certificate/sec1etvotKA5ThCotKgO","Завантажити сертифікат")</f>
        <v>Завантажити сертифікат</v>
      </c>
    </row>
    <row r="4648" spans="1:5" x14ac:dyDescent="0.3">
      <c r="A4648" s="2" t="s">
        <v>9490</v>
      </c>
      <c r="B4648" s="2" t="s">
        <v>5</v>
      </c>
      <c r="C4648" s="2" t="s">
        <v>9491</v>
      </c>
      <c r="D4648" s="2" t="s">
        <v>9487</v>
      </c>
      <c r="E4648" s="2" t="str">
        <f>HYPERLINK("https://talan.bank.gov.ua/get-user-certificate/sec1e8Qm8Y-WRIQTGdOC","Завантажити сертифікат")</f>
        <v>Завантажити сертифікат</v>
      </c>
    </row>
    <row r="4649" spans="1:5" x14ac:dyDescent="0.3">
      <c r="A4649" s="2" t="s">
        <v>9492</v>
      </c>
      <c r="B4649" s="2" t="s">
        <v>5</v>
      </c>
      <c r="C4649" s="2" t="s">
        <v>9493</v>
      </c>
      <c r="D4649" s="2" t="s">
        <v>9487</v>
      </c>
      <c r="E4649" s="2" t="str">
        <f>HYPERLINK("https://talan.bank.gov.ua/get-user-certificate/sec1eDwj4IUOm-t1YZWn","Завантажити сертифікат")</f>
        <v>Завантажити сертифікат</v>
      </c>
    </row>
    <row r="4650" spans="1:5" x14ac:dyDescent="0.3">
      <c r="A4650" s="2" t="s">
        <v>9494</v>
      </c>
      <c r="B4650" s="2" t="s">
        <v>5</v>
      </c>
      <c r="C4650" s="2" t="s">
        <v>9495</v>
      </c>
      <c r="D4650" s="2" t="s">
        <v>9487</v>
      </c>
      <c r="E4650" s="2" t="str">
        <f>HYPERLINK("https://talan.bank.gov.ua/get-user-certificate/sec1eO3H55OQCS1R5-As","Завантажити сертифікат")</f>
        <v>Завантажити сертифікат</v>
      </c>
    </row>
    <row r="4651" spans="1:5" x14ac:dyDescent="0.3">
      <c r="A4651" s="2" t="s">
        <v>9496</v>
      </c>
      <c r="B4651" s="2" t="s">
        <v>5</v>
      </c>
      <c r="C4651" s="2" t="s">
        <v>9497</v>
      </c>
      <c r="D4651" s="2" t="s">
        <v>9487</v>
      </c>
      <c r="E4651" s="2" t="str">
        <f>HYPERLINK("https://talan.bank.gov.ua/get-user-certificate/sec1eLV0lwJTr6S9tjuf","Завантажити сертифікат")</f>
        <v>Завантажити сертифікат</v>
      </c>
    </row>
    <row r="4652" spans="1:5" x14ac:dyDescent="0.3">
      <c r="A4652" s="2" t="s">
        <v>9498</v>
      </c>
      <c r="B4652" s="2" t="s">
        <v>5</v>
      </c>
      <c r="C4652" s="2" t="s">
        <v>9499</v>
      </c>
      <c r="D4652" s="2" t="s">
        <v>9487</v>
      </c>
      <c r="E4652" s="2" t="str">
        <f>HYPERLINK("https://talan.bank.gov.ua/get-user-certificate/sec1e8IZLCEC5GVkgD9T","Завантажити сертифікат")</f>
        <v>Завантажити сертифікат</v>
      </c>
    </row>
    <row r="4653" spans="1:5" x14ac:dyDescent="0.3">
      <c r="A4653" s="2" t="s">
        <v>9500</v>
      </c>
      <c r="B4653" s="2" t="s">
        <v>5</v>
      </c>
      <c r="C4653" s="2" t="s">
        <v>9501</v>
      </c>
      <c r="D4653" s="2" t="s">
        <v>9487</v>
      </c>
      <c r="E4653" s="2" t="str">
        <f>HYPERLINK("https://talan.bank.gov.ua/get-user-certificate/sec1eqhvShwaI7Pa_FS_","Завантажити сертифікат")</f>
        <v>Завантажити сертифікат</v>
      </c>
    </row>
    <row r="4654" spans="1:5" x14ac:dyDescent="0.3">
      <c r="A4654" s="2" t="s">
        <v>9502</v>
      </c>
      <c r="B4654" s="2" t="s">
        <v>5</v>
      </c>
      <c r="C4654" s="2" t="s">
        <v>9503</v>
      </c>
      <c r="D4654" s="2" t="s">
        <v>9487</v>
      </c>
      <c r="E4654" s="2" t="str">
        <f>HYPERLINK("https://talan.bank.gov.ua/get-user-certificate/sec1efVfux0BuJioGqO1","Завантажити сертифікат")</f>
        <v>Завантажити сертифікат</v>
      </c>
    </row>
    <row r="4655" spans="1:5" x14ac:dyDescent="0.3">
      <c r="A4655" s="2" t="s">
        <v>9504</v>
      </c>
      <c r="B4655" s="2" t="s">
        <v>5</v>
      </c>
      <c r="C4655" s="2" t="s">
        <v>9505</v>
      </c>
      <c r="D4655" s="2" t="s">
        <v>9487</v>
      </c>
      <c r="E4655" s="2" t="str">
        <f>HYPERLINK("https://talan.bank.gov.ua/get-user-certificate/sec1evx-L2Mh0zVlm5fV","Завантажити сертифікат")</f>
        <v>Завантажити сертифікат</v>
      </c>
    </row>
    <row r="4656" spans="1:5" x14ac:dyDescent="0.3">
      <c r="A4656" s="2" t="s">
        <v>9506</v>
      </c>
      <c r="B4656" s="2" t="s">
        <v>5</v>
      </c>
      <c r="C4656" s="2" t="s">
        <v>9507</v>
      </c>
      <c r="D4656" s="2" t="s">
        <v>9487</v>
      </c>
      <c r="E4656" s="2" t="str">
        <f>HYPERLINK("https://talan.bank.gov.ua/get-user-certificate/sec1efXGaiOORIce_0Tf","Завантажити сертифікат")</f>
        <v>Завантажити сертифікат</v>
      </c>
    </row>
    <row r="4657" spans="1:5" x14ac:dyDescent="0.3">
      <c r="A4657" s="2" t="s">
        <v>9508</v>
      </c>
      <c r="B4657" s="2" t="s">
        <v>5</v>
      </c>
      <c r="C4657" s="2" t="s">
        <v>9509</v>
      </c>
      <c r="D4657" s="2" t="s">
        <v>9487</v>
      </c>
      <c r="E4657" s="2" t="str">
        <f>HYPERLINK("https://talan.bank.gov.ua/get-user-certificate/sec1ex-dRlIjnpwtlfaZ","Завантажити сертифікат")</f>
        <v>Завантажити сертифікат</v>
      </c>
    </row>
    <row r="4658" spans="1:5" x14ac:dyDescent="0.3">
      <c r="A4658" s="2" t="s">
        <v>9510</v>
      </c>
      <c r="B4658" s="2" t="s">
        <v>5</v>
      </c>
      <c r="C4658" s="2" t="s">
        <v>9511</v>
      </c>
      <c r="D4658" s="2" t="s">
        <v>9487</v>
      </c>
      <c r="E4658" s="2" t="str">
        <f>HYPERLINK("https://talan.bank.gov.ua/get-user-certificate/sec1eR9lIXUaVcBCF_eX","Завантажити сертифікат")</f>
        <v>Завантажити сертифікат</v>
      </c>
    </row>
    <row r="4659" spans="1:5" x14ac:dyDescent="0.3">
      <c r="A4659" s="2" t="s">
        <v>9512</v>
      </c>
      <c r="B4659" s="2" t="s">
        <v>5</v>
      </c>
      <c r="C4659" s="2" t="s">
        <v>9513</v>
      </c>
      <c r="D4659" s="2" t="s">
        <v>9487</v>
      </c>
      <c r="E4659" s="2" t="str">
        <f>HYPERLINK("https://talan.bank.gov.ua/get-user-certificate/sec1eEygf22wRcq9bpO6","Завантажити сертифікат")</f>
        <v>Завантажити сертифікат</v>
      </c>
    </row>
    <row r="4660" spans="1:5" x14ac:dyDescent="0.3">
      <c r="A4660" s="2" t="s">
        <v>9514</v>
      </c>
      <c r="B4660" s="2" t="s">
        <v>5</v>
      </c>
      <c r="C4660" s="2" t="s">
        <v>9515</v>
      </c>
      <c r="D4660" s="2" t="s">
        <v>9516</v>
      </c>
      <c r="E4660" s="2" t="str">
        <f>HYPERLINK("https://talan.bank.gov.ua/get-user-certificate/sec1etGb5TH0rBuy5mug","Завантажити сертифікат")</f>
        <v>Завантажити сертифікат</v>
      </c>
    </row>
    <row r="4661" spans="1:5" x14ac:dyDescent="0.3">
      <c r="A4661" s="2" t="s">
        <v>9517</v>
      </c>
      <c r="B4661" s="2" t="s">
        <v>5</v>
      </c>
      <c r="C4661" s="2" t="s">
        <v>9518</v>
      </c>
      <c r="D4661" s="2" t="s">
        <v>9516</v>
      </c>
      <c r="E4661" s="2" t="str">
        <f>HYPERLINK("https://talan.bank.gov.ua/get-user-certificate/sec1e0fcoVpBp3Z6V7Cl","Завантажити сертифікат")</f>
        <v>Завантажити сертифікат</v>
      </c>
    </row>
    <row r="4662" spans="1:5" x14ac:dyDescent="0.3">
      <c r="A4662" s="2" t="s">
        <v>9519</v>
      </c>
      <c r="B4662" s="2" t="s">
        <v>5</v>
      </c>
      <c r="C4662" s="2" t="s">
        <v>9520</v>
      </c>
      <c r="D4662" s="2" t="s">
        <v>9516</v>
      </c>
      <c r="E4662" s="2" t="str">
        <f>HYPERLINK("https://talan.bank.gov.ua/get-user-certificate/sec1ePskR_TeegCrarcu","Завантажити сертифікат")</f>
        <v>Завантажити сертифікат</v>
      </c>
    </row>
    <row r="4663" spans="1:5" x14ac:dyDescent="0.3">
      <c r="A4663" s="2" t="s">
        <v>9521</v>
      </c>
      <c r="B4663" s="2" t="s">
        <v>5</v>
      </c>
      <c r="C4663" s="2" t="s">
        <v>9522</v>
      </c>
      <c r="D4663" s="2" t="s">
        <v>9516</v>
      </c>
      <c r="E4663" s="2" t="str">
        <f>HYPERLINK("https://talan.bank.gov.ua/get-user-certificate/sec1elxmUL8IL2o4Qy2c","Завантажити сертифікат")</f>
        <v>Завантажити сертифікат</v>
      </c>
    </row>
    <row r="4664" spans="1:5" x14ac:dyDescent="0.3">
      <c r="A4664" s="2" t="s">
        <v>9523</v>
      </c>
      <c r="B4664" s="2" t="s">
        <v>5</v>
      </c>
      <c r="C4664" s="2" t="s">
        <v>9524</v>
      </c>
      <c r="D4664" s="2" t="s">
        <v>9516</v>
      </c>
      <c r="E4664" s="2" t="str">
        <f>HYPERLINK("https://talan.bank.gov.ua/get-user-certificate/sec1eOuMh0wuDW5ElMuY","Завантажити сертифікат")</f>
        <v>Завантажити сертифікат</v>
      </c>
    </row>
    <row r="4665" spans="1:5" x14ac:dyDescent="0.3">
      <c r="A4665" s="2" t="s">
        <v>9525</v>
      </c>
      <c r="B4665" s="2" t="s">
        <v>5</v>
      </c>
      <c r="C4665" s="2" t="s">
        <v>9526</v>
      </c>
      <c r="D4665" s="2" t="s">
        <v>9516</v>
      </c>
      <c r="E4665" s="2" t="str">
        <f>HYPERLINK("https://talan.bank.gov.ua/get-user-certificate/sec1egUXbunilRx1QbgP","Завантажити сертифікат")</f>
        <v>Завантажити сертифікат</v>
      </c>
    </row>
    <row r="4666" spans="1:5" x14ac:dyDescent="0.3">
      <c r="A4666" s="2" t="s">
        <v>9527</v>
      </c>
      <c r="B4666" s="2" t="s">
        <v>5</v>
      </c>
      <c r="C4666" s="2" t="s">
        <v>9528</v>
      </c>
      <c r="D4666" s="2" t="s">
        <v>9516</v>
      </c>
      <c r="E4666" s="2" t="str">
        <f>HYPERLINK("https://talan.bank.gov.ua/get-user-certificate/sec1erf6OsHKYVMG0zPz","Завантажити сертифікат")</f>
        <v>Завантажити сертифікат</v>
      </c>
    </row>
    <row r="4667" spans="1:5" x14ac:dyDescent="0.3">
      <c r="A4667" s="2" t="s">
        <v>9529</v>
      </c>
      <c r="B4667" s="2" t="s">
        <v>5</v>
      </c>
      <c r="C4667" s="2" t="s">
        <v>9530</v>
      </c>
      <c r="D4667" s="2" t="s">
        <v>9516</v>
      </c>
      <c r="E4667" s="2" t="str">
        <f>HYPERLINK("https://talan.bank.gov.ua/get-user-certificate/sec1e94272bkekhl6ZrI","Завантажити сертифікат")</f>
        <v>Завантажити сертифікат</v>
      </c>
    </row>
    <row r="4668" spans="1:5" x14ac:dyDescent="0.3">
      <c r="A4668" s="2" t="s">
        <v>9531</v>
      </c>
      <c r="B4668" s="2" t="s">
        <v>5</v>
      </c>
      <c r="C4668" s="2" t="s">
        <v>9532</v>
      </c>
      <c r="D4668" s="2" t="s">
        <v>9516</v>
      </c>
      <c r="E4668" s="2" t="str">
        <f>HYPERLINK("https://talan.bank.gov.ua/get-user-certificate/sec1eSn2ck4sm37884hk","Завантажити сертифікат")</f>
        <v>Завантажити сертифікат</v>
      </c>
    </row>
    <row r="4669" spans="1:5" x14ac:dyDescent="0.3">
      <c r="A4669" s="2" t="s">
        <v>9533</v>
      </c>
      <c r="B4669" s="2" t="s">
        <v>5</v>
      </c>
      <c r="C4669" s="2" t="s">
        <v>9534</v>
      </c>
      <c r="D4669" s="2" t="s">
        <v>9535</v>
      </c>
      <c r="E4669" s="2" t="str">
        <f>HYPERLINK("https://talan.bank.gov.ua/get-user-certificate/sec1eAdedUB5wE56tFhD","Завантажити сертифікат")</f>
        <v>Завантажити сертифікат</v>
      </c>
    </row>
    <row r="4670" spans="1:5" x14ac:dyDescent="0.3">
      <c r="A4670" s="2" t="s">
        <v>9536</v>
      </c>
      <c r="B4670" s="2" t="s">
        <v>5</v>
      </c>
      <c r="C4670" s="2" t="s">
        <v>9537</v>
      </c>
      <c r="D4670" s="2" t="s">
        <v>9535</v>
      </c>
      <c r="E4670" s="2" t="str">
        <f>HYPERLINK("https://talan.bank.gov.ua/get-user-certificate/sec1e-RdsMkDG-3gvReh","Завантажити сертифікат")</f>
        <v>Завантажити сертифікат</v>
      </c>
    </row>
    <row r="4671" spans="1:5" x14ac:dyDescent="0.3">
      <c r="A4671" s="2" t="s">
        <v>9538</v>
      </c>
      <c r="B4671" s="2" t="s">
        <v>5</v>
      </c>
      <c r="C4671" s="2" t="s">
        <v>9539</v>
      </c>
      <c r="D4671" s="2" t="s">
        <v>9535</v>
      </c>
      <c r="E4671" s="2" t="str">
        <f>HYPERLINK("https://talan.bank.gov.ua/get-user-certificate/sec1ecmLYbRestaxglCF","Завантажити сертифікат")</f>
        <v>Завантажити сертифікат</v>
      </c>
    </row>
    <row r="4672" spans="1:5" x14ac:dyDescent="0.3">
      <c r="A4672" s="2" t="s">
        <v>9540</v>
      </c>
      <c r="B4672" s="2" t="s">
        <v>5</v>
      </c>
      <c r="C4672" s="2" t="s">
        <v>9541</v>
      </c>
      <c r="D4672" s="2" t="s">
        <v>9535</v>
      </c>
      <c r="E4672" s="2" t="str">
        <f>HYPERLINK("https://talan.bank.gov.ua/get-user-certificate/sec1eM4rJW1oGnsWZ_SB","Завантажити сертифікат")</f>
        <v>Завантажити сертифікат</v>
      </c>
    </row>
    <row r="4673" spans="1:5" x14ac:dyDescent="0.3">
      <c r="A4673" s="2" t="s">
        <v>9542</v>
      </c>
      <c r="B4673" s="2" t="s">
        <v>5</v>
      </c>
      <c r="C4673" s="2" t="s">
        <v>9543</v>
      </c>
      <c r="D4673" s="2" t="s">
        <v>9535</v>
      </c>
      <c r="E4673" s="2" t="str">
        <f>HYPERLINK("https://talan.bank.gov.ua/get-user-certificate/sec1eYetZl5ZzIfSIEls","Завантажити сертифікат")</f>
        <v>Завантажити сертифікат</v>
      </c>
    </row>
    <row r="4674" spans="1:5" x14ac:dyDescent="0.3">
      <c r="A4674" s="2" t="s">
        <v>9544</v>
      </c>
      <c r="B4674" s="2" t="s">
        <v>5</v>
      </c>
      <c r="C4674" s="2" t="s">
        <v>9545</v>
      </c>
      <c r="D4674" s="2" t="s">
        <v>9535</v>
      </c>
      <c r="E4674" s="2" t="str">
        <f>HYPERLINK("https://talan.bank.gov.ua/get-user-certificate/sec1eqzyZquvxmZ6N5j8","Завантажити сертифікат")</f>
        <v>Завантажити сертифікат</v>
      </c>
    </row>
    <row r="4675" spans="1:5" x14ac:dyDescent="0.3">
      <c r="A4675" s="2" t="s">
        <v>9546</v>
      </c>
      <c r="B4675" s="2" t="s">
        <v>5</v>
      </c>
      <c r="C4675" s="2" t="s">
        <v>9547</v>
      </c>
      <c r="D4675" s="2" t="s">
        <v>9535</v>
      </c>
      <c r="E4675" s="2" t="str">
        <f>HYPERLINK("https://talan.bank.gov.ua/get-user-certificate/sec1eyOs6kbA8jT6ivZC","Завантажити сертифікат")</f>
        <v>Завантажити сертифікат</v>
      </c>
    </row>
    <row r="4676" spans="1:5" x14ac:dyDescent="0.3">
      <c r="A4676" s="2" t="s">
        <v>9548</v>
      </c>
      <c r="B4676" s="2" t="s">
        <v>5</v>
      </c>
      <c r="C4676" s="2" t="s">
        <v>9549</v>
      </c>
      <c r="D4676" s="2" t="s">
        <v>9535</v>
      </c>
      <c r="E4676" s="2" t="str">
        <f>HYPERLINK("https://talan.bank.gov.ua/get-user-certificate/sec1eD7kK-eq3nWCIPf9","Завантажити сертифікат")</f>
        <v>Завантажити сертифікат</v>
      </c>
    </row>
    <row r="4677" spans="1:5" x14ac:dyDescent="0.3">
      <c r="A4677" s="2" t="s">
        <v>9550</v>
      </c>
      <c r="B4677" s="2" t="s">
        <v>5</v>
      </c>
      <c r="C4677" s="2" t="s">
        <v>9551</v>
      </c>
      <c r="D4677" s="2" t="s">
        <v>9535</v>
      </c>
      <c r="E4677" s="2" t="str">
        <f>HYPERLINK("https://talan.bank.gov.ua/get-user-certificate/sec1erQjXEWcRdsQWFFE","Завантажити сертифікат")</f>
        <v>Завантажити сертифікат</v>
      </c>
    </row>
    <row r="4678" spans="1:5" x14ac:dyDescent="0.3">
      <c r="A4678" s="2" t="s">
        <v>9552</v>
      </c>
      <c r="B4678" s="2" t="s">
        <v>5</v>
      </c>
      <c r="C4678" s="2" t="s">
        <v>9553</v>
      </c>
      <c r="D4678" s="2" t="s">
        <v>9535</v>
      </c>
      <c r="E4678" s="2" t="str">
        <f>HYPERLINK("https://talan.bank.gov.ua/get-user-certificate/sec1eKpk4Yyy6nCKVpL1","Завантажити сертифікат")</f>
        <v>Завантажити сертифікат</v>
      </c>
    </row>
    <row r="4679" spans="1:5" x14ac:dyDescent="0.3">
      <c r="A4679" s="2" t="s">
        <v>9554</v>
      </c>
      <c r="B4679" s="2" t="s">
        <v>5</v>
      </c>
      <c r="C4679" s="2" t="s">
        <v>9555</v>
      </c>
      <c r="D4679" s="2" t="s">
        <v>9535</v>
      </c>
      <c r="E4679" s="2" t="str">
        <f>HYPERLINK("https://talan.bank.gov.ua/get-user-certificate/sec1e6cYp-q0nGGx5oqk","Завантажити сертифікат")</f>
        <v>Завантажити сертифікат</v>
      </c>
    </row>
    <row r="4680" spans="1:5" x14ac:dyDescent="0.3">
      <c r="A4680" s="2" t="s">
        <v>9556</v>
      </c>
      <c r="B4680" s="2" t="s">
        <v>5</v>
      </c>
      <c r="C4680" s="2" t="s">
        <v>9557</v>
      </c>
      <c r="D4680" s="2" t="s">
        <v>9535</v>
      </c>
      <c r="E4680" s="2" t="str">
        <f>HYPERLINK("https://talan.bank.gov.ua/get-user-certificate/sec1e-eZUW-jC_pUVx05","Завантажити сертифікат")</f>
        <v>Завантажити сертифікат</v>
      </c>
    </row>
    <row r="4681" spans="1:5" x14ac:dyDescent="0.3">
      <c r="A4681" s="2" t="s">
        <v>9558</v>
      </c>
      <c r="B4681" s="2" t="s">
        <v>5</v>
      </c>
      <c r="C4681" s="2" t="s">
        <v>9559</v>
      </c>
      <c r="D4681" s="2" t="s">
        <v>9535</v>
      </c>
      <c r="E4681" s="2" t="str">
        <f>HYPERLINK("https://talan.bank.gov.ua/get-user-certificate/sec1e7Dp2DBk5lDRph1_","Завантажити сертифікат")</f>
        <v>Завантажити сертифікат</v>
      </c>
    </row>
    <row r="4682" spans="1:5" x14ac:dyDescent="0.3">
      <c r="A4682" s="2" t="s">
        <v>9560</v>
      </c>
      <c r="B4682" s="2" t="s">
        <v>5</v>
      </c>
      <c r="C4682" s="2" t="s">
        <v>9561</v>
      </c>
      <c r="D4682" s="2" t="s">
        <v>9535</v>
      </c>
      <c r="E4682" s="2" t="str">
        <f>HYPERLINK("https://talan.bank.gov.ua/get-user-certificate/sec1ezVOHmhXRrr3Evy_","Завантажити сертифікат")</f>
        <v>Завантажити сертифікат</v>
      </c>
    </row>
    <row r="4683" spans="1:5" x14ac:dyDescent="0.3">
      <c r="A4683" s="2" t="s">
        <v>9562</v>
      </c>
      <c r="B4683" s="2" t="s">
        <v>5</v>
      </c>
      <c r="C4683" s="2" t="s">
        <v>9563</v>
      </c>
      <c r="D4683" s="2" t="s">
        <v>9535</v>
      </c>
      <c r="E4683" s="2" t="str">
        <f>HYPERLINK("https://talan.bank.gov.ua/get-user-certificate/sec1eBpZyrt9sc8M2v5v","Завантажити сертифікат")</f>
        <v>Завантажити сертифікат</v>
      </c>
    </row>
    <row r="4684" spans="1:5" x14ac:dyDescent="0.3">
      <c r="A4684" s="2" t="s">
        <v>9564</v>
      </c>
      <c r="B4684" s="2" t="s">
        <v>5</v>
      </c>
      <c r="C4684" s="2" t="s">
        <v>9565</v>
      </c>
      <c r="D4684" s="2" t="s">
        <v>9535</v>
      </c>
      <c r="E4684" s="2" t="str">
        <f>HYPERLINK("https://talan.bank.gov.ua/get-user-certificate/sec1eyRmbNRiBwHTrw7b","Завантажити сертифікат")</f>
        <v>Завантажити сертифікат</v>
      </c>
    </row>
    <row r="4685" spans="1:5" x14ac:dyDescent="0.3">
      <c r="A4685" s="2" t="s">
        <v>9566</v>
      </c>
      <c r="B4685" s="2" t="s">
        <v>5</v>
      </c>
      <c r="C4685" s="2" t="s">
        <v>9567</v>
      </c>
      <c r="D4685" s="2" t="s">
        <v>9535</v>
      </c>
      <c r="E4685" s="2" t="str">
        <f>HYPERLINK("https://talan.bank.gov.ua/get-user-certificate/sec1eVtsV642LysVE3Re","Завантажити сертифікат")</f>
        <v>Завантажити сертифікат</v>
      </c>
    </row>
    <row r="4686" spans="1:5" x14ac:dyDescent="0.3">
      <c r="A4686" s="2" t="s">
        <v>9568</v>
      </c>
      <c r="B4686" s="2" t="s">
        <v>5</v>
      </c>
      <c r="C4686" s="2" t="s">
        <v>9569</v>
      </c>
      <c r="D4686" s="2" t="s">
        <v>9535</v>
      </c>
      <c r="E4686" s="2" t="str">
        <f>HYPERLINK("https://talan.bank.gov.ua/get-user-certificate/sec1eolY6T0t8g4ZXNX4","Завантажити сертифікат")</f>
        <v>Завантажити сертифікат</v>
      </c>
    </row>
    <row r="4687" spans="1:5" x14ac:dyDescent="0.3">
      <c r="A4687" s="2" t="s">
        <v>9570</v>
      </c>
      <c r="B4687" s="2" t="s">
        <v>5</v>
      </c>
      <c r="C4687" s="2" t="s">
        <v>9571</v>
      </c>
      <c r="D4687" s="2" t="s">
        <v>9535</v>
      </c>
      <c r="E4687" s="2" t="str">
        <f>HYPERLINK("https://talan.bank.gov.ua/get-user-certificate/sec1elzm5f_6TJG6kFXC","Завантажити сертифікат")</f>
        <v>Завантажити сертифікат</v>
      </c>
    </row>
    <row r="4688" spans="1:5" x14ac:dyDescent="0.3">
      <c r="A4688" s="2" t="s">
        <v>9572</v>
      </c>
      <c r="B4688" s="2" t="s">
        <v>5</v>
      </c>
      <c r="C4688" s="2" t="s">
        <v>9573</v>
      </c>
      <c r="D4688" s="2" t="s">
        <v>9535</v>
      </c>
      <c r="E4688" s="2" t="str">
        <f>HYPERLINK("https://talan.bank.gov.ua/get-user-certificate/sec1e45WbINS2Sznff44","Завантажити сертифікат")</f>
        <v>Завантажити сертифікат</v>
      </c>
    </row>
    <row r="4689" spans="1:5" x14ac:dyDescent="0.3">
      <c r="A4689" s="2" t="s">
        <v>9574</v>
      </c>
      <c r="B4689" s="2" t="s">
        <v>5</v>
      </c>
      <c r="C4689" s="2" t="s">
        <v>9575</v>
      </c>
      <c r="D4689" s="2" t="s">
        <v>9535</v>
      </c>
      <c r="E4689" s="2" t="str">
        <f>HYPERLINK("https://talan.bank.gov.ua/get-user-certificate/sec1endj7kldpn02S6Oz","Завантажити сертифікат")</f>
        <v>Завантажити сертифікат</v>
      </c>
    </row>
    <row r="4690" spans="1:5" x14ac:dyDescent="0.3">
      <c r="A4690" s="2" t="s">
        <v>9576</v>
      </c>
      <c r="B4690" s="2" t="s">
        <v>5</v>
      </c>
      <c r="C4690" s="2" t="s">
        <v>9577</v>
      </c>
      <c r="D4690" s="2" t="s">
        <v>9535</v>
      </c>
      <c r="E4690" s="2" t="str">
        <f>HYPERLINK("https://talan.bank.gov.ua/get-user-certificate/sec1eeSxduwxCOuoLuIy","Завантажити сертифікат")</f>
        <v>Завантажити сертифікат</v>
      </c>
    </row>
    <row r="4691" spans="1:5" x14ac:dyDescent="0.3">
      <c r="A4691" s="2" t="s">
        <v>9578</v>
      </c>
      <c r="B4691" s="2" t="s">
        <v>5</v>
      </c>
      <c r="C4691" s="2" t="s">
        <v>9579</v>
      </c>
      <c r="D4691" s="2" t="s">
        <v>9535</v>
      </c>
      <c r="E4691" s="2" t="str">
        <f>HYPERLINK("https://talan.bank.gov.ua/get-user-certificate/sec1e2bz19ZXSV8f7gGE","Завантажити сертифікат")</f>
        <v>Завантажити сертифікат</v>
      </c>
    </row>
    <row r="4692" spans="1:5" x14ac:dyDescent="0.3">
      <c r="A4692" s="2" t="s">
        <v>9580</v>
      </c>
      <c r="B4692" s="2" t="s">
        <v>5</v>
      </c>
      <c r="C4692" s="2" t="s">
        <v>9581</v>
      </c>
      <c r="D4692" s="2" t="s">
        <v>9535</v>
      </c>
      <c r="E4692" s="2" t="str">
        <f>HYPERLINK("https://talan.bank.gov.ua/get-user-certificate/sec1ebDn6y6uNrMsKgWD","Завантажити сертифікат")</f>
        <v>Завантажити сертифікат</v>
      </c>
    </row>
    <row r="4693" spans="1:5" x14ac:dyDescent="0.3">
      <c r="A4693" s="2" t="s">
        <v>9582</v>
      </c>
      <c r="B4693" s="2" t="s">
        <v>5</v>
      </c>
      <c r="C4693" s="2" t="s">
        <v>9583</v>
      </c>
      <c r="D4693" s="2" t="s">
        <v>9535</v>
      </c>
      <c r="E4693" s="2" t="str">
        <f>HYPERLINK("https://talan.bank.gov.ua/get-user-certificate/sec1ey79_oh-e1fRlCnA","Завантажити сертифікат")</f>
        <v>Завантажити сертифікат</v>
      </c>
    </row>
    <row r="4694" spans="1:5" x14ac:dyDescent="0.3">
      <c r="A4694" s="2" t="s">
        <v>9584</v>
      </c>
      <c r="B4694" s="2" t="s">
        <v>5</v>
      </c>
      <c r="C4694" s="2" t="s">
        <v>9585</v>
      </c>
      <c r="D4694" s="2" t="s">
        <v>9535</v>
      </c>
      <c r="E4694" s="2" t="str">
        <f>HYPERLINK("https://talan.bank.gov.ua/get-user-certificate/sec1e8QWhq8CtUXcHXcD","Завантажити сертифікат")</f>
        <v>Завантажити сертифікат</v>
      </c>
    </row>
    <row r="4695" spans="1:5" x14ac:dyDescent="0.3">
      <c r="A4695" s="2" t="s">
        <v>9586</v>
      </c>
      <c r="B4695" s="2" t="s">
        <v>5</v>
      </c>
      <c r="C4695" s="2" t="s">
        <v>9587</v>
      </c>
      <c r="D4695" s="2" t="s">
        <v>9535</v>
      </c>
      <c r="E4695" s="2" t="str">
        <f>HYPERLINK("https://talan.bank.gov.ua/get-user-certificate/sec1egG2WB9TYI8MWeci","Завантажити сертифікат")</f>
        <v>Завантажити сертифікат</v>
      </c>
    </row>
    <row r="4696" spans="1:5" x14ac:dyDescent="0.3">
      <c r="A4696" s="2" t="s">
        <v>9588</v>
      </c>
      <c r="B4696" s="2" t="s">
        <v>5</v>
      </c>
      <c r="C4696" s="2" t="s">
        <v>9589</v>
      </c>
      <c r="D4696" s="2" t="s">
        <v>9535</v>
      </c>
      <c r="E4696" s="2" t="str">
        <f>HYPERLINK("https://talan.bank.gov.ua/get-user-certificate/sec1eeekl6f-S5t_DHvu","Завантажити сертифікат")</f>
        <v>Завантажити сертифікат</v>
      </c>
    </row>
    <row r="4697" spans="1:5" x14ac:dyDescent="0.3">
      <c r="A4697" s="2" t="s">
        <v>9590</v>
      </c>
      <c r="B4697" s="2" t="s">
        <v>5</v>
      </c>
      <c r="C4697" s="2" t="s">
        <v>9591</v>
      </c>
      <c r="D4697" s="2" t="s">
        <v>9535</v>
      </c>
      <c r="E4697" s="2" t="str">
        <f>HYPERLINK("https://talan.bank.gov.ua/get-user-certificate/sec1eJvnY8oONQdlWLKb","Завантажити сертифікат")</f>
        <v>Завантажити сертифікат</v>
      </c>
    </row>
    <row r="4698" spans="1:5" x14ac:dyDescent="0.3">
      <c r="A4698" s="2" t="s">
        <v>9592</v>
      </c>
      <c r="B4698" s="2" t="s">
        <v>5</v>
      </c>
      <c r="C4698" s="2" t="s">
        <v>9593</v>
      </c>
      <c r="D4698" s="2" t="s">
        <v>9535</v>
      </c>
      <c r="E4698" s="2" t="str">
        <f>HYPERLINK("https://talan.bank.gov.ua/get-user-certificate/sec1e6dwTF5Vpm6GL9cf","Завантажити сертифікат")</f>
        <v>Завантажити сертифікат</v>
      </c>
    </row>
    <row r="4699" spans="1:5" x14ac:dyDescent="0.3">
      <c r="A4699" s="2" t="s">
        <v>9594</v>
      </c>
      <c r="B4699" s="2" t="s">
        <v>5</v>
      </c>
      <c r="C4699" s="2" t="s">
        <v>9595</v>
      </c>
      <c r="D4699" s="2" t="s">
        <v>9535</v>
      </c>
      <c r="E4699" s="2" t="str">
        <f>HYPERLINK("https://talan.bank.gov.ua/get-user-certificate/sec1exz6bsrOwyU70OIP","Завантажити сертифікат")</f>
        <v>Завантажити сертифікат</v>
      </c>
    </row>
    <row r="4700" spans="1:5" x14ac:dyDescent="0.3">
      <c r="A4700" s="2" t="s">
        <v>9596</v>
      </c>
      <c r="B4700" s="2" t="s">
        <v>5</v>
      </c>
      <c r="C4700" s="2" t="s">
        <v>9597</v>
      </c>
      <c r="D4700" s="2" t="s">
        <v>9535</v>
      </c>
      <c r="E4700" s="2" t="str">
        <f>HYPERLINK("https://talan.bank.gov.ua/get-user-certificate/sec1ekzgi_qHKhy1u7oK","Завантажити сертифікат")</f>
        <v>Завантажити сертифікат</v>
      </c>
    </row>
    <row r="4701" spans="1:5" x14ac:dyDescent="0.3">
      <c r="A4701" s="2" t="s">
        <v>9598</v>
      </c>
      <c r="B4701" s="2" t="s">
        <v>5</v>
      </c>
      <c r="C4701" s="2" t="s">
        <v>9599</v>
      </c>
      <c r="D4701" s="2" t="s">
        <v>9535</v>
      </c>
      <c r="E4701" s="2" t="str">
        <f>HYPERLINK("https://talan.bank.gov.ua/get-user-certificate/sec1eLSzqfWdvCVChJ5y","Завантажити сертифікат")</f>
        <v>Завантажити сертифікат</v>
      </c>
    </row>
    <row r="4702" spans="1:5" x14ac:dyDescent="0.3">
      <c r="A4702" s="2" t="s">
        <v>9600</v>
      </c>
      <c r="B4702" s="2" t="s">
        <v>5</v>
      </c>
      <c r="C4702" s="2" t="s">
        <v>9601</v>
      </c>
      <c r="D4702" s="2" t="s">
        <v>9602</v>
      </c>
      <c r="E4702" s="2" t="str">
        <f>HYPERLINK("https://talan.bank.gov.ua/get-user-certificate/sec1ewxAxLoAqp6suz3l","Завантажити сертифікат")</f>
        <v>Завантажити сертифікат</v>
      </c>
    </row>
    <row r="4703" spans="1:5" x14ac:dyDescent="0.3">
      <c r="A4703" s="2" t="s">
        <v>9603</v>
      </c>
      <c r="B4703" s="2" t="s">
        <v>5</v>
      </c>
      <c r="C4703" s="2" t="s">
        <v>9604</v>
      </c>
      <c r="D4703" s="2" t="s">
        <v>9602</v>
      </c>
      <c r="E4703" s="2" t="str">
        <f>HYPERLINK("https://talan.bank.gov.ua/get-user-certificate/sec1eSXp7qd6Nc5tQs2C","Завантажити сертифікат")</f>
        <v>Завантажити сертифікат</v>
      </c>
    </row>
    <row r="4704" spans="1:5" x14ac:dyDescent="0.3">
      <c r="A4704" s="2" t="s">
        <v>9605</v>
      </c>
      <c r="B4704" s="2" t="s">
        <v>5</v>
      </c>
      <c r="C4704" s="2" t="s">
        <v>9606</v>
      </c>
      <c r="D4704" s="2" t="s">
        <v>9602</v>
      </c>
      <c r="E4704" s="2" t="str">
        <f>HYPERLINK("https://talan.bank.gov.ua/get-user-certificate/sec1enxOxYSc26N1yG4y","Завантажити сертифікат")</f>
        <v>Завантажити сертифікат</v>
      </c>
    </row>
    <row r="4705" spans="1:5" x14ac:dyDescent="0.3">
      <c r="A4705" s="2" t="s">
        <v>9607</v>
      </c>
      <c r="B4705" s="2" t="s">
        <v>5</v>
      </c>
      <c r="C4705" s="2" t="s">
        <v>9608</v>
      </c>
      <c r="D4705" s="2" t="s">
        <v>9602</v>
      </c>
      <c r="E4705" s="2" t="str">
        <f>HYPERLINK("https://talan.bank.gov.ua/get-user-certificate/sec1etZX_5zbXMmtez_T","Завантажити сертифікат")</f>
        <v>Завантажити сертифікат</v>
      </c>
    </row>
    <row r="4706" spans="1:5" x14ac:dyDescent="0.3">
      <c r="A4706" s="2" t="s">
        <v>9609</v>
      </c>
      <c r="B4706" s="2" t="s">
        <v>5</v>
      </c>
      <c r="C4706" s="2" t="s">
        <v>9610</v>
      </c>
      <c r="D4706" s="2" t="s">
        <v>9602</v>
      </c>
      <c r="E4706" s="2" t="str">
        <f>HYPERLINK("https://talan.bank.gov.ua/get-user-certificate/sec1eyb-48OyzpSDV7-J","Завантажити сертифікат")</f>
        <v>Завантажити сертифікат</v>
      </c>
    </row>
    <row r="4707" spans="1:5" x14ac:dyDescent="0.3">
      <c r="A4707" s="2" t="s">
        <v>9611</v>
      </c>
      <c r="B4707" s="2" t="s">
        <v>5</v>
      </c>
      <c r="C4707" s="2" t="s">
        <v>9612</v>
      </c>
      <c r="D4707" s="2" t="s">
        <v>9602</v>
      </c>
      <c r="E4707" s="2" t="str">
        <f>HYPERLINK("https://talan.bank.gov.ua/get-user-certificate/sec1eyS5jbPs3odRDxIl","Завантажити сертифікат")</f>
        <v>Завантажити сертифікат</v>
      </c>
    </row>
    <row r="4708" spans="1:5" x14ac:dyDescent="0.3">
      <c r="A4708" s="2" t="s">
        <v>9613</v>
      </c>
      <c r="B4708" s="2" t="s">
        <v>5</v>
      </c>
      <c r="C4708" s="2" t="s">
        <v>9614</v>
      </c>
      <c r="D4708" s="2" t="s">
        <v>9602</v>
      </c>
      <c r="E4708" s="2" t="str">
        <f>HYPERLINK("https://talan.bank.gov.ua/get-user-certificate/sec1eK7-G8iN5eltd1jh","Завантажити сертифікат")</f>
        <v>Завантажити сертифікат</v>
      </c>
    </row>
    <row r="4709" spans="1:5" x14ac:dyDescent="0.3">
      <c r="A4709" s="2" t="s">
        <v>9615</v>
      </c>
      <c r="B4709" s="2" t="s">
        <v>5</v>
      </c>
      <c r="C4709" s="2" t="s">
        <v>9616</v>
      </c>
      <c r="D4709" s="2" t="s">
        <v>9602</v>
      </c>
      <c r="E4709" s="2" t="str">
        <f>HYPERLINK("https://talan.bank.gov.ua/get-user-certificate/sec1eMVBcrI1aOSBU6bx","Завантажити сертифікат")</f>
        <v>Завантажити сертифікат</v>
      </c>
    </row>
    <row r="4710" spans="1:5" x14ac:dyDescent="0.3">
      <c r="A4710" s="2" t="s">
        <v>9617</v>
      </c>
      <c r="B4710" s="2" t="s">
        <v>5</v>
      </c>
      <c r="C4710" s="2" t="s">
        <v>9618</v>
      </c>
      <c r="D4710" s="2" t="s">
        <v>9602</v>
      </c>
      <c r="E4710" s="2" t="str">
        <f>HYPERLINK("https://talan.bank.gov.ua/get-user-certificate/sec1edP0TFAFV14RQVxC","Завантажити сертифікат")</f>
        <v>Завантажити сертифікат</v>
      </c>
    </row>
    <row r="4711" spans="1:5" x14ac:dyDescent="0.3">
      <c r="A4711" s="2" t="s">
        <v>9619</v>
      </c>
      <c r="B4711" s="2" t="s">
        <v>5</v>
      </c>
      <c r="C4711" s="2" t="s">
        <v>9620</v>
      </c>
      <c r="D4711" s="2" t="s">
        <v>9602</v>
      </c>
      <c r="E4711" s="2" t="str">
        <f>HYPERLINK("https://talan.bank.gov.ua/get-user-certificate/sec1eRVzIdauZzHJ0BaK","Завантажити сертифікат")</f>
        <v>Завантажити сертифікат</v>
      </c>
    </row>
    <row r="4712" spans="1:5" x14ac:dyDescent="0.3">
      <c r="A4712" s="2" t="s">
        <v>9621</v>
      </c>
      <c r="B4712" s="2" t="s">
        <v>5</v>
      </c>
      <c r="C4712" s="2" t="s">
        <v>9622</v>
      </c>
      <c r="D4712" s="2" t="s">
        <v>9602</v>
      </c>
      <c r="E4712" s="2" t="str">
        <f>HYPERLINK("https://talan.bank.gov.ua/get-user-certificate/sec1eAESvgfAGymcHBNe","Завантажити сертифікат")</f>
        <v>Завантажити сертифікат</v>
      </c>
    </row>
    <row r="4713" spans="1:5" x14ac:dyDescent="0.3">
      <c r="A4713" s="2" t="s">
        <v>9623</v>
      </c>
      <c r="B4713" s="2" t="s">
        <v>5</v>
      </c>
      <c r="C4713" s="2" t="s">
        <v>9624</v>
      </c>
      <c r="D4713" s="2" t="s">
        <v>9602</v>
      </c>
      <c r="E4713" s="2" t="str">
        <f>HYPERLINK("https://talan.bank.gov.ua/get-user-certificate/sec1eJHdZ5YR29T_jsgK","Завантажити сертифікат")</f>
        <v>Завантажити сертифікат</v>
      </c>
    </row>
    <row r="4714" spans="1:5" x14ac:dyDescent="0.3">
      <c r="A4714" s="2" t="s">
        <v>9625</v>
      </c>
      <c r="B4714" s="2" t="s">
        <v>5</v>
      </c>
      <c r="C4714" s="2" t="s">
        <v>9626</v>
      </c>
      <c r="D4714" s="2" t="s">
        <v>9602</v>
      </c>
      <c r="E4714" s="2" t="str">
        <f>HYPERLINK("https://talan.bank.gov.ua/get-user-certificate/sec1eisS3tFFQ1pwKnGk","Завантажити сертифікат")</f>
        <v>Завантажити сертифікат</v>
      </c>
    </row>
    <row r="4715" spans="1:5" x14ac:dyDescent="0.3">
      <c r="A4715" s="2" t="s">
        <v>9627</v>
      </c>
      <c r="B4715" s="2" t="s">
        <v>5</v>
      </c>
      <c r="C4715" s="2" t="s">
        <v>9628</v>
      </c>
      <c r="D4715" s="2" t="s">
        <v>9602</v>
      </c>
      <c r="E4715" s="2" t="str">
        <f>HYPERLINK("https://talan.bank.gov.ua/get-user-certificate/sec1e0dnrXVe3pVYgdmM","Завантажити сертифікат")</f>
        <v>Завантажити сертифікат</v>
      </c>
    </row>
    <row r="4716" spans="1:5" x14ac:dyDescent="0.3">
      <c r="A4716" s="2" t="s">
        <v>9629</v>
      </c>
      <c r="B4716" s="2" t="s">
        <v>5</v>
      </c>
      <c r="C4716" s="2" t="s">
        <v>9630</v>
      </c>
      <c r="D4716" s="2" t="s">
        <v>9602</v>
      </c>
      <c r="E4716" s="2" t="str">
        <f>HYPERLINK("https://talan.bank.gov.ua/get-user-certificate/sec1e0A947cwBkt-3zjp","Завантажити сертифікат")</f>
        <v>Завантажити сертифікат</v>
      </c>
    </row>
    <row r="4717" spans="1:5" x14ac:dyDescent="0.3">
      <c r="A4717" s="2" t="s">
        <v>9631</v>
      </c>
      <c r="B4717" s="2" t="s">
        <v>5</v>
      </c>
      <c r="C4717" s="2" t="s">
        <v>9632</v>
      </c>
      <c r="D4717" s="2" t="s">
        <v>9602</v>
      </c>
      <c r="E4717" s="2" t="str">
        <f>HYPERLINK("https://talan.bank.gov.ua/get-user-certificate/sec1e0ORp8gbRihstdfh","Завантажити сертифікат")</f>
        <v>Завантажити сертифікат</v>
      </c>
    </row>
    <row r="4718" spans="1:5" x14ac:dyDescent="0.3">
      <c r="A4718" s="2" t="s">
        <v>9633</v>
      </c>
      <c r="B4718" s="2" t="s">
        <v>5</v>
      </c>
      <c r="C4718" s="2" t="s">
        <v>9634</v>
      </c>
      <c r="D4718" s="2" t="s">
        <v>9602</v>
      </c>
      <c r="E4718" s="2" t="str">
        <f>HYPERLINK("https://talan.bank.gov.ua/get-user-certificate/sec1e5T4EXbfMQlIgRIc","Завантажити сертифікат")</f>
        <v>Завантажити сертифікат</v>
      </c>
    </row>
    <row r="4719" spans="1:5" x14ac:dyDescent="0.3">
      <c r="A4719" s="2" t="s">
        <v>9635</v>
      </c>
      <c r="B4719" s="2" t="s">
        <v>5</v>
      </c>
      <c r="C4719" s="2" t="s">
        <v>9636</v>
      </c>
      <c r="D4719" s="2" t="s">
        <v>9602</v>
      </c>
      <c r="E4719" s="2" t="str">
        <f>HYPERLINK("https://talan.bank.gov.ua/get-user-certificate/sec1eExuDmPaVa_RW0Rw","Завантажити сертифікат")</f>
        <v>Завантажити сертифікат</v>
      </c>
    </row>
    <row r="4720" spans="1:5" x14ac:dyDescent="0.3">
      <c r="A4720" s="2" t="s">
        <v>9637</v>
      </c>
      <c r="B4720" s="2" t="s">
        <v>5</v>
      </c>
      <c r="C4720" s="2" t="s">
        <v>9638</v>
      </c>
      <c r="D4720" s="2" t="s">
        <v>9602</v>
      </c>
      <c r="E4720" s="2" t="str">
        <f>HYPERLINK("https://talan.bank.gov.ua/get-user-certificate/sec1e7nq8eA0MiLB9dIp","Завантажити сертифікат")</f>
        <v>Завантажити сертифікат</v>
      </c>
    </row>
    <row r="4721" spans="1:5" x14ac:dyDescent="0.3">
      <c r="A4721" s="2" t="s">
        <v>9639</v>
      </c>
      <c r="B4721" s="2" t="s">
        <v>5</v>
      </c>
      <c r="C4721" s="2" t="s">
        <v>9640</v>
      </c>
      <c r="D4721" s="2" t="s">
        <v>9602</v>
      </c>
      <c r="E4721" s="2" t="str">
        <f>HYPERLINK("https://talan.bank.gov.ua/get-user-certificate/sec1eLAoUuba9B7OL1oa","Завантажити сертифікат")</f>
        <v>Завантажити сертифікат</v>
      </c>
    </row>
    <row r="4722" spans="1:5" x14ac:dyDescent="0.3">
      <c r="A4722" s="2" t="s">
        <v>9641</v>
      </c>
      <c r="B4722" s="2" t="s">
        <v>5</v>
      </c>
      <c r="C4722" s="2" t="s">
        <v>9642</v>
      </c>
      <c r="D4722" s="2" t="s">
        <v>9602</v>
      </c>
      <c r="E4722" s="2" t="str">
        <f>HYPERLINK("https://talan.bank.gov.ua/get-user-certificate/sec1eJksmBDzHMIiisfq","Завантажити сертифікат")</f>
        <v>Завантажити сертифікат</v>
      </c>
    </row>
    <row r="4723" spans="1:5" x14ac:dyDescent="0.3">
      <c r="A4723" s="2" t="s">
        <v>9643</v>
      </c>
      <c r="B4723" s="2" t="s">
        <v>5</v>
      </c>
      <c r="C4723" s="2" t="s">
        <v>9644</v>
      </c>
      <c r="D4723" s="2" t="s">
        <v>9602</v>
      </c>
      <c r="E4723" s="2" t="str">
        <f>HYPERLINK("https://talan.bank.gov.ua/get-user-certificate/sec1eila6ZaNhtP8P5iU","Завантажити сертифікат")</f>
        <v>Завантажити сертифікат</v>
      </c>
    </row>
    <row r="4724" spans="1:5" x14ac:dyDescent="0.3">
      <c r="A4724" s="2" t="s">
        <v>9645</v>
      </c>
      <c r="B4724" s="2" t="s">
        <v>5</v>
      </c>
      <c r="C4724" s="2" t="s">
        <v>9646</v>
      </c>
      <c r="D4724" s="2" t="s">
        <v>9602</v>
      </c>
      <c r="E4724" s="2" t="str">
        <f>HYPERLINK("https://talan.bank.gov.ua/get-user-certificate/sec1eXCc8RewixblKhtm","Завантажити сертифікат")</f>
        <v>Завантажити сертифікат</v>
      </c>
    </row>
    <row r="4725" spans="1:5" x14ac:dyDescent="0.3">
      <c r="A4725" s="2" t="s">
        <v>9647</v>
      </c>
      <c r="B4725" s="2" t="s">
        <v>5</v>
      </c>
      <c r="C4725" s="2" t="s">
        <v>9648</v>
      </c>
      <c r="D4725" s="2" t="s">
        <v>9602</v>
      </c>
      <c r="E4725" s="2" t="str">
        <f>HYPERLINK("https://talan.bank.gov.ua/get-user-certificate/sec1ey4-G2VPfDYbZKoB","Завантажити сертифікат")</f>
        <v>Завантажити сертифікат</v>
      </c>
    </row>
    <row r="4726" spans="1:5" x14ac:dyDescent="0.3">
      <c r="A4726" s="2" t="s">
        <v>9649</v>
      </c>
      <c r="B4726" s="2" t="s">
        <v>5</v>
      </c>
      <c r="C4726" s="2" t="s">
        <v>9650</v>
      </c>
      <c r="D4726" s="2" t="s">
        <v>9602</v>
      </c>
      <c r="E4726" s="2" t="str">
        <f>HYPERLINK("https://talan.bank.gov.ua/get-user-certificate/sec1e_7cnTw98Q5vXOMR","Завантажити сертифікат")</f>
        <v>Завантажити сертифікат</v>
      </c>
    </row>
    <row r="4727" spans="1:5" x14ac:dyDescent="0.3">
      <c r="A4727" s="2" t="s">
        <v>9651</v>
      </c>
      <c r="B4727" s="2" t="s">
        <v>5</v>
      </c>
      <c r="C4727" s="2" t="s">
        <v>9652</v>
      </c>
      <c r="D4727" s="2" t="s">
        <v>9602</v>
      </c>
      <c r="E4727" s="2" t="str">
        <f>HYPERLINK("https://talan.bank.gov.ua/get-user-certificate/sec1ey_ngc7D2QcEKtSw","Завантажити сертифікат")</f>
        <v>Завантажити сертифікат</v>
      </c>
    </row>
    <row r="4728" spans="1:5" x14ac:dyDescent="0.3">
      <c r="A4728" s="2" t="s">
        <v>9653</v>
      </c>
      <c r="B4728" s="2" t="s">
        <v>5</v>
      </c>
      <c r="C4728" s="2" t="s">
        <v>9654</v>
      </c>
      <c r="D4728" s="2" t="s">
        <v>9602</v>
      </c>
      <c r="E4728" s="2" t="str">
        <f>HYPERLINK("https://talan.bank.gov.ua/get-user-certificate/sec1ewhun30uPyAhV89o","Завантажити сертифікат")</f>
        <v>Завантажити сертифікат</v>
      </c>
    </row>
    <row r="4729" spans="1:5" x14ac:dyDescent="0.3">
      <c r="A4729" s="2" t="s">
        <v>9655</v>
      </c>
      <c r="B4729" s="2" t="s">
        <v>5</v>
      </c>
      <c r="C4729" s="2" t="s">
        <v>9656</v>
      </c>
      <c r="D4729" s="2" t="s">
        <v>9602</v>
      </c>
      <c r="E4729" s="2" t="str">
        <f>HYPERLINK("https://talan.bank.gov.ua/get-user-certificate/sec1er7E3Iyl-vaaDtno","Завантажити сертифікат")</f>
        <v>Завантажити сертифікат</v>
      </c>
    </row>
    <row r="4730" spans="1:5" x14ac:dyDescent="0.3">
      <c r="A4730" s="2" t="s">
        <v>9657</v>
      </c>
      <c r="B4730" s="2" t="s">
        <v>5</v>
      </c>
      <c r="C4730" s="2" t="s">
        <v>9658</v>
      </c>
      <c r="D4730" s="2" t="s">
        <v>9602</v>
      </c>
      <c r="E4730" s="2" t="str">
        <f>HYPERLINK("https://talan.bank.gov.ua/get-user-certificate/sec1ejz0z6RGIcix-KMN","Завантажити сертифікат")</f>
        <v>Завантажити сертифікат</v>
      </c>
    </row>
    <row r="4731" spans="1:5" x14ac:dyDescent="0.3">
      <c r="A4731" s="2" t="s">
        <v>9659</v>
      </c>
      <c r="B4731" s="2" t="s">
        <v>5</v>
      </c>
      <c r="C4731" s="2" t="s">
        <v>9660</v>
      </c>
      <c r="D4731" s="2" t="s">
        <v>9602</v>
      </c>
      <c r="E4731" s="2" t="str">
        <f>HYPERLINK("https://talan.bank.gov.ua/get-user-certificate/sec1ezxVaUMeE2wugZg6","Завантажити сертифікат")</f>
        <v>Завантажити сертифікат</v>
      </c>
    </row>
    <row r="4732" spans="1:5" x14ac:dyDescent="0.3">
      <c r="A4732" s="2" t="s">
        <v>9661</v>
      </c>
      <c r="B4732" s="2" t="s">
        <v>5</v>
      </c>
      <c r="C4732" s="2" t="s">
        <v>9662</v>
      </c>
      <c r="D4732" s="2" t="s">
        <v>9602</v>
      </c>
      <c r="E4732" s="2" t="str">
        <f>HYPERLINK("https://talan.bank.gov.ua/get-user-certificate/sec1e9XTSdIQ4_6f-tmO","Завантажити сертифікат")</f>
        <v>Завантажити сертифікат</v>
      </c>
    </row>
    <row r="4733" spans="1:5" x14ac:dyDescent="0.3">
      <c r="A4733" s="2" t="s">
        <v>9663</v>
      </c>
      <c r="B4733" s="2" t="s">
        <v>5</v>
      </c>
      <c r="C4733" s="2" t="s">
        <v>9664</v>
      </c>
      <c r="D4733" s="2" t="s">
        <v>9602</v>
      </c>
      <c r="E4733" s="2" t="str">
        <f>HYPERLINK("https://talan.bank.gov.ua/get-user-certificate/sec1eZ1omR0dxmkv12Eu","Завантажити сертифікат")</f>
        <v>Завантажити сертифікат</v>
      </c>
    </row>
    <row r="4734" spans="1:5" x14ac:dyDescent="0.3">
      <c r="A4734" s="2" t="s">
        <v>9665</v>
      </c>
      <c r="B4734" s="2" t="s">
        <v>5</v>
      </c>
      <c r="C4734" s="2" t="s">
        <v>9666</v>
      </c>
      <c r="D4734" s="2" t="s">
        <v>9602</v>
      </c>
      <c r="E4734" s="2" t="str">
        <f>HYPERLINK("https://talan.bank.gov.ua/get-user-certificate/sec1epSKQZLJiGZqDBIh","Завантажити сертифікат")</f>
        <v>Завантажити сертифікат</v>
      </c>
    </row>
    <row r="4735" spans="1:5" x14ac:dyDescent="0.3">
      <c r="A4735" s="2" t="s">
        <v>9667</v>
      </c>
      <c r="B4735" s="2" t="s">
        <v>5</v>
      </c>
      <c r="C4735" s="2" t="s">
        <v>2915</v>
      </c>
      <c r="D4735" s="2" t="s">
        <v>9602</v>
      </c>
      <c r="E4735" s="2" t="str">
        <f>HYPERLINK("https://talan.bank.gov.ua/get-user-certificate/sec1eW1B7Zj9KE21Ji4a","Завантажити сертифікат")</f>
        <v>Завантажити сертифікат</v>
      </c>
    </row>
    <row r="4736" spans="1:5" x14ac:dyDescent="0.3">
      <c r="A4736" s="2" t="s">
        <v>9668</v>
      </c>
      <c r="B4736" s="2" t="s">
        <v>5</v>
      </c>
      <c r="C4736" s="2" t="s">
        <v>9669</v>
      </c>
      <c r="D4736" s="2" t="s">
        <v>9602</v>
      </c>
      <c r="E4736" s="2" t="str">
        <f>HYPERLINK("https://talan.bank.gov.ua/get-user-certificate/sec1e_sVMIb1RnNlgUJE","Завантажити сертифікат")</f>
        <v>Завантажити сертифікат</v>
      </c>
    </row>
    <row r="4737" spans="1:5" x14ac:dyDescent="0.3">
      <c r="A4737" s="2" t="s">
        <v>9670</v>
      </c>
      <c r="B4737" s="2" t="s">
        <v>5</v>
      </c>
      <c r="C4737" s="2" t="s">
        <v>9671</v>
      </c>
      <c r="D4737" s="2" t="s">
        <v>9602</v>
      </c>
      <c r="E4737" s="2" t="str">
        <f>HYPERLINK("https://talan.bank.gov.ua/get-user-certificate/sec1exWe0it6vyomdYfN","Завантажити сертифікат")</f>
        <v>Завантажити сертифікат</v>
      </c>
    </row>
    <row r="4738" spans="1:5" x14ac:dyDescent="0.3">
      <c r="A4738" s="2" t="s">
        <v>9672</v>
      </c>
      <c r="B4738" s="2" t="s">
        <v>5</v>
      </c>
      <c r="C4738" s="2" t="s">
        <v>9673</v>
      </c>
      <c r="D4738" s="2" t="s">
        <v>9602</v>
      </c>
      <c r="E4738" s="2" t="str">
        <f>HYPERLINK("https://talan.bank.gov.ua/get-user-certificate/sec1eZMRdbK1gKe6IoBe","Завантажити сертифікат")</f>
        <v>Завантажити сертифікат</v>
      </c>
    </row>
    <row r="4739" spans="1:5" x14ac:dyDescent="0.3">
      <c r="A4739" s="2" t="s">
        <v>9674</v>
      </c>
      <c r="B4739" s="2" t="s">
        <v>5</v>
      </c>
      <c r="C4739" s="2" t="s">
        <v>9675</v>
      </c>
      <c r="D4739" s="2" t="s">
        <v>9602</v>
      </c>
      <c r="E4739" s="2" t="str">
        <f>HYPERLINK("https://talan.bank.gov.ua/get-user-certificate/sec1eiCsUgDrEM0cgBCs","Завантажити сертифікат")</f>
        <v>Завантажити сертифікат</v>
      </c>
    </row>
    <row r="4740" spans="1:5" x14ac:dyDescent="0.3">
      <c r="A4740" s="2" t="s">
        <v>9676</v>
      </c>
      <c r="B4740" s="2" t="s">
        <v>5</v>
      </c>
      <c r="C4740" s="2" t="s">
        <v>9677</v>
      </c>
      <c r="D4740" s="2" t="s">
        <v>9602</v>
      </c>
      <c r="E4740" s="2" t="str">
        <f>HYPERLINK("https://talan.bank.gov.ua/get-user-certificate/sec1eF8Ns5VY_F9xmaEK","Завантажити сертифікат")</f>
        <v>Завантажити сертифікат</v>
      </c>
    </row>
    <row r="4741" spans="1:5" x14ac:dyDescent="0.3">
      <c r="A4741" s="2" t="s">
        <v>9678</v>
      </c>
      <c r="B4741" s="2" t="s">
        <v>5</v>
      </c>
      <c r="C4741" s="2" t="s">
        <v>9679</v>
      </c>
      <c r="D4741" s="2" t="s">
        <v>9602</v>
      </c>
      <c r="E4741" s="2" t="str">
        <f>HYPERLINK("https://talan.bank.gov.ua/get-user-certificate/sec1ezAUmuxU6IKaLoWY","Завантажити сертифікат")</f>
        <v>Завантажити сертифікат</v>
      </c>
    </row>
    <row r="4742" spans="1:5" x14ac:dyDescent="0.3">
      <c r="A4742" s="2" t="s">
        <v>9680</v>
      </c>
      <c r="B4742" s="2" t="s">
        <v>5</v>
      </c>
      <c r="C4742" s="2" t="s">
        <v>9681</v>
      </c>
      <c r="D4742" s="2" t="s">
        <v>9602</v>
      </c>
      <c r="E4742" s="2" t="str">
        <f>HYPERLINK("https://talan.bank.gov.ua/get-user-certificate/sec1e1nFDwIaQBWgzbVH","Завантажити сертифікат")</f>
        <v>Завантажити сертифікат</v>
      </c>
    </row>
    <row r="4743" spans="1:5" x14ac:dyDescent="0.3">
      <c r="A4743" s="2" t="s">
        <v>9682</v>
      </c>
      <c r="B4743" s="2" t="s">
        <v>5</v>
      </c>
      <c r="C4743" s="2" t="s">
        <v>9683</v>
      </c>
      <c r="D4743" s="2" t="s">
        <v>9602</v>
      </c>
      <c r="E4743" s="2" t="str">
        <f>HYPERLINK("https://talan.bank.gov.ua/get-user-certificate/sec1e4DwILrGXQquYS3B","Завантажити сертифікат")</f>
        <v>Завантажити сертифікат</v>
      </c>
    </row>
    <row r="4744" spans="1:5" x14ac:dyDescent="0.3">
      <c r="A4744" s="2" t="s">
        <v>9684</v>
      </c>
      <c r="B4744" s="2" t="s">
        <v>5</v>
      </c>
      <c r="C4744" s="2" t="s">
        <v>9685</v>
      </c>
      <c r="D4744" s="2" t="s">
        <v>9686</v>
      </c>
      <c r="E4744" s="2" t="str">
        <f>HYPERLINK("https://talan.bank.gov.ua/get-user-certificate/sec1e-mh9LmZUAG-QfGY","Завантажити сертифікат")</f>
        <v>Завантажити сертифікат</v>
      </c>
    </row>
    <row r="4745" spans="1:5" x14ac:dyDescent="0.3">
      <c r="A4745" s="2" t="s">
        <v>9687</v>
      </c>
      <c r="B4745" s="2" t="s">
        <v>5</v>
      </c>
      <c r="C4745" s="2" t="s">
        <v>9688</v>
      </c>
      <c r="D4745" s="2" t="s">
        <v>9686</v>
      </c>
      <c r="E4745" s="2" t="str">
        <f>HYPERLINK("https://talan.bank.gov.ua/get-user-certificate/sec1eNrA3-twbv4_0txZ","Завантажити сертифікат")</f>
        <v>Завантажити сертифікат</v>
      </c>
    </row>
    <row r="4746" spans="1:5" x14ac:dyDescent="0.3">
      <c r="A4746" s="2" t="s">
        <v>9689</v>
      </c>
      <c r="B4746" s="2" t="s">
        <v>5</v>
      </c>
      <c r="C4746" s="2" t="s">
        <v>9690</v>
      </c>
      <c r="D4746" s="2" t="s">
        <v>9686</v>
      </c>
      <c r="E4746" s="2" t="str">
        <f>HYPERLINK("https://talan.bank.gov.ua/get-user-certificate/sec1eriJtt719Zmd3D3W","Завантажити сертифікат")</f>
        <v>Завантажити сертифікат</v>
      </c>
    </row>
    <row r="4747" spans="1:5" x14ac:dyDescent="0.3">
      <c r="A4747" s="2" t="s">
        <v>9691</v>
      </c>
      <c r="B4747" s="2" t="s">
        <v>5</v>
      </c>
      <c r="C4747" s="2" t="s">
        <v>9692</v>
      </c>
      <c r="D4747" s="2" t="s">
        <v>9686</v>
      </c>
      <c r="E4747" s="2" t="str">
        <f>HYPERLINK("https://talan.bank.gov.ua/get-user-certificate/sec1eZuFurFxQSQLreYD","Завантажити сертифікат")</f>
        <v>Завантажити сертифікат</v>
      </c>
    </row>
    <row r="4748" spans="1:5" x14ac:dyDescent="0.3">
      <c r="A4748" s="2" t="s">
        <v>9693</v>
      </c>
      <c r="B4748" s="2" t="s">
        <v>5</v>
      </c>
      <c r="C4748" s="2" t="s">
        <v>9694</v>
      </c>
      <c r="D4748" s="2" t="s">
        <v>9686</v>
      </c>
      <c r="E4748" s="2" t="str">
        <f>HYPERLINK("https://talan.bank.gov.ua/get-user-certificate/sec1eFBe-e9rdDmj1bKc","Завантажити сертифікат")</f>
        <v>Завантажити сертифікат</v>
      </c>
    </row>
    <row r="4749" spans="1:5" x14ac:dyDescent="0.3">
      <c r="A4749" s="2" t="s">
        <v>9695</v>
      </c>
      <c r="B4749" s="2" t="s">
        <v>5</v>
      </c>
      <c r="C4749" s="2" t="s">
        <v>9696</v>
      </c>
      <c r="D4749" s="2" t="s">
        <v>9686</v>
      </c>
      <c r="E4749" s="2" t="str">
        <f>HYPERLINK("https://talan.bank.gov.ua/get-user-certificate/sec1eA-wCImjRtUwVNI4","Завантажити сертифікат")</f>
        <v>Завантажити сертифікат</v>
      </c>
    </row>
    <row r="4750" spans="1:5" x14ac:dyDescent="0.3">
      <c r="A4750" s="2" t="s">
        <v>9697</v>
      </c>
      <c r="B4750" s="2" t="s">
        <v>5</v>
      </c>
      <c r="C4750" s="2" t="s">
        <v>9698</v>
      </c>
      <c r="D4750" s="2" t="s">
        <v>9686</v>
      </c>
      <c r="E4750" s="2" t="str">
        <f>HYPERLINK("https://talan.bank.gov.ua/get-user-certificate/sec1eiwYPcCHJgt3rRIz","Завантажити сертифікат")</f>
        <v>Завантажити сертифікат</v>
      </c>
    </row>
    <row r="4751" spans="1:5" x14ac:dyDescent="0.3">
      <c r="A4751" s="2" t="s">
        <v>9699</v>
      </c>
      <c r="B4751" s="2" t="s">
        <v>5</v>
      </c>
      <c r="C4751" s="2" t="s">
        <v>9700</v>
      </c>
      <c r="D4751" s="2" t="s">
        <v>9686</v>
      </c>
      <c r="E4751" s="2" t="str">
        <f>HYPERLINK("https://talan.bank.gov.ua/get-user-certificate/sec1eTetuCCIepHMWKQQ","Завантажити сертифікат")</f>
        <v>Завантажити сертифікат</v>
      </c>
    </row>
    <row r="4752" spans="1:5" x14ac:dyDescent="0.3">
      <c r="A4752" s="2" t="s">
        <v>9701</v>
      </c>
      <c r="B4752" s="2" t="s">
        <v>5</v>
      </c>
      <c r="C4752" s="2" t="s">
        <v>9702</v>
      </c>
      <c r="D4752" s="2" t="s">
        <v>9686</v>
      </c>
      <c r="E4752" s="2" t="str">
        <f>HYPERLINK("https://talan.bank.gov.ua/get-user-certificate/sec1e-dcrd1wsqbm-ScU","Завантажити сертифікат")</f>
        <v>Завантажити сертифікат</v>
      </c>
    </row>
    <row r="4753" spans="1:5" x14ac:dyDescent="0.3">
      <c r="A4753" s="2" t="s">
        <v>9703</v>
      </c>
      <c r="B4753" s="2" t="s">
        <v>5</v>
      </c>
      <c r="C4753" s="2" t="s">
        <v>9704</v>
      </c>
      <c r="D4753" s="2" t="s">
        <v>9686</v>
      </c>
      <c r="E4753" s="2" t="str">
        <f>HYPERLINK("https://talan.bank.gov.ua/get-user-certificate/sec1ewCF11A8n91QMoqT","Завантажити сертифікат")</f>
        <v>Завантажити сертифікат</v>
      </c>
    </row>
    <row r="4754" spans="1:5" x14ac:dyDescent="0.3">
      <c r="A4754" s="2" t="s">
        <v>9705</v>
      </c>
      <c r="B4754" s="2" t="s">
        <v>5</v>
      </c>
      <c r="C4754" s="2" t="s">
        <v>9706</v>
      </c>
      <c r="D4754" s="2" t="s">
        <v>9686</v>
      </c>
      <c r="E4754" s="2" t="str">
        <f>HYPERLINK("https://talan.bank.gov.ua/get-user-certificate/sec1erhT7x_CPWC0je0r","Завантажити сертифікат")</f>
        <v>Завантажити сертифікат</v>
      </c>
    </row>
    <row r="4755" spans="1:5" x14ac:dyDescent="0.3">
      <c r="A4755" s="2" t="s">
        <v>9707</v>
      </c>
      <c r="B4755" s="2" t="s">
        <v>5</v>
      </c>
      <c r="C4755" s="2" t="s">
        <v>9708</v>
      </c>
      <c r="D4755" s="2" t="s">
        <v>9686</v>
      </c>
      <c r="E4755" s="2" t="str">
        <f>HYPERLINK("https://talan.bank.gov.ua/get-user-certificate/sec1e5ySzzcvx2vJ84lj","Завантажити сертифікат")</f>
        <v>Завантажити сертифікат</v>
      </c>
    </row>
    <row r="4756" spans="1:5" x14ac:dyDescent="0.3">
      <c r="A4756" s="2" t="s">
        <v>9709</v>
      </c>
      <c r="B4756" s="2" t="s">
        <v>5</v>
      </c>
      <c r="C4756" s="2" t="s">
        <v>9710</v>
      </c>
      <c r="D4756" s="2" t="s">
        <v>9686</v>
      </c>
      <c r="E4756" s="2" t="str">
        <f>HYPERLINK("https://talan.bank.gov.ua/get-user-certificate/sec1e6FQrUtSXL0TypIH","Завантажити сертифікат")</f>
        <v>Завантажити сертифікат</v>
      </c>
    </row>
    <row r="4757" spans="1:5" x14ac:dyDescent="0.3">
      <c r="A4757" s="2" t="s">
        <v>9711</v>
      </c>
      <c r="B4757" s="2" t="s">
        <v>5</v>
      </c>
      <c r="C4757" s="2" t="s">
        <v>9712</v>
      </c>
      <c r="D4757" s="2" t="s">
        <v>9686</v>
      </c>
      <c r="E4757" s="2" t="str">
        <f>HYPERLINK("https://talan.bank.gov.ua/get-user-certificate/sec1eFkWxsfQqnSWcqj7","Завантажити сертифікат")</f>
        <v>Завантажити сертифікат</v>
      </c>
    </row>
    <row r="4758" spans="1:5" x14ac:dyDescent="0.3">
      <c r="A4758" s="2" t="s">
        <v>9713</v>
      </c>
      <c r="B4758" s="2" t="s">
        <v>5</v>
      </c>
      <c r="C4758" s="2" t="s">
        <v>9714</v>
      </c>
      <c r="D4758" s="2" t="s">
        <v>9686</v>
      </c>
      <c r="E4758" s="2" t="str">
        <f>HYPERLINK("https://talan.bank.gov.ua/get-user-certificate/sec1eFa_8G7SVmryfSba","Завантажити сертифікат")</f>
        <v>Завантажити сертифікат</v>
      </c>
    </row>
    <row r="4759" spans="1:5" x14ac:dyDescent="0.3">
      <c r="A4759" s="2" t="s">
        <v>9715</v>
      </c>
      <c r="B4759" s="2" t="s">
        <v>5</v>
      </c>
      <c r="C4759" s="2" t="s">
        <v>9716</v>
      </c>
      <c r="D4759" s="2" t="s">
        <v>9686</v>
      </c>
      <c r="E4759" s="2" t="str">
        <f>HYPERLINK("https://talan.bank.gov.ua/get-user-certificate/sec1ecSHGjjuJFJWdHNg","Завантажити сертифікат")</f>
        <v>Завантажити сертифікат</v>
      </c>
    </row>
    <row r="4760" spans="1:5" x14ac:dyDescent="0.3">
      <c r="A4760" s="2" t="s">
        <v>9717</v>
      </c>
      <c r="B4760" s="2" t="s">
        <v>5</v>
      </c>
      <c r="C4760" s="2" t="s">
        <v>9718</v>
      </c>
      <c r="D4760" s="2" t="s">
        <v>9686</v>
      </c>
      <c r="E4760" s="2" t="str">
        <f>HYPERLINK("https://talan.bank.gov.ua/get-user-certificate/sec1eMoAAC4Gp6hDHRdr","Завантажити сертифікат")</f>
        <v>Завантажити сертифікат</v>
      </c>
    </row>
    <row r="4761" spans="1:5" x14ac:dyDescent="0.3">
      <c r="A4761" s="2" t="s">
        <v>9719</v>
      </c>
      <c r="B4761" s="2" t="s">
        <v>5</v>
      </c>
      <c r="C4761" s="2" t="s">
        <v>9720</v>
      </c>
      <c r="D4761" s="2" t="s">
        <v>9686</v>
      </c>
      <c r="E4761" s="2" t="str">
        <f>HYPERLINK("https://talan.bank.gov.ua/get-user-certificate/sec1eWtcELY21Kf9YR2F","Завантажити сертифікат")</f>
        <v>Завантажити сертифікат</v>
      </c>
    </row>
    <row r="4762" spans="1:5" x14ac:dyDescent="0.3">
      <c r="A4762" s="2" t="s">
        <v>9721</v>
      </c>
      <c r="B4762" s="2" t="s">
        <v>5</v>
      </c>
      <c r="C4762" s="2" t="s">
        <v>9722</v>
      </c>
      <c r="D4762" s="2" t="s">
        <v>9686</v>
      </c>
      <c r="E4762" s="2" t="str">
        <f>HYPERLINK("https://talan.bank.gov.ua/get-user-certificate/sec1eiQLwY5MgABYY_bG","Завантажити сертифікат")</f>
        <v>Завантажити сертифікат</v>
      </c>
    </row>
    <row r="4763" spans="1:5" x14ac:dyDescent="0.3">
      <c r="A4763" s="2" t="s">
        <v>9723</v>
      </c>
      <c r="B4763" s="2" t="s">
        <v>5</v>
      </c>
      <c r="C4763" s="2" t="s">
        <v>9724</v>
      </c>
      <c r="D4763" s="2" t="s">
        <v>9686</v>
      </c>
      <c r="E4763" s="2" t="str">
        <f>HYPERLINK("https://talan.bank.gov.ua/get-user-certificate/sec1e_ZdvsHiqYZuJN1u","Завантажити сертифікат")</f>
        <v>Завантажити сертифікат</v>
      </c>
    </row>
    <row r="4764" spans="1:5" x14ac:dyDescent="0.3">
      <c r="A4764" s="2" t="s">
        <v>9725</v>
      </c>
      <c r="B4764" s="2" t="s">
        <v>5</v>
      </c>
      <c r="C4764" s="2" t="s">
        <v>9726</v>
      </c>
      <c r="D4764" s="2" t="s">
        <v>9686</v>
      </c>
      <c r="E4764" s="2" t="str">
        <f>HYPERLINK("https://talan.bank.gov.ua/get-user-certificate/sec1eMJajBCStTFn9-vy","Завантажити сертифікат")</f>
        <v>Завантажити сертифікат</v>
      </c>
    </row>
    <row r="4765" spans="1:5" x14ac:dyDescent="0.3">
      <c r="A4765" s="2" t="s">
        <v>9727</v>
      </c>
      <c r="B4765" s="2" t="s">
        <v>5</v>
      </c>
      <c r="C4765" s="2" t="s">
        <v>9728</v>
      </c>
      <c r="D4765" s="2" t="s">
        <v>9686</v>
      </c>
      <c r="E4765" s="2" t="str">
        <f>HYPERLINK("https://talan.bank.gov.ua/get-user-certificate/sec1eKCp2c_OIK_ln_wt","Завантажити сертифікат")</f>
        <v>Завантажити сертифікат</v>
      </c>
    </row>
    <row r="4766" spans="1:5" x14ac:dyDescent="0.3">
      <c r="A4766" s="2" t="s">
        <v>9729</v>
      </c>
      <c r="B4766" s="2" t="s">
        <v>5</v>
      </c>
      <c r="C4766" s="2" t="s">
        <v>9730</v>
      </c>
      <c r="D4766" s="2" t="s">
        <v>9686</v>
      </c>
      <c r="E4766" s="2" t="str">
        <f>HYPERLINK("https://talan.bank.gov.ua/get-user-certificate/sec1esm0yIPeCmiV19lA","Завантажити сертифікат")</f>
        <v>Завантажити сертифікат</v>
      </c>
    </row>
    <row r="4767" spans="1:5" x14ac:dyDescent="0.3">
      <c r="A4767" s="2" t="s">
        <v>9731</v>
      </c>
      <c r="B4767" s="2" t="s">
        <v>5</v>
      </c>
      <c r="C4767" s="2" t="s">
        <v>9732</v>
      </c>
      <c r="D4767" s="2" t="s">
        <v>9686</v>
      </c>
      <c r="E4767" s="2" t="str">
        <f>HYPERLINK("https://talan.bank.gov.ua/get-user-certificate/sec1ea9A2VZTwT2SAYte","Завантажити сертифікат")</f>
        <v>Завантажити сертифікат</v>
      </c>
    </row>
    <row r="4768" spans="1:5" x14ac:dyDescent="0.3">
      <c r="A4768" s="2" t="s">
        <v>9733</v>
      </c>
      <c r="B4768" s="2" t="s">
        <v>5</v>
      </c>
      <c r="C4768" s="2" t="s">
        <v>9734</v>
      </c>
      <c r="D4768" s="2" t="s">
        <v>9686</v>
      </c>
      <c r="E4768" s="2" t="str">
        <f>HYPERLINK("https://talan.bank.gov.ua/get-user-certificate/sec1eGdr_hWMq0MxW5BZ","Завантажити сертифікат")</f>
        <v>Завантажити сертифікат</v>
      </c>
    </row>
    <row r="4769" spans="1:5" x14ac:dyDescent="0.3">
      <c r="A4769" s="2" t="s">
        <v>9735</v>
      </c>
      <c r="B4769" s="2" t="s">
        <v>5</v>
      </c>
      <c r="C4769" s="2" t="s">
        <v>9736</v>
      </c>
      <c r="D4769" s="2" t="s">
        <v>9686</v>
      </c>
      <c r="E4769" s="2" t="str">
        <f>HYPERLINK("https://talan.bank.gov.ua/get-user-certificate/sec1enWJfWFI6EYsg3jc","Завантажити сертифікат")</f>
        <v>Завантажити сертифікат</v>
      </c>
    </row>
    <row r="4770" spans="1:5" x14ac:dyDescent="0.3">
      <c r="A4770" s="2" t="s">
        <v>9737</v>
      </c>
      <c r="B4770" s="2" t="s">
        <v>5</v>
      </c>
      <c r="C4770" s="2" t="s">
        <v>9738</v>
      </c>
      <c r="D4770" s="2" t="s">
        <v>9686</v>
      </c>
      <c r="E4770" s="2" t="str">
        <f>HYPERLINK("https://talan.bank.gov.ua/get-user-certificate/sec1edT1uzmgaoyi8mVk","Завантажити сертифікат")</f>
        <v>Завантажити сертифікат</v>
      </c>
    </row>
    <row r="4771" spans="1:5" x14ac:dyDescent="0.3">
      <c r="A4771" s="2" t="s">
        <v>9739</v>
      </c>
      <c r="B4771" s="2" t="s">
        <v>5</v>
      </c>
      <c r="C4771" s="2" t="s">
        <v>9740</v>
      </c>
      <c r="D4771" s="2" t="s">
        <v>9686</v>
      </c>
      <c r="E4771" s="2" t="str">
        <f>HYPERLINK("https://talan.bank.gov.ua/get-user-certificate/sec1ebqbSNx4uiJUuLxX","Завантажити сертифікат")</f>
        <v>Завантажити сертифікат</v>
      </c>
    </row>
    <row r="4772" spans="1:5" x14ac:dyDescent="0.3">
      <c r="A4772" s="2" t="s">
        <v>9741</v>
      </c>
      <c r="B4772" s="2" t="s">
        <v>5</v>
      </c>
      <c r="C4772" s="2" t="s">
        <v>9742</v>
      </c>
      <c r="D4772" s="2" t="s">
        <v>9686</v>
      </c>
      <c r="E4772" s="2" t="str">
        <f>HYPERLINK("https://talan.bank.gov.ua/get-user-certificate/sec1e3lP6ODjJh3dU-mK","Завантажити сертифікат")</f>
        <v>Завантажити сертифікат</v>
      </c>
    </row>
    <row r="4773" spans="1:5" x14ac:dyDescent="0.3">
      <c r="A4773" s="2" t="s">
        <v>9743</v>
      </c>
      <c r="B4773" s="2" t="s">
        <v>5</v>
      </c>
      <c r="C4773" s="2" t="s">
        <v>9744</v>
      </c>
      <c r="D4773" s="2" t="s">
        <v>9686</v>
      </c>
      <c r="E4773" s="2" t="str">
        <f>HYPERLINK("https://talan.bank.gov.ua/get-user-certificate/sec1egEaKu3OPTFHVpgm","Завантажити сертифікат")</f>
        <v>Завантажити сертифікат</v>
      </c>
    </row>
    <row r="4774" spans="1:5" x14ac:dyDescent="0.3">
      <c r="A4774" s="2" t="s">
        <v>9745</v>
      </c>
      <c r="B4774" s="2" t="s">
        <v>5</v>
      </c>
      <c r="C4774" s="2" t="s">
        <v>9746</v>
      </c>
      <c r="D4774" s="2" t="s">
        <v>9686</v>
      </c>
      <c r="E4774" s="2" t="str">
        <f>HYPERLINK("https://talan.bank.gov.ua/get-user-certificate/sec1ehXG6YNQH01QTPQO","Завантажити сертифікат")</f>
        <v>Завантажити сертифікат</v>
      </c>
    </row>
    <row r="4775" spans="1:5" x14ac:dyDescent="0.3">
      <c r="A4775" s="2" t="s">
        <v>9747</v>
      </c>
      <c r="B4775" s="2" t="s">
        <v>5</v>
      </c>
      <c r="C4775" s="2" t="s">
        <v>9748</v>
      </c>
      <c r="D4775" s="2" t="s">
        <v>9686</v>
      </c>
      <c r="E4775" s="2" t="str">
        <f>HYPERLINK("https://talan.bank.gov.ua/get-user-certificate/sec1eM_-SOkUErq9PawG","Завантажити сертифікат")</f>
        <v>Завантажити сертифікат</v>
      </c>
    </row>
    <row r="4776" spans="1:5" x14ac:dyDescent="0.3">
      <c r="A4776" s="2" t="s">
        <v>9749</v>
      </c>
      <c r="B4776" s="2" t="s">
        <v>5</v>
      </c>
      <c r="C4776" s="2" t="s">
        <v>9750</v>
      </c>
      <c r="D4776" s="2" t="s">
        <v>9686</v>
      </c>
      <c r="E4776" s="2" t="str">
        <f>HYPERLINK("https://talan.bank.gov.ua/get-user-certificate/sec1eiJE9rXn6OIfJnml","Завантажити сертифікат")</f>
        <v>Завантажити сертифікат</v>
      </c>
    </row>
    <row r="4777" spans="1:5" x14ac:dyDescent="0.3">
      <c r="A4777" s="2" t="s">
        <v>9751</v>
      </c>
      <c r="B4777" s="2" t="s">
        <v>5</v>
      </c>
      <c r="C4777" s="2" t="s">
        <v>9752</v>
      </c>
      <c r="D4777" s="2" t="s">
        <v>9686</v>
      </c>
      <c r="E4777" s="2" t="str">
        <f>HYPERLINK("https://talan.bank.gov.ua/get-user-certificate/sec1eK4pqbeCAQSayCUl","Завантажити сертифікат")</f>
        <v>Завантажити сертифікат</v>
      </c>
    </row>
    <row r="4778" spans="1:5" x14ac:dyDescent="0.3">
      <c r="A4778" s="2" t="s">
        <v>9753</v>
      </c>
      <c r="B4778" s="2" t="s">
        <v>5</v>
      </c>
      <c r="C4778" s="2" t="s">
        <v>9754</v>
      </c>
      <c r="D4778" s="2" t="s">
        <v>9686</v>
      </c>
      <c r="E4778" s="2" t="str">
        <f>HYPERLINK("https://talan.bank.gov.ua/get-user-certificate/sec1e40ytNrfan6nYcjW","Завантажити сертифікат")</f>
        <v>Завантажити сертифікат</v>
      </c>
    </row>
    <row r="4779" spans="1:5" x14ac:dyDescent="0.3">
      <c r="A4779" s="2" t="s">
        <v>9755</v>
      </c>
      <c r="B4779" s="2" t="s">
        <v>5</v>
      </c>
      <c r="C4779" s="2" t="s">
        <v>9756</v>
      </c>
      <c r="D4779" s="2" t="s">
        <v>9686</v>
      </c>
      <c r="E4779" s="2" t="str">
        <f>HYPERLINK("https://talan.bank.gov.ua/get-user-certificate/sec1eDXZObzhNR1RryZz","Завантажити сертифікат")</f>
        <v>Завантажити сертифікат</v>
      </c>
    </row>
    <row r="4780" spans="1:5" x14ac:dyDescent="0.3">
      <c r="A4780" s="2" t="s">
        <v>9757</v>
      </c>
      <c r="B4780" s="2" t="s">
        <v>5</v>
      </c>
      <c r="C4780" s="2" t="s">
        <v>9758</v>
      </c>
      <c r="D4780" s="2" t="s">
        <v>9686</v>
      </c>
      <c r="E4780" s="2" t="str">
        <f>HYPERLINK("https://talan.bank.gov.ua/get-user-certificate/sec1eiWPxeK42uOFOyrO","Завантажити сертифікат")</f>
        <v>Завантажити сертифікат</v>
      </c>
    </row>
    <row r="4781" spans="1:5" x14ac:dyDescent="0.3">
      <c r="A4781" s="2" t="s">
        <v>9759</v>
      </c>
      <c r="B4781" s="2" t="s">
        <v>5</v>
      </c>
      <c r="C4781" s="2" t="s">
        <v>9760</v>
      </c>
      <c r="D4781" s="2" t="s">
        <v>9686</v>
      </c>
      <c r="E4781" s="2" t="str">
        <f>HYPERLINK("https://talan.bank.gov.ua/get-user-certificate/sec1eG-UCnhkAOjNWUnZ","Завантажити сертифікат")</f>
        <v>Завантажити сертифікат</v>
      </c>
    </row>
    <row r="4782" spans="1:5" x14ac:dyDescent="0.3">
      <c r="A4782" s="2" t="s">
        <v>9761</v>
      </c>
      <c r="B4782" s="2" t="s">
        <v>5</v>
      </c>
      <c r="C4782" s="2" t="s">
        <v>9762</v>
      </c>
      <c r="D4782" s="2" t="s">
        <v>9686</v>
      </c>
      <c r="E4782" s="2" t="str">
        <f>HYPERLINK("https://talan.bank.gov.ua/get-user-certificate/sec1eSGHVD2eiOOZaCzT","Завантажити сертифікат")</f>
        <v>Завантажити сертифікат</v>
      </c>
    </row>
    <row r="4783" spans="1:5" x14ac:dyDescent="0.3">
      <c r="A4783" s="2" t="s">
        <v>9763</v>
      </c>
      <c r="B4783" s="2" t="s">
        <v>5</v>
      </c>
      <c r="C4783" s="2" t="s">
        <v>9764</v>
      </c>
      <c r="D4783" s="2" t="s">
        <v>9686</v>
      </c>
      <c r="E4783" s="2" t="str">
        <f>HYPERLINK("https://talan.bank.gov.ua/get-user-certificate/sec1ejHvcxgH08vfJ9yA","Завантажити сертифікат")</f>
        <v>Завантажити сертифікат</v>
      </c>
    </row>
    <row r="4784" spans="1:5" x14ac:dyDescent="0.3">
      <c r="A4784" s="2" t="s">
        <v>9765</v>
      </c>
      <c r="B4784" s="2" t="s">
        <v>5</v>
      </c>
      <c r="C4784" s="2" t="s">
        <v>9766</v>
      </c>
      <c r="D4784" s="2" t="s">
        <v>9686</v>
      </c>
      <c r="E4784" s="2" t="str">
        <f>HYPERLINK("https://talan.bank.gov.ua/get-user-certificate/sec1eGqlWm3diuf7se8N","Завантажити сертифікат")</f>
        <v>Завантажити сертифікат</v>
      </c>
    </row>
    <row r="4785" spans="1:5" x14ac:dyDescent="0.3">
      <c r="A4785" s="2" t="s">
        <v>9767</v>
      </c>
      <c r="B4785" s="2" t="s">
        <v>5</v>
      </c>
      <c r="C4785" s="2" t="s">
        <v>9768</v>
      </c>
      <c r="D4785" s="2" t="s">
        <v>9769</v>
      </c>
      <c r="E4785" s="2" t="str">
        <f>HYPERLINK("https://talan.bank.gov.ua/get-user-certificate/sec1eyedfFpIj7DpSVlh","Завантажити сертифікат")</f>
        <v>Завантажити сертифікат</v>
      </c>
    </row>
    <row r="4786" spans="1:5" x14ac:dyDescent="0.3">
      <c r="A4786" s="2" t="s">
        <v>9770</v>
      </c>
      <c r="B4786" s="2" t="s">
        <v>5</v>
      </c>
      <c r="C4786" s="2" t="s">
        <v>9771</v>
      </c>
      <c r="D4786" s="2" t="s">
        <v>9769</v>
      </c>
      <c r="E4786" s="2" t="str">
        <f>HYPERLINK("https://talan.bank.gov.ua/get-user-certificate/sec1eH-LnD-9akODTXch","Завантажити сертифікат")</f>
        <v>Завантажити сертифікат</v>
      </c>
    </row>
    <row r="4787" spans="1:5" x14ac:dyDescent="0.3">
      <c r="A4787" s="2" t="s">
        <v>9772</v>
      </c>
      <c r="B4787" s="2" t="s">
        <v>5</v>
      </c>
      <c r="C4787" s="2" t="s">
        <v>9773</v>
      </c>
      <c r="D4787" s="2" t="s">
        <v>9769</v>
      </c>
      <c r="E4787" s="2" t="str">
        <f>HYPERLINK("https://talan.bank.gov.ua/get-user-certificate/sec1e7SiPcT_GnYJIzWy","Завантажити сертифікат")</f>
        <v>Завантажити сертифікат</v>
      </c>
    </row>
    <row r="4788" spans="1:5" x14ac:dyDescent="0.3">
      <c r="A4788" s="2" t="s">
        <v>9774</v>
      </c>
      <c r="B4788" s="2" t="s">
        <v>5</v>
      </c>
      <c r="C4788" s="2" t="s">
        <v>9775</v>
      </c>
      <c r="D4788" s="2" t="s">
        <v>9769</v>
      </c>
      <c r="E4788" s="2" t="str">
        <f>HYPERLINK("https://talan.bank.gov.ua/get-user-certificate/sec1eURYWMzixy2RrPjW","Завантажити сертифікат")</f>
        <v>Завантажити сертифікат</v>
      </c>
    </row>
    <row r="4789" spans="1:5" x14ac:dyDescent="0.3">
      <c r="A4789" s="2" t="s">
        <v>9776</v>
      </c>
      <c r="B4789" s="2" t="s">
        <v>5</v>
      </c>
      <c r="C4789" s="2" t="s">
        <v>9777</v>
      </c>
      <c r="D4789" s="2" t="s">
        <v>9769</v>
      </c>
      <c r="E4789" s="2" t="str">
        <f>HYPERLINK("https://talan.bank.gov.ua/get-user-certificate/sec1ewk8GJt8ahj1IkFC","Завантажити сертифікат")</f>
        <v>Завантажити сертифікат</v>
      </c>
    </row>
    <row r="4790" spans="1:5" x14ac:dyDescent="0.3">
      <c r="A4790" s="2" t="s">
        <v>9778</v>
      </c>
      <c r="B4790" s="2" t="s">
        <v>5</v>
      </c>
      <c r="C4790" s="2" t="s">
        <v>9779</v>
      </c>
      <c r="D4790" s="2" t="s">
        <v>9769</v>
      </c>
      <c r="E4790" s="2" t="str">
        <f>HYPERLINK("https://talan.bank.gov.ua/get-user-certificate/sec1eqo9iMmxKU20fU_E","Завантажити сертифікат")</f>
        <v>Завантажити сертифікат</v>
      </c>
    </row>
    <row r="4791" spans="1:5" x14ac:dyDescent="0.3">
      <c r="A4791" s="2" t="s">
        <v>9780</v>
      </c>
      <c r="B4791" s="2" t="s">
        <v>5</v>
      </c>
      <c r="C4791" s="2" t="s">
        <v>9781</v>
      </c>
      <c r="D4791" s="2" t="s">
        <v>9769</v>
      </c>
      <c r="E4791" s="2" t="str">
        <f>HYPERLINK("https://talan.bank.gov.ua/get-user-certificate/sec1eOidn7vvfrbNt8M7","Завантажити сертифікат")</f>
        <v>Завантажити сертифікат</v>
      </c>
    </row>
    <row r="4792" spans="1:5" x14ac:dyDescent="0.3">
      <c r="A4792" s="2" t="s">
        <v>9782</v>
      </c>
      <c r="B4792" s="2" t="s">
        <v>5</v>
      </c>
      <c r="C4792" s="2" t="s">
        <v>9783</v>
      </c>
      <c r="D4792" s="2" t="s">
        <v>9769</v>
      </c>
      <c r="E4792" s="2" t="str">
        <f>HYPERLINK("https://talan.bank.gov.ua/get-user-certificate/sec1e0EPG86SVjzlJRu0","Завантажити сертифікат")</f>
        <v>Завантажити сертифікат</v>
      </c>
    </row>
    <row r="4793" spans="1:5" x14ac:dyDescent="0.3">
      <c r="A4793" s="2" t="s">
        <v>9784</v>
      </c>
      <c r="B4793" s="2" t="s">
        <v>5</v>
      </c>
      <c r="C4793" s="2" t="s">
        <v>9785</v>
      </c>
      <c r="D4793" s="2" t="s">
        <v>9769</v>
      </c>
      <c r="E4793" s="2" t="str">
        <f>HYPERLINK("https://talan.bank.gov.ua/get-user-certificate/sec1eZksQUD43q4kpFH8","Завантажити сертифікат")</f>
        <v>Завантажити сертифікат</v>
      </c>
    </row>
    <row r="4794" spans="1:5" x14ac:dyDescent="0.3">
      <c r="A4794" s="2" t="s">
        <v>9786</v>
      </c>
      <c r="B4794" s="2" t="s">
        <v>5</v>
      </c>
      <c r="C4794" s="2" t="s">
        <v>9787</v>
      </c>
      <c r="D4794" s="2" t="s">
        <v>9769</v>
      </c>
      <c r="E4794" s="2" t="str">
        <f>HYPERLINK("https://talan.bank.gov.ua/get-user-certificate/sec1eIryxfmhI1lCMSRY","Завантажити сертифікат")</f>
        <v>Завантажити сертифікат</v>
      </c>
    </row>
    <row r="4795" spans="1:5" x14ac:dyDescent="0.3">
      <c r="A4795" s="2" t="s">
        <v>9788</v>
      </c>
      <c r="B4795" s="2" t="s">
        <v>5</v>
      </c>
      <c r="C4795" s="2" t="s">
        <v>9789</v>
      </c>
      <c r="D4795" s="2" t="s">
        <v>9769</v>
      </c>
      <c r="E4795" s="2" t="str">
        <f>HYPERLINK("https://talan.bank.gov.ua/get-user-certificate/sec1eecZ7OXmcYThFJ9S","Завантажити сертифікат")</f>
        <v>Завантажити сертифікат</v>
      </c>
    </row>
    <row r="4796" spans="1:5" x14ac:dyDescent="0.3">
      <c r="A4796" s="2" t="s">
        <v>9790</v>
      </c>
      <c r="B4796" s="2" t="s">
        <v>5</v>
      </c>
      <c r="C4796" s="2" t="s">
        <v>9791</v>
      </c>
      <c r="D4796" s="2" t="s">
        <v>9769</v>
      </c>
      <c r="E4796" s="2" t="str">
        <f>HYPERLINK("https://talan.bank.gov.ua/get-user-certificate/sec1e0ueql6fL7qfUlp2","Завантажити сертифікат")</f>
        <v>Завантажити сертифікат</v>
      </c>
    </row>
    <row r="4797" spans="1:5" x14ac:dyDescent="0.3">
      <c r="A4797" s="2" t="s">
        <v>9792</v>
      </c>
      <c r="B4797" s="2" t="s">
        <v>5</v>
      </c>
      <c r="C4797" s="2" t="s">
        <v>9793</v>
      </c>
      <c r="D4797" s="2" t="s">
        <v>9769</v>
      </c>
      <c r="E4797" s="2" t="str">
        <f>HYPERLINK("https://talan.bank.gov.ua/get-user-certificate/sec1err0_zerpjyQRY93","Завантажити сертифікат")</f>
        <v>Завантажити сертифікат</v>
      </c>
    </row>
    <row r="4798" spans="1:5" x14ac:dyDescent="0.3">
      <c r="A4798" s="2" t="s">
        <v>9794</v>
      </c>
      <c r="B4798" s="2" t="s">
        <v>5</v>
      </c>
      <c r="C4798" s="2" t="s">
        <v>9795</v>
      </c>
      <c r="D4798" s="2" t="s">
        <v>9769</v>
      </c>
      <c r="E4798" s="2" t="str">
        <f>HYPERLINK("https://talan.bank.gov.ua/get-user-certificate/sec1eghj8MMBXgIt1PNl","Завантажити сертифікат")</f>
        <v>Завантажити сертифікат</v>
      </c>
    </row>
    <row r="4799" spans="1:5" x14ac:dyDescent="0.3">
      <c r="A4799" s="2" t="s">
        <v>9796</v>
      </c>
      <c r="B4799" s="2" t="s">
        <v>5</v>
      </c>
      <c r="C4799" s="2" t="s">
        <v>9797</v>
      </c>
      <c r="D4799" s="2" t="s">
        <v>9769</v>
      </c>
      <c r="E4799" s="2" t="str">
        <f>HYPERLINK("https://talan.bank.gov.ua/get-user-certificate/sec1e5VFjSOaE1Lz5SkF","Завантажити сертифікат")</f>
        <v>Завантажити сертифікат</v>
      </c>
    </row>
    <row r="4800" spans="1:5" x14ac:dyDescent="0.3">
      <c r="A4800" s="2" t="s">
        <v>9798</v>
      </c>
      <c r="B4800" s="2" t="s">
        <v>5</v>
      </c>
      <c r="C4800" s="2" t="s">
        <v>9799</v>
      </c>
      <c r="D4800" s="2" t="s">
        <v>9769</v>
      </c>
      <c r="E4800" s="2" t="str">
        <f>HYPERLINK("https://talan.bank.gov.ua/get-user-certificate/sec1eAiwa2C7dCkipBxJ","Завантажити сертифікат")</f>
        <v>Завантажити сертифікат</v>
      </c>
    </row>
    <row r="4801" spans="1:5" x14ac:dyDescent="0.3">
      <c r="A4801" s="2" t="s">
        <v>9800</v>
      </c>
      <c r="B4801" s="2" t="s">
        <v>5</v>
      </c>
      <c r="C4801" s="2" t="s">
        <v>9801</v>
      </c>
      <c r="D4801" s="2" t="s">
        <v>9769</v>
      </c>
      <c r="E4801" s="2" t="str">
        <f>HYPERLINK("https://talan.bank.gov.ua/get-user-certificate/sec1eTiMMkI8t2Bd0nFF","Завантажити сертифікат")</f>
        <v>Завантажити сертифікат</v>
      </c>
    </row>
    <row r="4802" spans="1:5" x14ac:dyDescent="0.3">
      <c r="A4802" s="2" t="s">
        <v>9802</v>
      </c>
      <c r="B4802" s="2" t="s">
        <v>5</v>
      </c>
      <c r="C4802" s="2" t="s">
        <v>8478</v>
      </c>
      <c r="D4802" s="2" t="s">
        <v>9769</v>
      </c>
      <c r="E4802" s="2" t="str">
        <f>HYPERLINK("https://talan.bank.gov.ua/get-user-certificate/sec1eREyv8_rsErEgivk","Завантажити сертифікат")</f>
        <v>Завантажити сертифікат</v>
      </c>
    </row>
    <row r="4803" spans="1:5" x14ac:dyDescent="0.3">
      <c r="A4803" s="2" t="s">
        <v>9803</v>
      </c>
      <c r="B4803" s="2" t="s">
        <v>5</v>
      </c>
      <c r="C4803" s="2" t="s">
        <v>9804</v>
      </c>
      <c r="D4803" s="2" t="s">
        <v>9769</v>
      </c>
      <c r="E4803" s="2" t="str">
        <f>HYPERLINK("https://talan.bank.gov.ua/get-user-certificate/sec1e7hglmTnKNy-6U7i","Завантажити сертифікат")</f>
        <v>Завантажити сертифікат</v>
      </c>
    </row>
    <row r="4804" spans="1:5" x14ac:dyDescent="0.3">
      <c r="A4804" s="2" t="s">
        <v>9805</v>
      </c>
      <c r="B4804" s="2" t="s">
        <v>5</v>
      </c>
      <c r="C4804" s="2" t="s">
        <v>9806</v>
      </c>
      <c r="D4804" s="2" t="s">
        <v>9769</v>
      </c>
      <c r="E4804" s="2" t="str">
        <f>HYPERLINK("https://talan.bank.gov.ua/get-user-certificate/sec1eitcczMHsavlNUCy","Завантажити сертифікат")</f>
        <v>Завантажити сертифікат</v>
      </c>
    </row>
    <row r="4805" spans="1:5" x14ac:dyDescent="0.3">
      <c r="A4805" s="2" t="s">
        <v>9807</v>
      </c>
      <c r="B4805" s="2" t="s">
        <v>5</v>
      </c>
      <c r="C4805" s="2" t="s">
        <v>9808</v>
      </c>
      <c r="D4805" s="2" t="s">
        <v>9769</v>
      </c>
      <c r="E4805" s="2" t="str">
        <f>HYPERLINK("https://talan.bank.gov.ua/get-user-certificate/sec1eZostkZw3WtU37bs","Завантажити сертифікат")</f>
        <v>Завантажити сертифікат</v>
      </c>
    </row>
    <row r="4806" spans="1:5" x14ac:dyDescent="0.3">
      <c r="A4806" s="2" t="s">
        <v>9809</v>
      </c>
      <c r="B4806" s="2" t="s">
        <v>5</v>
      </c>
      <c r="C4806" s="2" t="s">
        <v>9810</v>
      </c>
      <c r="D4806" s="2" t="s">
        <v>9769</v>
      </c>
      <c r="E4806" s="2" t="str">
        <f>HYPERLINK("https://talan.bank.gov.ua/get-user-certificate/sec1eVGQLreI5AMKthD2","Завантажити сертифікат")</f>
        <v>Завантажити сертифікат</v>
      </c>
    </row>
    <row r="4807" spans="1:5" x14ac:dyDescent="0.3">
      <c r="A4807" s="2" t="s">
        <v>9811</v>
      </c>
      <c r="B4807" s="2" t="s">
        <v>5</v>
      </c>
      <c r="C4807" s="2" t="s">
        <v>9812</v>
      </c>
      <c r="D4807" s="2" t="s">
        <v>9769</v>
      </c>
      <c r="E4807" s="2" t="str">
        <f>HYPERLINK("https://talan.bank.gov.ua/get-user-certificate/sec1e23cg1tu880TQijn","Завантажити сертифікат")</f>
        <v>Завантажити сертифікат</v>
      </c>
    </row>
    <row r="4808" spans="1:5" x14ac:dyDescent="0.3">
      <c r="A4808" s="2" t="s">
        <v>9813</v>
      </c>
      <c r="B4808" s="2" t="s">
        <v>5</v>
      </c>
      <c r="C4808" s="2" t="s">
        <v>9814</v>
      </c>
      <c r="D4808" s="2" t="s">
        <v>9769</v>
      </c>
      <c r="E4808" s="2" t="str">
        <f>HYPERLINK("https://talan.bank.gov.ua/get-user-certificate/sec1epxNkmnwfUY7KyxC","Завантажити сертифікат")</f>
        <v>Завантажити сертифікат</v>
      </c>
    </row>
    <row r="4809" spans="1:5" x14ac:dyDescent="0.3">
      <c r="A4809" s="2" t="s">
        <v>9815</v>
      </c>
      <c r="B4809" s="2" t="s">
        <v>5</v>
      </c>
      <c r="C4809" s="2" t="s">
        <v>9816</v>
      </c>
      <c r="D4809" s="2" t="s">
        <v>9769</v>
      </c>
      <c r="E4809" s="2" t="str">
        <f>HYPERLINK("https://talan.bank.gov.ua/get-user-certificate/sec1eliNLU_r16JMei2K","Завантажити сертифікат")</f>
        <v>Завантажити сертифікат</v>
      </c>
    </row>
    <row r="4810" spans="1:5" x14ac:dyDescent="0.3">
      <c r="A4810" s="2" t="s">
        <v>9817</v>
      </c>
      <c r="B4810" s="2" t="s">
        <v>5</v>
      </c>
      <c r="C4810" s="2" t="s">
        <v>9818</v>
      </c>
      <c r="D4810" s="2" t="s">
        <v>9769</v>
      </c>
      <c r="E4810" s="2" t="str">
        <f>HYPERLINK("https://talan.bank.gov.ua/get-user-certificate/sec1eftJad8XVxWFddQj","Завантажити сертифікат")</f>
        <v>Завантажити сертифікат</v>
      </c>
    </row>
    <row r="4811" spans="1:5" x14ac:dyDescent="0.3">
      <c r="A4811" s="2" t="s">
        <v>9819</v>
      </c>
      <c r="B4811" s="2" t="s">
        <v>5</v>
      </c>
      <c r="C4811" s="2" t="s">
        <v>9820</v>
      </c>
      <c r="D4811" s="2" t="s">
        <v>9821</v>
      </c>
      <c r="E4811" s="2" t="str">
        <f>HYPERLINK("https://talan.bank.gov.ua/get-user-certificate/sec1eyw5VCWoIm6zXgQL","Завантажити сертифікат")</f>
        <v>Завантажити сертифікат</v>
      </c>
    </row>
    <row r="4812" spans="1:5" x14ac:dyDescent="0.3">
      <c r="A4812" s="2" t="s">
        <v>9822</v>
      </c>
      <c r="B4812" s="2" t="s">
        <v>5</v>
      </c>
      <c r="C4812" s="2" t="s">
        <v>9823</v>
      </c>
      <c r="D4812" s="2" t="s">
        <v>9821</v>
      </c>
      <c r="E4812" s="2" t="str">
        <f>HYPERLINK("https://talan.bank.gov.ua/get-user-certificate/sec1enuUrDiSWy5CX52N","Завантажити сертифікат")</f>
        <v>Завантажити сертифікат</v>
      </c>
    </row>
    <row r="4813" spans="1:5" x14ac:dyDescent="0.3">
      <c r="A4813" s="2" t="s">
        <v>9824</v>
      </c>
      <c r="B4813" s="2" t="s">
        <v>5</v>
      </c>
      <c r="C4813" s="2" t="s">
        <v>9825</v>
      </c>
      <c r="D4813" s="2" t="s">
        <v>9821</v>
      </c>
      <c r="E4813" s="2" t="str">
        <f>HYPERLINK("https://talan.bank.gov.ua/get-user-certificate/sec1eWyIbAzmWgCbDMJz","Завантажити сертифікат")</f>
        <v>Завантажити сертифікат</v>
      </c>
    </row>
    <row r="4814" spans="1:5" x14ac:dyDescent="0.3">
      <c r="A4814" s="2" t="s">
        <v>9826</v>
      </c>
      <c r="B4814" s="2" t="s">
        <v>5</v>
      </c>
      <c r="C4814" s="2" t="s">
        <v>9827</v>
      </c>
      <c r="D4814" s="2" t="s">
        <v>9821</v>
      </c>
      <c r="E4814" s="2" t="str">
        <f>HYPERLINK("https://talan.bank.gov.ua/get-user-certificate/sec1ejLP96K9kzzDsUGk","Завантажити сертифікат")</f>
        <v>Завантажити сертифікат</v>
      </c>
    </row>
    <row r="4815" spans="1:5" x14ac:dyDescent="0.3">
      <c r="A4815" s="2" t="s">
        <v>9828</v>
      </c>
      <c r="B4815" s="2" t="s">
        <v>5</v>
      </c>
      <c r="C4815" s="2" t="s">
        <v>9829</v>
      </c>
      <c r="D4815" s="2" t="s">
        <v>9821</v>
      </c>
      <c r="E4815" s="2" t="str">
        <f>HYPERLINK("https://talan.bank.gov.ua/get-user-certificate/sec1e5AFjhwVrIZnf15_","Завантажити сертифікат")</f>
        <v>Завантажити сертифікат</v>
      </c>
    </row>
    <row r="4816" spans="1:5" x14ac:dyDescent="0.3">
      <c r="A4816" s="2" t="s">
        <v>9830</v>
      </c>
      <c r="B4816" s="2" t="s">
        <v>5</v>
      </c>
      <c r="C4816" s="2" t="s">
        <v>9831</v>
      </c>
      <c r="D4816" s="2" t="s">
        <v>9821</v>
      </c>
      <c r="E4816" s="2" t="str">
        <f>HYPERLINK("https://talan.bank.gov.ua/get-user-certificate/sec1e1PctmmKMx544_ce","Завантажити сертифікат")</f>
        <v>Завантажити сертифікат</v>
      </c>
    </row>
    <row r="4817" spans="1:5" x14ac:dyDescent="0.3">
      <c r="A4817" s="2" t="s">
        <v>9832</v>
      </c>
      <c r="B4817" s="2" t="s">
        <v>5</v>
      </c>
      <c r="C4817" s="2" t="s">
        <v>9833</v>
      </c>
      <c r="D4817" s="2" t="s">
        <v>9821</v>
      </c>
      <c r="E4817" s="2" t="str">
        <f>HYPERLINK("https://talan.bank.gov.ua/get-user-certificate/sec1e_4K9EXHx2FRmvmi","Завантажити сертифікат")</f>
        <v>Завантажити сертифікат</v>
      </c>
    </row>
    <row r="4818" spans="1:5" x14ac:dyDescent="0.3">
      <c r="A4818" s="2" t="s">
        <v>9834</v>
      </c>
      <c r="B4818" s="2" t="s">
        <v>5</v>
      </c>
      <c r="C4818" s="2" t="s">
        <v>9835</v>
      </c>
      <c r="D4818" s="2" t="s">
        <v>9821</v>
      </c>
      <c r="E4818" s="2" t="str">
        <f>HYPERLINK("https://talan.bank.gov.ua/get-user-certificate/sec1e7lL59EenQhWdWo2","Завантажити сертифікат")</f>
        <v>Завантажити сертифікат</v>
      </c>
    </row>
    <row r="4819" spans="1:5" x14ac:dyDescent="0.3">
      <c r="A4819" s="2" t="s">
        <v>9836</v>
      </c>
      <c r="B4819" s="2" t="s">
        <v>5</v>
      </c>
      <c r="C4819" s="2" t="s">
        <v>9837</v>
      </c>
      <c r="D4819" s="2" t="s">
        <v>9821</v>
      </c>
      <c r="E4819" s="2" t="str">
        <f>HYPERLINK("https://talan.bank.gov.ua/get-user-certificate/sec1eZ-3ZY6hti8NrdNr","Завантажити сертифікат")</f>
        <v>Завантажити сертифікат</v>
      </c>
    </row>
    <row r="4820" spans="1:5" x14ac:dyDescent="0.3">
      <c r="A4820" s="2" t="s">
        <v>9838</v>
      </c>
      <c r="B4820" s="2" t="s">
        <v>5</v>
      </c>
      <c r="C4820" s="2" t="s">
        <v>9839</v>
      </c>
      <c r="D4820" s="2" t="s">
        <v>9821</v>
      </c>
      <c r="E4820" s="2" t="str">
        <f>HYPERLINK("https://talan.bank.gov.ua/get-user-certificate/sec1e2TIcUg3odrDKYgI","Завантажити сертифікат")</f>
        <v>Завантажити сертифікат</v>
      </c>
    </row>
    <row r="4821" spans="1:5" x14ac:dyDescent="0.3">
      <c r="A4821" s="2" t="s">
        <v>9840</v>
      </c>
      <c r="B4821" s="2" t="s">
        <v>5</v>
      </c>
      <c r="C4821" s="2" t="s">
        <v>9841</v>
      </c>
      <c r="D4821" s="2" t="s">
        <v>9821</v>
      </c>
      <c r="E4821" s="2" t="str">
        <f>HYPERLINK("https://talan.bank.gov.ua/get-user-certificate/sec1eEgixivy6arxgiuB","Завантажити сертифікат")</f>
        <v>Завантажити сертифікат</v>
      </c>
    </row>
    <row r="4822" spans="1:5" x14ac:dyDescent="0.3">
      <c r="A4822" s="2" t="s">
        <v>9842</v>
      </c>
      <c r="B4822" s="2" t="s">
        <v>5</v>
      </c>
      <c r="C4822" s="2" t="s">
        <v>9843</v>
      </c>
      <c r="D4822" s="2" t="s">
        <v>9821</v>
      </c>
      <c r="E4822" s="2" t="str">
        <f>HYPERLINK("https://talan.bank.gov.ua/get-user-certificate/sec1eVlz9MECs4B007hW","Завантажити сертифікат")</f>
        <v>Завантажити сертифікат</v>
      </c>
    </row>
    <row r="4823" spans="1:5" x14ac:dyDescent="0.3">
      <c r="A4823" s="2" t="s">
        <v>9844</v>
      </c>
      <c r="B4823" s="2" t="s">
        <v>5</v>
      </c>
      <c r="C4823" s="2" t="s">
        <v>9845</v>
      </c>
      <c r="D4823" s="2" t="s">
        <v>9821</v>
      </c>
      <c r="E4823" s="2" t="str">
        <f>HYPERLINK("https://talan.bank.gov.ua/get-user-certificate/sec1eBy1-QGY2yvq590K","Завантажити сертифікат")</f>
        <v>Завантажити сертифікат</v>
      </c>
    </row>
    <row r="4824" spans="1:5" x14ac:dyDescent="0.3">
      <c r="A4824" s="2" t="s">
        <v>9846</v>
      </c>
      <c r="B4824" s="2" t="s">
        <v>5</v>
      </c>
      <c r="C4824" s="2" t="s">
        <v>9847</v>
      </c>
      <c r="D4824" s="2" t="s">
        <v>9821</v>
      </c>
      <c r="E4824" s="2" t="str">
        <f>HYPERLINK("https://talan.bank.gov.ua/get-user-certificate/sec1eodhwSrJgC1-5HqF","Завантажити сертифікат")</f>
        <v>Завантажити сертифікат</v>
      </c>
    </row>
    <row r="4825" spans="1:5" x14ac:dyDescent="0.3">
      <c r="A4825" s="2" t="s">
        <v>9848</v>
      </c>
      <c r="B4825" s="2" t="s">
        <v>5</v>
      </c>
      <c r="C4825" s="2" t="s">
        <v>9849</v>
      </c>
      <c r="D4825" s="2" t="s">
        <v>9821</v>
      </c>
      <c r="E4825" s="2" t="str">
        <f>HYPERLINK("https://talan.bank.gov.ua/get-user-certificate/sec1eVy05hU6Xrfo8Tqi","Завантажити сертифікат")</f>
        <v>Завантажити сертифікат</v>
      </c>
    </row>
    <row r="4826" spans="1:5" x14ac:dyDescent="0.3">
      <c r="A4826" s="2" t="s">
        <v>9850</v>
      </c>
      <c r="B4826" s="2" t="s">
        <v>5</v>
      </c>
      <c r="C4826" s="2" t="s">
        <v>9851</v>
      </c>
      <c r="D4826" s="2" t="s">
        <v>9821</v>
      </c>
      <c r="E4826" s="2" t="str">
        <f>HYPERLINK("https://talan.bank.gov.ua/get-user-certificate/sec1ec3F0Ej_D3YPzgoK","Завантажити сертифікат")</f>
        <v>Завантажити сертифікат</v>
      </c>
    </row>
    <row r="4827" spans="1:5" x14ac:dyDescent="0.3">
      <c r="A4827" s="2" t="s">
        <v>9852</v>
      </c>
      <c r="B4827" s="2" t="s">
        <v>5</v>
      </c>
      <c r="C4827" s="2" t="s">
        <v>9853</v>
      </c>
      <c r="D4827" s="2" t="s">
        <v>9821</v>
      </c>
      <c r="E4827" s="2" t="str">
        <f>HYPERLINK("https://talan.bank.gov.ua/get-user-certificate/sec1e7C3kcfB5ZtR-IFf","Завантажити сертифікат")</f>
        <v>Завантажити сертифікат</v>
      </c>
    </row>
    <row r="4828" spans="1:5" x14ac:dyDescent="0.3">
      <c r="A4828" s="2" t="s">
        <v>9854</v>
      </c>
      <c r="B4828" s="2" t="s">
        <v>5</v>
      </c>
      <c r="C4828" s="2" t="s">
        <v>9855</v>
      </c>
      <c r="D4828" s="2" t="s">
        <v>9821</v>
      </c>
      <c r="E4828" s="2" t="str">
        <f>HYPERLINK("https://talan.bank.gov.ua/get-user-certificate/sec1e141U-ietO6uyrhd","Завантажити сертифікат")</f>
        <v>Завантажити сертифікат</v>
      </c>
    </row>
    <row r="4829" spans="1:5" x14ac:dyDescent="0.3">
      <c r="A4829" s="2" t="s">
        <v>9856</v>
      </c>
      <c r="B4829" s="2" t="s">
        <v>5</v>
      </c>
      <c r="C4829" s="2" t="s">
        <v>9857</v>
      </c>
      <c r="D4829" s="2" t="s">
        <v>9821</v>
      </c>
      <c r="E4829" s="2" t="str">
        <f>HYPERLINK("https://talan.bank.gov.ua/get-user-certificate/sec1eOlIodaWR_1LNrIt","Завантажити сертифікат")</f>
        <v>Завантажити сертифікат</v>
      </c>
    </row>
    <row r="4830" spans="1:5" x14ac:dyDescent="0.3">
      <c r="A4830" s="2" t="s">
        <v>9858</v>
      </c>
      <c r="B4830" s="2" t="s">
        <v>5</v>
      </c>
      <c r="C4830" s="2" t="s">
        <v>9859</v>
      </c>
      <c r="D4830" s="2" t="s">
        <v>9821</v>
      </c>
      <c r="E4830" s="2" t="str">
        <f>HYPERLINK("https://talan.bank.gov.ua/get-user-certificate/sec1e3hLOF8DLzRa3JQc","Завантажити сертифікат")</f>
        <v>Завантажити сертифікат</v>
      </c>
    </row>
    <row r="4831" spans="1:5" x14ac:dyDescent="0.3">
      <c r="A4831" s="2" t="s">
        <v>9860</v>
      </c>
      <c r="B4831" s="2" t="s">
        <v>5</v>
      </c>
      <c r="C4831" s="2" t="s">
        <v>9861</v>
      </c>
      <c r="D4831" s="2" t="s">
        <v>9821</v>
      </c>
      <c r="E4831" s="2" t="str">
        <f>HYPERLINK("https://talan.bank.gov.ua/get-user-certificate/sec1es9-j2RJ4mLCsgnV","Завантажити сертифікат")</f>
        <v>Завантажити сертифікат</v>
      </c>
    </row>
    <row r="4832" spans="1:5" x14ac:dyDescent="0.3">
      <c r="A4832" s="2" t="s">
        <v>9862</v>
      </c>
      <c r="B4832" s="2" t="s">
        <v>5</v>
      </c>
      <c r="C4832" s="2" t="s">
        <v>9863</v>
      </c>
      <c r="D4832" s="2" t="s">
        <v>9821</v>
      </c>
      <c r="E4832" s="2" t="str">
        <f>HYPERLINK("https://talan.bank.gov.ua/get-user-certificate/sec1evd31vp0uT11nNSR","Завантажити сертифікат")</f>
        <v>Завантажити сертифікат</v>
      </c>
    </row>
    <row r="4833" spans="1:5" x14ac:dyDescent="0.3">
      <c r="A4833" s="2" t="s">
        <v>9864</v>
      </c>
      <c r="B4833" s="2" t="s">
        <v>5</v>
      </c>
      <c r="C4833" s="2" t="s">
        <v>9865</v>
      </c>
      <c r="D4833" s="2" t="s">
        <v>9821</v>
      </c>
      <c r="E4833" s="2" t="str">
        <f>HYPERLINK("https://talan.bank.gov.ua/get-user-certificate/sec1eYJhzgv5zaY53RDK","Завантажити сертифікат")</f>
        <v>Завантажити сертифікат</v>
      </c>
    </row>
    <row r="4834" spans="1:5" x14ac:dyDescent="0.3">
      <c r="A4834" s="2" t="s">
        <v>9866</v>
      </c>
      <c r="B4834" s="2" t="s">
        <v>5</v>
      </c>
      <c r="C4834" s="2" t="s">
        <v>9867</v>
      </c>
      <c r="D4834" s="2" t="s">
        <v>9821</v>
      </c>
      <c r="E4834" s="2" t="str">
        <f>HYPERLINK("https://talan.bank.gov.ua/get-user-certificate/sec1ervpc53hi6xnVRpk","Завантажити сертифікат")</f>
        <v>Завантажити сертифікат</v>
      </c>
    </row>
    <row r="4835" spans="1:5" x14ac:dyDescent="0.3">
      <c r="A4835" s="2" t="s">
        <v>9868</v>
      </c>
      <c r="B4835" s="2" t="s">
        <v>5</v>
      </c>
      <c r="C4835" s="2" t="s">
        <v>9869</v>
      </c>
      <c r="D4835" s="2" t="s">
        <v>9821</v>
      </c>
      <c r="E4835" s="2" t="str">
        <f>HYPERLINK("https://talan.bank.gov.ua/get-user-certificate/sec1eXDTo8c09wq7vNM-","Завантажити сертифікат")</f>
        <v>Завантажити сертифікат</v>
      </c>
    </row>
    <row r="4836" spans="1:5" x14ac:dyDescent="0.3">
      <c r="A4836" s="2" t="s">
        <v>9870</v>
      </c>
      <c r="B4836" s="2" t="s">
        <v>5</v>
      </c>
      <c r="C4836" s="2" t="s">
        <v>9871</v>
      </c>
      <c r="D4836" s="2" t="s">
        <v>9821</v>
      </c>
      <c r="E4836" s="2" t="str">
        <f>HYPERLINK("https://talan.bank.gov.ua/get-user-certificate/sec1eD4bwaIqTbvJrx9-","Завантажити сертифікат")</f>
        <v>Завантажити сертифікат</v>
      </c>
    </row>
    <row r="4837" spans="1:5" x14ac:dyDescent="0.3">
      <c r="A4837" s="2" t="s">
        <v>9872</v>
      </c>
      <c r="B4837" s="2" t="s">
        <v>5</v>
      </c>
      <c r="C4837" s="2" t="s">
        <v>9873</v>
      </c>
      <c r="D4837" s="2" t="s">
        <v>9821</v>
      </c>
      <c r="E4837" s="2" t="str">
        <f>HYPERLINK("https://talan.bank.gov.ua/get-user-certificate/sec1e6t2QtSaWC2va1rn","Завантажити сертифікат")</f>
        <v>Завантажити сертифікат</v>
      </c>
    </row>
    <row r="4838" spans="1:5" x14ac:dyDescent="0.3">
      <c r="A4838" s="2" t="s">
        <v>9874</v>
      </c>
      <c r="B4838" s="2" t="s">
        <v>5</v>
      </c>
      <c r="C4838" s="2" t="s">
        <v>9875</v>
      </c>
      <c r="D4838" s="2" t="s">
        <v>9821</v>
      </c>
      <c r="E4838" s="2" t="str">
        <f>HYPERLINK("https://talan.bank.gov.ua/get-user-certificate/sec1euA-b9_Qn4xV-5CW","Завантажити сертифікат")</f>
        <v>Завантажити сертифікат</v>
      </c>
    </row>
    <row r="4839" spans="1:5" x14ac:dyDescent="0.3">
      <c r="A4839" s="2" t="s">
        <v>9876</v>
      </c>
      <c r="B4839" s="2" t="s">
        <v>5</v>
      </c>
      <c r="C4839" s="2" t="s">
        <v>9877</v>
      </c>
      <c r="D4839" s="2" t="s">
        <v>9821</v>
      </c>
      <c r="E4839" s="2" t="str">
        <f>HYPERLINK("https://talan.bank.gov.ua/get-user-certificate/sec1eUuXd_S4L4mBqaTN","Завантажити сертифікат")</f>
        <v>Завантажити сертифікат</v>
      </c>
    </row>
    <row r="4840" spans="1:5" x14ac:dyDescent="0.3">
      <c r="A4840" s="2" t="s">
        <v>9878</v>
      </c>
      <c r="B4840" s="2" t="s">
        <v>5</v>
      </c>
      <c r="C4840" s="2" t="s">
        <v>9879</v>
      </c>
      <c r="D4840" s="2" t="s">
        <v>9821</v>
      </c>
      <c r="E4840" s="2" t="str">
        <f>HYPERLINK("https://talan.bank.gov.ua/get-user-certificate/sec1eLQZmxzXSfCRs93j","Завантажити сертифікат")</f>
        <v>Завантажити сертифікат</v>
      </c>
    </row>
    <row r="4841" spans="1:5" x14ac:dyDescent="0.3">
      <c r="A4841" s="2" t="s">
        <v>9880</v>
      </c>
      <c r="B4841" s="2" t="s">
        <v>5</v>
      </c>
      <c r="C4841" s="2" t="s">
        <v>9881</v>
      </c>
      <c r="D4841" s="2" t="s">
        <v>9821</v>
      </c>
      <c r="E4841" s="2" t="str">
        <f>HYPERLINK("https://talan.bank.gov.ua/get-user-certificate/sec1eqKdf_Hgyahf4d8b","Завантажити сертифікат")</f>
        <v>Завантажити сертифікат</v>
      </c>
    </row>
    <row r="4842" spans="1:5" x14ac:dyDescent="0.3">
      <c r="A4842" s="2" t="s">
        <v>9882</v>
      </c>
      <c r="B4842" s="2" t="s">
        <v>5</v>
      </c>
      <c r="C4842" s="2" t="s">
        <v>9883</v>
      </c>
      <c r="D4842" s="2" t="s">
        <v>9821</v>
      </c>
      <c r="E4842" s="2" t="str">
        <f>HYPERLINK("https://talan.bank.gov.ua/get-user-certificate/sec1eYRNxoWjExM1Chj6","Завантажити сертифікат")</f>
        <v>Завантажити сертифікат</v>
      </c>
    </row>
    <row r="4843" spans="1:5" x14ac:dyDescent="0.3">
      <c r="A4843" s="2" t="s">
        <v>9884</v>
      </c>
      <c r="B4843" s="2" t="s">
        <v>5</v>
      </c>
      <c r="C4843" s="2" t="s">
        <v>9885</v>
      </c>
      <c r="D4843" s="2" t="s">
        <v>9821</v>
      </c>
      <c r="E4843" s="2" t="str">
        <f>HYPERLINK("https://talan.bank.gov.ua/get-user-certificate/sec1ennPRtOilFJVPKlw","Завантажити сертифікат")</f>
        <v>Завантажити сертифікат</v>
      </c>
    </row>
    <row r="4844" spans="1:5" x14ac:dyDescent="0.3">
      <c r="A4844" s="2" t="s">
        <v>9886</v>
      </c>
      <c r="B4844" s="2" t="s">
        <v>5</v>
      </c>
      <c r="C4844" s="2" t="s">
        <v>9887</v>
      </c>
      <c r="D4844" s="2" t="s">
        <v>9821</v>
      </c>
      <c r="E4844" s="2" t="str">
        <f>HYPERLINK("https://talan.bank.gov.ua/get-user-certificate/sec1ezyS_cspRCXW-7Om","Завантажити сертифікат")</f>
        <v>Завантажити сертифікат</v>
      </c>
    </row>
    <row r="4845" spans="1:5" x14ac:dyDescent="0.3">
      <c r="A4845" s="2" t="s">
        <v>9888</v>
      </c>
      <c r="B4845" s="2" t="s">
        <v>5</v>
      </c>
      <c r="C4845" s="2" t="s">
        <v>9889</v>
      </c>
      <c r="D4845" s="2" t="s">
        <v>9821</v>
      </c>
      <c r="E4845" s="2" t="str">
        <f>HYPERLINK("https://talan.bank.gov.ua/get-user-certificate/sec1eJxPL9J45A5h10pO","Завантажити сертифікат")</f>
        <v>Завантажити сертифікат</v>
      </c>
    </row>
    <row r="4846" spans="1:5" x14ac:dyDescent="0.3">
      <c r="A4846" s="2" t="s">
        <v>9890</v>
      </c>
      <c r="B4846" s="2" t="s">
        <v>5</v>
      </c>
      <c r="C4846" s="2" t="s">
        <v>9891</v>
      </c>
      <c r="D4846" s="2" t="s">
        <v>9821</v>
      </c>
      <c r="E4846" s="2" t="str">
        <f>HYPERLINK("https://talan.bank.gov.ua/get-user-certificate/sec1evHy2FucaGlIOqf1","Завантажити сертифікат")</f>
        <v>Завантажити сертифікат</v>
      </c>
    </row>
    <row r="4847" spans="1:5" x14ac:dyDescent="0.3">
      <c r="A4847" s="2" t="s">
        <v>9892</v>
      </c>
      <c r="B4847" s="2" t="s">
        <v>5</v>
      </c>
      <c r="C4847" s="2" t="s">
        <v>9893</v>
      </c>
      <c r="D4847" s="2" t="s">
        <v>9821</v>
      </c>
      <c r="E4847" s="2" t="str">
        <f>HYPERLINK("https://talan.bank.gov.ua/get-user-certificate/sec1e5zJxpcz7cI5DrBP","Завантажити сертифікат")</f>
        <v>Завантажити сертифікат</v>
      </c>
    </row>
    <row r="4848" spans="1:5" x14ac:dyDescent="0.3">
      <c r="A4848" s="2" t="s">
        <v>9894</v>
      </c>
      <c r="B4848" s="2" t="s">
        <v>5</v>
      </c>
      <c r="C4848" s="2" t="s">
        <v>9895</v>
      </c>
      <c r="D4848" s="2" t="s">
        <v>9821</v>
      </c>
      <c r="E4848" s="2" t="str">
        <f>HYPERLINK("https://talan.bank.gov.ua/get-user-certificate/sec1e1JeMdzr7Jf4dPY_","Завантажити сертифікат")</f>
        <v>Завантажити сертифікат</v>
      </c>
    </row>
    <row r="4849" spans="1:5" x14ac:dyDescent="0.3">
      <c r="A4849" s="2" t="s">
        <v>9896</v>
      </c>
      <c r="B4849" s="2" t="s">
        <v>5</v>
      </c>
      <c r="C4849" s="2" t="s">
        <v>9897</v>
      </c>
      <c r="D4849" s="2" t="s">
        <v>9821</v>
      </c>
      <c r="E4849" s="2" t="str">
        <f>HYPERLINK("https://talan.bank.gov.ua/get-user-certificate/sec1eXcgqrtYaSP3n2Os","Завантажити сертифікат")</f>
        <v>Завантажити сертифікат</v>
      </c>
    </row>
    <row r="4850" spans="1:5" x14ac:dyDescent="0.3">
      <c r="A4850" s="2" t="s">
        <v>9898</v>
      </c>
      <c r="B4850" s="2" t="s">
        <v>5</v>
      </c>
      <c r="C4850" s="2" t="s">
        <v>9899</v>
      </c>
      <c r="D4850" s="2" t="s">
        <v>9821</v>
      </c>
      <c r="E4850" s="2" t="str">
        <f>HYPERLINK("https://talan.bank.gov.ua/get-user-certificate/sec1er63S6M5l3p2G1YO","Завантажити сертифікат")</f>
        <v>Завантажити сертифікат</v>
      </c>
    </row>
    <row r="4851" spans="1:5" x14ac:dyDescent="0.3">
      <c r="A4851" s="2" t="s">
        <v>9900</v>
      </c>
      <c r="B4851" s="2" t="s">
        <v>5</v>
      </c>
      <c r="C4851" s="2" t="s">
        <v>9901</v>
      </c>
      <c r="D4851" s="2" t="s">
        <v>9821</v>
      </c>
      <c r="E4851" s="2" t="str">
        <f>HYPERLINK("https://talan.bank.gov.ua/get-user-certificate/sec1eI7-uAa3FfvQEUAd","Завантажити сертифікат")</f>
        <v>Завантажити сертифікат</v>
      </c>
    </row>
    <row r="4852" spans="1:5" x14ac:dyDescent="0.3">
      <c r="A4852" s="2" t="s">
        <v>9902</v>
      </c>
      <c r="B4852" s="2" t="s">
        <v>5</v>
      </c>
      <c r="C4852" s="2" t="s">
        <v>8478</v>
      </c>
      <c r="D4852" s="2" t="s">
        <v>9821</v>
      </c>
      <c r="E4852" s="2" t="str">
        <f>HYPERLINK("https://talan.bank.gov.ua/get-user-certificate/sec1eAh4rhw3aJlDk0z7","Завантажити сертифікат")</f>
        <v>Завантажити сертифікат</v>
      </c>
    </row>
    <row r="4853" spans="1:5" x14ac:dyDescent="0.3">
      <c r="A4853" s="2" t="s">
        <v>9903</v>
      </c>
      <c r="B4853" s="2" t="s">
        <v>5</v>
      </c>
      <c r="C4853" s="2" t="s">
        <v>9904</v>
      </c>
      <c r="D4853" s="2" t="s">
        <v>9821</v>
      </c>
      <c r="E4853" s="2" t="str">
        <f>HYPERLINK("https://talan.bank.gov.ua/get-user-certificate/sec1eSykUtJjHWuEfw_U","Завантажити сертифікат")</f>
        <v>Завантажити сертифікат</v>
      </c>
    </row>
    <row r="4854" spans="1:5" x14ac:dyDescent="0.3">
      <c r="A4854" s="2" t="s">
        <v>9905</v>
      </c>
      <c r="B4854" s="2" t="s">
        <v>5</v>
      </c>
      <c r="C4854" s="2" t="s">
        <v>9906</v>
      </c>
      <c r="D4854" s="2" t="s">
        <v>9821</v>
      </c>
      <c r="E4854" s="2" t="str">
        <f>HYPERLINK("https://talan.bank.gov.ua/get-user-certificate/sec1e13ljRfsEyUzdhmC","Завантажити сертифікат")</f>
        <v>Завантажити сертифікат</v>
      </c>
    </row>
    <row r="4855" spans="1:5" x14ac:dyDescent="0.3">
      <c r="A4855" s="2" t="s">
        <v>9907</v>
      </c>
      <c r="B4855" s="2" t="s">
        <v>5</v>
      </c>
      <c r="C4855" s="2" t="s">
        <v>9908</v>
      </c>
      <c r="D4855" s="2" t="s">
        <v>9821</v>
      </c>
      <c r="E4855" s="2" t="str">
        <f>HYPERLINK("https://talan.bank.gov.ua/get-user-certificate/sec1eU40b7--hlumaZFR","Завантажити сертифікат")</f>
        <v>Завантажити сертифікат</v>
      </c>
    </row>
    <row r="4856" spans="1:5" x14ac:dyDescent="0.3">
      <c r="A4856" s="2" t="s">
        <v>9909</v>
      </c>
      <c r="B4856" s="2" t="s">
        <v>5</v>
      </c>
      <c r="C4856" s="2" t="s">
        <v>9910</v>
      </c>
      <c r="D4856" s="2" t="s">
        <v>9821</v>
      </c>
      <c r="E4856" s="2" t="str">
        <f>HYPERLINK("https://talan.bank.gov.ua/get-user-certificate/sec1ex_PXxg1RE1dmUdE","Завантажити сертифікат")</f>
        <v>Завантажити сертифікат</v>
      </c>
    </row>
    <row r="4857" spans="1:5" x14ac:dyDescent="0.3">
      <c r="A4857" s="2" t="s">
        <v>9911</v>
      </c>
      <c r="B4857" s="2" t="s">
        <v>5</v>
      </c>
      <c r="C4857" s="2" t="s">
        <v>9912</v>
      </c>
      <c r="D4857" s="2" t="s">
        <v>9821</v>
      </c>
      <c r="E4857" s="2" t="str">
        <f>HYPERLINK("https://talan.bank.gov.ua/get-user-certificate/sec1enjJQnTJJKWGUJas","Завантажити сертифікат")</f>
        <v>Завантажити сертифікат</v>
      </c>
    </row>
    <row r="4858" spans="1:5" x14ac:dyDescent="0.3">
      <c r="A4858" s="2" t="s">
        <v>9913</v>
      </c>
      <c r="B4858" s="2" t="s">
        <v>5</v>
      </c>
      <c r="C4858" s="2" t="s">
        <v>9914</v>
      </c>
      <c r="D4858" s="2" t="s">
        <v>9821</v>
      </c>
      <c r="E4858" s="2" t="str">
        <f>HYPERLINK("https://talan.bank.gov.ua/get-user-certificate/sec1eiCBQ9RpkMHwHUAR","Завантажити сертифікат")</f>
        <v>Завантажити сертифікат</v>
      </c>
    </row>
    <row r="4859" spans="1:5" x14ac:dyDescent="0.3">
      <c r="A4859" s="2" t="s">
        <v>9915</v>
      </c>
      <c r="B4859" s="2" t="s">
        <v>5</v>
      </c>
      <c r="C4859" s="2" t="s">
        <v>9916</v>
      </c>
      <c r="D4859" s="2" t="s">
        <v>9821</v>
      </c>
      <c r="E4859" s="2" t="str">
        <f>HYPERLINK("https://talan.bank.gov.ua/get-user-certificate/sec1em22kTVGHs5_Q7Eo","Завантажити сертифікат")</f>
        <v>Завантажити сертифікат</v>
      </c>
    </row>
    <row r="4860" spans="1:5" x14ac:dyDescent="0.3">
      <c r="A4860" s="2" t="s">
        <v>9917</v>
      </c>
      <c r="B4860" s="2" t="s">
        <v>5</v>
      </c>
      <c r="C4860" s="2" t="s">
        <v>9918</v>
      </c>
      <c r="D4860" s="2" t="s">
        <v>9821</v>
      </c>
      <c r="E4860" s="2" t="str">
        <f>HYPERLINK("https://talan.bank.gov.ua/get-user-certificate/sec1ejvzBIO0ztoJZrEq","Завантажити сертифікат")</f>
        <v>Завантажити сертифікат</v>
      </c>
    </row>
    <row r="4861" spans="1:5" x14ac:dyDescent="0.3">
      <c r="A4861" s="2" t="s">
        <v>9919</v>
      </c>
      <c r="B4861" s="2" t="s">
        <v>5</v>
      </c>
      <c r="C4861" s="2" t="s">
        <v>9920</v>
      </c>
      <c r="D4861" s="2" t="s">
        <v>9821</v>
      </c>
      <c r="E4861" s="2" t="str">
        <f>HYPERLINK("https://talan.bank.gov.ua/get-user-certificate/sec1e_tmTOmEVNhfbKl5","Завантажити сертифікат")</f>
        <v>Завантажити сертифікат</v>
      </c>
    </row>
    <row r="4862" spans="1:5" x14ac:dyDescent="0.3">
      <c r="A4862" s="2" t="s">
        <v>9921</v>
      </c>
      <c r="B4862" s="2" t="s">
        <v>5</v>
      </c>
      <c r="C4862" s="2" t="s">
        <v>9922</v>
      </c>
      <c r="D4862" s="2" t="s">
        <v>9821</v>
      </c>
      <c r="E4862" s="2" t="str">
        <f>HYPERLINK("https://talan.bank.gov.ua/get-user-certificate/sec1e9vpVF2WutpSBKZj","Завантажити сертифікат")</f>
        <v>Завантажити сертифікат</v>
      </c>
    </row>
    <row r="4863" spans="1:5" x14ac:dyDescent="0.3">
      <c r="A4863" s="2" t="s">
        <v>9923</v>
      </c>
      <c r="B4863" s="2" t="s">
        <v>5</v>
      </c>
      <c r="C4863" s="2" t="s">
        <v>9924</v>
      </c>
      <c r="D4863" s="2" t="s">
        <v>9821</v>
      </c>
      <c r="E4863" s="2" t="str">
        <f>HYPERLINK("https://talan.bank.gov.ua/get-user-certificate/sec1eaKprfGF_kvNtlcf","Завантажити сертифікат")</f>
        <v>Завантажити сертифікат</v>
      </c>
    </row>
    <row r="4864" spans="1:5" x14ac:dyDescent="0.3">
      <c r="A4864" s="2" t="s">
        <v>9925</v>
      </c>
      <c r="B4864" s="2" t="s">
        <v>5</v>
      </c>
      <c r="C4864" s="2" t="s">
        <v>9926</v>
      </c>
      <c r="D4864" s="2" t="s">
        <v>9821</v>
      </c>
      <c r="E4864" s="2" t="str">
        <f>HYPERLINK("https://talan.bank.gov.ua/get-user-certificate/sec1e3kf0pP7Imsdo-Jr","Завантажити сертифікат")</f>
        <v>Завантажити сертифікат</v>
      </c>
    </row>
    <row r="4865" spans="1:5" x14ac:dyDescent="0.3">
      <c r="A4865" s="2" t="s">
        <v>9927</v>
      </c>
      <c r="B4865" s="2" t="s">
        <v>5</v>
      </c>
      <c r="C4865" s="2" t="s">
        <v>9928</v>
      </c>
      <c r="D4865" s="2" t="s">
        <v>9821</v>
      </c>
      <c r="E4865" s="2" t="str">
        <f>HYPERLINK("https://talan.bank.gov.ua/get-user-certificate/sec1eSPIU2cd9MzL7zfv","Завантажити сертифікат")</f>
        <v>Завантажити сертифікат</v>
      </c>
    </row>
    <row r="4866" spans="1:5" x14ac:dyDescent="0.3">
      <c r="A4866" s="2" t="s">
        <v>9929</v>
      </c>
      <c r="B4866" s="2" t="s">
        <v>5</v>
      </c>
      <c r="C4866" s="2" t="s">
        <v>9930</v>
      </c>
      <c r="D4866" s="2" t="s">
        <v>9821</v>
      </c>
      <c r="E4866" s="2" t="str">
        <f>HYPERLINK("https://talan.bank.gov.ua/get-user-certificate/sec1e6WJzMWppJVtmKfw","Завантажити сертифікат")</f>
        <v>Завантажити сертифікат</v>
      </c>
    </row>
    <row r="4867" spans="1:5" x14ac:dyDescent="0.3">
      <c r="A4867" s="2" t="s">
        <v>9931</v>
      </c>
      <c r="B4867" s="2" t="s">
        <v>5</v>
      </c>
      <c r="C4867" s="2" t="s">
        <v>9932</v>
      </c>
      <c r="D4867" s="2" t="s">
        <v>9821</v>
      </c>
      <c r="E4867" s="2" t="str">
        <f>HYPERLINK("https://talan.bank.gov.ua/get-user-certificate/sec1eLHjjb_qHPKTvadk","Завантажити сертифікат")</f>
        <v>Завантажити сертифікат</v>
      </c>
    </row>
    <row r="4868" spans="1:5" x14ac:dyDescent="0.3">
      <c r="A4868" s="2" t="s">
        <v>9933</v>
      </c>
      <c r="B4868" s="2" t="s">
        <v>5</v>
      </c>
      <c r="C4868" s="2" t="s">
        <v>9934</v>
      </c>
      <c r="D4868" s="2" t="s">
        <v>9821</v>
      </c>
      <c r="E4868" s="2" t="str">
        <f>HYPERLINK("https://talan.bank.gov.ua/get-user-certificate/sec1eeIKQsrj1cv72In9","Завантажити сертифікат")</f>
        <v>Завантажити сертифікат</v>
      </c>
    </row>
    <row r="4869" spans="1:5" x14ac:dyDescent="0.3">
      <c r="A4869" s="2" t="s">
        <v>9935</v>
      </c>
      <c r="B4869" s="2" t="s">
        <v>5</v>
      </c>
      <c r="C4869" s="2" t="s">
        <v>9936</v>
      </c>
      <c r="D4869" s="2" t="s">
        <v>9821</v>
      </c>
      <c r="E4869" s="2" t="str">
        <f>HYPERLINK("https://talan.bank.gov.ua/get-user-certificate/sec1ePRpm26pM0viLPNV","Завантажити сертифікат")</f>
        <v>Завантажити сертифікат</v>
      </c>
    </row>
    <row r="4870" spans="1:5" x14ac:dyDescent="0.3">
      <c r="A4870" s="2" t="s">
        <v>9937</v>
      </c>
      <c r="B4870" s="2" t="s">
        <v>5</v>
      </c>
      <c r="C4870" s="2" t="s">
        <v>9938</v>
      </c>
      <c r="D4870" s="2" t="s">
        <v>9821</v>
      </c>
      <c r="E4870" s="2" t="str">
        <f>HYPERLINK("https://talan.bank.gov.ua/get-user-certificate/sec1ePHyfOHmoTztN5NJ","Завантажити сертифікат")</f>
        <v>Завантажити сертифікат</v>
      </c>
    </row>
    <row r="4871" spans="1:5" x14ac:dyDescent="0.3">
      <c r="A4871" s="2" t="s">
        <v>9939</v>
      </c>
      <c r="B4871" s="2" t="s">
        <v>5</v>
      </c>
      <c r="C4871" s="2" t="s">
        <v>9940</v>
      </c>
      <c r="D4871" s="2" t="s">
        <v>9821</v>
      </c>
      <c r="E4871" s="2" t="str">
        <f>HYPERLINK("https://talan.bank.gov.ua/get-user-certificate/sec1ejUI4W9LUceNG86M","Завантажити сертифікат")</f>
        <v>Завантажити сертифікат</v>
      </c>
    </row>
    <row r="4872" spans="1:5" x14ac:dyDescent="0.3">
      <c r="A4872" s="2" t="s">
        <v>9941</v>
      </c>
      <c r="B4872" s="2" t="s">
        <v>5</v>
      </c>
      <c r="C4872" s="2" t="s">
        <v>9942</v>
      </c>
      <c r="D4872" s="2" t="s">
        <v>9943</v>
      </c>
      <c r="E4872" s="2" t="str">
        <f>HYPERLINK("https://talan.bank.gov.ua/get-user-certificate/sec1eHpjxDXWLildQGXx","Завантажити сертифікат")</f>
        <v>Завантажити сертифікат</v>
      </c>
    </row>
    <row r="4873" spans="1:5" x14ac:dyDescent="0.3">
      <c r="A4873" s="2" t="s">
        <v>9944</v>
      </c>
      <c r="B4873" s="2" t="s">
        <v>5</v>
      </c>
      <c r="C4873" s="2" t="s">
        <v>9945</v>
      </c>
      <c r="D4873" s="2" t="s">
        <v>9943</v>
      </c>
      <c r="E4873" s="2" t="str">
        <f>HYPERLINK("https://talan.bank.gov.ua/get-user-certificate/sec1eVcRntpQ_c9WMGsf","Завантажити сертифікат")</f>
        <v>Завантажити сертифікат</v>
      </c>
    </row>
    <row r="4874" spans="1:5" x14ac:dyDescent="0.3">
      <c r="A4874" s="2" t="s">
        <v>9946</v>
      </c>
      <c r="B4874" s="2" t="s">
        <v>5</v>
      </c>
      <c r="C4874" s="2" t="s">
        <v>9947</v>
      </c>
      <c r="D4874" s="2" t="s">
        <v>9943</v>
      </c>
      <c r="E4874" s="2" t="str">
        <f>HYPERLINK("https://talan.bank.gov.ua/get-user-certificate/sec1e8bV-YTXHw69Z5n7","Завантажити сертифікат")</f>
        <v>Завантажити сертифікат</v>
      </c>
    </row>
    <row r="4875" spans="1:5" x14ac:dyDescent="0.3">
      <c r="A4875" s="2" t="s">
        <v>9948</v>
      </c>
      <c r="B4875" s="2" t="s">
        <v>5</v>
      </c>
      <c r="C4875" s="2" t="s">
        <v>3122</v>
      </c>
      <c r="D4875" s="2" t="s">
        <v>9943</v>
      </c>
      <c r="E4875" s="2" t="str">
        <f>HYPERLINK("https://talan.bank.gov.ua/get-user-certificate/sec1eqN-xYTTGkDyAf1T","Завантажити сертифікат")</f>
        <v>Завантажити сертифікат</v>
      </c>
    </row>
    <row r="4876" spans="1:5" x14ac:dyDescent="0.3">
      <c r="A4876" s="2" t="s">
        <v>9949</v>
      </c>
      <c r="B4876" s="2" t="s">
        <v>5</v>
      </c>
      <c r="C4876" s="2" t="s">
        <v>9950</v>
      </c>
      <c r="D4876" s="2" t="s">
        <v>9943</v>
      </c>
      <c r="E4876" s="2" t="str">
        <f>HYPERLINK("https://talan.bank.gov.ua/get-user-certificate/sec1eorSXKKawvRbiYBd","Завантажити сертифікат")</f>
        <v>Завантажити сертифікат</v>
      </c>
    </row>
    <row r="4877" spans="1:5" x14ac:dyDescent="0.3">
      <c r="A4877" s="2" t="s">
        <v>9951</v>
      </c>
      <c r="B4877" s="2" t="s">
        <v>5</v>
      </c>
      <c r="C4877" s="2" t="s">
        <v>9952</v>
      </c>
      <c r="D4877" s="2" t="s">
        <v>9943</v>
      </c>
      <c r="E4877" s="2" t="str">
        <f>HYPERLINK("https://talan.bank.gov.ua/get-user-certificate/sec1egmETsy2xy8xmO-f","Завантажити сертифікат")</f>
        <v>Завантажити сертифікат</v>
      </c>
    </row>
    <row r="4878" spans="1:5" x14ac:dyDescent="0.3">
      <c r="A4878" s="2" t="s">
        <v>9953</v>
      </c>
      <c r="B4878" s="2" t="s">
        <v>5</v>
      </c>
      <c r="C4878" s="2" t="s">
        <v>9954</v>
      </c>
      <c r="D4878" s="2" t="s">
        <v>9943</v>
      </c>
      <c r="E4878" s="2" t="str">
        <f>HYPERLINK("https://talan.bank.gov.ua/get-user-certificate/sec1ebK5-1V39pU4k1Xg","Завантажити сертифікат")</f>
        <v>Завантажити сертифікат</v>
      </c>
    </row>
    <row r="4879" spans="1:5" x14ac:dyDescent="0.3">
      <c r="A4879" s="2" t="s">
        <v>9955</v>
      </c>
      <c r="B4879" s="2" t="s">
        <v>5</v>
      </c>
      <c r="C4879" s="2" t="s">
        <v>9956</v>
      </c>
      <c r="D4879" s="2" t="s">
        <v>9957</v>
      </c>
      <c r="E4879" s="2" t="str">
        <f>HYPERLINK("https://talan.bank.gov.ua/get-user-certificate/sec1eVCKUqKnqKyU3K4e","Завантажити сертифікат")</f>
        <v>Завантажити сертифікат</v>
      </c>
    </row>
    <row r="4880" spans="1:5" x14ac:dyDescent="0.3">
      <c r="A4880" s="2" t="s">
        <v>9958</v>
      </c>
      <c r="B4880" s="2" t="s">
        <v>5</v>
      </c>
      <c r="C4880" s="2" t="s">
        <v>9959</v>
      </c>
      <c r="D4880" s="2" t="s">
        <v>9957</v>
      </c>
      <c r="E4880" s="2" t="str">
        <f>HYPERLINK("https://talan.bank.gov.ua/get-user-certificate/sec1eBp0whOW1SSjcV7y","Завантажити сертифікат")</f>
        <v>Завантажити сертифікат</v>
      </c>
    </row>
    <row r="4881" spans="1:5" x14ac:dyDescent="0.3">
      <c r="A4881" s="2" t="s">
        <v>9960</v>
      </c>
      <c r="B4881" s="2" t="s">
        <v>5</v>
      </c>
      <c r="C4881" s="2" t="s">
        <v>9961</v>
      </c>
      <c r="D4881" s="2" t="s">
        <v>9957</v>
      </c>
      <c r="E4881" s="2" t="str">
        <f>HYPERLINK("https://talan.bank.gov.ua/get-user-certificate/sec1eQSV0yxXPQ4McCnG","Завантажити сертифікат")</f>
        <v>Завантажити сертифікат</v>
      </c>
    </row>
    <row r="4882" spans="1:5" x14ac:dyDescent="0.3">
      <c r="A4882" s="2" t="s">
        <v>9962</v>
      </c>
      <c r="B4882" s="2" t="s">
        <v>5</v>
      </c>
      <c r="C4882" s="2" t="s">
        <v>9963</v>
      </c>
      <c r="D4882" s="2" t="s">
        <v>9957</v>
      </c>
      <c r="E4882" s="2" t="str">
        <f>HYPERLINK("https://talan.bank.gov.ua/get-user-certificate/sec1e5pdvD4bFB9cMHJ3","Завантажити сертифікат")</f>
        <v>Завантажити сертифікат</v>
      </c>
    </row>
    <row r="4883" spans="1:5" x14ac:dyDescent="0.3">
      <c r="A4883" s="2" t="s">
        <v>9964</v>
      </c>
      <c r="B4883" s="2" t="s">
        <v>5</v>
      </c>
      <c r="C4883" s="2" t="s">
        <v>9965</v>
      </c>
      <c r="D4883" s="2" t="s">
        <v>9957</v>
      </c>
      <c r="E4883" s="2" t="str">
        <f>HYPERLINK("https://talan.bank.gov.ua/get-user-certificate/sec1eDzZbEnAhko2mAOL","Завантажити сертифікат")</f>
        <v>Завантажити сертифікат</v>
      </c>
    </row>
    <row r="4884" spans="1:5" x14ac:dyDescent="0.3">
      <c r="A4884" s="2" t="s">
        <v>9966</v>
      </c>
      <c r="B4884" s="2" t="s">
        <v>5</v>
      </c>
      <c r="C4884" s="2" t="s">
        <v>9967</v>
      </c>
      <c r="D4884" s="2" t="s">
        <v>9957</v>
      </c>
      <c r="E4884" s="2" t="str">
        <f>HYPERLINK("https://talan.bank.gov.ua/get-user-certificate/sec1ewxv71vRO06giw5l","Завантажити сертифікат")</f>
        <v>Завантажити сертифікат</v>
      </c>
    </row>
    <row r="4885" spans="1:5" x14ac:dyDescent="0.3">
      <c r="A4885" s="2" t="s">
        <v>9968</v>
      </c>
      <c r="B4885" s="2" t="s">
        <v>5</v>
      </c>
      <c r="C4885" s="2" t="s">
        <v>9969</v>
      </c>
      <c r="D4885" s="2" t="s">
        <v>9957</v>
      </c>
      <c r="E4885" s="2" t="str">
        <f>HYPERLINK("https://talan.bank.gov.ua/get-user-certificate/sec1ec7ZKy-8WV-Tix1w","Завантажити сертифікат")</f>
        <v>Завантажити сертифікат</v>
      </c>
    </row>
    <row r="4886" spans="1:5" x14ac:dyDescent="0.3">
      <c r="A4886" s="2" t="s">
        <v>9970</v>
      </c>
      <c r="B4886" s="2" t="s">
        <v>5</v>
      </c>
      <c r="C4886" s="2" t="s">
        <v>9971</v>
      </c>
      <c r="D4886" s="2" t="s">
        <v>9957</v>
      </c>
      <c r="E4886" s="2" t="str">
        <f>HYPERLINK("https://talan.bank.gov.ua/get-user-certificate/sec1eZMiYjp_sRKUxwgj","Завантажити сертифікат")</f>
        <v>Завантажити сертифікат</v>
      </c>
    </row>
    <row r="4887" spans="1:5" x14ac:dyDescent="0.3">
      <c r="A4887" s="2" t="s">
        <v>9972</v>
      </c>
      <c r="B4887" s="2" t="s">
        <v>5</v>
      </c>
      <c r="C4887" s="2" t="s">
        <v>9973</v>
      </c>
      <c r="D4887" s="2" t="s">
        <v>9957</v>
      </c>
      <c r="E4887" s="2" t="str">
        <f>HYPERLINK("https://talan.bank.gov.ua/get-user-certificate/sec1eEIWYDhMkM24Qtq5","Завантажити сертифікат")</f>
        <v>Завантажити сертифікат</v>
      </c>
    </row>
    <row r="4888" spans="1:5" x14ac:dyDescent="0.3">
      <c r="A4888" s="2" t="s">
        <v>9974</v>
      </c>
      <c r="B4888" s="2" t="s">
        <v>5</v>
      </c>
      <c r="C4888" s="2" t="s">
        <v>9975</v>
      </c>
      <c r="D4888" s="2" t="s">
        <v>9957</v>
      </c>
      <c r="E4888" s="2" t="str">
        <f>HYPERLINK("https://talan.bank.gov.ua/get-user-certificate/sec1etQ9GQMr1ht0FHRE","Завантажити сертифікат")</f>
        <v>Завантажити сертифікат</v>
      </c>
    </row>
    <row r="4889" spans="1:5" x14ac:dyDescent="0.3">
      <c r="A4889" s="2" t="s">
        <v>9976</v>
      </c>
      <c r="B4889" s="2" t="s">
        <v>5</v>
      </c>
      <c r="C4889" s="2" t="s">
        <v>9977</v>
      </c>
      <c r="D4889" s="2" t="s">
        <v>9957</v>
      </c>
      <c r="E4889" s="2" t="str">
        <f>HYPERLINK("https://talan.bank.gov.ua/get-user-certificate/sec1ebDFl0_Q7a4rYRzM","Завантажити сертифікат")</f>
        <v>Завантажити сертифікат</v>
      </c>
    </row>
    <row r="4890" spans="1:5" x14ac:dyDescent="0.3">
      <c r="A4890" s="2" t="s">
        <v>9978</v>
      </c>
      <c r="B4890" s="2" t="s">
        <v>5</v>
      </c>
      <c r="C4890" s="2" t="s">
        <v>9979</v>
      </c>
      <c r="D4890" s="2" t="s">
        <v>9957</v>
      </c>
      <c r="E4890" s="2" t="str">
        <f>HYPERLINK("https://talan.bank.gov.ua/get-user-certificate/sec1eG4hFB-6wircR-l9","Завантажити сертифікат")</f>
        <v>Завантажити сертифікат</v>
      </c>
    </row>
    <row r="4891" spans="1:5" x14ac:dyDescent="0.3">
      <c r="A4891" s="2" t="s">
        <v>9980</v>
      </c>
      <c r="B4891" s="2" t="s">
        <v>5</v>
      </c>
      <c r="C4891" s="2" t="s">
        <v>9981</v>
      </c>
      <c r="D4891" s="2" t="s">
        <v>9957</v>
      </c>
      <c r="E4891" s="2" t="str">
        <f>HYPERLINK("https://talan.bank.gov.ua/get-user-certificate/sec1e951VGvWd_nfzZ10","Завантажити сертифікат")</f>
        <v>Завантажити сертифікат</v>
      </c>
    </row>
    <row r="4892" spans="1:5" x14ac:dyDescent="0.3">
      <c r="A4892" s="2" t="s">
        <v>9982</v>
      </c>
      <c r="B4892" s="2" t="s">
        <v>5</v>
      </c>
      <c r="C4892" s="2" t="s">
        <v>9983</v>
      </c>
      <c r="D4892" s="2" t="s">
        <v>9957</v>
      </c>
      <c r="E4892" s="2" t="str">
        <f>HYPERLINK("https://talan.bank.gov.ua/get-user-certificate/sec1eoduWb6Wh3vq0giv","Завантажити сертифікат")</f>
        <v>Завантажити сертифікат</v>
      </c>
    </row>
    <row r="4893" spans="1:5" x14ac:dyDescent="0.3">
      <c r="A4893" s="2" t="s">
        <v>9984</v>
      </c>
      <c r="B4893" s="2" t="s">
        <v>5</v>
      </c>
      <c r="C4893" s="2" t="s">
        <v>9985</v>
      </c>
      <c r="D4893" s="2" t="s">
        <v>9957</v>
      </c>
      <c r="E4893" s="2" t="str">
        <f>HYPERLINK("https://talan.bank.gov.ua/get-user-certificate/sec1eGB2UqCAXXoJ3vNn","Завантажити сертифікат")</f>
        <v>Завантажити сертифікат</v>
      </c>
    </row>
    <row r="4894" spans="1:5" x14ac:dyDescent="0.3">
      <c r="A4894" s="2" t="s">
        <v>9986</v>
      </c>
      <c r="B4894" s="2" t="s">
        <v>5</v>
      </c>
      <c r="C4894" s="2" t="s">
        <v>9987</v>
      </c>
      <c r="D4894" s="2" t="s">
        <v>9957</v>
      </c>
      <c r="E4894" s="2" t="str">
        <f>HYPERLINK("https://talan.bank.gov.ua/get-user-certificate/sec1e6yLtnjIMBGDVyxT","Завантажити сертифікат")</f>
        <v>Завантажити сертифікат</v>
      </c>
    </row>
    <row r="4895" spans="1:5" x14ac:dyDescent="0.3">
      <c r="A4895" s="2" t="s">
        <v>9988</v>
      </c>
      <c r="B4895" s="2" t="s">
        <v>5</v>
      </c>
      <c r="C4895" s="2" t="s">
        <v>9989</v>
      </c>
      <c r="D4895" s="2" t="s">
        <v>9957</v>
      </c>
      <c r="E4895" s="2" t="str">
        <f>HYPERLINK("https://talan.bank.gov.ua/get-user-certificate/sec1e6sooYq8mgf1tHh7","Завантажити сертифікат")</f>
        <v>Завантажити сертифікат</v>
      </c>
    </row>
    <row r="4896" spans="1:5" x14ac:dyDescent="0.3">
      <c r="A4896" s="2" t="s">
        <v>9990</v>
      </c>
      <c r="B4896" s="2" t="s">
        <v>5</v>
      </c>
      <c r="C4896" s="2" t="s">
        <v>9991</v>
      </c>
      <c r="D4896" s="2" t="s">
        <v>9957</v>
      </c>
      <c r="E4896" s="2" t="str">
        <f>HYPERLINK("https://talan.bank.gov.ua/get-user-certificate/sec1e_MCy_Yeq_T3XUGv","Завантажити сертифікат")</f>
        <v>Завантажити сертифікат</v>
      </c>
    </row>
    <row r="4897" spans="1:5" x14ac:dyDescent="0.3">
      <c r="A4897" s="2" t="s">
        <v>9992</v>
      </c>
      <c r="B4897" s="2" t="s">
        <v>5</v>
      </c>
      <c r="C4897" s="2" t="s">
        <v>9993</v>
      </c>
      <c r="D4897" s="2" t="s">
        <v>9957</v>
      </c>
      <c r="E4897" s="2" t="str">
        <f>HYPERLINK("https://talan.bank.gov.ua/get-user-certificate/sec1eLENEhcS45bGZOkS","Завантажити сертифікат")</f>
        <v>Завантажити сертифікат</v>
      </c>
    </row>
    <row r="4898" spans="1:5" x14ac:dyDescent="0.3">
      <c r="A4898" s="2" t="s">
        <v>9994</v>
      </c>
      <c r="B4898" s="2" t="s">
        <v>5</v>
      </c>
      <c r="C4898" s="2" t="s">
        <v>9995</v>
      </c>
      <c r="D4898" s="2" t="s">
        <v>9996</v>
      </c>
      <c r="E4898" s="2" t="str">
        <f>HYPERLINK("https://talan.bank.gov.ua/get-user-certificate/sec1eCwJRW1es0KraFD4","Завантажити сертифікат")</f>
        <v>Завантажити сертифікат</v>
      </c>
    </row>
    <row r="4899" spans="1:5" x14ac:dyDescent="0.3">
      <c r="A4899" s="2" t="s">
        <v>9997</v>
      </c>
      <c r="B4899" s="2" t="s">
        <v>5</v>
      </c>
      <c r="C4899" s="2" t="s">
        <v>9998</v>
      </c>
      <c r="D4899" s="2" t="s">
        <v>9996</v>
      </c>
      <c r="E4899" s="2" t="str">
        <f>HYPERLINK("https://talan.bank.gov.ua/get-user-certificate/sec1e_s2qyTosscf2lz-","Завантажити сертифікат")</f>
        <v>Завантажити сертифікат</v>
      </c>
    </row>
    <row r="4900" spans="1:5" x14ac:dyDescent="0.3">
      <c r="A4900" s="2" t="s">
        <v>9999</v>
      </c>
      <c r="B4900" s="2" t="s">
        <v>5</v>
      </c>
      <c r="C4900" s="2" t="s">
        <v>10000</v>
      </c>
      <c r="D4900" s="2" t="s">
        <v>9996</v>
      </c>
      <c r="E4900" s="2" t="str">
        <f>HYPERLINK("https://talan.bank.gov.ua/get-user-certificate/sec1eMfBKWeAhj5X30ke","Завантажити сертифікат")</f>
        <v>Завантажити сертифікат</v>
      </c>
    </row>
    <row r="4901" spans="1:5" x14ac:dyDescent="0.3">
      <c r="A4901" s="2" t="s">
        <v>10001</v>
      </c>
      <c r="B4901" s="2" t="s">
        <v>5</v>
      </c>
      <c r="C4901" s="2" t="s">
        <v>10002</v>
      </c>
      <c r="D4901" s="2" t="s">
        <v>9996</v>
      </c>
      <c r="E4901" s="2" t="str">
        <f>HYPERLINK("https://talan.bank.gov.ua/get-user-certificate/sec1eQJv1X9SLL5Pue5z","Завантажити сертифікат")</f>
        <v>Завантажити сертифікат</v>
      </c>
    </row>
    <row r="4902" spans="1:5" x14ac:dyDescent="0.3">
      <c r="A4902" s="2" t="s">
        <v>10003</v>
      </c>
      <c r="B4902" s="2" t="s">
        <v>5</v>
      </c>
      <c r="C4902" s="2" t="s">
        <v>10004</v>
      </c>
      <c r="D4902" s="2" t="s">
        <v>9996</v>
      </c>
      <c r="E4902" s="2" t="str">
        <f>HYPERLINK("https://talan.bank.gov.ua/get-user-certificate/sec1epJ1id0_x9J2RnH6","Завантажити сертифікат")</f>
        <v>Завантажити сертифікат</v>
      </c>
    </row>
    <row r="4903" spans="1:5" x14ac:dyDescent="0.3">
      <c r="A4903" s="2" t="s">
        <v>10005</v>
      </c>
      <c r="B4903" s="2" t="s">
        <v>5</v>
      </c>
      <c r="C4903" s="2" t="s">
        <v>10006</v>
      </c>
      <c r="D4903" s="2" t="s">
        <v>9996</v>
      </c>
      <c r="E4903" s="2" t="str">
        <f>HYPERLINK("https://talan.bank.gov.ua/get-user-certificate/sec1eA7hj8gRpA0EYrgH","Завантажити сертифікат")</f>
        <v>Завантажити сертифікат</v>
      </c>
    </row>
    <row r="4904" spans="1:5" x14ac:dyDescent="0.3">
      <c r="A4904" s="2" t="s">
        <v>10007</v>
      </c>
      <c r="B4904" s="2" t="s">
        <v>5</v>
      </c>
      <c r="C4904" s="2" t="s">
        <v>10008</v>
      </c>
      <c r="D4904" s="2" t="s">
        <v>9996</v>
      </c>
      <c r="E4904" s="2" t="str">
        <f>HYPERLINK("https://talan.bank.gov.ua/get-user-certificate/sec1eklJ-P3ZNUrfQL1N","Завантажити сертифікат")</f>
        <v>Завантажити сертифікат</v>
      </c>
    </row>
    <row r="4905" spans="1:5" x14ac:dyDescent="0.3">
      <c r="A4905" s="2" t="s">
        <v>10009</v>
      </c>
      <c r="B4905" s="2" t="s">
        <v>5</v>
      </c>
      <c r="C4905" s="2" t="s">
        <v>10010</v>
      </c>
      <c r="D4905" s="2" t="s">
        <v>9996</v>
      </c>
      <c r="E4905" s="2" t="str">
        <f>HYPERLINK("https://talan.bank.gov.ua/get-user-certificate/sec1eljrVhWHd2pH68vL","Завантажити сертифікат")</f>
        <v>Завантажити сертифікат</v>
      </c>
    </row>
    <row r="4906" spans="1:5" x14ac:dyDescent="0.3">
      <c r="A4906" s="2" t="s">
        <v>10011</v>
      </c>
      <c r="B4906" s="2" t="s">
        <v>5</v>
      </c>
      <c r="C4906" s="2" t="s">
        <v>10012</v>
      </c>
      <c r="D4906" s="2" t="s">
        <v>9996</v>
      </c>
      <c r="E4906" s="2" t="str">
        <f>HYPERLINK("https://talan.bank.gov.ua/get-user-certificate/sec1ebjaaKGEz1TodVmi","Завантажити сертифікат")</f>
        <v>Завантажити сертифікат</v>
      </c>
    </row>
    <row r="4907" spans="1:5" x14ac:dyDescent="0.3">
      <c r="A4907" s="2" t="s">
        <v>10013</v>
      </c>
      <c r="B4907" s="2" t="s">
        <v>5</v>
      </c>
      <c r="C4907" s="2" t="s">
        <v>10014</v>
      </c>
      <c r="D4907" s="2" t="s">
        <v>9996</v>
      </c>
      <c r="E4907" s="2" t="str">
        <f>HYPERLINK("https://talan.bank.gov.ua/get-user-certificate/sec1eEG3GQUhCy92ScZo","Завантажити сертифікат")</f>
        <v>Завантажити сертифікат</v>
      </c>
    </row>
    <row r="4908" spans="1:5" x14ac:dyDescent="0.3">
      <c r="A4908" s="2" t="s">
        <v>10015</v>
      </c>
      <c r="B4908" s="2" t="s">
        <v>5</v>
      </c>
      <c r="C4908" s="2" t="s">
        <v>10016</v>
      </c>
      <c r="D4908" s="2" t="s">
        <v>9996</v>
      </c>
      <c r="E4908" s="2" t="str">
        <f>HYPERLINK("https://talan.bank.gov.ua/get-user-certificate/sec1eN0gO1Fc-ZT0UqnL","Завантажити сертифікат")</f>
        <v>Завантажити сертифікат</v>
      </c>
    </row>
    <row r="4909" spans="1:5" x14ac:dyDescent="0.3">
      <c r="A4909" s="2" t="s">
        <v>10017</v>
      </c>
      <c r="B4909" s="2" t="s">
        <v>5</v>
      </c>
      <c r="C4909" s="2" t="s">
        <v>10018</v>
      </c>
      <c r="D4909" s="2" t="s">
        <v>9996</v>
      </c>
      <c r="E4909" s="2" t="str">
        <f>HYPERLINK("https://talan.bank.gov.ua/get-user-certificate/sec1eJ3fCTOHqPNrqp9E","Завантажити сертифікат")</f>
        <v>Завантажити сертифікат</v>
      </c>
    </row>
    <row r="4910" spans="1:5" x14ac:dyDescent="0.3">
      <c r="A4910" s="2" t="s">
        <v>10019</v>
      </c>
      <c r="B4910" s="2" t="s">
        <v>5</v>
      </c>
      <c r="C4910" s="2" t="s">
        <v>10020</v>
      </c>
      <c r="D4910" s="2" t="s">
        <v>10021</v>
      </c>
      <c r="E4910" s="2" t="str">
        <f>HYPERLINK("https://talan.bank.gov.ua/get-user-certificate/sec1egJUFMBLb6OEvt_T","Завантажити сертифікат")</f>
        <v>Завантажити сертифікат</v>
      </c>
    </row>
    <row r="4911" spans="1:5" x14ac:dyDescent="0.3">
      <c r="A4911" s="2" t="s">
        <v>10022</v>
      </c>
      <c r="B4911" s="2" t="s">
        <v>5</v>
      </c>
      <c r="C4911" s="2" t="s">
        <v>10023</v>
      </c>
      <c r="D4911" s="2" t="s">
        <v>10021</v>
      </c>
      <c r="E4911" s="2" t="str">
        <f>HYPERLINK("https://talan.bank.gov.ua/get-user-certificate/sec1em2uoy3fY100Tset","Завантажити сертифікат")</f>
        <v>Завантажити сертифікат</v>
      </c>
    </row>
    <row r="4912" spans="1:5" x14ac:dyDescent="0.3">
      <c r="A4912" s="2" t="s">
        <v>10024</v>
      </c>
      <c r="B4912" s="2" t="s">
        <v>5</v>
      </c>
      <c r="C4912" s="2" t="s">
        <v>10025</v>
      </c>
      <c r="D4912" s="2" t="s">
        <v>10021</v>
      </c>
      <c r="E4912" s="2" t="str">
        <f>HYPERLINK("https://talan.bank.gov.ua/get-user-certificate/sec1eCGA_OlUotLTP2Cg","Завантажити сертифікат")</f>
        <v>Завантажити сертифікат</v>
      </c>
    </row>
    <row r="4913" spans="1:5" x14ac:dyDescent="0.3">
      <c r="A4913" s="2" t="s">
        <v>10026</v>
      </c>
      <c r="B4913" s="2" t="s">
        <v>5</v>
      </c>
      <c r="C4913" s="2" t="s">
        <v>10027</v>
      </c>
      <c r="D4913" s="2" t="s">
        <v>10021</v>
      </c>
      <c r="E4913" s="2" t="str">
        <f>HYPERLINK("https://talan.bank.gov.ua/get-user-certificate/sec1eHZ3zWiJSIpCAZjq","Завантажити сертифікат")</f>
        <v>Завантажити сертифікат</v>
      </c>
    </row>
    <row r="4914" spans="1:5" x14ac:dyDescent="0.3">
      <c r="A4914" s="2" t="s">
        <v>10028</v>
      </c>
      <c r="B4914" s="2" t="s">
        <v>5</v>
      </c>
      <c r="C4914" s="2" t="s">
        <v>10029</v>
      </c>
      <c r="D4914" s="2" t="s">
        <v>10021</v>
      </c>
      <c r="E4914" s="2" t="str">
        <f>HYPERLINK("https://talan.bank.gov.ua/get-user-certificate/sec1e2Gri8Y6OipgO_M-","Завантажити сертифікат")</f>
        <v>Завантажити сертифікат</v>
      </c>
    </row>
    <row r="4915" spans="1:5" x14ac:dyDescent="0.3">
      <c r="A4915" s="2" t="s">
        <v>10030</v>
      </c>
      <c r="B4915" s="2" t="s">
        <v>5</v>
      </c>
      <c r="C4915" s="2" t="s">
        <v>10031</v>
      </c>
      <c r="D4915" s="2" t="s">
        <v>10021</v>
      </c>
      <c r="E4915" s="2" t="str">
        <f>HYPERLINK("https://talan.bank.gov.ua/get-user-certificate/sec1egeBYsboESBPa4Me","Завантажити сертифікат")</f>
        <v>Завантажити сертифікат</v>
      </c>
    </row>
    <row r="4916" spans="1:5" x14ac:dyDescent="0.3">
      <c r="A4916" s="2" t="s">
        <v>10032</v>
      </c>
      <c r="B4916" s="2" t="s">
        <v>5</v>
      </c>
      <c r="C4916" s="2" t="s">
        <v>10033</v>
      </c>
      <c r="D4916" s="2" t="s">
        <v>10021</v>
      </c>
      <c r="E4916" s="2" t="str">
        <f>HYPERLINK("https://talan.bank.gov.ua/get-user-certificate/sec1enJ8fqUfWM3SwQ6Q","Завантажити сертифікат")</f>
        <v>Завантажити сертифікат</v>
      </c>
    </row>
    <row r="4917" spans="1:5" x14ac:dyDescent="0.3">
      <c r="A4917" s="2" t="s">
        <v>10034</v>
      </c>
      <c r="B4917" s="2" t="s">
        <v>5</v>
      </c>
      <c r="C4917" s="2" t="s">
        <v>10035</v>
      </c>
      <c r="D4917" s="2" t="s">
        <v>10021</v>
      </c>
      <c r="E4917" s="2" t="str">
        <f>HYPERLINK("https://talan.bank.gov.ua/get-user-certificate/sec1eZoZrsS-9-edtME4","Завантажити сертифікат")</f>
        <v>Завантажити сертифікат</v>
      </c>
    </row>
    <row r="4918" spans="1:5" x14ac:dyDescent="0.3">
      <c r="A4918" s="2" t="s">
        <v>10036</v>
      </c>
      <c r="B4918" s="2" t="s">
        <v>5</v>
      </c>
      <c r="C4918" s="2" t="s">
        <v>10037</v>
      </c>
      <c r="D4918" s="2" t="s">
        <v>10021</v>
      </c>
      <c r="E4918" s="2" t="str">
        <f>HYPERLINK("https://talan.bank.gov.ua/get-user-certificate/sec1eRLZIFqQkGIy0Xjs","Завантажити сертифікат")</f>
        <v>Завантажити сертифікат</v>
      </c>
    </row>
    <row r="4919" spans="1:5" x14ac:dyDescent="0.3">
      <c r="A4919" s="2" t="s">
        <v>10038</v>
      </c>
      <c r="B4919" s="2" t="s">
        <v>5</v>
      </c>
      <c r="C4919" s="2" t="s">
        <v>10039</v>
      </c>
      <c r="D4919" s="2" t="s">
        <v>10021</v>
      </c>
      <c r="E4919" s="2" t="str">
        <f>HYPERLINK("https://talan.bank.gov.ua/get-user-certificate/sec1eZ9OS0wFo1LHmPvY","Завантажити сертифікат")</f>
        <v>Завантажити сертифікат</v>
      </c>
    </row>
    <row r="4920" spans="1:5" x14ac:dyDescent="0.3">
      <c r="A4920" s="2" t="s">
        <v>10040</v>
      </c>
      <c r="B4920" s="2" t="s">
        <v>5</v>
      </c>
      <c r="C4920" s="2" t="s">
        <v>10041</v>
      </c>
      <c r="D4920" s="2" t="s">
        <v>10021</v>
      </c>
      <c r="E4920" s="2" t="str">
        <f>HYPERLINK("https://talan.bank.gov.ua/get-user-certificate/sec1eG-ArRLjRximGYJh","Завантажити сертифікат")</f>
        <v>Завантажити сертифікат</v>
      </c>
    </row>
    <row r="4921" spans="1:5" x14ac:dyDescent="0.3">
      <c r="A4921" s="2" t="s">
        <v>10042</v>
      </c>
      <c r="B4921" s="2" t="s">
        <v>5</v>
      </c>
      <c r="C4921" s="2" t="s">
        <v>10043</v>
      </c>
      <c r="D4921" s="2" t="s">
        <v>10021</v>
      </c>
      <c r="E4921" s="2" t="str">
        <f>HYPERLINK("https://talan.bank.gov.ua/get-user-certificate/sec1euqIlIOUc_ZB4vy7","Завантажити сертифікат")</f>
        <v>Завантажити сертифікат</v>
      </c>
    </row>
    <row r="4922" spans="1:5" x14ac:dyDescent="0.3">
      <c r="A4922" s="2" t="s">
        <v>10044</v>
      </c>
      <c r="B4922" s="2" t="s">
        <v>5</v>
      </c>
      <c r="C4922" s="2" t="s">
        <v>10045</v>
      </c>
      <c r="D4922" s="2" t="s">
        <v>10021</v>
      </c>
      <c r="E4922" s="2" t="str">
        <f>HYPERLINK("https://talan.bank.gov.ua/get-user-certificate/sec1e8I3-Z06EpVSzhaw","Завантажити сертифікат")</f>
        <v>Завантажити сертифікат</v>
      </c>
    </row>
    <row r="4923" spans="1:5" x14ac:dyDescent="0.3">
      <c r="A4923" s="2" t="s">
        <v>10046</v>
      </c>
      <c r="B4923" s="2" t="s">
        <v>5</v>
      </c>
      <c r="C4923" s="2" t="s">
        <v>10047</v>
      </c>
      <c r="D4923" s="2" t="s">
        <v>10021</v>
      </c>
      <c r="E4923" s="2" t="str">
        <f>HYPERLINK("https://talan.bank.gov.ua/get-user-certificate/sec1ehD6ENMnoV3wq7qy","Завантажити сертифікат")</f>
        <v>Завантажити сертифікат</v>
      </c>
    </row>
    <row r="4924" spans="1:5" x14ac:dyDescent="0.3">
      <c r="A4924" s="2" t="s">
        <v>10048</v>
      </c>
      <c r="B4924" s="2" t="s">
        <v>5</v>
      </c>
      <c r="C4924" s="2" t="s">
        <v>10049</v>
      </c>
      <c r="D4924" s="2" t="s">
        <v>10021</v>
      </c>
      <c r="E4924" s="2" t="str">
        <f>HYPERLINK("https://talan.bank.gov.ua/get-user-certificate/sec1eOjK8CzKPWHZurJ8","Завантажити сертифікат")</f>
        <v>Завантажити сертифікат</v>
      </c>
    </row>
    <row r="4925" spans="1:5" x14ac:dyDescent="0.3">
      <c r="A4925" s="2" t="s">
        <v>10050</v>
      </c>
      <c r="B4925" s="2" t="s">
        <v>5</v>
      </c>
      <c r="C4925" s="2" t="s">
        <v>10051</v>
      </c>
      <c r="D4925" s="2" t="s">
        <v>10021</v>
      </c>
      <c r="E4925" s="2" t="str">
        <f>HYPERLINK("https://talan.bank.gov.ua/get-user-certificate/sec1ejriZRXScDmzHQ7y","Завантажити сертифікат")</f>
        <v>Завантажити сертифікат</v>
      </c>
    </row>
    <row r="4926" spans="1:5" x14ac:dyDescent="0.3">
      <c r="A4926" s="2" t="s">
        <v>10052</v>
      </c>
      <c r="B4926" s="2" t="s">
        <v>5</v>
      </c>
      <c r="C4926" s="2" t="s">
        <v>10053</v>
      </c>
      <c r="D4926" s="2" t="s">
        <v>10021</v>
      </c>
      <c r="E4926" s="2" t="str">
        <f>HYPERLINK("https://talan.bank.gov.ua/get-user-certificate/sec1eEAdWE6Olyfww8zJ","Завантажити сертифікат")</f>
        <v>Завантажити сертифікат</v>
      </c>
    </row>
    <row r="4927" spans="1:5" x14ac:dyDescent="0.3">
      <c r="A4927" s="2" t="s">
        <v>10054</v>
      </c>
      <c r="B4927" s="2" t="s">
        <v>5</v>
      </c>
      <c r="C4927" s="2" t="s">
        <v>10055</v>
      </c>
      <c r="D4927" s="2" t="s">
        <v>10021</v>
      </c>
      <c r="E4927" s="2" t="str">
        <f>HYPERLINK("https://talan.bank.gov.ua/get-user-certificate/sec1eMsLbHfYgQETzOId","Завантажити сертифікат")</f>
        <v>Завантажити сертифікат</v>
      </c>
    </row>
    <row r="4928" spans="1:5" x14ac:dyDescent="0.3">
      <c r="A4928" s="2" t="s">
        <v>10056</v>
      </c>
      <c r="B4928" s="2" t="s">
        <v>5</v>
      </c>
      <c r="C4928" s="2" t="s">
        <v>10057</v>
      </c>
      <c r="D4928" s="2" t="s">
        <v>10021</v>
      </c>
      <c r="E4928" s="2" t="str">
        <f>HYPERLINK("https://talan.bank.gov.ua/get-user-certificate/sec1ebtC8hbHkH7-gXYR","Завантажити сертифікат")</f>
        <v>Завантажити сертифікат</v>
      </c>
    </row>
    <row r="4929" spans="1:5" x14ac:dyDescent="0.3">
      <c r="A4929" s="2" t="s">
        <v>10058</v>
      </c>
      <c r="B4929" s="2" t="s">
        <v>5</v>
      </c>
      <c r="C4929" s="2" t="s">
        <v>10059</v>
      </c>
      <c r="D4929" s="2" t="s">
        <v>10060</v>
      </c>
      <c r="E4929" s="2" t="str">
        <f>HYPERLINK("https://talan.bank.gov.ua/get-user-certificate/sec1e0o8nNdgMiJrohJ4","Завантажити сертифікат")</f>
        <v>Завантажити сертифікат</v>
      </c>
    </row>
    <row r="4930" spans="1:5" x14ac:dyDescent="0.3">
      <c r="A4930" s="2" t="s">
        <v>10061</v>
      </c>
      <c r="B4930" s="2" t="s">
        <v>5</v>
      </c>
      <c r="C4930" s="2" t="s">
        <v>10062</v>
      </c>
      <c r="D4930" s="2" t="s">
        <v>10060</v>
      </c>
      <c r="E4930" s="2" t="str">
        <f>HYPERLINK("https://talan.bank.gov.ua/get-user-certificate/sec1engMX1eZhvr_zpEv","Завантажити сертифікат")</f>
        <v>Завантажити сертифікат</v>
      </c>
    </row>
    <row r="4931" spans="1:5" x14ac:dyDescent="0.3">
      <c r="A4931" s="2" t="s">
        <v>10063</v>
      </c>
      <c r="B4931" s="2" t="s">
        <v>5</v>
      </c>
      <c r="C4931" s="2" t="s">
        <v>10064</v>
      </c>
      <c r="D4931" s="2" t="s">
        <v>10060</v>
      </c>
      <c r="E4931" s="2" t="str">
        <f>HYPERLINK("https://talan.bank.gov.ua/get-user-certificate/sec1e9DYDGkej4UfF-oC","Завантажити сертифікат")</f>
        <v>Завантажити сертифікат</v>
      </c>
    </row>
    <row r="4932" spans="1:5" x14ac:dyDescent="0.3">
      <c r="A4932" s="2" t="s">
        <v>10065</v>
      </c>
      <c r="B4932" s="2" t="s">
        <v>5</v>
      </c>
      <c r="C4932" s="2" t="s">
        <v>10066</v>
      </c>
      <c r="D4932" s="2" t="s">
        <v>10060</v>
      </c>
      <c r="E4932" s="2" t="str">
        <f>HYPERLINK("https://talan.bank.gov.ua/get-user-certificate/sec1eYLADFoOYsV8B06X","Завантажити сертифікат")</f>
        <v>Завантажити сертифікат</v>
      </c>
    </row>
    <row r="4933" spans="1:5" x14ac:dyDescent="0.3">
      <c r="A4933" s="2" t="s">
        <v>10067</v>
      </c>
      <c r="B4933" s="2" t="s">
        <v>5</v>
      </c>
      <c r="C4933" s="2" t="s">
        <v>10068</v>
      </c>
      <c r="D4933" s="2" t="s">
        <v>10060</v>
      </c>
      <c r="E4933" s="2" t="str">
        <f>HYPERLINK("https://talan.bank.gov.ua/get-user-certificate/sec1ewOONypdlLRmcIV6","Завантажити сертифікат")</f>
        <v>Завантажити сертифікат</v>
      </c>
    </row>
    <row r="4934" spans="1:5" x14ac:dyDescent="0.3">
      <c r="A4934" s="2" t="s">
        <v>10069</v>
      </c>
      <c r="B4934" s="2" t="s">
        <v>5</v>
      </c>
      <c r="C4934" s="2" t="s">
        <v>10070</v>
      </c>
      <c r="D4934" s="2" t="s">
        <v>10060</v>
      </c>
      <c r="E4934" s="2" t="str">
        <f>HYPERLINK("https://talan.bank.gov.ua/get-user-certificate/sec1eGmSADhcnSlVy8Mj","Завантажити сертифікат")</f>
        <v>Завантажити сертифікат</v>
      </c>
    </row>
    <row r="4935" spans="1:5" x14ac:dyDescent="0.3">
      <c r="A4935" s="2" t="s">
        <v>10071</v>
      </c>
      <c r="B4935" s="2" t="s">
        <v>5</v>
      </c>
      <c r="C4935" s="2" t="s">
        <v>10072</v>
      </c>
      <c r="D4935" s="2" t="s">
        <v>10060</v>
      </c>
      <c r="E4935" s="2" t="str">
        <f>HYPERLINK("https://talan.bank.gov.ua/get-user-certificate/sec1eKn-gr5k7H3kWcI_","Завантажити сертифікат")</f>
        <v>Завантажити сертифікат</v>
      </c>
    </row>
    <row r="4936" spans="1:5" x14ac:dyDescent="0.3">
      <c r="A4936" s="2" t="s">
        <v>10073</v>
      </c>
      <c r="B4936" s="2" t="s">
        <v>5</v>
      </c>
      <c r="C4936" s="2" t="s">
        <v>10074</v>
      </c>
      <c r="D4936" s="2" t="s">
        <v>10060</v>
      </c>
      <c r="E4936" s="2" t="str">
        <f>HYPERLINK("https://talan.bank.gov.ua/get-user-certificate/sec1eD53KGkGKTPmzcRd","Завантажити сертифікат")</f>
        <v>Завантажити сертифікат</v>
      </c>
    </row>
    <row r="4937" spans="1:5" x14ac:dyDescent="0.3">
      <c r="A4937" s="2" t="s">
        <v>10075</v>
      </c>
      <c r="B4937" s="2" t="s">
        <v>5</v>
      </c>
      <c r="C4937" s="2" t="s">
        <v>10076</v>
      </c>
      <c r="D4937" s="2" t="s">
        <v>10060</v>
      </c>
      <c r="E4937" s="2" t="str">
        <f>HYPERLINK("https://talan.bank.gov.ua/get-user-certificate/sec1esIffKbrHYelFaS8","Завантажити сертифікат")</f>
        <v>Завантажити сертифікат</v>
      </c>
    </row>
    <row r="4938" spans="1:5" x14ac:dyDescent="0.3">
      <c r="A4938" s="2" t="s">
        <v>10077</v>
      </c>
      <c r="B4938" s="2" t="s">
        <v>5</v>
      </c>
      <c r="C4938" s="2" t="s">
        <v>10078</v>
      </c>
      <c r="D4938" s="2" t="s">
        <v>10060</v>
      </c>
      <c r="E4938" s="2" t="str">
        <f>HYPERLINK("https://talan.bank.gov.ua/get-user-certificate/sec1evFrkhIbizQtgIr0","Завантажити сертифікат")</f>
        <v>Завантажити сертифікат</v>
      </c>
    </row>
    <row r="4939" spans="1:5" x14ac:dyDescent="0.3">
      <c r="A4939" s="2" t="s">
        <v>10079</v>
      </c>
      <c r="B4939" s="2" t="s">
        <v>5</v>
      </c>
      <c r="C4939" s="2" t="s">
        <v>10080</v>
      </c>
      <c r="D4939" s="2" t="s">
        <v>10060</v>
      </c>
      <c r="E4939" s="2" t="str">
        <f>HYPERLINK("https://talan.bank.gov.ua/get-user-certificate/sec1eOPfVYvofgaLK8RJ","Завантажити сертифікат")</f>
        <v>Завантажити сертифікат</v>
      </c>
    </row>
    <row r="4940" spans="1:5" x14ac:dyDescent="0.3">
      <c r="A4940" s="2" t="s">
        <v>10081</v>
      </c>
      <c r="B4940" s="2" t="s">
        <v>5</v>
      </c>
      <c r="C4940" s="2" t="s">
        <v>10082</v>
      </c>
      <c r="D4940" s="2" t="s">
        <v>10060</v>
      </c>
      <c r="E4940" s="2" t="str">
        <f>HYPERLINK("https://talan.bank.gov.ua/get-user-certificate/sec1eisOAExLDHkdYtQV","Завантажити сертифікат")</f>
        <v>Завантажити сертифікат</v>
      </c>
    </row>
    <row r="4941" spans="1:5" x14ac:dyDescent="0.3">
      <c r="A4941" s="2" t="s">
        <v>10083</v>
      </c>
      <c r="B4941" s="2" t="s">
        <v>5</v>
      </c>
      <c r="C4941" s="2" t="s">
        <v>10084</v>
      </c>
      <c r="D4941" s="2" t="s">
        <v>10060</v>
      </c>
      <c r="E4941" s="2" t="str">
        <f>HYPERLINK("https://talan.bank.gov.ua/get-user-certificate/sec1eeSMJcrzWHQuIvCQ","Завантажити сертифікат")</f>
        <v>Завантажити сертифікат</v>
      </c>
    </row>
    <row r="4942" spans="1:5" x14ac:dyDescent="0.3">
      <c r="A4942" s="2" t="s">
        <v>10085</v>
      </c>
      <c r="B4942" s="2" t="s">
        <v>5</v>
      </c>
      <c r="C4942" s="2" t="s">
        <v>10086</v>
      </c>
      <c r="D4942" s="2" t="s">
        <v>10060</v>
      </c>
      <c r="E4942" s="2" t="str">
        <f>HYPERLINK("https://talan.bank.gov.ua/get-user-certificate/sec1eK34yhNBBU5_uPhU","Завантажити сертифікат")</f>
        <v>Завантажити сертифікат</v>
      </c>
    </row>
    <row r="4943" spans="1:5" x14ac:dyDescent="0.3">
      <c r="A4943" s="2" t="s">
        <v>10087</v>
      </c>
      <c r="B4943" s="2" t="s">
        <v>5</v>
      </c>
      <c r="C4943" s="2" t="s">
        <v>10088</v>
      </c>
      <c r="D4943" s="2" t="s">
        <v>10060</v>
      </c>
      <c r="E4943" s="2" t="str">
        <f>HYPERLINK("https://talan.bank.gov.ua/get-user-certificate/sec1eXh-6EZwHdHnD4dJ","Завантажити сертифікат")</f>
        <v>Завантажити сертифікат</v>
      </c>
    </row>
    <row r="4944" spans="1:5" x14ac:dyDescent="0.3">
      <c r="A4944" s="2" t="s">
        <v>10089</v>
      </c>
      <c r="B4944" s="2" t="s">
        <v>5</v>
      </c>
      <c r="C4944" s="2" t="s">
        <v>10090</v>
      </c>
      <c r="D4944" s="2" t="s">
        <v>10060</v>
      </c>
      <c r="E4944" s="2" t="str">
        <f>HYPERLINK("https://talan.bank.gov.ua/get-user-certificate/sec1ebT85EfTuZpK_lXo","Завантажити сертифікат")</f>
        <v>Завантажити сертифікат</v>
      </c>
    </row>
    <row r="4945" spans="1:5" x14ac:dyDescent="0.3">
      <c r="A4945" s="2" t="s">
        <v>10091</v>
      </c>
      <c r="B4945" s="2" t="s">
        <v>5</v>
      </c>
      <c r="C4945" s="2" t="s">
        <v>10092</v>
      </c>
      <c r="D4945" s="2" t="s">
        <v>10060</v>
      </c>
      <c r="E4945" s="2" t="str">
        <f>HYPERLINK("https://talan.bank.gov.ua/get-user-certificate/sec1esn8BDcwZOa5-hlW","Завантажити сертифікат")</f>
        <v>Завантажити сертифікат</v>
      </c>
    </row>
    <row r="4946" spans="1:5" x14ac:dyDescent="0.3">
      <c r="A4946" s="2" t="s">
        <v>10093</v>
      </c>
      <c r="B4946" s="2" t="s">
        <v>5</v>
      </c>
      <c r="C4946" s="2" t="s">
        <v>10094</v>
      </c>
      <c r="D4946" s="2" t="s">
        <v>10060</v>
      </c>
      <c r="E4946" s="2" t="str">
        <f>HYPERLINK("https://talan.bank.gov.ua/get-user-certificate/sec1e8MO2hXI3nLynZ1z","Завантажити сертифікат")</f>
        <v>Завантажити сертифікат</v>
      </c>
    </row>
    <row r="4947" spans="1:5" x14ac:dyDescent="0.3">
      <c r="A4947" s="2" t="s">
        <v>10095</v>
      </c>
      <c r="B4947" s="2" t="s">
        <v>5</v>
      </c>
      <c r="C4947" s="2" t="s">
        <v>10096</v>
      </c>
      <c r="D4947" s="2" t="s">
        <v>10060</v>
      </c>
      <c r="E4947" s="2" t="str">
        <f>HYPERLINK("https://talan.bank.gov.ua/get-user-certificate/sec1ebJDpjX3vP_rKiQf","Завантажити сертифікат")</f>
        <v>Завантажити сертифікат</v>
      </c>
    </row>
    <row r="4948" spans="1:5" x14ac:dyDescent="0.3">
      <c r="A4948" s="2" t="s">
        <v>10097</v>
      </c>
      <c r="B4948" s="2" t="s">
        <v>5</v>
      </c>
      <c r="C4948" s="2" t="s">
        <v>10098</v>
      </c>
      <c r="D4948" s="2" t="s">
        <v>10060</v>
      </c>
      <c r="E4948" s="2" t="str">
        <f>HYPERLINK("https://talan.bank.gov.ua/get-user-certificate/sec1eih-U2Cp_FWf83Ka","Завантажити сертифікат")</f>
        <v>Завантажити сертифікат</v>
      </c>
    </row>
    <row r="4949" spans="1:5" x14ac:dyDescent="0.3">
      <c r="A4949" s="2" t="s">
        <v>10099</v>
      </c>
      <c r="B4949" s="2" t="s">
        <v>5</v>
      </c>
      <c r="C4949" s="2" t="s">
        <v>10100</v>
      </c>
      <c r="D4949" s="2" t="s">
        <v>10060</v>
      </c>
      <c r="E4949" s="2" t="str">
        <f>HYPERLINK("https://talan.bank.gov.ua/get-user-certificate/sec1euLcqo-qS0KmI_GN","Завантажити сертифікат")</f>
        <v>Завантажити сертифікат</v>
      </c>
    </row>
    <row r="4950" spans="1:5" x14ac:dyDescent="0.3">
      <c r="A4950" s="2" t="s">
        <v>10101</v>
      </c>
      <c r="B4950" s="2" t="s">
        <v>5</v>
      </c>
      <c r="C4950" s="2" t="s">
        <v>10102</v>
      </c>
      <c r="D4950" s="2" t="s">
        <v>10060</v>
      </c>
      <c r="E4950" s="2" t="str">
        <f>HYPERLINK("https://talan.bank.gov.ua/get-user-certificate/sec1e0KtG23NNc9aAH-7","Завантажити сертифікат")</f>
        <v>Завантажити сертифікат</v>
      </c>
    </row>
    <row r="4951" spans="1:5" x14ac:dyDescent="0.3">
      <c r="A4951" s="2" t="s">
        <v>10103</v>
      </c>
      <c r="B4951" s="2" t="s">
        <v>5</v>
      </c>
      <c r="C4951" s="2" t="s">
        <v>10104</v>
      </c>
      <c r="D4951" s="2" t="s">
        <v>10060</v>
      </c>
      <c r="E4951" s="2" t="str">
        <f>HYPERLINK("https://talan.bank.gov.ua/get-user-certificate/sec1ecIPFfmXuL78cfFx","Завантажити сертифікат")</f>
        <v>Завантажити сертифікат</v>
      </c>
    </row>
    <row r="4952" spans="1:5" x14ac:dyDescent="0.3">
      <c r="A4952" s="2" t="s">
        <v>10105</v>
      </c>
      <c r="B4952" s="2" t="s">
        <v>5</v>
      </c>
      <c r="C4952" s="2" t="s">
        <v>10106</v>
      </c>
      <c r="D4952" s="2" t="s">
        <v>10060</v>
      </c>
      <c r="E4952" s="2" t="str">
        <f>HYPERLINK("https://talan.bank.gov.ua/get-user-certificate/sec1eWkeDsh5098utIOG","Завантажити сертифікат")</f>
        <v>Завантажити сертифікат</v>
      </c>
    </row>
    <row r="4953" spans="1:5" x14ac:dyDescent="0.3">
      <c r="A4953" s="2" t="s">
        <v>10107</v>
      </c>
      <c r="B4953" s="2" t="s">
        <v>5</v>
      </c>
      <c r="C4953" s="2" t="s">
        <v>10108</v>
      </c>
      <c r="D4953" s="2" t="s">
        <v>10060</v>
      </c>
      <c r="E4953" s="2" t="str">
        <f>HYPERLINK("https://talan.bank.gov.ua/get-user-certificate/sec1ee25Rphkb5XILoty","Завантажити сертифікат")</f>
        <v>Завантажити сертифікат</v>
      </c>
    </row>
    <row r="4954" spans="1:5" x14ac:dyDescent="0.3">
      <c r="A4954" s="2" t="s">
        <v>10109</v>
      </c>
      <c r="B4954" s="2" t="s">
        <v>5</v>
      </c>
      <c r="C4954" s="2" t="s">
        <v>10110</v>
      </c>
      <c r="D4954" s="2" t="s">
        <v>10060</v>
      </c>
      <c r="E4954" s="2" t="str">
        <f>HYPERLINK("https://talan.bank.gov.ua/get-user-certificate/sec1eEPurGYiTtwWMH2r","Завантажити сертифікат")</f>
        <v>Завантажити сертифікат</v>
      </c>
    </row>
    <row r="4955" spans="1:5" x14ac:dyDescent="0.3">
      <c r="A4955" s="2" t="s">
        <v>10111</v>
      </c>
      <c r="B4955" s="2" t="s">
        <v>5</v>
      </c>
      <c r="C4955" s="2" t="s">
        <v>10112</v>
      </c>
      <c r="D4955" s="2" t="s">
        <v>10060</v>
      </c>
      <c r="E4955" s="2" t="str">
        <f>HYPERLINK("https://talan.bank.gov.ua/get-user-certificate/sec1eCPU-Y6HHvJ1CfiH","Завантажити сертифікат")</f>
        <v>Завантажити сертифікат</v>
      </c>
    </row>
    <row r="4956" spans="1:5" x14ac:dyDescent="0.3">
      <c r="A4956" s="2" t="s">
        <v>10113</v>
      </c>
      <c r="B4956" s="2" t="s">
        <v>5</v>
      </c>
      <c r="C4956" s="2" t="s">
        <v>10114</v>
      </c>
      <c r="D4956" s="2" t="s">
        <v>10060</v>
      </c>
      <c r="E4956" s="2" t="str">
        <f>HYPERLINK("https://talan.bank.gov.ua/get-user-certificate/sec1eQrILesmYMM5U8Ry","Завантажити сертифікат")</f>
        <v>Завантажити сертифікат</v>
      </c>
    </row>
    <row r="4957" spans="1:5" x14ac:dyDescent="0.3">
      <c r="A4957" s="2" t="s">
        <v>10115</v>
      </c>
      <c r="B4957" s="2" t="s">
        <v>5</v>
      </c>
      <c r="C4957" s="2" t="s">
        <v>10116</v>
      </c>
      <c r="D4957" s="2" t="s">
        <v>10060</v>
      </c>
      <c r="E4957" s="2" t="str">
        <f>HYPERLINK("https://talan.bank.gov.ua/get-user-certificate/sec1eAKmBqTtCO8S2DGI","Завантажити сертифікат")</f>
        <v>Завантажити сертифікат</v>
      </c>
    </row>
    <row r="4958" spans="1:5" x14ac:dyDescent="0.3">
      <c r="A4958" s="2" t="s">
        <v>10117</v>
      </c>
      <c r="B4958" s="2" t="s">
        <v>5</v>
      </c>
      <c r="C4958" s="2" t="s">
        <v>10118</v>
      </c>
      <c r="D4958" s="2" t="s">
        <v>10060</v>
      </c>
      <c r="E4958" s="2" t="str">
        <f>HYPERLINK("https://talan.bank.gov.ua/get-user-certificate/sec1eZK2CsFWoo0hElan","Завантажити сертифікат")</f>
        <v>Завантажити сертифікат</v>
      </c>
    </row>
    <row r="4959" spans="1:5" x14ac:dyDescent="0.3">
      <c r="A4959" s="2" t="s">
        <v>10119</v>
      </c>
      <c r="B4959" s="2" t="s">
        <v>5</v>
      </c>
      <c r="C4959" s="2" t="s">
        <v>10120</v>
      </c>
      <c r="D4959" s="2" t="s">
        <v>10060</v>
      </c>
      <c r="E4959" s="2" t="str">
        <f>HYPERLINK("https://talan.bank.gov.ua/get-user-certificate/sec1edhwJKur2HFS2C4Q","Завантажити сертифікат")</f>
        <v>Завантажити сертифікат</v>
      </c>
    </row>
    <row r="4960" spans="1:5" x14ac:dyDescent="0.3">
      <c r="A4960" s="2" t="s">
        <v>10121</v>
      </c>
      <c r="B4960" s="2" t="s">
        <v>5</v>
      </c>
      <c r="C4960" s="2" t="s">
        <v>10122</v>
      </c>
      <c r="D4960" s="2" t="s">
        <v>10060</v>
      </c>
      <c r="E4960" s="2" t="str">
        <f>HYPERLINK("https://talan.bank.gov.ua/get-user-certificate/sec1eicAoT2xp8_RvH_Z","Завантажити сертифікат")</f>
        <v>Завантажити сертифікат</v>
      </c>
    </row>
    <row r="4961" spans="1:5" x14ac:dyDescent="0.3">
      <c r="A4961" s="2" t="s">
        <v>10123</v>
      </c>
      <c r="B4961" s="2" t="s">
        <v>5</v>
      </c>
      <c r="C4961" s="2" t="s">
        <v>10124</v>
      </c>
      <c r="D4961" s="2" t="s">
        <v>10060</v>
      </c>
      <c r="E4961" s="2" t="str">
        <f>HYPERLINK("https://talan.bank.gov.ua/get-user-certificate/sec1eh-rP8sXjmLW_0G0","Завантажити сертифікат")</f>
        <v>Завантажити сертифікат</v>
      </c>
    </row>
    <row r="4962" spans="1:5" x14ac:dyDescent="0.3">
      <c r="A4962" s="2" t="s">
        <v>10125</v>
      </c>
      <c r="B4962" s="2" t="s">
        <v>5</v>
      </c>
      <c r="C4962" s="2" t="s">
        <v>10126</v>
      </c>
      <c r="D4962" s="2" t="s">
        <v>10060</v>
      </c>
      <c r="E4962" s="2" t="str">
        <f>HYPERLINK("https://talan.bank.gov.ua/get-user-certificate/sec1elG4GACAj4AHEmIn","Завантажити сертифікат")</f>
        <v>Завантажити сертифікат</v>
      </c>
    </row>
    <row r="4963" spans="1:5" x14ac:dyDescent="0.3">
      <c r="A4963" s="2" t="s">
        <v>10127</v>
      </c>
      <c r="B4963" s="2" t="s">
        <v>5</v>
      </c>
      <c r="C4963" s="2" t="s">
        <v>10128</v>
      </c>
      <c r="D4963" s="2" t="s">
        <v>10060</v>
      </c>
      <c r="E4963" s="2" t="str">
        <f>HYPERLINK("https://talan.bank.gov.ua/get-user-certificate/sec1eFu8sTCn4hLKCT74","Завантажити сертифікат")</f>
        <v>Завантажити сертифікат</v>
      </c>
    </row>
    <row r="4964" spans="1:5" x14ac:dyDescent="0.3">
      <c r="A4964" s="2" t="s">
        <v>10129</v>
      </c>
      <c r="B4964" s="2" t="s">
        <v>5</v>
      </c>
      <c r="C4964" s="2" t="s">
        <v>10130</v>
      </c>
      <c r="D4964" s="2" t="s">
        <v>10060</v>
      </c>
      <c r="E4964" s="2" t="str">
        <f>HYPERLINK("https://talan.bank.gov.ua/get-user-certificate/sec1evOVc-hSWwmm1p4a","Завантажити сертифікат")</f>
        <v>Завантажити сертифікат</v>
      </c>
    </row>
    <row r="4965" spans="1:5" x14ac:dyDescent="0.3">
      <c r="A4965" s="2" t="s">
        <v>10131</v>
      </c>
      <c r="B4965" s="2" t="s">
        <v>5</v>
      </c>
      <c r="C4965" s="2" t="s">
        <v>10132</v>
      </c>
      <c r="D4965" s="2" t="s">
        <v>10133</v>
      </c>
      <c r="E4965" s="2" t="str">
        <f>HYPERLINK("https://talan.bank.gov.ua/get-user-certificate/sec1ePsaJl0ubIH12GzR","Завантажити сертифікат")</f>
        <v>Завантажити сертифікат</v>
      </c>
    </row>
    <row r="4966" spans="1:5" x14ac:dyDescent="0.3">
      <c r="A4966" s="2" t="s">
        <v>10134</v>
      </c>
      <c r="B4966" s="2" t="s">
        <v>5</v>
      </c>
      <c r="C4966" s="2" t="s">
        <v>10135</v>
      </c>
      <c r="D4966" s="2" t="s">
        <v>10133</v>
      </c>
      <c r="E4966" s="2" t="str">
        <f>HYPERLINK("https://talan.bank.gov.ua/get-user-certificate/sec1eZn5BtdRH8FbH3gy","Завантажити сертифікат")</f>
        <v>Завантажити сертифікат</v>
      </c>
    </row>
    <row r="4967" spans="1:5" x14ac:dyDescent="0.3">
      <c r="A4967" s="2" t="s">
        <v>10136</v>
      </c>
      <c r="B4967" s="2" t="s">
        <v>5</v>
      </c>
      <c r="C4967" s="2" t="s">
        <v>10137</v>
      </c>
      <c r="D4967" s="2" t="s">
        <v>10133</v>
      </c>
      <c r="E4967" s="2" t="str">
        <f>HYPERLINK("https://talan.bank.gov.ua/get-user-certificate/sec1e7xFml_9u1fGjfPM","Завантажити сертифікат")</f>
        <v>Завантажити сертифікат</v>
      </c>
    </row>
    <row r="4968" spans="1:5" x14ac:dyDescent="0.3">
      <c r="A4968" s="2" t="s">
        <v>10138</v>
      </c>
      <c r="B4968" s="2" t="s">
        <v>5</v>
      </c>
      <c r="C4968" s="2" t="s">
        <v>10139</v>
      </c>
      <c r="D4968" s="2" t="s">
        <v>10133</v>
      </c>
      <c r="E4968" s="2" t="str">
        <f>HYPERLINK("https://talan.bank.gov.ua/get-user-certificate/sec1eL9_Bk6lHluTU1dk","Завантажити сертифікат")</f>
        <v>Завантажити сертифікат</v>
      </c>
    </row>
    <row r="4969" spans="1:5" x14ac:dyDescent="0.3">
      <c r="A4969" s="2" t="s">
        <v>10140</v>
      </c>
      <c r="B4969" s="2" t="s">
        <v>5</v>
      </c>
      <c r="C4969" s="2" t="s">
        <v>10141</v>
      </c>
      <c r="D4969" s="2" t="s">
        <v>10133</v>
      </c>
      <c r="E4969" s="2" t="str">
        <f>HYPERLINK("https://talan.bank.gov.ua/get-user-certificate/sec1emKav-fGOMI0logS","Завантажити сертифікат")</f>
        <v>Завантажити сертифікат</v>
      </c>
    </row>
    <row r="4970" spans="1:5" x14ac:dyDescent="0.3">
      <c r="A4970" s="2" t="s">
        <v>10142</v>
      </c>
      <c r="B4970" s="2" t="s">
        <v>5</v>
      </c>
      <c r="C4970" s="2" t="s">
        <v>10143</v>
      </c>
      <c r="D4970" s="2" t="s">
        <v>10133</v>
      </c>
      <c r="E4970" s="2" t="str">
        <f>HYPERLINK("https://talan.bank.gov.ua/get-user-certificate/sec1eCmvYJGZP6CgdC-g","Завантажити сертифікат")</f>
        <v>Завантажити сертифікат</v>
      </c>
    </row>
    <row r="4971" spans="1:5" x14ac:dyDescent="0.3">
      <c r="A4971" s="2" t="s">
        <v>10144</v>
      </c>
      <c r="B4971" s="2" t="s">
        <v>5</v>
      </c>
      <c r="C4971" s="2" t="s">
        <v>10145</v>
      </c>
      <c r="D4971" s="2" t="s">
        <v>10133</v>
      </c>
      <c r="E4971" s="2" t="str">
        <f>HYPERLINK("https://talan.bank.gov.ua/get-user-certificate/sec1eK2wFhUbcIYwFdOn","Завантажити сертифікат")</f>
        <v>Завантажити сертифікат</v>
      </c>
    </row>
    <row r="4972" spans="1:5" x14ac:dyDescent="0.3">
      <c r="A4972" s="2" t="s">
        <v>10146</v>
      </c>
      <c r="B4972" s="2" t="s">
        <v>5</v>
      </c>
      <c r="C4972" s="2" t="s">
        <v>10147</v>
      </c>
      <c r="D4972" s="2" t="s">
        <v>10133</v>
      </c>
      <c r="E4972" s="2" t="str">
        <f>HYPERLINK("https://talan.bank.gov.ua/get-user-certificate/sec1epu_yoK2-vBaEH-h","Завантажити сертифікат")</f>
        <v>Завантажити сертифікат</v>
      </c>
    </row>
    <row r="4973" spans="1:5" x14ac:dyDescent="0.3">
      <c r="A4973" s="2" t="s">
        <v>10148</v>
      </c>
      <c r="B4973" s="2" t="s">
        <v>5</v>
      </c>
      <c r="C4973" s="2" t="s">
        <v>10149</v>
      </c>
      <c r="D4973" s="2" t="s">
        <v>10133</v>
      </c>
      <c r="E4973" s="2" t="str">
        <f>HYPERLINK("https://talan.bank.gov.ua/get-user-certificate/sec1efHW9_iK8IN1BX8W","Завантажити сертифікат")</f>
        <v>Завантажити сертифікат</v>
      </c>
    </row>
    <row r="4974" spans="1:5" x14ac:dyDescent="0.3">
      <c r="A4974" s="2" t="s">
        <v>10150</v>
      </c>
      <c r="B4974" s="2" t="s">
        <v>5</v>
      </c>
      <c r="C4974" s="2" t="s">
        <v>10151</v>
      </c>
      <c r="D4974" s="2" t="s">
        <v>10133</v>
      </c>
      <c r="E4974" s="2" t="str">
        <f>HYPERLINK("https://talan.bank.gov.ua/get-user-certificate/sec1e8cLYtLGH2RC4Xpm","Завантажити сертифікат")</f>
        <v>Завантажити сертифікат</v>
      </c>
    </row>
    <row r="4975" spans="1:5" x14ac:dyDescent="0.3">
      <c r="A4975" s="2" t="s">
        <v>10152</v>
      </c>
      <c r="B4975" s="2" t="s">
        <v>5</v>
      </c>
      <c r="C4975" s="2" t="s">
        <v>10153</v>
      </c>
      <c r="D4975" s="2" t="s">
        <v>10133</v>
      </c>
      <c r="E4975" s="2" t="str">
        <f>HYPERLINK("https://talan.bank.gov.ua/get-user-certificate/sec1esZfU0iuGcA89jVX","Завантажити сертифікат")</f>
        <v>Завантажити сертифікат</v>
      </c>
    </row>
    <row r="4976" spans="1:5" x14ac:dyDescent="0.3">
      <c r="A4976" s="2" t="s">
        <v>10154</v>
      </c>
      <c r="B4976" s="2" t="s">
        <v>5</v>
      </c>
      <c r="C4976" s="2" t="s">
        <v>10155</v>
      </c>
      <c r="D4976" s="2" t="s">
        <v>10133</v>
      </c>
      <c r="E4976" s="2" t="str">
        <f>HYPERLINK("https://talan.bank.gov.ua/get-user-certificate/sec1enYNLkf4PhpeguE2","Завантажити сертифікат")</f>
        <v>Завантажити сертифікат</v>
      </c>
    </row>
    <row r="4977" spans="1:5" x14ac:dyDescent="0.3">
      <c r="A4977" s="2" t="s">
        <v>10156</v>
      </c>
      <c r="B4977" s="2" t="s">
        <v>5</v>
      </c>
      <c r="C4977" s="2" t="s">
        <v>10157</v>
      </c>
      <c r="D4977" s="2" t="s">
        <v>10158</v>
      </c>
      <c r="E4977" s="2" t="str">
        <f>HYPERLINK("https://talan.bank.gov.ua/get-user-certificate/sec1eTXArZO2xa3x6FQx","Завантажити сертифікат")</f>
        <v>Завантажити сертифікат</v>
      </c>
    </row>
    <row r="4978" spans="1:5" x14ac:dyDescent="0.3">
      <c r="A4978" s="2" t="s">
        <v>10159</v>
      </c>
      <c r="B4978" s="2" t="s">
        <v>5</v>
      </c>
      <c r="C4978" s="2" t="s">
        <v>10160</v>
      </c>
      <c r="D4978" s="2" t="s">
        <v>10158</v>
      </c>
      <c r="E4978" s="2" t="str">
        <f>HYPERLINK("https://talan.bank.gov.ua/get-user-certificate/sec1eslnfUnF0sqz-oJW","Завантажити сертифікат")</f>
        <v>Завантажити сертифікат</v>
      </c>
    </row>
    <row r="4979" spans="1:5" x14ac:dyDescent="0.3">
      <c r="A4979" s="2" t="s">
        <v>10161</v>
      </c>
      <c r="B4979" s="2" t="s">
        <v>5</v>
      </c>
      <c r="C4979" s="2" t="s">
        <v>10162</v>
      </c>
      <c r="D4979" s="2" t="s">
        <v>10158</v>
      </c>
      <c r="E4979" s="2" t="str">
        <f>HYPERLINK("https://talan.bank.gov.ua/get-user-certificate/sec1eIOK6m7VbPkpeaXj","Завантажити сертифікат")</f>
        <v>Завантажити сертифікат</v>
      </c>
    </row>
    <row r="4980" spans="1:5" x14ac:dyDescent="0.3">
      <c r="A4980" s="2" t="s">
        <v>10163</v>
      </c>
      <c r="B4980" s="2" t="s">
        <v>5</v>
      </c>
      <c r="C4980" s="2" t="s">
        <v>10164</v>
      </c>
      <c r="D4980" s="2" t="s">
        <v>10158</v>
      </c>
      <c r="E4980" s="2" t="str">
        <f>HYPERLINK("https://talan.bank.gov.ua/get-user-certificate/sec1eWcvNJzI9uwdzSuo","Завантажити сертифікат")</f>
        <v>Завантажити сертифікат</v>
      </c>
    </row>
    <row r="4981" spans="1:5" x14ac:dyDescent="0.3">
      <c r="A4981" s="2" t="s">
        <v>10165</v>
      </c>
      <c r="B4981" s="2" t="s">
        <v>5</v>
      </c>
      <c r="C4981" s="2" t="s">
        <v>10166</v>
      </c>
      <c r="D4981" s="2" t="s">
        <v>10158</v>
      </c>
      <c r="E4981" s="2" t="str">
        <f>HYPERLINK("https://talan.bank.gov.ua/get-user-certificate/sec1e1cDAhEk8XHcz7FY","Завантажити сертифікат")</f>
        <v>Завантажити сертифікат</v>
      </c>
    </row>
    <row r="4982" spans="1:5" x14ac:dyDescent="0.3">
      <c r="A4982" s="2" t="s">
        <v>10167</v>
      </c>
      <c r="B4982" s="2" t="s">
        <v>5</v>
      </c>
      <c r="C4982" s="2" t="s">
        <v>10168</v>
      </c>
      <c r="D4982" s="2" t="s">
        <v>10158</v>
      </c>
      <c r="E4982" s="2" t="str">
        <f>HYPERLINK("https://talan.bank.gov.ua/get-user-certificate/sec1eQ77ilfCIwzs_hGs","Завантажити сертифікат")</f>
        <v>Завантажити сертифікат</v>
      </c>
    </row>
    <row r="4983" spans="1:5" x14ac:dyDescent="0.3">
      <c r="A4983" s="2" t="s">
        <v>10169</v>
      </c>
      <c r="B4983" s="2" t="s">
        <v>5</v>
      </c>
      <c r="C4983" s="2" t="s">
        <v>10170</v>
      </c>
      <c r="D4983" s="2" t="s">
        <v>10158</v>
      </c>
      <c r="E4983" s="2" t="str">
        <f>HYPERLINK("https://talan.bank.gov.ua/get-user-certificate/sec1ewzQl0ni1EhxllHC","Завантажити сертифікат")</f>
        <v>Завантажити сертифікат</v>
      </c>
    </row>
    <row r="4984" spans="1:5" x14ac:dyDescent="0.3">
      <c r="A4984" s="2" t="s">
        <v>10171</v>
      </c>
      <c r="B4984" s="2" t="s">
        <v>5</v>
      </c>
      <c r="C4984" s="2" t="s">
        <v>10172</v>
      </c>
      <c r="D4984" s="2" t="s">
        <v>10158</v>
      </c>
      <c r="E4984" s="2" t="str">
        <f>HYPERLINK("https://talan.bank.gov.ua/get-user-certificate/sec1emMENH6mkQbBDDhB","Завантажити сертифікат")</f>
        <v>Завантажити сертифікат</v>
      </c>
    </row>
    <row r="4985" spans="1:5" x14ac:dyDescent="0.3">
      <c r="A4985" s="2" t="s">
        <v>10173</v>
      </c>
      <c r="B4985" s="2" t="s">
        <v>5</v>
      </c>
      <c r="C4985" s="2" t="s">
        <v>10174</v>
      </c>
      <c r="D4985" s="2" t="s">
        <v>10158</v>
      </c>
      <c r="E4985" s="2" t="str">
        <f>HYPERLINK("https://talan.bank.gov.ua/get-user-certificate/sec1exdIgNtGX4e-Pejk","Завантажити сертифікат")</f>
        <v>Завантажити сертифікат</v>
      </c>
    </row>
    <row r="4986" spans="1:5" x14ac:dyDescent="0.3">
      <c r="A4986" s="2" t="s">
        <v>10175</v>
      </c>
      <c r="B4986" s="2" t="s">
        <v>5</v>
      </c>
      <c r="C4986" s="2" t="s">
        <v>10176</v>
      </c>
      <c r="D4986" s="2" t="s">
        <v>10158</v>
      </c>
      <c r="E4986" s="2" t="str">
        <f>HYPERLINK("https://talan.bank.gov.ua/get-user-certificate/sec1eQwOniwJUuFZzJkz","Завантажити сертифікат")</f>
        <v>Завантажити сертифікат</v>
      </c>
    </row>
    <row r="4987" spans="1:5" x14ac:dyDescent="0.3">
      <c r="A4987" s="2" t="s">
        <v>10177</v>
      </c>
      <c r="B4987" s="2" t="s">
        <v>5</v>
      </c>
      <c r="C4987" s="2" t="s">
        <v>1246</v>
      </c>
      <c r="D4987" s="2" t="s">
        <v>10158</v>
      </c>
      <c r="E4987" s="2" t="str">
        <f>HYPERLINK("https://talan.bank.gov.ua/get-user-certificate/sec1eSI9dKtoYYWdHWNu","Завантажити сертифікат")</f>
        <v>Завантажити сертифікат</v>
      </c>
    </row>
    <row r="4988" spans="1:5" x14ac:dyDescent="0.3">
      <c r="A4988" s="2" t="s">
        <v>10178</v>
      </c>
      <c r="B4988" s="2" t="s">
        <v>5</v>
      </c>
      <c r="C4988" s="2" t="s">
        <v>10179</v>
      </c>
      <c r="D4988" s="2" t="s">
        <v>10180</v>
      </c>
      <c r="E4988" s="2" t="str">
        <f>HYPERLINK("https://talan.bank.gov.ua/get-user-certificate/sec1e-GayVqSovA9RQwv","Завантажити сертифікат")</f>
        <v>Завантажити сертифікат</v>
      </c>
    </row>
    <row r="4989" spans="1:5" x14ac:dyDescent="0.3">
      <c r="A4989" s="2" t="s">
        <v>10181</v>
      </c>
      <c r="B4989" s="2" t="s">
        <v>5</v>
      </c>
      <c r="C4989" s="2" t="s">
        <v>10182</v>
      </c>
      <c r="D4989" s="2" t="s">
        <v>10180</v>
      </c>
      <c r="E4989" s="2" t="str">
        <f>HYPERLINK("https://talan.bank.gov.ua/get-user-certificate/sec1e6yjjUbCnupbitim","Завантажити сертифікат")</f>
        <v>Завантажити сертифікат</v>
      </c>
    </row>
    <row r="4990" spans="1:5" x14ac:dyDescent="0.3">
      <c r="A4990" s="2" t="s">
        <v>10183</v>
      </c>
      <c r="B4990" s="2" t="s">
        <v>5</v>
      </c>
      <c r="C4990" s="2" t="s">
        <v>10184</v>
      </c>
      <c r="D4990" s="2" t="s">
        <v>10180</v>
      </c>
      <c r="E4990" s="2" t="str">
        <f>HYPERLINK("https://talan.bank.gov.ua/get-user-certificate/sec1eSU9qXc_yvLhTggI","Завантажити сертифікат")</f>
        <v>Завантажити сертифікат</v>
      </c>
    </row>
    <row r="4991" spans="1:5" x14ac:dyDescent="0.3">
      <c r="A4991" s="2" t="s">
        <v>10185</v>
      </c>
      <c r="B4991" s="2" t="s">
        <v>5</v>
      </c>
      <c r="C4991" s="2" t="s">
        <v>10186</v>
      </c>
      <c r="D4991" s="2" t="s">
        <v>10180</v>
      </c>
      <c r="E4991" s="2" t="str">
        <f>HYPERLINK("https://talan.bank.gov.ua/get-user-certificate/sec1eS-2XOWdv8n0rbVz","Завантажити сертифікат")</f>
        <v>Завантажити сертифікат</v>
      </c>
    </row>
    <row r="4992" spans="1:5" x14ac:dyDescent="0.3">
      <c r="A4992" s="2" t="s">
        <v>10187</v>
      </c>
      <c r="B4992" s="2" t="s">
        <v>5</v>
      </c>
      <c r="C4992" s="2" t="s">
        <v>10188</v>
      </c>
      <c r="D4992" s="2" t="s">
        <v>10180</v>
      </c>
      <c r="E4992" s="2" t="str">
        <f>HYPERLINK("https://talan.bank.gov.ua/get-user-certificate/sec1et61qv6J7A1lDZIu","Завантажити сертифікат")</f>
        <v>Завантажити сертифікат</v>
      </c>
    </row>
    <row r="4993" spans="1:5" x14ac:dyDescent="0.3">
      <c r="A4993" s="2" t="s">
        <v>10189</v>
      </c>
      <c r="B4993" s="2" t="s">
        <v>5</v>
      </c>
      <c r="C4993" s="2" t="s">
        <v>10190</v>
      </c>
      <c r="D4993" s="2" t="s">
        <v>10180</v>
      </c>
      <c r="E4993" s="2" t="str">
        <f>HYPERLINK("https://talan.bank.gov.ua/get-user-certificate/sec1ex85CN5cpIJAiqfk","Завантажити сертифікат")</f>
        <v>Завантажити сертифікат</v>
      </c>
    </row>
    <row r="4994" spans="1:5" x14ac:dyDescent="0.3">
      <c r="A4994" s="2" t="s">
        <v>10191</v>
      </c>
      <c r="B4994" s="2" t="s">
        <v>5</v>
      </c>
      <c r="C4994" s="2" t="s">
        <v>10192</v>
      </c>
      <c r="D4994" s="2" t="s">
        <v>10180</v>
      </c>
      <c r="E4994" s="2" t="str">
        <f>HYPERLINK("https://talan.bank.gov.ua/get-user-certificate/sec1ealnTrBiYyKEXJkG","Завантажити сертифікат")</f>
        <v>Завантажити сертифікат</v>
      </c>
    </row>
    <row r="4995" spans="1:5" x14ac:dyDescent="0.3">
      <c r="A4995" s="2" t="s">
        <v>10193</v>
      </c>
      <c r="B4995" s="2" t="s">
        <v>5</v>
      </c>
      <c r="C4995" s="2" t="s">
        <v>10194</v>
      </c>
      <c r="D4995" s="2" t="s">
        <v>10180</v>
      </c>
      <c r="E4995" s="2" t="str">
        <f>HYPERLINK("https://talan.bank.gov.ua/get-user-certificate/sec1ezkPImJZpB_BFg8-","Завантажити сертифікат")</f>
        <v>Завантажити сертифікат</v>
      </c>
    </row>
    <row r="4996" spans="1:5" x14ac:dyDescent="0.3">
      <c r="A4996" s="2" t="s">
        <v>10195</v>
      </c>
      <c r="B4996" s="2" t="s">
        <v>5</v>
      </c>
      <c r="C4996" s="2" t="s">
        <v>10196</v>
      </c>
      <c r="D4996" s="2" t="s">
        <v>10180</v>
      </c>
      <c r="E4996" s="2" t="str">
        <f>HYPERLINK("https://talan.bank.gov.ua/get-user-certificate/sec1eFJQaPvw_SAmEEXn","Завантажити сертифікат")</f>
        <v>Завантажити сертифікат</v>
      </c>
    </row>
    <row r="4997" spans="1:5" x14ac:dyDescent="0.3">
      <c r="A4997" s="2" t="s">
        <v>10197</v>
      </c>
      <c r="B4997" s="2" t="s">
        <v>5</v>
      </c>
      <c r="C4997" s="2" t="s">
        <v>10198</v>
      </c>
      <c r="D4997" s="2" t="s">
        <v>10180</v>
      </c>
      <c r="E4997" s="2" t="str">
        <f>HYPERLINK("https://talan.bank.gov.ua/get-user-certificate/sec1eafx0g_-F5gkrhhb","Завантажити сертифікат")</f>
        <v>Завантажити сертифікат</v>
      </c>
    </row>
    <row r="4998" spans="1:5" x14ac:dyDescent="0.3">
      <c r="A4998" s="2" t="s">
        <v>10199</v>
      </c>
      <c r="B4998" s="2" t="s">
        <v>5</v>
      </c>
      <c r="C4998" s="2" t="s">
        <v>10200</v>
      </c>
      <c r="D4998" s="2" t="s">
        <v>10180</v>
      </c>
      <c r="E4998" s="2" t="str">
        <f>HYPERLINK("https://talan.bank.gov.ua/get-user-certificate/sec1ecuX0QRmIme-GPdX","Завантажити сертифікат")</f>
        <v>Завантажити сертифікат</v>
      </c>
    </row>
    <row r="4999" spans="1:5" x14ac:dyDescent="0.3">
      <c r="A4999" s="2" t="s">
        <v>10201</v>
      </c>
      <c r="B4999" s="2" t="s">
        <v>5</v>
      </c>
      <c r="C4999" s="2" t="s">
        <v>10202</v>
      </c>
      <c r="D4999" s="2" t="s">
        <v>10180</v>
      </c>
      <c r="E4999" s="2" t="str">
        <f>HYPERLINK("https://talan.bank.gov.ua/get-user-certificate/sec1eRdEHpy16kOo9L6o","Завантажити сертифікат")</f>
        <v>Завантажити сертифікат</v>
      </c>
    </row>
    <row r="5000" spans="1:5" x14ac:dyDescent="0.3">
      <c r="A5000" s="2" t="s">
        <v>10203</v>
      </c>
      <c r="B5000" s="2" t="s">
        <v>5</v>
      </c>
      <c r="C5000" s="2" t="s">
        <v>10204</v>
      </c>
      <c r="D5000" s="2" t="s">
        <v>10180</v>
      </c>
      <c r="E5000" s="2" t="str">
        <f>HYPERLINK("https://talan.bank.gov.ua/get-user-certificate/sec1ewWkPYw6TXHglXQr","Завантажити сертифікат")</f>
        <v>Завантажити сертифікат</v>
      </c>
    </row>
    <row r="5001" spans="1:5" x14ac:dyDescent="0.3">
      <c r="A5001" s="2" t="s">
        <v>10205</v>
      </c>
      <c r="B5001" s="2" t="s">
        <v>5</v>
      </c>
      <c r="C5001" s="2" t="s">
        <v>10206</v>
      </c>
      <c r="D5001" s="2" t="s">
        <v>10180</v>
      </c>
      <c r="E5001" s="2" t="str">
        <f>HYPERLINK("https://talan.bank.gov.ua/get-user-certificate/sec1eLMS_n1B1sbLtglI","Завантажити сертифікат")</f>
        <v>Завантажити сертифікат</v>
      </c>
    </row>
    <row r="5002" spans="1:5" x14ac:dyDescent="0.3">
      <c r="A5002" s="2" t="s">
        <v>10207</v>
      </c>
      <c r="B5002" s="2" t="s">
        <v>5</v>
      </c>
      <c r="C5002" s="2" t="s">
        <v>10208</v>
      </c>
      <c r="D5002" s="2" t="s">
        <v>10209</v>
      </c>
      <c r="E5002" s="2" t="str">
        <f>HYPERLINK("https://talan.bank.gov.ua/get-user-certificate/sec1eSHTpq_x1s8dYmjb","Завантажити сертифікат")</f>
        <v>Завантажити сертифікат</v>
      </c>
    </row>
    <row r="5003" spans="1:5" x14ac:dyDescent="0.3">
      <c r="A5003" s="2" t="s">
        <v>10210</v>
      </c>
      <c r="B5003" s="2" t="s">
        <v>5</v>
      </c>
      <c r="C5003" s="2" t="s">
        <v>10211</v>
      </c>
      <c r="D5003" s="2" t="s">
        <v>10209</v>
      </c>
      <c r="E5003" s="2" t="str">
        <f>HYPERLINK("https://talan.bank.gov.ua/get-user-certificate/sec1evbbg960pNtJ4USw","Завантажити сертифікат")</f>
        <v>Завантажити сертифікат</v>
      </c>
    </row>
    <row r="5004" spans="1:5" x14ac:dyDescent="0.3">
      <c r="A5004" s="2" t="s">
        <v>10212</v>
      </c>
      <c r="B5004" s="2" t="s">
        <v>5</v>
      </c>
      <c r="C5004" s="2" t="s">
        <v>10213</v>
      </c>
      <c r="D5004" s="2" t="s">
        <v>10209</v>
      </c>
      <c r="E5004" s="2" t="str">
        <f>HYPERLINK("https://talan.bank.gov.ua/get-user-certificate/sec1emzSo9nTN74AtvVp","Завантажити сертифікат")</f>
        <v>Завантажити сертифікат</v>
      </c>
    </row>
    <row r="5005" spans="1:5" x14ac:dyDescent="0.3">
      <c r="A5005" s="2" t="s">
        <v>10214</v>
      </c>
      <c r="B5005" s="2" t="s">
        <v>5</v>
      </c>
      <c r="C5005" s="2" t="s">
        <v>10215</v>
      </c>
      <c r="D5005" s="2" t="s">
        <v>10209</v>
      </c>
      <c r="E5005" s="2" t="str">
        <f>HYPERLINK("https://talan.bank.gov.ua/get-user-certificate/sec1ephc1C8pRtWM_Rj5","Завантажити сертифікат")</f>
        <v>Завантажити сертифікат</v>
      </c>
    </row>
    <row r="5006" spans="1:5" x14ac:dyDescent="0.3">
      <c r="A5006" s="2" t="s">
        <v>10216</v>
      </c>
      <c r="B5006" s="2" t="s">
        <v>5</v>
      </c>
      <c r="C5006" s="2" t="s">
        <v>10217</v>
      </c>
      <c r="D5006" s="2" t="s">
        <v>10209</v>
      </c>
      <c r="E5006" s="2" t="str">
        <f>HYPERLINK("https://talan.bank.gov.ua/get-user-certificate/sec1e86TbicuZY5ugi7u","Завантажити сертифікат")</f>
        <v>Завантажити сертифікат</v>
      </c>
    </row>
    <row r="5007" spans="1:5" x14ac:dyDescent="0.3">
      <c r="A5007" s="2" t="s">
        <v>10218</v>
      </c>
      <c r="B5007" s="2" t="s">
        <v>5</v>
      </c>
      <c r="C5007" s="2" t="s">
        <v>10219</v>
      </c>
      <c r="D5007" s="2" t="s">
        <v>10209</v>
      </c>
      <c r="E5007" s="2" t="str">
        <f>HYPERLINK("https://talan.bank.gov.ua/get-user-certificate/sec1eVJKzTRqW4O_lgRk","Завантажити сертифікат")</f>
        <v>Завантажити сертифікат</v>
      </c>
    </row>
    <row r="5008" spans="1:5" x14ac:dyDescent="0.3">
      <c r="A5008" s="2" t="s">
        <v>10220</v>
      </c>
      <c r="B5008" s="2" t="s">
        <v>5</v>
      </c>
      <c r="C5008" s="2" t="s">
        <v>10221</v>
      </c>
      <c r="D5008" s="2" t="s">
        <v>10209</v>
      </c>
      <c r="E5008" s="2" t="str">
        <f>HYPERLINK("https://talan.bank.gov.ua/get-user-certificate/sec1e8dsNe9ilNBZpCk6","Завантажити сертифікат")</f>
        <v>Завантажити сертифікат</v>
      </c>
    </row>
    <row r="5009" spans="1:5" x14ac:dyDescent="0.3">
      <c r="A5009" s="2" t="s">
        <v>10222</v>
      </c>
      <c r="B5009" s="2" t="s">
        <v>5</v>
      </c>
      <c r="C5009" s="2" t="s">
        <v>10223</v>
      </c>
      <c r="D5009" s="2" t="s">
        <v>10209</v>
      </c>
      <c r="E5009" s="2" t="str">
        <f>HYPERLINK("https://talan.bank.gov.ua/get-user-certificate/sec1eXJHrYf7thBDteQb","Завантажити сертифікат")</f>
        <v>Завантажити сертифікат</v>
      </c>
    </row>
    <row r="5010" spans="1:5" x14ac:dyDescent="0.3">
      <c r="A5010" s="2" t="s">
        <v>10224</v>
      </c>
      <c r="B5010" s="2" t="s">
        <v>5</v>
      </c>
      <c r="C5010" s="2" t="s">
        <v>10225</v>
      </c>
      <c r="D5010" s="2" t="s">
        <v>10209</v>
      </c>
      <c r="E5010" s="2" t="str">
        <f>HYPERLINK("https://talan.bank.gov.ua/get-user-certificate/sec1e26nt43ZQ1aCuapU","Завантажити сертифікат")</f>
        <v>Завантажити сертифікат</v>
      </c>
    </row>
    <row r="5011" spans="1:5" x14ac:dyDescent="0.3">
      <c r="A5011" s="2" t="s">
        <v>10226</v>
      </c>
      <c r="B5011" s="2" t="s">
        <v>5</v>
      </c>
      <c r="C5011" s="2" t="s">
        <v>10227</v>
      </c>
      <c r="D5011" s="2" t="s">
        <v>10209</v>
      </c>
      <c r="E5011" s="2" t="str">
        <f>HYPERLINK("https://talan.bank.gov.ua/get-user-certificate/sec1ekN6XH40rYt7dUd-","Завантажити сертифікат")</f>
        <v>Завантажити сертифікат</v>
      </c>
    </row>
    <row r="5012" spans="1:5" x14ac:dyDescent="0.3">
      <c r="A5012" s="2" t="s">
        <v>10228</v>
      </c>
      <c r="B5012" s="2" t="s">
        <v>5</v>
      </c>
      <c r="C5012" s="2" t="s">
        <v>10229</v>
      </c>
      <c r="D5012" s="2" t="s">
        <v>10209</v>
      </c>
      <c r="E5012" s="2" t="str">
        <f>HYPERLINK("https://talan.bank.gov.ua/get-user-certificate/sec1e2cHbaII0GO50TH1","Завантажити сертифікат")</f>
        <v>Завантажити сертифікат</v>
      </c>
    </row>
    <row r="5013" spans="1:5" x14ac:dyDescent="0.3">
      <c r="A5013" t="s">
        <v>10231</v>
      </c>
      <c r="B5013" t="s">
        <v>10232</v>
      </c>
      <c r="C5013" t="s">
        <v>10233</v>
      </c>
      <c r="D5013" t="s">
        <v>10234</v>
      </c>
      <c r="E5013" t="str">
        <f>HYPERLINK("https://talan.bank.gov.ua/get-user-certificate/f7i-ss0sSI34IYIH-l9M","Завантажити сертифікат")</f>
        <v>Завантажити сертифікат</v>
      </c>
    </row>
    <row r="5014" spans="1:5" x14ac:dyDescent="0.3">
      <c r="A5014" t="s">
        <v>10235</v>
      </c>
      <c r="B5014" t="s">
        <v>10232</v>
      </c>
      <c r="C5014" t="s">
        <v>10236</v>
      </c>
      <c r="D5014" t="s">
        <v>10234</v>
      </c>
      <c r="E5014" t="str">
        <f>HYPERLINK("https://talan.bank.gov.ua/get-user-certificate/f7i-s3-mxQncSsfI8qvL","Завантажити сертифікат")</f>
        <v>Завантажити сертифікат</v>
      </c>
    </row>
    <row r="5015" spans="1:5" x14ac:dyDescent="0.3">
      <c r="A5015" t="s">
        <v>10237</v>
      </c>
      <c r="B5015" t="s">
        <v>10232</v>
      </c>
      <c r="C5015" t="s">
        <v>10238</v>
      </c>
      <c r="D5015" t="s">
        <v>10234</v>
      </c>
      <c r="E5015" t="str">
        <f>HYPERLINK("https://talan.bank.gov.ua/get-user-certificate/f7i-sYgQKVCZXtb82shh","Завантажити сертифікат")</f>
        <v>Завантажити сертифікат</v>
      </c>
    </row>
    <row r="5016" spans="1:5" x14ac:dyDescent="0.3">
      <c r="A5016" t="s">
        <v>10239</v>
      </c>
      <c r="B5016" t="s">
        <v>10232</v>
      </c>
      <c r="C5016" t="s">
        <v>10240</v>
      </c>
      <c r="D5016" t="s">
        <v>10234</v>
      </c>
      <c r="E5016" t="str">
        <f>HYPERLINK("https://talan.bank.gov.ua/get-user-certificate/f7i-slFlUtEYGD6a9krS","Завантажити сертифікат")</f>
        <v>Завантажити сертифікат</v>
      </c>
    </row>
    <row r="5017" spans="1:5" x14ac:dyDescent="0.3">
      <c r="A5017" t="s">
        <v>10241</v>
      </c>
      <c r="B5017" t="s">
        <v>10232</v>
      </c>
      <c r="C5017" t="s">
        <v>10242</v>
      </c>
      <c r="D5017" t="s">
        <v>10234</v>
      </c>
      <c r="E5017" t="str">
        <f>HYPERLINK("https://talan.bank.gov.ua/get-user-certificate/f7i-sCaq7BsWTDv7J5Zg","Завантажити сертифікат")</f>
        <v>Завантажити сертифікат</v>
      </c>
    </row>
    <row r="5018" spans="1:5" x14ac:dyDescent="0.3">
      <c r="A5018" t="s">
        <v>10243</v>
      </c>
      <c r="B5018" t="s">
        <v>10232</v>
      </c>
      <c r="C5018" t="s">
        <v>10244</v>
      </c>
      <c r="D5018" t="s">
        <v>10234</v>
      </c>
      <c r="E5018" t="str">
        <f>HYPERLINK("https://talan.bank.gov.ua/get-user-certificate/f7i-sQDEQz6qf0_-3i4B","Завантажити сертифікат")</f>
        <v>Завантажити сертифікат</v>
      </c>
    </row>
    <row r="5019" spans="1:5" x14ac:dyDescent="0.3">
      <c r="A5019" t="s">
        <v>10245</v>
      </c>
      <c r="B5019" t="s">
        <v>10232</v>
      </c>
      <c r="C5019" t="s">
        <v>10246</v>
      </c>
      <c r="D5019" t="s">
        <v>10234</v>
      </c>
      <c r="E5019" t="str">
        <f>HYPERLINK("https://talan.bank.gov.ua/get-user-certificate/f7i-sXAqvaMrmdZP4UBG","Завантажити сертифікат")</f>
        <v>Завантажити сертифікат</v>
      </c>
    </row>
    <row r="5020" spans="1:5" x14ac:dyDescent="0.3">
      <c r="A5020" t="s">
        <v>10247</v>
      </c>
      <c r="B5020" t="s">
        <v>10232</v>
      </c>
      <c r="C5020" t="s">
        <v>10248</v>
      </c>
      <c r="D5020" t="s">
        <v>10234</v>
      </c>
      <c r="E5020" t="str">
        <f>HYPERLINK("https://talan.bank.gov.ua/get-user-certificate/f7i-sugOLcIhNwxZLMNw","Завантажити сертифікат")</f>
        <v>Завантажити сертифікат</v>
      </c>
    </row>
    <row r="5021" spans="1:5" x14ac:dyDescent="0.3">
      <c r="A5021" t="s">
        <v>10249</v>
      </c>
      <c r="B5021" t="s">
        <v>10232</v>
      </c>
      <c r="C5021" t="s">
        <v>10250</v>
      </c>
      <c r="D5021" t="s">
        <v>10234</v>
      </c>
      <c r="E5021" t="str">
        <f>HYPERLINK("https://talan.bank.gov.ua/get-user-certificate/f7i-sPHY-cLMp-Gq2OE9","Завантажити сертифікат")</f>
        <v>Завантажити сертифікат</v>
      </c>
    </row>
    <row r="5022" spans="1:5" x14ac:dyDescent="0.3">
      <c r="A5022" t="s">
        <v>10251</v>
      </c>
      <c r="B5022" t="s">
        <v>10232</v>
      </c>
      <c r="C5022" t="s">
        <v>10252</v>
      </c>
      <c r="D5022" t="s">
        <v>10234</v>
      </c>
      <c r="E5022" t="str">
        <f>HYPERLINK("https://talan.bank.gov.ua/get-user-certificate/f7i-sg4AUQXuFqJqA2ns","Завантажити сертифікат")</f>
        <v>Завантажити сертифікат</v>
      </c>
    </row>
    <row r="5023" spans="1:5" x14ac:dyDescent="0.3">
      <c r="A5023" t="s">
        <v>10253</v>
      </c>
      <c r="B5023" t="s">
        <v>10232</v>
      </c>
      <c r="C5023" t="s">
        <v>10254</v>
      </c>
      <c r="D5023" t="s">
        <v>10234</v>
      </c>
      <c r="E5023" t="str">
        <f>HYPERLINK("https://talan.bank.gov.ua/get-user-certificate/f7i-sUVf287ajfLJas6q","Завантажити сертифікат")</f>
        <v>Завантажити сертифікат</v>
      </c>
    </row>
    <row r="5024" spans="1:5" x14ac:dyDescent="0.3">
      <c r="A5024" t="s">
        <v>10255</v>
      </c>
      <c r="B5024" t="s">
        <v>10232</v>
      </c>
      <c r="C5024" t="s">
        <v>10256</v>
      </c>
      <c r="D5024" t="s">
        <v>10234</v>
      </c>
      <c r="E5024" t="str">
        <f>HYPERLINK("https://talan.bank.gov.ua/get-user-certificate/f7i-sgtpO2t-OI9Nkdtk","Завантажити сертифікат")</f>
        <v>Завантажити сертифікат</v>
      </c>
    </row>
    <row r="5025" spans="1:5" x14ac:dyDescent="0.3">
      <c r="A5025" t="s">
        <v>10257</v>
      </c>
      <c r="B5025" t="s">
        <v>10232</v>
      </c>
      <c r="C5025" t="s">
        <v>10258</v>
      </c>
      <c r="D5025" t="s">
        <v>10234</v>
      </c>
      <c r="E5025" t="str">
        <f>HYPERLINK("https://talan.bank.gov.ua/get-user-certificate/f7i-swip9haEu_tXWEP-","Завантажити сертифікат")</f>
        <v>Завантажити сертифікат</v>
      </c>
    </row>
    <row r="5026" spans="1:5" x14ac:dyDescent="0.3">
      <c r="A5026" t="s">
        <v>10259</v>
      </c>
      <c r="B5026" t="s">
        <v>10232</v>
      </c>
      <c r="C5026" t="s">
        <v>10260</v>
      </c>
      <c r="D5026" t="s">
        <v>10234</v>
      </c>
      <c r="E5026" t="str">
        <f>HYPERLINK("https://talan.bank.gov.ua/get-user-certificate/f7i-soJT12k57O9mHBM1","Завантажити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5" r:id="rId174" tooltip="Завантажити сертифікат" display="Завантажити сертифікат"/>
    <hyperlink ref="E176" r:id="rId175" tooltip="Завантажити сертифікат" display="Завантажити сертифікат"/>
    <hyperlink ref="E177" r:id="rId176" tooltip="Завантажити сертифікат" display="Завантажити сертифікат"/>
    <hyperlink ref="E178" r:id="rId177" tooltip="Завантажити сертифікат" display="Завантажити сертифікат"/>
    <hyperlink ref="E179" r:id="rId178" tooltip="Завантажити сертифікат" display="Завантажити сертифікат"/>
    <hyperlink ref="E180" r:id="rId179" tooltip="Завантажити сертифікат" display="Завантажити сертифікат"/>
    <hyperlink ref="E181" r:id="rId180" tooltip="Завантажити сертифікат" display="Завантажити сертифікат"/>
    <hyperlink ref="E182" r:id="rId181" tooltip="Завантажити сертифікат" display="Завантажити сертифікат"/>
    <hyperlink ref="E183" r:id="rId182" tooltip="Завантажити сертифікат" display="Завантажити сертифікат"/>
    <hyperlink ref="E184" r:id="rId183" tooltip="Завантажити сертифікат" display="Завантажити сертифікат"/>
    <hyperlink ref="E185" r:id="rId184" tooltip="Завантажити сертифікат" display="Завантажити сертифікат"/>
    <hyperlink ref="E186" r:id="rId185" tooltip="Завантажити сертифікат" display="Завантажити сертифікат"/>
    <hyperlink ref="E187" r:id="rId186" tooltip="Завантажити сертифікат" display="Завантажити сертифікат"/>
    <hyperlink ref="E188" r:id="rId187" tooltip="Завантажити сертифікат" display="Завантажити сертифікат"/>
    <hyperlink ref="E189" r:id="rId188" tooltip="Завантажити сертифікат" display="Завантажити сертифікат"/>
    <hyperlink ref="E190" r:id="rId189" tooltip="Завантажити сертифікат" display="Завантажити сертифікат"/>
    <hyperlink ref="E191" r:id="rId190" tooltip="Завантажити сертифікат" display="Завантажити сертифікат"/>
    <hyperlink ref="E192" r:id="rId191" tooltip="Завантажити сертифікат" display="Завантажити сертифікат"/>
    <hyperlink ref="E193" r:id="rId192" tooltip="Завантажити сертифікат" display="Завантажити сертифікат"/>
    <hyperlink ref="E194" r:id="rId193" tooltip="Завантажити сертифікат" display="Завантажити сертифікат"/>
    <hyperlink ref="E195" r:id="rId194" tooltip="Завантажити сертифікат" display="Завантажити сертифікат"/>
    <hyperlink ref="E196" r:id="rId195" tooltip="Завантажити сертифікат" display="Завантажити сертифікат"/>
    <hyperlink ref="E197" r:id="rId196" tooltip="Завантажити сертифікат" display="Завантажити сертифікат"/>
    <hyperlink ref="E198" r:id="rId197" tooltip="Завантажити сертифікат" display="Завантажити сертифікат"/>
    <hyperlink ref="E199" r:id="rId198" tooltip="Завантажити сертифікат" display="Завантажити сертифікат"/>
    <hyperlink ref="E200" r:id="rId199" tooltip="Завантажити сертифікат" display="Завантажити сертифікат"/>
    <hyperlink ref="E201" r:id="rId200" tooltip="Завантажити сертифікат" display="Завантажити сертифікат"/>
    <hyperlink ref="E202" r:id="rId201" tooltip="Завантажити сертифікат" display="Завантажити сертифікат"/>
    <hyperlink ref="E203" r:id="rId202" tooltip="Завантажити сертифікат" display="Завантажити сертифікат"/>
    <hyperlink ref="E204" r:id="rId203" tooltip="Завантажити сертифікат" display="Завантажити сертифікат"/>
    <hyperlink ref="E205" r:id="rId204" tooltip="Завантажити сертифікат" display="Завантажити сертифікат"/>
    <hyperlink ref="E206" r:id="rId205" tooltip="Завантажити сертифікат" display="Завантажити сертифікат"/>
    <hyperlink ref="E207" r:id="rId206" tooltip="Завантажити сертифікат" display="Завантажити сертифікат"/>
    <hyperlink ref="E208" r:id="rId207" tooltip="Завантажити сертифікат" display="Завантажити сертифікат"/>
    <hyperlink ref="E209" r:id="rId208" tooltip="Завантажити сертифікат" display="Завантажити сертифікат"/>
    <hyperlink ref="E210" r:id="rId209" tooltip="Завантажити сертифікат" display="Завантажити сертифікат"/>
    <hyperlink ref="E211" r:id="rId210" tooltip="Завантажити сертифікат" display="Завантажити сертифікат"/>
    <hyperlink ref="E212" r:id="rId211" tooltip="Завантажити сертифікат" display="Завантажити сертифікат"/>
    <hyperlink ref="E213" r:id="rId212" tooltip="Завантажити сертифікат" display="Завантажити сертифікат"/>
    <hyperlink ref="E214" r:id="rId213" tooltip="Завантажити сертифікат" display="Завантажити сертифікат"/>
    <hyperlink ref="E215" r:id="rId214" tooltip="Завантажити сертифікат" display="Завантажити сертифікат"/>
    <hyperlink ref="E216" r:id="rId215" tooltip="Завантажити сертифікат" display="Завантажити сертифікат"/>
    <hyperlink ref="E217" r:id="rId216" tooltip="Завантажити сертифікат" display="Завантажити сертифікат"/>
    <hyperlink ref="E218" r:id="rId217" tooltip="Завантажити сертифікат" display="Завантажити сертифікат"/>
    <hyperlink ref="E219" r:id="rId218" tooltip="Завантажити сертифікат" display="Завантажити сертифікат"/>
    <hyperlink ref="E220" r:id="rId219" tooltip="Завантажити сертифікат" display="Завантажити сертифікат"/>
    <hyperlink ref="E221" r:id="rId220" tooltip="Завантажити сертифікат" display="Завантажити сертифікат"/>
    <hyperlink ref="E222" r:id="rId221" tooltip="Завантажити сертифікат" display="Завантажити сертифікат"/>
    <hyperlink ref="E223" r:id="rId222" tooltip="Завантажити сертифікат" display="Завантажити сертифікат"/>
    <hyperlink ref="E224" r:id="rId223" tooltip="Завантажити сертифікат" display="Завантажити сертифікат"/>
    <hyperlink ref="E225" r:id="rId224" tooltip="Завантажити сертифікат" display="Завантажити сертифікат"/>
    <hyperlink ref="E226" r:id="rId225" tooltip="Завантажити сертифікат" display="Завантажити сертифікат"/>
    <hyperlink ref="E227" r:id="rId226" tooltip="Завантажити сертифікат" display="Завантажити сертифікат"/>
    <hyperlink ref="E228" r:id="rId227" tooltip="Завантажити сертифікат" display="Завантажити сертифікат"/>
    <hyperlink ref="E229" r:id="rId228" tooltip="Завантажити сертифікат" display="Завантажити сертифікат"/>
    <hyperlink ref="E230" r:id="rId229" tooltip="Завантажити сертифікат" display="Завантажити сертифікат"/>
    <hyperlink ref="E231" r:id="rId230" tooltip="Завантажити сертифікат" display="Завантажити сертифікат"/>
    <hyperlink ref="E232" r:id="rId231" tooltip="Завантажити сертифікат" display="Завантажити сертифікат"/>
    <hyperlink ref="E233" r:id="rId232" tooltip="Завантажити сертифікат" display="Завантажити сертифікат"/>
    <hyperlink ref="E234" r:id="rId233" tooltip="Завантажити сертифікат" display="Завантажити сертифікат"/>
    <hyperlink ref="E235" r:id="rId234" tooltip="Завантажити сертифікат" display="Завантажити сертифікат"/>
    <hyperlink ref="E236" r:id="rId235" tooltip="Завантажити сертифікат" display="Завантажити сертифікат"/>
    <hyperlink ref="E237" r:id="rId236" tooltip="Завантажити сертифікат" display="Завантажити сертифікат"/>
    <hyperlink ref="E238" r:id="rId237" tooltip="Завантажити сертифікат" display="Завантажити сертифікат"/>
    <hyperlink ref="E239" r:id="rId238" tooltip="Завантажити сертифікат" display="Завантажити сертифікат"/>
    <hyperlink ref="E240" r:id="rId239" tooltip="Завантажити сертифікат" display="Завантажити сертифікат"/>
    <hyperlink ref="E241" r:id="rId240" tooltip="Завантажити сертифікат" display="Завантажити сертифікат"/>
    <hyperlink ref="E242" r:id="rId241" tooltip="Завантажити сертифікат" display="Завантажити сертифікат"/>
    <hyperlink ref="E243" r:id="rId242" tooltip="Завантажити сертифікат" display="Завантажити сертифікат"/>
    <hyperlink ref="E244" r:id="rId243" tooltip="Завантажити сертифікат" display="Завантажити сертифікат"/>
    <hyperlink ref="E245" r:id="rId244" tooltip="Завантажити сертифікат" display="Завантажити сертифікат"/>
    <hyperlink ref="E246" r:id="rId245" tooltip="Завантажити сертифікат" display="Завантажити сертифікат"/>
    <hyperlink ref="E247" r:id="rId246" tooltip="Завантажити сертифікат" display="Завантажити сертифікат"/>
    <hyperlink ref="E248" r:id="rId247" tooltip="Завантажити сертифікат" display="Завантажити сертифікат"/>
    <hyperlink ref="E249" r:id="rId248" tooltip="Завантажити сертифікат" display="Завантажити сертифікат"/>
    <hyperlink ref="E250" r:id="rId249" tooltip="Завантажити сертифікат" display="Завантажити сертифікат"/>
    <hyperlink ref="E251" r:id="rId250" tooltip="Завантажити сертифікат" display="Завантажити сертифікат"/>
    <hyperlink ref="E252" r:id="rId251" tooltip="Завантажити сертифікат" display="Завантажити сертифікат"/>
    <hyperlink ref="E253" r:id="rId252" tooltip="Завантажити сертифікат" display="Завантажити сертифікат"/>
    <hyperlink ref="E254" r:id="rId253" tooltip="Завантажити сертифікат" display="Завантажити сертифікат"/>
    <hyperlink ref="E255" r:id="rId254" tooltip="Завантажити сертифікат" display="Завантажити сертифікат"/>
    <hyperlink ref="E256" r:id="rId255" tooltip="Завантажити сертифікат" display="Завантажити сертифікат"/>
    <hyperlink ref="E257" r:id="rId256" tooltip="Завантажити сертифікат" display="Завантажити сертифікат"/>
    <hyperlink ref="E258" r:id="rId257" tooltip="Завантажити сертифікат" display="Завантажити сертифікат"/>
    <hyperlink ref="E259" r:id="rId258" tooltip="Завантажити сертифікат" display="Завантажити сертифікат"/>
    <hyperlink ref="E260" r:id="rId259" tooltip="Завантажити сертифікат" display="Завантажити сертифікат"/>
    <hyperlink ref="E261" r:id="rId260" tooltip="Завантажити сертифікат" display="Завантажити сертифікат"/>
    <hyperlink ref="E262" r:id="rId261" tooltip="Завантажити сертифікат" display="Завантажити сертифікат"/>
    <hyperlink ref="E263" r:id="rId262" tooltip="Завантажити сертифікат" display="Завантажити сертифікат"/>
    <hyperlink ref="E264" r:id="rId263" tooltip="Завантажити сертифікат" display="Завантажити сертифікат"/>
    <hyperlink ref="E265" r:id="rId264" tooltip="Завантажити сертифікат" display="Завантажити сертифікат"/>
    <hyperlink ref="E266" r:id="rId265" tooltip="Завантажити сертифікат" display="Завантажити сертифікат"/>
    <hyperlink ref="E267" r:id="rId266" tooltip="Завантажити сертифікат" display="Завантажити сертифікат"/>
    <hyperlink ref="E268" r:id="rId267" tooltip="Завантажити сертифікат" display="Завантажити сертифікат"/>
    <hyperlink ref="E269" r:id="rId268" tooltip="Завантажити сертифікат" display="Завантажити сертифікат"/>
    <hyperlink ref="E270" r:id="rId269" tooltip="Завантажити сертифікат" display="Завантажити сертифікат"/>
    <hyperlink ref="E271" r:id="rId270" tooltip="Завантажити сертифікат" display="Завантажити сертифікат"/>
    <hyperlink ref="E272" r:id="rId271" tooltip="Завантажити сертифікат" display="Завантажити сертифікат"/>
    <hyperlink ref="E273" r:id="rId272" tooltip="Завантажити сертифікат" display="Завантажити сертифікат"/>
    <hyperlink ref="E274" r:id="rId273" tooltip="Завантажити сертифікат" display="Завантажити сертифікат"/>
    <hyperlink ref="E275" r:id="rId274" tooltip="Завантажити сертифікат" display="Завантажити сертифікат"/>
    <hyperlink ref="E276" r:id="rId275" tooltip="Завантажити сертифікат" display="Завантажити сертифікат"/>
    <hyperlink ref="E277" r:id="rId276" tooltip="Завантажити сертифікат" display="Завантажити сертифікат"/>
    <hyperlink ref="E278" r:id="rId277" tooltip="Завантажити сертифікат" display="Завантажити сертифікат"/>
    <hyperlink ref="E279" r:id="rId278" tooltip="Завантажити сертифікат" display="Завантажити сертифікат"/>
    <hyperlink ref="E280" r:id="rId279" tooltip="Завантажити сертифікат" display="Завантажити сертифікат"/>
    <hyperlink ref="E281" r:id="rId280" tooltip="Завантажити сертифікат" display="Завантажити сертифікат"/>
    <hyperlink ref="E282" r:id="rId281" tooltip="Завантажити сертифікат" display="Завантажити сертифікат"/>
    <hyperlink ref="E283" r:id="rId282" tooltip="Завантажити сертифікат" display="Завантажити сертифікат"/>
    <hyperlink ref="E284" r:id="rId283" tooltip="Завантажити сертифікат" display="Завантажити сертифікат"/>
    <hyperlink ref="E285" r:id="rId284" tooltip="Завантажити сертифікат" display="Завантажити сертифікат"/>
    <hyperlink ref="E286" r:id="rId285" tooltip="Завантажити сертифікат" display="Завантажити сертифікат"/>
    <hyperlink ref="E287" r:id="rId286" tooltip="Завантажити сертифікат" display="Завантажити сертифікат"/>
    <hyperlink ref="E288" r:id="rId287" tooltip="Завантажити сертифікат" display="Завантажити сертифікат"/>
    <hyperlink ref="E289" r:id="rId288" tooltip="Завантажити сертифікат" display="Завантажити сертифікат"/>
    <hyperlink ref="E290" r:id="rId289" tooltip="Завантажити сертифікат" display="Завантажити сертифікат"/>
    <hyperlink ref="E291" r:id="rId290" tooltip="Завантажити сертифікат" display="Завантажити сертифікат"/>
    <hyperlink ref="E292" r:id="rId291" tooltip="Завантажити сертифікат" display="Завантажити сертифікат"/>
    <hyperlink ref="E293" r:id="rId292" tooltip="Завантажити сертифікат" display="Завантажити сертифікат"/>
    <hyperlink ref="E294" r:id="rId293" tooltip="Завантажити сертифікат" display="Завантажити сертифікат"/>
    <hyperlink ref="E295" r:id="rId294" tooltip="Завантажити сертифікат" display="Завантажити сертифікат"/>
    <hyperlink ref="E296" r:id="rId295" tooltip="Завантажити сертифікат" display="Завантажити сертифікат"/>
    <hyperlink ref="E297" r:id="rId296" tooltip="Завантажити сертифікат" display="Завантажити сертифікат"/>
    <hyperlink ref="E298" r:id="rId297" tooltip="Завантажити сертифікат" display="Завантажити сертифікат"/>
    <hyperlink ref="E299" r:id="rId298" tooltip="Завантажити сертифікат" display="Завантажити сертифікат"/>
    <hyperlink ref="E300" r:id="rId299" tooltip="Завантажити сертифікат" display="Завантажити сертифікат"/>
    <hyperlink ref="E301" r:id="rId300" tooltip="Завантажити сертифікат" display="Завантажити сертифікат"/>
    <hyperlink ref="E302" r:id="rId301" tooltip="Завантажити сертифікат" display="Завантажити сертифікат"/>
    <hyperlink ref="E303" r:id="rId302" tooltip="Завантажити сертифікат" display="Завантажити сертифікат"/>
    <hyperlink ref="E304" r:id="rId303" tooltip="Завантажити сертифікат" display="Завантажити сертифікат"/>
    <hyperlink ref="E305" r:id="rId304" tooltip="Завантажити сертифікат" display="Завантажити сертифікат"/>
    <hyperlink ref="E306" r:id="rId305" tooltip="Завантажити сертифікат" display="Завантажити сертифікат"/>
    <hyperlink ref="E307" r:id="rId306" tooltip="Завантажити сертифікат" display="Завантажити сертифікат"/>
    <hyperlink ref="E308" r:id="rId307" tooltip="Завантажити сертифікат" display="Завантажити сертифікат"/>
    <hyperlink ref="E309" r:id="rId308" tooltip="Завантажити сертифікат" display="Завантажити сертифікат"/>
    <hyperlink ref="E310" r:id="rId309" tooltip="Завантажити сертифікат" display="Завантажити сертифікат"/>
    <hyperlink ref="E311" r:id="rId310" tooltip="Завантажити сертифікат" display="Завантажити сертифікат"/>
    <hyperlink ref="E312" r:id="rId311" tooltip="Завантажити сертифікат" display="Завантажити сертифікат"/>
    <hyperlink ref="E313" r:id="rId312" tooltip="Завантажити сертифікат" display="Завантажити сертифікат"/>
    <hyperlink ref="E314" r:id="rId313" tooltip="Завантажити сертифікат" display="Завантажити сертифікат"/>
    <hyperlink ref="E315" r:id="rId314" tooltip="Завантажити сертифікат" display="Завантажити сертифікат"/>
    <hyperlink ref="E316" r:id="rId315" tooltip="Завантажити сертифікат" display="Завантажити сертифікат"/>
    <hyperlink ref="E317" r:id="rId316" tooltip="Завантажити сертифікат" display="Завантажити сертифікат"/>
    <hyperlink ref="E318" r:id="rId317" tooltip="Завантажити сертифікат" display="Завантажити сертифікат"/>
    <hyperlink ref="E319" r:id="rId318" tooltip="Завантажити сертифікат" display="Завантажити сертифікат"/>
    <hyperlink ref="E320" r:id="rId319" tooltip="Завантажити сертифікат" display="Завантажити сертифікат"/>
    <hyperlink ref="E321" r:id="rId320" tooltip="Завантажити сертифікат" display="Завантажити сертифікат"/>
    <hyperlink ref="E322" r:id="rId321" tooltip="Завантажити сертифікат" display="Завантажити сертифікат"/>
    <hyperlink ref="E323" r:id="rId322" tooltip="Завантажити сертифікат" display="Завантажити сертифікат"/>
    <hyperlink ref="E324" r:id="rId323" tooltip="Завантажити сертифікат" display="Завантажити сертифікат"/>
    <hyperlink ref="E325" r:id="rId324" tooltip="Завантажити сертифікат" display="Завантажити сертифікат"/>
    <hyperlink ref="E326" r:id="rId325" tooltip="Завантажити сертифікат" display="Завантажити сертифікат"/>
    <hyperlink ref="E327" r:id="rId326" tooltip="Завантажити сертифікат" display="Завантажити сертифікат"/>
    <hyperlink ref="E328" r:id="rId327" tooltip="Завантажити сертифікат" display="Завантажити сертифікат"/>
    <hyperlink ref="E329" r:id="rId328" tooltip="Завантажити сертифікат" display="Завантажити сертифікат"/>
    <hyperlink ref="E330" r:id="rId329" tooltip="Завантажити сертифікат" display="Завантажити сертифікат"/>
    <hyperlink ref="E331" r:id="rId330" tooltip="Завантажити сертифікат" display="Завантажити сертифікат"/>
    <hyperlink ref="E332" r:id="rId331" tooltip="Завантажити сертифікат" display="Завантажити сертифікат"/>
    <hyperlink ref="E333" r:id="rId332" tooltip="Завантажити сертифікат" display="Завантажити сертифікат"/>
    <hyperlink ref="E334" r:id="rId333" tooltip="Завантажити сертифікат" display="Завантажити сертифікат"/>
    <hyperlink ref="E335" r:id="rId334" tooltip="Завантажити сертифікат" display="Завантажити сертифікат"/>
    <hyperlink ref="E336" r:id="rId335" tooltip="Завантажити сертифікат" display="Завантажити сертифікат"/>
    <hyperlink ref="E337" r:id="rId336" tooltip="Завантажити сертифікат" display="Завантажити сертифікат"/>
    <hyperlink ref="E338" r:id="rId337" tooltip="Завантажити сертифікат" display="Завантажити сертифікат"/>
    <hyperlink ref="E339" r:id="rId338" tooltip="Завантажити сертифікат" display="Завантажити сертифікат"/>
    <hyperlink ref="E340" r:id="rId339" tooltip="Завантажити сертифікат" display="Завантажити сертифікат"/>
    <hyperlink ref="E341" r:id="rId340" tooltip="Завантажити сертифікат" display="Завантажити сертифікат"/>
    <hyperlink ref="E342" r:id="rId341" tooltip="Завантажити сертифікат" display="Завантажити сертифікат"/>
    <hyperlink ref="E343" r:id="rId342" tooltip="Завантажити сертифікат" display="Завантажити сертифікат"/>
    <hyperlink ref="E344" r:id="rId343" tooltip="Завантажити сертифікат" display="Завантажити сертифікат"/>
    <hyperlink ref="E345" r:id="rId344" tooltip="Завантажити сертифікат" display="Завантажити сертифікат"/>
    <hyperlink ref="E346" r:id="rId345" tooltip="Завантажити сертифікат" display="Завантажити сертифікат"/>
    <hyperlink ref="E347" r:id="rId346" tooltip="Завантажити сертифікат" display="Завантажити сертифікат"/>
    <hyperlink ref="E348" r:id="rId347" tooltip="Завантажити сертифікат" display="Завантажити сертифікат"/>
    <hyperlink ref="E349" r:id="rId348" tooltip="Завантажити сертифікат" display="Завантажити сертифікат"/>
    <hyperlink ref="E350" r:id="rId349" tooltip="Завантажити сертифікат" display="Завантажити сертифікат"/>
    <hyperlink ref="E351" r:id="rId350" tooltip="Завантажити сертифікат" display="Завантажити сертифікат"/>
    <hyperlink ref="E352" r:id="rId351" tooltip="Завантажити сертифікат" display="Завантажити сертифікат"/>
    <hyperlink ref="E353" r:id="rId352" tooltip="Завантажити сертифікат" display="Завантажити сертифікат"/>
    <hyperlink ref="E354" r:id="rId353" tooltip="Завантажити сертифікат" display="Завантажити сертифікат"/>
    <hyperlink ref="E355" r:id="rId354" tooltip="Завантажити сертифікат" display="Завантажити сертифікат"/>
    <hyperlink ref="E356" r:id="rId355" tooltip="Завантажити сертифікат" display="Завантажити сертифікат"/>
    <hyperlink ref="E357" r:id="rId356" tooltip="Завантажити сертифікат" display="Завантажити сертифікат"/>
    <hyperlink ref="E358" r:id="rId357" tooltip="Завантажити сертифікат" display="Завантажити сертифікат"/>
    <hyperlink ref="E359" r:id="rId358" tooltip="Завантажити сертифікат" display="Завантажити сертифікат"/>
    <hyperlink ref="E360" r:id="rId359" tooltip="Завантажити сертифікат" display="Завантажити сертифікат"/>
    <hyperlink ref="E361" r:id="rId360" tooltip="Завантажити сертифікат" display="Завантажити сертифікат"/>
    <hyperlink ref="E362" r:id="rId361" tooltip="Завантажити сертифікат" display="Завантажити сертифікат"/>
    <hyperlink ref="E363" r:id="rId362" tooltip="Завантажити сертифікат" display="Завантажити сертифікат"/>
    <hyperlink ref="E364" r:id="rId363" tooltip="Завантажити сертифікат" display="Завантажити сертифікат"/>
    <hyperlink ref="E365" r:id="rId364" tooltip="Завантажити сертифікат" display="Завантажити сертифікат"/>
    <hyperlink ref="E366" r:id="rId365" tooltip="Завантажити сертифікат" display="Завантажити сертифікат"/>
    <hyperlink ref="E367" r:id="rId366" tooltip="Завантажити сертифікат" display="Завантажити сертифікат"/>
    <hyperlink ref="E368" r:id="rId367" tooltip="Завантажити сертифікат" display="Завантажити сертифікат"/>
    <hyperlink ref="E369" r:id="rId368" tooltip="Завантажити сертифікат" display="Завантажити сертифікат"/>
    <hyperlink ref="E370" r:id="rId369" tooltip="Завантажити сертифікат" display="Завантажити сертифікат"/>
    <hyperlink ref="E371" r:id="rId370" tooltip="Завантажити сертифікат" display="Завантажити сертифікат"/>
    <hyperlink ref="E372" r:id="rId371" tooltip="Завантажити сертифікат" display="Завантажити сертифікат"/>
    <hyperlink ref="E373" r:id="rId372" tooltip="Завантажити сертифікат" display="Завантажити сертифікат"/>
    <hyperlink ref="E374" r:id="rId373" tooltip="Завантажити сертифікат" display="Завантажити сертифікат"/>
    <hyperlink ref="E375" r:id="rId374" tooltip="Завантажити сертифікат" display="Завантажити сертифікат"/>
    <hyperlink ref="E376" r:id="rId375" tooltip="Завантажити сертифікат" display="Завантажити сертифікат"/>
    <hyperlink ref="E377" r:id="rId376" tooltip="Завантажити сертифікат" display="Завантажити сертифікат"/>
    <hyperlink ref="E378" r:id="rId377" tooltip="Завантажити сертифікат" display="Завантажити сертифікат"/>
    <hyperlink ref="E379" r:id="rId378" tooltip="Завантажити сертифікат" display="Завантажити сертифікат"/>
    <hyperlink ref="E380" r:id="rId379" tooltip="Завантажити сертифікат" display="Завантажити сертифікат"/>
    <hyperlink ref="E381" r:id="rId380" tooltip="Завантажити сертифікат" display="Завантажити сертифікат"/>
    <hyperlink ref="E382" r:id="rId381" tooltip="Завантажити сертифікат" display="Завантажити сертифікат"/>
    <hyperlink ref="E383" r:id="rId382" tooltip="Завантажити сертифікат" display="Завантажити сертифікат"/>
    <hyperlink ref="E384" r:id="rId383" tooltip="Завантажити сертифікат" display="Завантажити сертифікат"/>
    <hyperlink ref="E385" r:id="rId384" tooltip="Завантажити сертифікат" display="Завантажити сертифікат"/>
    <hyperlink ref="E386" r:id="rId385" tooltip="Завантажити сертифікат" display="Завантажити сертифікат"/>
    <hyperlink ref="E387" r:id="rId386" tooltip="Завантажити сертифікат" display="Завантажити сертифікат"/>
    <hyperlink ref="E388" r:id="rId387" tooltip="Завантажити сертифікат" display="Завантажити сертифікат"/>
    <hyperlink ref="E389" r:id="rId388" tooltip="Завантажити сертифікат" display="Завантажити сертифікат"/>
    <hyperlink ref="E390" r:id="rId389" tooltip="Завантажити сертифікат" display="Завантажити сертифікат"/>
    <hyperlink ref="E391" r:id="rId390" tooltip="Завантажити сертифікат" display="Завантажити сертифікат"/>
    <hyperlink ref="E392" r:id="rId391" tooltip="Завантажити сертифікат" display="Завантажити сертифікат"/>
    <hyperlink ref="E393" r:id="rId392" tooltip="Завантажити сертифікат" display="Завантажити сертифікат"/>
    <hyperlink ref="E394" r:id="rId393" tooltip="Завантажити сертифікат" display="Завантажити сертифікат"/>
    <hyperlink ref="E395" r:id="rId394" tooltip="Завантажити сертифікат" display="Завантажити сертифікат"/>
    <hyperlink ref="E396" r:id="rId395" tooltip="Завантажити сертифікат" display="Завантажити сертифікат"/>
    <hyperlink ref="E397" r:id="rId396" tooltip="Завантажити сертифікат" display="Завантажити сертифікат"/>
    <hyperlink ref="E398" r:id="rId397" tooltip="Завантажити сертифікат" display="Завантажити сертифікат"/>
    <hyperlink ref="E399" r:id="rId398" tooltip="Завантажити сертифікат" display="Завантажити сертифікат"/>
    <hyperlink ref="E400" r:id="rId399" tooltip="Завантажити сертифікат" display="Завантажити сертифікат"/>
    <hyperlink ref="E401" r:id="rId400" tooltip="Завантажити сертифікат" display="Завантажити сертифікат"/>
    <hyperlink ref="E402" r:id="rId401" tooltip="Завантажити сертифікат" display="Завантажити сертифікат"/>
    <hyperlink ref="E403" r:id="rId402" tooltip="Завантажити сертифікат" display="Завантажити сертифікат"/>
    <hyperlink ref="E404" r:id="rId403" tooltip="Завантажити сертифікат" display="Завантажити сертифікат"/>
    <hyperlink ref="E405" r:id="rId404" tooltip="Завантажити сертифікат" display="Завантажити сертифікат"/>
    <hyperlink ref="E406" r:id="rId405" tooltip="Завантажити сертифікат" display="Завантажити сертифікат"/>
    <hyperlink ref="E407" r:id="rId406" tooltip="Завантажити сертифікат" display="Завантажити сертифікат"/>
    <hyperlink ref="E408" r:id="rId407" tooltip="Завантажити сертифікат" display="Завантажити сертифікат"/>
    <hyperlink ref="E409" r:id="rId408" tooltip="Завантажити сертифікат" display="Завантажити сертифікат"/>
    <hyperlink ref="E410" r:id="rId409" tooltip="Завантажити сертифікат" display="Завантажити сертифікат"/>
    <hyperlink ref="E411" r:id="rId410" tooltip="Завантажити сертифікат" display="Завантажити сертифікат"/>
    <hyperlink ref="E412" r:id="rId411" tooltip="Завантажити сертифікат" display="Завантажити сертифікат"/>
    <hyperlink ref="E413" r:id="rId412" tooltip="Завантажити сертифікат" display="Завантажити сертифікат"/>
    <hyperlink ref="E414" r:id="rId413" tooltip="Завантажити сертифікат" display="Завантажити сертифікат"/>
    <hyperlink ref="E415" r:id="rId414" tooltip="Завантажити сертифікат" display="Завантажити сертифікат"/>
    <hyperlink ref="E416" r:id="rId415" tooltip="Завантажити сертифікат" display="Завантажити сертифікат"/>
    <hyperlink ref="E417" r:id="rId416" tooltip="Завантажити сертифікат" display="Завантажити сертифікат"/>
    <hyperlink ref="E418" r:id="rId417" tooltip="Завантажити сертифікат" display="Завантажити сертифікат"/>
    <hyperlink ref="E419" r:id="rId418" tooltip="Завантажити сертифікат" display="Завантажити сертифікат"/>
    <hyperlink ref="E420" r:id="rId419" tooltip="Завантажити сертифікат" display="Завантажити сертифікат"/>
    <hyperlink ref="E421" r:id="rId420" tooltip="Завантажити сертифікат" display="Завантажити сертифікат"/>
    <hyperlink ref="E422" r:id="rId421" tooltip="Завантажити сертифікат" display="Завантажити сертифікат"/>
    <hyperlink ref="E423" r:id="rId422" tooltip="Завантажити сертифікат" display="Завантажити сертифікат"/>
    <hyperlink ref="E424" r:id="rId423" tooltip="Завантажити сертифікат" display="Завантажити сертифікат"/>
    <hyperlink ref="E425" r:id="rId424" tooltip="Завантажити сертифікат" display="Завантажити сертифікат"/>
    <hyperlink ref="E426" r:id="rId425" tooltip="Завантажити сертифікат" display="Завантажити сертифікат"/>
    <hyperlink ref="E427" r:id="rId426" tooltip="Завантажити сертифікат" display="Завантажити сертифікат"/>
    <hyperlink ref="E428" r:id="rId427" tooltip="Завантажити сертифікат" display="Завантажити сертифікат"/>
    <hyperlink ref="E429" r:id="rId428" tooltip="Завантажити сертифікат" display="Завантажити сертифікат"/>
    <hyperlink ref="E430" r:id="rId429" tooltip="Завантажити сертифікат" display="Завантажити сертифікат"/>
    <hyperlink ref="E431" r:id="rId430" tooltip="Завантажити сертифікат" display="Завантажити сертифікат"/>
    <hyperlink ref="E432" r:id="rId431" tooltip="Завантажити сертифікат" display="Завантажити сертифікат"/>
    <hyperlink ref="E433" r:id="rId432" tooltip="Завантажити сертифікат" display="Завантажити сертифікат"/>
    <hyperlink ref="E434" r:id="rId433" tooltip="Завантажити сертифікат" display="Завантажити сертифікат"/>
    <hyperlink ref="E435" r:id="rId434" tooltip="Завантажити сертифікат" display="Завантажити сертифікат"/>
    <hyperlink ref="E436" r:id="rId435" tooltip="Завантажити сертифікат" display="Завантажити сертифікат"/>
    <hyperlink ref="E437" r:id="rId436" tooltip="Завантажити сертифікат" display="Завантажити сертифікат"/>
    <hyperlink ref="E438" r:id="rId437" tooltip="Завантажити сертифікат" display="Завантажити сертифікат"/>
    <hyperlink ref="E439" r:id="rId438" tooltip="Завантажити сертифікат" display="Завантажити сертифікат"/>
    <hyperlink ref="E440" r:id="rId439" tooltip="Завантажити сертифікат" display="Завантажити сертифікат"/>
    <hyperlink ref="E441" r:id="rId440" tooltip="Завантажити сертифікат" display="Завантажити сертифікат"/>
    <hyperlink ref="E442" r:id="rId441" tooltip="Завантажити сертифікат" display="Завантажити сертифікат"/>
    <hyperlink ref="E443" r:id="rId442" tooltip="Завантажити сертифікат" display="Завантажити сертифікат"/>
    <hyperlink ref="E444" r:id="rId443" tooltip="Завантажити сертифікат" display="Завантажити сертифікат"/>
    <hyperlink ref="E445" r:id="rId444" tooltip="Завантажити сертифікат" display="Завантажити сертифікат"/>
    <hyperlink ref="E446" r:id="rId445" tooltip="Завантажити сертифікат" display="Завантажити сертифікат"/>
    <hyperlink ref="E447" r:id="rId446" tooltip="Завантажити сертифікат" display="Завантажити сертифікат"/>
    <hyperlink ref="E448" r:id="rId447" tooltip="Завантажити сертифікат" display="Завантажити сертифікат"/>
    <hyperlink ref="E449" r:id="rId448" tooltip="Завантажити сертифікат" display="Завантажити сертифікат"/>
    <hyperlink ref="E450" r:id="rId449" tooltip="Завантажити сертифікат" display="Завантажити сертифікат"/>
    <hyperlink ref="E451" r:id="rId450" tooltip="Завантажити сертифікат" display="Завантажити сертифікат"/>
    <hyperlink ref="E452" r:id="rId451" tooltip="Завантажити сертифікат" display="Завантажити сертифікат"/>
    <hyperlink ref="E453" r:id="rId452" tooltip="Завантажити сертифікат" display="Завантажити сертифікат"/>
    <hyperlink ref="E454" r:id="rId453" tooltip="Завантажити сертифікат" display="Завантажити сертифікат"/>
    <hyperlink ref="E455" r:id="rId454" tooltip="Завантажити сертифікат" display="Завантажити сертифікат"/>
    <hyperlink ref="E456" r:id="rId455" tooltip="Завантажити сертифікат" display="Завантажити сертифікат"/>
    <hyperlink ref="E457" r:id="rId456" tooltip="Завантажити сертифікат" display="Завантажити сертифікат"/>
    <hyperlink ref="E458" r:id="rId457" tooltip="Завантажити сертифікат" display="Завантажити сертифікат"/>
    <hyperlink ref="E459" r:id="rId458" tooltip="Завантажити сертифікат" display="Завантажити сертифікат"/>
    <hyperlink ref="E460" r:id="rId459" tooltip="Завантажити сертифікат" display="Завантажити сертифікат"/>
    <hyperlink ref="E461" r:id="rId460" tooltip="Завантажити сертифікат" display="Завантажити сертифікат"/>
    <hyperlink ref="E462" r:id="rId461" tooltip="Завантажити сертифікат" display="Завантажити сертифікат"/>
    <hyperlink ref="E463" r:id="rId462" tooltip="Завантажити сертифікат" display="Завантажити сертифікат"/>
    <hyperlink ref="E464" r:id="rId463" tooltip="Завантажити сертифікат" display="Завантажити сертифікат"/>
    <hyperlink ref="E465" r:id="rId464" tooltip="Завантажити сертифікат" display="Завантажити сертифікат"/>
    <hyperlink ref="E466" r:id="rId465" tooltip="Завантажити сертифікат" display="Завантажити сертифікат"/>
    <hyperlink ref="E467" r:id="rId466" tooltip="Завантажити сертифікат" display="Завантажити сертифікат"/>
    <hyperlink ref="E468" r:id="rId467" tooltip="Завантажити сертифікат" display="Завантажити сертифікат"/>
    <hyperlink ref="E469" r:id="rId468" tooltip="Завантажити сертифікат" display="Завантажити сертифікат"/>
    <hyperlink ref="E470" r:id="rId469" tooltip="Завантажити сертифікат" display="Завантажити сертифікат"/>
    <hyperlink ref="E471" r:id="rId470" tooltip="Завантажити сертифікат" display="Завантажити сертифікат"/>
    <hyperlink ref="E472" r:id="rId471" tooltip="Завантажити сертифікат" display="Завантажити сертифікат"/>
    <hyperlink ref="E473" r:id="rId472" tooltip="Завантажити сертифікат" display="Завантажити сертифікат"/>
    <hyperlink ref="E474" r:id="rId473" tooltip="Завантажити сертифікат" display="Завантажити сертифікат"/>
    <hyperlink ref="E475" r:id="rId474" tooltip="Завантажити сертифікат" display="Завантажити сертифікат"/>
    <hyperlink ref="E476" r:id="rId475" tooltip="Завантажити сертифікат" display="Завантажити сертифікат"/>
    <hyperlink ref="E477" r:id="rId476" tooltip="Завантажити сертифікат" display="Завантажити сертифікат"/>
    <hyperlink ref="E478" r:id="rId477" tooltip="Завантажити сертифікат" display="Завантажити сертифікат"/>
    <hyperlink ref="E479" r:id="rId478" tooltip="Завантажити сертифікат" display="Завантажити сертифікат"/>
    <hyperlink ref="E480" r:id="rId479" tooltip="Завантажити сертифікат" display="Завантажити сертифікат"/>
    <hyperlink ref="E481" r:id="rId480" tooltip="Завантажити сертифікат" display="Завантажити сертифікат"/>
    <hyperlink ref="E482" r:id="rId481" tooltip="Завантажити сертифікат" display="Завантажити сертифікат"/>
    <hyperlink ref="E483" r:id="rId482" tooltip="Завантажити сертифікат" display="Завантажити сертифікат"/>
    <hyperlink ref="E484" r:id="rId483" tooltip="Завантажити сертифікат" display="Завантажити сертифікат"/>
    <hyperlink ref="E485" r:id="rId484" tooltip="Завантажити сертифікат" display="Завантажити сертифікат"/>
    <hyperlink ref="E486" r:id="rId485" tooltip="Завантажити сертифікат" display="Завантажити сертифікат"/>
    <hyperlink ref="E487" r:id="rId486" tooltip="Завантажити сертифікат" display="Завантажити сертифікат"/>
    <hyperlink ref="E488" r:id="rId487" tooltip="Завантажити сертифікат" display="Завантажити сертифікат"/>
    <hyperlink ref="E489" r:id="rId488" tooltip="Завантажити сертифікат" display="Завантажити сертифікат"/>
    <hyperlink ref="E490" r:id="rId489" tooltip="Завантажити сертифікат" display="Завантажити сертифікат"/>
    <hyperlink ref="E491" r:id="rId490" tooltip="Завантажити сертифікат" display="Завантажити сертифікат"/>
    <hyperlink ref="E492" r:id="rId491" tooltip="Завантажити сертифікат" display="Завантажити сертифікат"/>
    <hyperlink ref="E493" r:id="rId492" tooltip="Завантажити сертифікат" display="Завантажити сертифікат"/>
    <hyperlink ref="E494" r:id="rId493" tooltip="Завантажити сертифікат" display="Завантажити сертифікат"/>
    <hyperlink ref="E495" r:id="rId494" tooltip="Завантажити сертифікат" display="Завантажити сертифікат"/>
    <hyperlink ref="E496" r:id="rId495" tooltip="Завантажити сертифікат" display="Завантажити сертифікат"/>
    <hyperlink ref="E497" r:id="rId496" tooltip="Завантажити сертифікат" display="Завантажити сертифікат"/>
    <hyperlink ref="E498" r:id="rId497" tooltip="Завантажити сертифікат" display="Завантажити сертифікат"/>
    <hyperlink ref="E499" r:id="rId498" tooltip="Завантажити сертифікат" display="Завантажити сертифікат"/>
    <hyperlink ref="E500" r:id="rId499" tooltip="Завантажити сертифікат" display="Завантажити сертифікат"/>
    <hyperlink ref="E501" r:id="rId500" tooltip="Завантажити сертифікат" display="Завантажити сертифікат"/>
    <hyperlink ref="E502" r:id="rId501" tooltip="Завантажити сертифікат" display="Завантажити сертифікат"/>
    <hyperlink ref="E503" r:id="rId502" tooltip="Завантажити сертифікат" display="Завантажити сертифікат"/>
    <hyperlink ref="E504" r:id="rId503" tooltip="Завантажити сертифікат" display="Завантажити сертифікат"/>
    <hyperlink ref="E505" r:id="rId504" tooltip="Завантажити сертифікат" display="Завантажити сертифікат"/>
    <hyperlink ref="E506" r:id="rId505" tooltip="Завантажити сертифікат" display="Завантажити сертифікат"/>
    <hyperlink ref="E507" r:id="rId506" tooltip="Завантажити сертифікат" display="Завантажити сертифікат"/>
    <hyperlink ref="E508" r:id="rId507" tooltip="Завантажити сертифікат" display="Завантажити сертифікат"/>
    <hyperlink ref="E509" r:id="rId508" tooltip="Завантажити сертифікат" display="Завантажити сертифікат"/>
    <hyperlink ref="E510" r:id="rId509" tooltip="Завантажити сертифікат" display="Завантажити сертифікат"/>
    <hyperlink ref="E511" r:id="rId510" tooltip="Завантажити сертифікат" display="Завантажити сертифікат"/>
    <hyperlink ref="E512" r:id="rId511" tooltip="Завантажити сертифікат" display="Завантажити сертифікат"/>
    <hyperlink ref="E513" r:id="rId512" tooltip="Завантажити сертифікат" display="Завантажити сертифікат"/>
    <hyperlink ref="E514" r:id="rId513" tooltip="Завантажити сертифікат" display="Завантажити сертифікат"/>
    <hyperlink ref="E515" r:id="rId514" tooltip="Завантажити сертифікат" display="Завантажити сертифікат"/>
    <hyperlink ref="E516" r:id="rId515" tooltip="Завантажити сертифікат" display="Завантажити сертифікат"/>
    <hyperlink ref="E517" r:id="rId516" tooltip="Завантажити сертифікат" display="Завантажити сертифікат"/>
    <hyperlink ref="E518" r:id="rId517" tooltip="Завантажити сертифікат" display="Завантажити сертифікат"/>
    <hyperlink ref="E519" r:id="rId518" tooltip="Завантажити сертифікат" display="Завантажити сертифікат"/>
    <hyperlink ref="E520" r:id="rId519" tooltip="Завантажити сертифікат" display="Завантажити сертифікат"/>
    <hyperlink ref="E521" r:id="rId520" tooltip="Завантажити сертифікат" display="Завантажити сертифікат"/>
    <hyperlink ref="E522" r:id="rId521" tooltip="Завантажити сертифікат" display="Завантажити сертифікат"/>
    <hyperlink ref="E523" r:id="rId522" tooltip="Завантажити сертифікат" display="Завантажити сертифікат"/>
    <hyperlink ref="E524" r:id="rId523" tooltip="Завантажити сертифікат" display="Завантажити сертифікат"/>
    <hyperlink ref="E525" r:id="rId524" tooltip="Завантажити сертифікат" display="Завантажити сертифікат"/>
    <hyperlink ref="E526" r:id="rId525" tooltip="Завантажити сертифікат" display="Завантажити сертифікат"/>
    <hyperlink ref="E527" r:id="rId526" tooltip="Завантажити сертифікат" display="Завантажити сертифікат"/>
    <hyperlink ref="E528" r:id="rId527" tooltip="Завантажити сертифікат" display="Завантажити сертифікат"/>
    <hyperlink ref="E529" r:id="rId528" tooltip="Завантажити сертифікат" display="Завантажити сертифікат"/>
    <hyperlink ref="E530" r:id="rId529" tooltip="Завантажити сертифікат" display="Завантажити сертифікат"/>
    <hyperlink ref="E531" r:id="rId530" tooltip="Завантажити сертифікат" display="Завантажити сертифікат"/>
    <hyperlink ref="E532" r:id="rId531" tooltip="Завантажити сертифікат" display="Завантажити сертифікат"/>
    <hyperlink ref="E533" r:id="rId532" tooltip="Завантажити сертифікат" display="Завантажити сертифікат"/>
    <hyperlink ref="E534" r:id="rId533" tooltip="Завантажити сертифікат" display="Завантажити сертифікат"/>
    <hyperlink ref="E535" r:id="rId534" tooltip="Завантажити сертифікат" display="Завантажити сертифікат"/>
    <hyperlink ref="E536" r:id="rId535" tooltip="Завантажити сертифікат" display="Завантажити сертифікат"/>
    <hyperlink ref="E537" r:id="rId536" tooltip="Завантажити сертифікат" display="Завантажити сертифікат"/>
    <hyperlink ref="E538" r:id="rId537" tooltip="Завантажити сертифікат" display="Завантажити сертифікат"/>
    <hyperlink ref="E539" r:id="rId538" tooltip="Завантажити сертифікат" display="Завантажити сертифікат"/>
    <hyperlink ref="E540" r:id="rId539" tooltip="Завантажити сертифікат" display="Завантажити сертифікат"/>
    <hyperlink ref="E541" r:id="rId540" tooltip="Завантажити сертифікат" display="Завантажити сертифікат"/>
    <hyperlink ref="E542" r:id="rId541" tooltip="Завантажити сертифікат" display="Завантажити сертифікат"/>
    <hyperlink ref="E543" r:id="rId542" tooltip="Завантажити сертифікат" display="Завантажити сертифікат"/>
    <hyperlink ref="E544" r:id="rId543" tooltip="Завантажити сертифікат" display="Завантажити сертифікат"/>
    <hyperlink ref="E545" r:id="rId544" tooltip="Завантажити сертифікат" display="Завантажити сертифікат"/>
    <hyperlink ref="E546" r:id="rId545" tooltip="Завантажити сертифікат" display="Завантажити сертифікат"/>
    <hyperlink ref="E547" r:id="rId546" tooltip="Завантажити сертифікат" display="Завантажити сертифікат"/>
    <hyperlink ref="E548" r:id="rId547" tooltip="Завантажити сертифікат" display="Завантажити сертифікат"/>
    <hyperlink ref="E549" r:id="rId548" tooltip="Завантажити сертифікат" display="Завантажити сертифікат"/>
    <hyperlink ref="E550" r:id="rId549" tooltip="Завантажити сертифікат" display="Завантажити сертифікат"/>
    <hyperlink ref="E551" r:id="rId550" tooltip="Завантажити сертифікат" display="Завантажити сертифікат"/>
    <hyperlink ref="E552" r:id="rId551" tooltip="Завантажити сертифікат" display="Завантажити сертифікат"/>
    <hyperlink ref="E553" r:id="rId552" tooltip="Завантажити сертифікат" display="Завантажити сертифікат"/>
    <hyperlink ref="E554" r:id="rId553" tooltip="Завантажити сертифікат" display="Завантажити сертифікат"/>
    <hyperlink ref="E555" r:id="rId554" tooltip="Завантажити сертифікат" display="Завантажити сертифікат"/>
    <hyperlink ref="E556" r:id="rId555" tooltip="Завантажити сертифікат" display="Завантажити сертифікат"/>
    <hyperlink ref="E557" r:id="rId556" tooltip="Завантажити сертифікат" display="Завантажити сертифікат"/>
    <hyperlink ref="E558" r:id="rId557" tooltip="Завантажити сертифікат" display="Завантажити сертифікат"/>
    <hyperlink ref="E559" r:id="rId558" tooltip="Завантажити сертифікат" display="Завантажити сертифікат"/>
    <hyperlink ref="E560" r:id="rId559" tooltip="Завантажити сертифікат" display="Завантажити сертифікат"/>
    <hyperlink ref="E561" r:id="rId560" tooltip="Завантажити сертифікат" display="Завантажити сертифікат"/>
    <hyperlink ref="E562" r:id="rId561" tooltip="Завантажити сертифікат" display="Завантажити сертифікат"/>
    <hyperlink ref="E563" r:id="rId562" tooltip="Завантажити сертифікат" display="Завантажити сертифікат"/>
    <hyperlink ref="E564" r:id="rId563" tooltip="Завантажити сертифікат" display="Завантажити сертифікат"/>
    <hyperlink ref="E565" r:id="rId564" tooltip="Завантажити сертифікат" display="Завантажити сертифікат"/>
    <hyperlink ref="E566" r:id="rId565" tooltip="Завантажити сертифікат" display="Завантажити сертифікат"/>
    <hyperlink ref="E567" r:id="rId566" tooltip="Завантажити сертифікат" display="Завантажити сертифікат"/>
    <hyperlink ref="E568" r:id="rId567" tooltip="Завантажити сертифікат" display="Завантажити сертифікат"/>
    <hyperlink ref="E569" r:id="rId568" tooltip="Завантажити сертифікат" display="Завантажити сертифікат"/>
    <hyperlink ref="E570" r:id="rId569" tooltip="Завантажити сертифікат" display="Завантажити сертифікат"/>
    <hyperlink ref="E571" r:id="rId570" tooltip="Завантажити сертифікат" display="Завантажити сертифікат"/>
    <hyperlink ref="E572" r:id="rId571" tooltip="Завантажити сертифікат" display="Завантажити сертифікат"/>
    <hyperlink ref="E573" r:id="rId572" tooltip="Завантажити сертифікат" display="Завантажити сертифікат"/>
    <hyperlink ref="E574" r:id="rId573" tooltip="Завантажити сертифікат" display="Завантажити сертифікат"/>
    <hyperlink ref="E575" r:id="rId574" tooltip="Завантажити сертифікат" display="Завантажити сертифікат"/>
    <hyperlink ref="E576" r:id="rId575" tooltip="Завантажити сертифікат" display="Завантажити сертифікат"/>
    <hyperlink ref="E577" r:id="rId576" tooltip="Завантажити сертифікат" display="Завантажити сертифікат"/>
    <hyperlink ref="E578" r:id="rId577" tooltip="Завантажити сертифікат" display="Завантажити сертифікат"/>
    <hyperlink ref="E579" r:id="rId578" tooltip="Завантажити сертифікат" display="Завантажити сертифікат"/>
    <hyperlink ref="E580" r:id="rId579" tooltip="Завантажити сертифікат" display="Завантажити сертифікат"/>
    <hyperlink ref="E581" r:id="rId580" tooltip="Завантажити сертифікат" display="Завантажити сертифікат"/>
    <hyperlink ref="E582" r:id="rId581" tooltip="Завантажити сертифікат" display="Завантажити сертифікат"/>
    <hyperlink ref="E583" r:id="rId582" tooltip="Завантажити сертифікат" display="Завантажити сертифікат"/>
    <hyperlink ref="E584" r:id="rId583" tooltip="Завантажити сертифікат" display="Завантажити сертифікат"/>
    <hyperlink ref="E585" r:id="rId584" tooltip="Завантажити сертифікат" display="Завантажити сертифікат"/>
    <hyperlink ref="E586" r:id="rId585" tooltip="Завантажити сертифікат" display="Завантажити сертифікат"/>
    <hyperlink ref="E587" r:id="rId586" tooltip="Завантажити сертифікат" display="Завантажити сертифікат"/>
    <hyperlink ref="E588" r:id="rId587" tooltip="Завантажити сертифікат" display="Завантажити сертифікат"/>
    <hyperlink ref="E589" r:id="rId588" tooltip="Завантажити сертифікат" display="Завантажити сертифікат"/>
    <hyperlink ref="E590" r:id="rId589" tooltip="Завантажити сертифікат" display="Завантажити сертифікат"/>
    <hyperlink ref="E591" r:id="rId590" tooltip="Завантажити сертифікат" display="Завантажити сертифікат"/>
    <hyperlink ref="E592" r:id="rId591" tooltip="Завантажити сертифікат" display="Завантажити сертифікат"/>
    <hyperlink ref="E593" r:id="rId592" tooltip="Завантажити сертифікат" display="Завантажити сертифікат"/>
    <hyperlink ref="E594" r:id="rId593" tooltip="Завантажити сертифікат" display="Завантажити сертифікат"/>
    <hyperlink ref="E595" r:id="rId594" tooltip="Завантажити сертифікат" display="Завантажити сертифікат"/>
    <hyperlink ref="E596" r:id="rId595" tooltip="Завантажити сертифікат" display="Завантажити сертифікат"/>
    <hyperlink ref="E597" r:id="rId596" tooltip="Завантажити сертифікат" display="Завантажити сертифікат"/>
    <hyperlink ref="E598" r:id="rId597" tooltip="Завантажити сертифікат" display="Завантажити сертифікат"/>
    <hyperlink ref="E599" r:id="rId598" tooltip="Завантажити сертифікат" display="Завантажити сертифікат"/>
    <hyperlink ref="E600" r:id="rId599" tooltip="Завантажити сертифікат" display="Завантажити сертифікат"/>
    <hyperlink ref="E601" r:id="rId600" tooltip="Завантажити сертифікат" display="Завантажити сертифікат"/>
    <hyperlink ref="E602" r:id="rId601" tooltip="Завантажити сертифікат" display="Завантажити сертифікат"/>
    <hyperlink ref="E603" r:id="rId602" tooltip="Завантажити сертифікат" display="Завантажити сертифікат"/>
    <hyperlink ref="E604" r:id="rId603" tooltip="Завантажити сертифікат" display="Завантажити сертифікат"/>
    <hyperlink ref="E605" r:id="rId604" tooltip="Завантажити сертифікат" display="Завантажити сертифікат"/>
    <hyperlink ref="E606" r:id="rId605" tooltip="Завантажити сертифікат" display="Завантажити сертифікат"/>
    <hyperlink ref="E607" r:id="rId606" tooltip="Завантажити сертифікат" display="Завантажити сертифікат"/>
    <hyperlink ref="E608" r:id="rId607" tooltip="Завантажити сертифікат" display="Завантажити сертифікат"/>
    <hyperlink ref="E609" r:id="rId608" tooltip="Завантажити сертифікат" display="Завантажити сертифікат"/>
    <hyperlink ref="E610" r:id="rId609" tooltip="Завантажити сертифікат" display="Завантажити сертифікат"/>
    <hyperlink ref="E611" r:id="rId610" tooltip="Завантажити сертифікат" display="Завантажити сертифікат"/>
    <hyperlink ref="E612" r:id="rId611" tooltip="Завантажити сертифікат" display="Завантажити сертифікат"/>
    <hyperlink ref="E613" r:id="rId612" tooltip="Завантажити сертифікат" display="Завантажити сертифікат"/>
    <hyperlink ref="E614" r:id="rId613" tooltip="Завантажити сертифікат" display="Завантажити сертифікат"/>
    <hyperlink ref="E615" r:id="rId614" tooltip="Завантажити сертифікат" display="Завантажити сертифікат"/>
    <hyperlink ref="E616" r:id="rId615" tooltip="Завантажити сертифікат" display="Завантажити сертифікат"/>
    <hyperlink ref="E617" r:id="rId616" tooltip="Завантажити сертифікат" display="Завантажити сертифікат"/>
    <hyperlink ref="E618" r:id="rId617" tooltip="Завантажити сертифікат" display="Завантажити сертифікат"/>
    <hyperlink ref="E619" r:id="rId618" tooltip="Завантажити сертифікат" display="Завантажити сертифікат"/>
    <hyperlink ref="E620" r:id="rId619" tooltip="Завантажити сертифікат" display="Завантажити сертифікат"/>
    <hyperlink ref="E621" r:id="rId620" tooltip="Завантажити сертифікат" display="Завантажити сертифікат"/>
    <hyperlink ref="E622" r:id="rId621" tooltip="Завантажити сертифікат" display="Завантажити сертифікат"/>
    <hyperlink ref="E623" r:id="rId622" tooltip="Завантажити сертифікат" display="Завантажити сертифікат"/>
    <hyperlink ref="E624" r:id="rId623" tooltip="Завантажити сертифікат" display="Завантажити сертифікат"/>
    <hyperlink ref="E625" r:id="rId624" tooltip="Завантажити сертифікат" display="Завантажити сертифікат"/>
    <hyperlink ref="E626" r:id="rId625" tooltip="Завантажити сертифікат" display="Завантажити сертифікат"/>
    <hyperlink ref="E627" r:id="rId626" tooltip="Завантажити сертифікат" display="Завантажити сертифікат"/>
    <hyperlink ref="E628" r:id="rId627" tooltip="Завантажити сертифікат" display="Завантажити сертифікат"/>
    <hyperlink ref="E629" r:id="rId628" tooltip="Завантажити сертифікат" display="Завантажити сертифікат"/>
    <hyperlink ref="E630" r:id="rId629" tooltip="Завантажити сертифікат" display="Завантажити сертифікат"/>
    <hyperlink ref="E631" r:id="rId630" tooltip="Завантажити сертифікат" display="Завантажити сертифікат"/>
    <hyperlink ref="E632" r:id="rId631" tooltip="Завантажити сертифікат" display="Завантажити сертифікат"/>
    <hyperlink ref="E633" r:id="rId632" tooltip="Завантажити сертифікат" display="Завантажити сертифікат"/>
    <hyperlink ref="E634" r:id="rId633" tooltip="Завантажити сертифікат" display="Завантажити сертифікат"/>
    <hyperlink ref="E635" r:id="rId634" tooltip="Завантажити сертифікат" display="Завантажити сертифікат"/>
    <hyperlink ref="E636" r:id="rId635" tooltip="Завантажити сертифікат" display="Завантажити сертифікат"/>
    <hyperlink ref="E637" r:id="rId636" tooltip="Завантажити сертифікат" display="Завантажити сертифікат"/>
    <hyperlink ref="E638" r:id="rId637" tooltip="Завантажити сертифікат" display="Завантажити сертифікат"/>
    <hyperlink ref="E639" r:id="rId638" tooltip="Завантажити сертифікат" display="Завантажити сертифікат"/>
    <hyperlink ref="E640" r:id="rId639" tooltip="Завантажити сертифікат" display="Завантажити сертифікат"/>
    <hyperlink ref="E641" r:id="rId640" tooltip="Завантажити сертифікат" display="Завантажити сертифікат"/>
    <hyperlink ref="E642" r:id="rId641" tooltip="Завантажити сертифікат" display="Завантажити сертифікат"/>
    <hyperlink ref="E643" r:id="rId642" tooltip="Завантажити сертифікат" display="Завантажити сертифікат"/>
    <hyperlink ref="E644" r:id="rId643" tooltip="Завантажити сертифікат" display="Завантажити сертифікат"/>
    <hyperlink ref="E645" r:id="rId644" tooltip="Завантажити сертифікат" display="Завантажити сертифікат"/>
    <hyperlink ref="E646" r:id="rId645" tooltip="Завантажити сертифікат" display="Завантажити сертифікат"/>
    <hyperlink ref="E647" r:id="rId646" tooltip="Завантажити сертифікат" display="Завантажити сертифікат"/>
    <hyperlink ref="E648" r:id="rId647" tooltip="Завантажити сертифікат" display="Завантажити сертифікат"/>
    <hyperlink ref="E649" r:id="rId648" tooltip="Завантажити сертифікат" display="Завантажити сертифікат"/>
    <hyperlink ref="E650" r:id="rId649" tooltip="Завантажити сертифікат" display="Завантажити сертифікат"/>
    <hyperlink ref="E651" r:id="rId650" tooltip="Завантажити сертифікат" display="Завантажити сертифікат"/>
    <hyperlink ref="E652" r:id="rId651" tooltip="Завантажити сертифікат" display="Завантажити сертифікат"/>
    <hyperlink ref="E653" r:id="rId652" tooltip="Завантажити сертифікат" display="Завантажити сертифікат"/>
    <hyperlink ref="E654" r:id="rId653" tooltip="Завантажити сертифікат" display="Завантажити сертифікат"/>
    <hyperlink ref="E655" r:id="rId654" tooltip="Завантажити сертифікат" display="Завантажити сертифікат"/>
    <hyperlink ref="E656" r:id="rId655" tooltip="Завантажити сертифікат" display="Завантажити сертифікат"/>
    <hyperlink ref="E657" r:id="rId656" tooltip="Завантажити сертифікат" display="Завантажити сертифікат"/>
    <hyperlink ref="E658" r:id="rId657" tooltip="Завантажити сертифікат" display="Завантажити сертифікат"/>
    <hyperlink ref="E659" r:id="rId658" tooltip="Завантажити сертифікат" display="Завантажити сертифікат"/>
    <hyperlink ref="E660" r:id="rId659" tooltip="Завантажити сертифікат" display="Завантажити сертифікат"/>
    <hyperlink ref="E661" r:id="rId660" tooltip="Завантажити сертифікат" display="Завантажити сертифікат"/>
    <hyperlink ref="E662" r:id="rId661" tooltip="Завантажити сертифікат" display="Завантажити сертифікат"/>
    <hyperlink ref="E663" r:id="rId662" tooltip="Завантажити сертифікат" display="Завантажити сертифікат"/>
    <hyperlink ref="E664" r:id="rId663" tooltip="Завантажити сертифікат" display="Завантажити сертифікат"/>
    <hyperlink ref="E665" r:id="rId664" tooltip="Завантажити сертифікат" display="Завантажити сертифікат"/>
    <hyperlink ref="E666" r:id="rId665" tooltip="Завантажити сертифікат" display="Завантажити сертифікат"/>
    <hyperlink ref="E667" r:id="rId666" tooltip="Завантажити сертифікат" display="Завантажити сертифікат"/>
    <hyperlink ref="E668" r:id="rId667" tooltip="Завантажити сертифікат" display="Завантажити сертифікат"/>
    <hyperlink ref="E669" r:id="rId668" tooltip="Завантажити сертифікат" display="Завантажити сертифікат"/>
    <hyperlink ref="E670" r:id="rId669" tooltip="Завантажити сертифікат" display="Завантажити сертифікат"/>
    <hyperlink ref="E671" r:id="rId670" tooltip="Завантажити сертифікат" display="Завантажити сертифікат"/>
    <hyperlink ref="E672" r:id="rId671" tooltip="Завантажити сертифікат" display="Завантажити сертифікат"/>
    <hyperlink ref="E673" r:id="rId672" tooltip="Завантажити сертифікат" display="Завантажити сертифікат"/>
    <hyperlink ref="E674" r:id="rId673" tooltip="Завантажити сертифікат" display="Завантажити сертифікат"/>
    <hyperlink ref="E675" r:id="rId674" tooltip="Завантажити сертифікат" display="Завантажити сертифікат"/>
    <hyperlink ref="E676" r:id="rId675" tooltip="Завантажити сертифікат" display="Завантажити сертифікат"/>
    <hyperlink ref="E677" r:id="rId676" tooltip="Завантажити сертифікат" display="Завантажити сертифікат"/>
    <hyperlink ref="E678" r:id="rId677" tooltip="Завантажити сертифікат" display="Завантажити сертифікат"/>
    <hyperlink ref="E679" r:id="rId678" tooltip="Завантажити сертифікат" display="Завантажити сертифікат"/>
    <hyperlink ref="E680" r:id="rId679" tooltip="Завантажити сертифікат" display="Завантажити сертифікат"/>
    <hyperlink ref="E681" r:id="rId680" tooltip="Завантажити сертифікат" display="Завантажити сертифікат"/>
    <hyperlink ref="E682" r:id="rId681" tooltip="Завантажити сертифікат" display="Завантажити сертифікат"/>
    <hyperlink ref="E683" r:id="rId682" tooltip="Завантажити сертифікат" display="Завантажити сертифікат"/>
    <hyperlink ref="E684" r:id="rId683" tooltip="Завантажити сертифікат" display="Завантажити сертифікат"/>
    <hyperlink ref="E685" r:id="rId684" tooltip="Завантажити сертифікат" display="Завантажити сертифікат"/>
    <hyperlink ref="E686" r:id="rId685" tooltip="Завантажити сертифікат" display="Завантажити сертифікат"/>
    <hyperlink ref="E687" r:id="rId686" tooltip="Завантажити сертифікат" display="Завантажити сертифікат"/>
    <hyperlink ref="E688" r:id="rId687" tooltip="Завантажити сертифікат" display="Завантажити сертифікат"/>
    <hyperlink ref="E689" r:id="rId688" tooltip="Завантажити сертифікат" display="Завантажити сертифікат"/>
    <hyperlink ref="E690" r:id="rId689" tooltip="Завантажити сертифікат" display="Завантажити сертифікат"/>
    <hyperlink ref="E691" r:id="rId690" tooltip="Завантажити сертифікат" display="Завантажити сертифікат"/>
    <hyperlink ref="E692" r:id="rId691" tooltip="Завантажити сертифікат" display="Завантажити сертифікат"/>
    <hyperlink ref="E693" r:id="rId692" tooltip="Завантажити сертифікат" display="Завантажити сертифікат"/>
    <hyperlink ref="E694" r:id="rId693" tooltip="Завантажити сертифікат" display="Завантажити сертифікат"/>
    <hyperlink ref="E695" r:id="rId694" tooltip="Завантажити сертифікат" display="Завантажити сертифікат"/>
    <hyperlink ref="E696" r:id="rId695" tooltip="Завантажити сертифікат" display="Завантажити сертифікат"/>
    <hyperlink ref="E697" r:id="rId696" tooltip="Завантажити сертифікат" display="Завантажити сертифікат"/>
    <hyperlink ref="E698" r:id="rId697" tooltip="Завантажити сертифікат" display="Завантажити сертифікат"/>
    <hyperlink ref="E699" r:id="rId698" tooltip="Завантажити сертифікат" display="Завантажити сертифікат"/>
    <hyperlink ref="E700" r:id="rId699" tooltip="Завантажити сертифікат" display="Завантажити сертифікат"/>
    <hyperlink ref="E701" r:id="rId700" tooltip="Завантажити сертифікат" display="Завантажити сертифікат"/>
    <hyperlink ref="E702" r:id="rId701" tooltip="Завантажити сертифікат" display="Завантажити сертифікат"/>
    <hyperlink ref="E703" r:id="rId702" tooltip="Завантажити сертифікат" display="Завантажити сертифікат"/>
    <hyperlink ref="E704" r:id="rId703" tooltip="Завантажити сертифікат" display="Завантажити сертифікат"/>
    <hyperlink ref="E705" r:id="rId704" tooltip="Завантажити сертифікат" display="Завантажити сертифікат"/>
    <hyperlink ref="E706" r:id="rId705" tooltip="Завантажити сертифікат" display="Завантажити сертифікат"/>
    <hyperlink ref="E707" r:id="rId706" tooltip="Завантажити сертифікат" display="Завантажити сертифікат"/>
    <hyperlink ref="E708" r:id="rId707" tooltip="Завантажити сертифікат" display="Завантажити сертифікат"/>
    <hyperlink ref="E709" r:id="rId708" tooltip="Завантажити сертифікат" display="Завантажити сертифікат"/>
    <hyperlink ref="E710" r:id="rId709" tooltip="Завантажити сертифікат" display="Завантажити сертифікат"/>
    <hyperlink ref="E711" r:id="rId710" tooltip="Завантажити сертифікат" display="Завантажити сертифікат"/>
    <hyperlink ref="E712" r:id="rId711" tooltip="Завантажити сертифікат" display="Завантажити сертифікат"/>
    <hyperlink ref="E713" r:id="rId712" tooltip="Завантажити сертифікат" display="Завантажити сертифікат"/>
    <hyperlink ref="E714" r:id="rId713" tooltip="Завантажити сертифікат" display="Завантажити сертифікат"/>
    <hyperlink ref="E715" r:id="rId714" tooltip="Завантажити сертифікат" display="Завантажити сертифікат"/>
    <hyperlink ref="E716" r:id="rId715" tooltip="Завантажити сертифікат" display="Завантажити сертифікат"/>
    <hyperlink ref="E717" r:id="rId716" tooltip="Завантажити сертифікат" display="Завантажити сертифікат"/>
    <hyperlink ref="E718" r:id="rId717" tooltip="Завантажити сертифікат" display="Завантажити сертифікат"/>
    <hyperlink ref="E719" r:id="rId718" tooltip="Завантажити сертифікат" display="Завантажити сертифікат"/>
    <hyperlink ref="E720" r:id="rId719" tooltip="Завантажити сертифікат" display="Завантажити сертифікат"/>
    <hyperlink ref="E721" r:id="rId720" tooltip="Завантажити сертифікат" display="Завантажити сертифікат"/>
    <hyperlink ref="E722" r:id="rId721" tooltip="Завантажити сертифікат" display="Завантажити сертифікат"/>
    <hyperlink ref="E723" r:id="rId722" tooltip="Завантажити сертифікат" display="Завантажити сертифікат"/>
    <hyperlink ref="E724" r:id="rId723" tooltip="Завантажити сертифікат" display="Завантажити сертифікат"/>
    <hyperlink ref="E725" r:id="rId724" tooltip="Завантажити сертифікат" display="Завантажити сертифікат"/>
    <hyperlink ref="E726" r:id="rId725" tooltip="Завантажити сертифікат" display="Завантажити сертифікат"/>
    <hyperlink ref="E727" r:id="rId726" tooltip="Завантажити сертифікат" display="Завантажити сертифікат"/>
    <hyperlink ref="E728" r:id="rId727" tooltip="Завантажити сертифікат" display="Завантажити сертифікат"/>
    <hyperlink ref="E729" r:id="rId728" tooltip="Завантажити сертифікат" display="Завантажити сертифікат"/>
    <hyperlink ref="E730" r:id="rId729" tooltip="Завантажити сертифікат" display="Завантажити сертифікат"/>
    <hyperlink ref="E731" r:id="rId730" tooltip="Завантажити сертифікат" display="Завантажити сертифікат"/>
    <hyperlink ref="E732" r:id="rId731" tooltip="Завантажити сертифікат" display="Завантажити сертифікат"/>
    <hyperlink ref="E733" r:id="rId732" tooltip="Завантажити сертифікат" display="Завантажити сертифікат"/>
    <hyperlink ref="E734" r:id="rId733" tooltip="Завантажити сертифікат" display="Завантажити сертифікат"/>
    <hyperlink ref="E735" r:id="rId734" tooltip="Завантажити сертифікат" display="Завантажити сертифікат"/>
    <hyperlink ref="E736" r:id="rId735" tooltip="Завантажити сертифікат" display="Завантажити сертифікат"/>
    <hyperlink ref="E737" r:id="rId736" tooltip="Завантажити сертифікат" display="Завантажити сертифікат"/>
    <hyperlink ref="E738" r:id="rId737" tooltip="Завантажити сертифікат" display="Завантажити сертифікат"/>
    <hyperlink ref="E739" r:id="rId738" tooltip="Завантажити сертифікат" display="Завантажити сертифікат"/>
    <hyperlink ref="E740" r:id="rId739" tooltip="Завантажити сертифікат" display="Завантажити сертифікат"/>
    <hyperlink ref="E741" r:id="rId740" tooltip="Завантажити сертифікат" display="Завантажити сертифікат"/>
    <hyperlink ref="E742" r:id="rId741" tooltip="Завантажити сертифікат" display="Завантажити сертифікат"/>
    <hyperlink ref="E743" r:id="rId742" tooltip="Завантажити сертифікат" display="Завантажити сертифікат"/>
    <hyperlink ref="E744" r:id="rId743" tooltip="Завантажити сертифікат" display="Завантажити сертифікат"/>
    <hyperlink ref="E745" r:id="rId744" tooltip="Завантажити сертифікат" display="Завантажити сертифікат"/>
    <hyperlink ref="E746" r:id="rId745" tooltip="Завантажити сертифікат" display="Завантажити сертифікат"/>
    <hyperlink ref="E747" r:id="rId746" tooltip="Завантажити сертифікат" display="Завантажити сертифікат"/>
    <hyperlink ref="E749" r:id="rId747" tooltip="Завантажити сертифікат" display="Завантажити сертифікат"/>
    <hyperlink ref="E750" r:id="rId748" tooltip="Завантажити сертифікат" display="Завантажити сертифікат"/>
    <hyperlink ref="E751" r:id="rId749" tooltip="Завантажити сертифікат" display="Завантажити сертифікат"/>
    <hyperlink ref="E752" r:id="rId750" tooltip="Завантажити сертифікат" display="Завантажити сертифікат"/>
    <hyperlink ref="E753" r:id="rId751" tooltip="Завантажити сертифікат" display="Завантажити сертифікат"/>
    <hyperlink ref="E754" r:id="rId752" tooltip="Завантажити сертифікат" display="Завантажити сертифікат"/>
    <hyperlink ref="E755" r:id="rId753" tooltip="Завантажити сертифікат" display="Завантажити сертифікат"/>
    <hyperlink ref="E756" r:id="rId754" tooltip="Завантажити сертифікат" display="Завантажити сертифікат"/>
    <hyperlink ref="E757" r:id="rId755" tooltip="Завантажити сертифікат" display="Завантажити сертифікат"/>
    <hyperlink ref="E758" r:id="rId756" tooltip="Завантажити сертифікат" display="Завантажити сертифікат"/>
    <hyperlink ref="E759" r:id="rId757" tooltip="Завантажити сертифікат" display="Завантажити сертифікат"/>
    <hyperlink ref="E760" r:id="rId758" tooltip="Завантажити сертифікат" display="Завантажити сертифікат"/>
    <hyperlink ref="E761" r:id="rId759" tooltip="Завантажити сертифікат" display="Завантажити сертифікат"/>
    <hyperlink ref="E762" r:id="rId760" tooltip="Завантажити сертифікат" display="Завантажити сертифікат"/>
    <hyperlink ref="E763" r:id="rId761" tooltip="Завантажити сертифікат" display="Завантажити сертифікат"/>
    <hyperlink ref="E764" r:id="rId762" tooltip="Завантажити сертифікат" display="Завантажити сертифікат"/>
    <hyperlink ref="E765" r:id="rId763" tooltip="Завантажити сертифікат" display="Завантажити сертифікат"/>
    <hyperlink ref="E766" r:id="rId764" tooltip="Завантажити сертифікат" display="Завантажити сертифікат"/>
    <hyperlink ref="E767" r:id="rId765" tooltip="Завантажити сертифікат" display="Завантажити сертифікат"/>
    <hyperlink ref="E768" r:id="rId766" tooltip="Завантажити сертифікат" display="Завантажити сертифікат"/>
    <hyperlink ref="E769" r:id="rId767" tooltip="Завантажити сертифікат" display="Завантажити сертифікат"/>
    <hyperlink ref="E770" r:id="rId768" tooltip="Завантажити сертифікат" display="Завантажити сертифікат"/>
    <hyperlink ref="E771" r:id="rId769" tooltip="Завантажити сертифікат" display="Завантажити сертифікат"/>
    <hyperlink ref="E772" r:id="rId770" tooltip="Завантажити сертифікат" display="Завантажити сертифікат"/>
    <hyperlink ref="E773" r:id="rId771" tooltip="Завантажити сертифікат" display="Завантажити сертифікат"/>
    <hyperlink ref="E774" r:id="rId772" tooltip="Завантажити сертифікат" display="Завантажити сертифікат"/>
    <hyperlink ref="E775" r:id="rId773" tooltip="Завантажити сертифікат" display="Завантажити сертифікат"/>
    <hyperlink ref="E776" r:id="rId774" tooltip="Завантажити сертифікат" display="Завантажити сертифікат"/>
    <hyperlink ref="E777" r:id="rId775" tooltip="Завантажити сертифікат" display="Завантажити сертифікат"/>
    <hyperlink ref="E778" r:id="rId776" tooltip="Завантажити сертифікат" display="Завантажити сертифікат"/>
    <hyperlink ref="E779" r:id="rId777" tooltip="Завантажити сертифікат" display="Завантажити сертифікат"/>
    <hyperlink ref="E780" r:id="rId778" tooltip="Завантажити сертифікат" display="Завантажити сертифікат"/>
    <hyperlink ref="E781" r:id="rId779" tooltip="Завантажити сертифікат" display="Завантажити сертифікат"/>
    <hyperlink ref="E782" r:id="rId780" tooltip="Завантажити сертифікат" display="Завантажити сертифікат"/>
    <hyperlink ref="E783" r:id="rId781" tooltip="Завантажити сертифікат" display="Завантажити сертифікат"/>
    <hyperlink ref="E784" r:id="rId782" tooltip="Завантажити сертифікат" display="Завантажити сертифікат"/>
    <hyperlink ref="E785" r:id="rId783" tooltip="Завантажити сертифікат" display="Завантажити сертифікат"/>
    <hyperlink ref="E786" r:id="rId784" tooltip="Завантажити сертифікат" display="Завантажити сертифікат"/>
    <hyperlink ref="E787" r:id="rId785" tooltip="Завантажити сертифікат" display="Завантажити сертифікат"/>
    <hyperlink ref="E788" r:id="rId786" tooltip="Завантажити сертифікат" display="Завантажити сертифікат"/>
    <hyperlink ref="E789" r:id="rId787" tooltip="Завантажити сертифікат" display="Завантажити сертифікат"/>
    <hyperlink ref="E790" r:id="rId788" tooltip="Завантажити сертифікат" display="Завантажити сертифікат"/>
    <hyperlink ref="E791" r:id="rId789" tooltip="Завантажити сертифікат" display="Завантажити сертифікат"/>
    <hyperlink ref="E792" r:id="rId790" tooltip="Завантажити сертифікат" display="Завантажити сертифікат"/>
    <hyperlink ref="E793" r:id="rId791" tooltip="Завантажити сертифікат" display="Завантажити сертифікат"/>
    <hyperlink ref="E794" r:id="rId792" tooltip="Завантажити сертифікат" display="Завантажити сертифікат"/>
    <hyperlink ref="E795" r:id="rId793" tooltip="Завантажити сертифікат" display="Завантажити сертифікат"/>
    <hyperlink ref="E796" r:id="rId794" tooltip="Завантажити сертифікат" display="Завантажити сертифікат"/>
    <hyperlink ref="E797" r:id="rId795" tooltip="Завантажити сертифікат" display="Завантажити сертифікат"/>
    <hyperlink ref="E798" r:id="rId796" tooltip="Завантажити сертифікат" display="Завантажити сертифікат"/>
    <hyperlink ref="E799" r:id="rId797" tooltip="Завантажити сертифікат" display="Завантажити сертифікат"/>
    <hyperlink ref="E800" r:id="rId798" tooltip="Завантажити сертифікат" display="Завантажити сертифікат"/>
    <hyperlink ref="E801" r:id="rId799" tooltip="Завантажити сертифікат" display="Завантажити сертифікат"/>
    <hyperlink ref="E802" r:id="rId800" tooltip="Завантажити сертифікат" display="Завантажити сертифікат"/>
    <hyperlink ref="E803" r:id="rId801" tooltip="Завантажити сертифікат" display="Завантажити сертифікат"/>
    <hyperlink ref="E804" r:id="rId802" tooltip="Завантажити сертифікат" display="Завантажити сертифікат"/>
    <hyperlink ref="E805" r:id="rId803" tooltip="Завантажити сертифікат" display="Завантажити сертифікат"/>
    <hyperlink ref="E806" r:id="rId804" tooltip="Завантажити сертифікат" display="Завантажити сертифікат"/>
    <hyperlink ref="E807" r:id="rId805" tooltip="Завантажити сертифікат" display="Завантажити сертифікат"/>
    <hyperlink ref="E808" r:id="rId806" tooltip="Завантажити сертифікат" display="Завантажити сертифікат"/>
    <hyperlink ref="E809" r:id="rId807" tooltip="Завантажити сертифікат" display="Завантажити сертифікат"/>
    <hyperlink ref="E810" r:id="rId808" tooltip="Завантажити сертифікат" display="Завантажити сертифікат"/>
    <hyperlink ref="E811" r:id="rId809" tooltip="Завантажити сертифікат" display="Завантажити сертифікат"/>
    <hyperlink ref="E812" r:id="rId810" tooltip="Завантажити сертифікат" display="Завантажити сертифікат"/>
    <hyperlink ref="E813" r:id="rId811" tooltip="Завантажити сертифікат" display="Завантажити сертифікат"/>
    <hyperlink ref="E814" r:id="rId812" tooltip="Завантажити сертифікат" display="Завантажити сертифікат"/>
    <hyperlink ref="E815" r:id="rId813" tooltip="Завантажити сертифікат" display="Завантажити сертифікат"/>
    <hyperlink ref="E816" r:id="rId814" tooltip="Завантажити сертифікат" display="Завантажити сертифікат"/>
    <hyperlink ref="E817" r:id="rId815" tooltip="Завантажити сертифікат" display="Завантажити сертифікат"/>
    <hyperlink ref="E818" r:id="rId816" tooltip="Завантажити сертифікат" display="Завантажити сертифікат"/>
    <hyperlink ref="E819" r:id="rId817" tooltip="Завантажити сертифікат" display="Завантажити сертифікат"/>
    <hyperlink ref="E820" r:id="rId818" tooltip="Завантажити сертифікат" display="Завантажити сертифікат"/>
    <hyperlink ref="E821" r:id="rId819" tooltip="Завантажити сертифікат" display="Завантажити сертифікат"/>
    <hyperlink ref="E822" r:id="rId820" tooltip="Завантажити сертифікат" display="Завантажити сертифікат"/>
    <hyperlink ref="E823" r:id="rId821" tooltip="Завантажити сертифікат" display="Завантажити сертифікат"/>
    <hyperlink ref="E824" r:id="rId822" tooltip="Завантажити сертифікат" display="Завантажити сертифікат"/>
    <hyperlink ref="E825" r:id="rId823" tooltip="Завантажити сертифікат" display="Завантажити сертифікат"/>
    <hyperlink ref="E826" r:id="rId824" tooltip="Завантажити сертифікат" display="Завантажити сертифікат"/>
    <hyperlink ref="E827" r:id="rId825" tooltip="Завантажити сертифікат" display="Завантажити сертифікат"/>
    <hyperlink ref="E828" r:id="rId826" tooltip="Завантажити сертифікат" display="Завантажити сертифікат"/>
    <hyperlink ref="E829" r:id="rId827" tooltip="Завантажити сертифікат" display="Завантажити сертифікат"/>
    <hyperlink ref="E830" r:id="rId828" tooltip="Завантажити сертифікат" display="Завантажити сертифікат"/>
    <hyperlink ref="E831" r:id="rId829" tooltip="Завантажити сертифікат" display="Завантажити сертифікат"/>
    <hyperlink ref="E832" r:id="rId830" tooltip="Завантажити сертифікат" display="Завантажити сертифікат"/>
    <hyperlink ref="E833" r:id="rId831" tooltip="Завантажити сертифікат" display="Завантажити сертифікат"/>
    <hyperlink ref="E834" r:id="rId832" tooltip="Завантажити сертифікат" display="Завантажити сертифікат"/>
    <hyperlink ref="E835" r:id="rId833" tooltip="Завантажити сертифікат" display="Завантажити сертифікат"/>
    <hyperlink ref="E836" r:id="rId834" tooltip="Завантажити сертифікат" display="Завантажити сертифікат"/>
    <hyperlink ref="E837" r:id="rId835" tooltip="Завантажити сертифікат" display="Завантажити сертифікат"/>
    <hyperlink ref="E838" r:id="rId836" tooltip="Завантажити сертифікат" display="Завантажити сертифікат"/>
    <hyperlink ref="E839" r:id="rId837" tooltip="Завантажити сертифікат" display="Завантажити сертифікат"/>
    <hyperlink ref="E840" r:id="rId838" tooltip="Завантажити сертифікат" display="Завантажити сертифікат"/>
    <hyperlink ref="E841" r:id="rId839" tooltip="Завантажити сертифікат" display="Завантажити сертифікат"/>
    <hyperlink ref="E842" r:id="rId840" tooltip="Завантажити сертифікат" display="Завантажити сертифікат"/>
    <hyperlink ref="E843" r:id="rId841" tooltip="Завантажити сертифікат" display="Завантажити сертифікат"/>
    <hyperlink ref="E844" r:id="rId842" tooltip="Завантажити сертифікат" display="Завантажити сертифікат"/>
    <hyperlink ref="E845" r:id="rId843" tooltip="Завантажити сертифікат" display="Завантажити сертифікат"/>
    <hyperlink ref="E846" r:id="rId844" tooltip="Завантажити сертифікат" display="Завантажити сертифікат"/>
    <hyperlink ref="E847" r:id="rId845" tooltip="Завантажити сертифікат" display="Завантажити сертифікат"/>
    <hyperlink ref="E848" r:id="rId846" tooltip="Завантажити сертифікат" display="Завантажити сертифікат"/>
    <hyperlink ref="E849" r:id="rId847" tooltip="Завантажити сертифікат" display="Завантажити сертифікат"/>
    <hyperlink ref="E850" r:id="rId848" tooltip="Завантажити сертифікат" display="Завантажити сертифікат"/>
    <hyperlink ref="E851" r:id="rId849" tooltip="Завантажити сертифікат" display="Завантажити сертифікат"/>
    <hyperlink ref="E852" r:id="rId850" tooltip="Завантажити сертифікат" display="Завантажити сертифікат"/>
    <hyperlink ref="E853" r:id="rId851" tooltip="Завантажити сертифікат" display="Завантажити сертифікат"/>
    <hyperlink ref="E854" r:id="rId852" tooltip="Завантажити сертифікат" display="Завантажити сертифікат"/>
    <hyperlink ref="E855" r:id="rId853" tooltip="Завантажити сертифікат" display="Завантажити сертифікат"/>
    <hyperlink ref="E856" r:id="rId854" tooltip="Завантажити сертифікат" display="Завантажити сертифікат"/>
    <hyperlink ref="E857" r:id="rId855" tooltip="Завантажити сертифікат" display="Завантажити сертифікат"/>
    <hyperlink ref="E858" r:id="rId856" tooltip="Завантажити сертифікат" display="Завантажити сертифікат"/>
    <hyperlink ref="E859" r:id="rId857" tooltip="Завантажити сертифікат" display="Завантажити сертифікат"/>
    <hyperlink ref="E860" r:id="rId858" tooltip="Завантажити сертифікат" display="Завантажити сертифікат"/>
    <hyperlink ref="E861" r:id="rId859" tooltip="Завантажити сертифікат" display="Завантажити сертифікат"/>
    <hyperlink ref="E862" r:id="rId860" tooltip="Завантажити сертифікат" display="Завантажити сертифікат"/>
    <hyperlink ref="E863" r:id="rId861" tooltip="Завантажити сертифікат" display="Завантажити сертифікат"/>
    <hyperlink ref="E864" r:id="rId862" tooltip="Завантажити сертифікат" display="Завантажити сертифікат"/>
    <hyperlink ref="E865" r:id="rId863" tooltip="Завантажити сертифікат" display="Завантажити сертифікат"/>
    <hyperlink ref="E866" r:id="rId864" tooltip="Завантажити сертифікат" display="Завантажити сертифікат"/>
    <hyperlink ref="E867" r:id="rId865" tooltip="Завантажити сертифікат" display="Завантажити сертифікат"/>
    <hyperlink ref="E868" r:id="rId866" tooltip="Завантажити сертифікат" display="Завантажити сертифікат"/>
    <hyperlink ref="E869" r:id="rId867" tooltip="Завантажити сертифікат" display="Завантажити сертифікат"/>
    <hyperlink ref="E870" r:id="rId868" tooltip="Завантажити сертифікат" display="Завантажити сертифікат"/>
    <hyperlink ref="E871" r:id="rId869" tooltip="Завантажити сертифікат" display="Завантажити сертифікат"/>
    <hyperlink ref="E872" r:id="rId870" tooltip="Завантажити сертифікат" display="Завантажити сертифікат"/>
    <hyperlink ref="E873" r:id="rId871" tooltip="Завантажити сертифікат" display="Завантажити сертифікат"/>
    <hyperlink ref="E874" r:id="rId872" tooltip="Завантажити сертифікат" display="Завантажити сертифікат"/>
    <hyperlink ref="E875" r:id="rId873" tooltip="Завантажити сертифікат" display="Завантажити сертифікат"/>
    <hyperlink ref="E876" r:id="rId874" tooltip="Завантажити сертифікат" display="Завантажити сертифікат"/>
    <hyperlink ref="E877" r:id="rId875" tooltip="Завантажити сертифікат" display="Завантажити сертифікат"/>
    <hyperlink ref="E878" r:id="rId876" tooltip="Завантажити сертифікат" display="Завантажити сертифікат"/>
    <hyperlink ref="E879" r:id="rId877" tooltip="Завантажити сертифікат" display="Завантажити сертифікат"/>
    <hyperlink ref="E880" r:id="rId878" tooltip="Завантажити сертифікат" display="Завантажити сертифікат"/>
    <hyperlink ref="E881" r:id="rId879" tooltip="Завантажити сертифікат" display="Завантажити сертифікат"/>
    <hyperlink ref="E882" r:id="rId880" tooltip="Завантажити сертифікат" display="Завантажити сертифікат"/>
    <hyperlink ref="E883" r:id="rId881" tooltip="Завантажити сертифікат" display="Завантажити сертифікат"/>
    <hyperlink ref="E884" r:id="rId882" tooltip="Завантажити сертифікат" display="Завантажити сертифікат"/>
    <hyperlink ref="E885" r:id="rId883" tooltip="Завантажити сертифікат" display="Завантажити сертифікат"/>
    <hyperlink ref="E886" r:id="rId884" tooltip="Завантажити сертифікат" display="Завантажити сертифікат"/>
    <hyperlink ref="E887" r:id="rId885" tooltip="Завантажити сертифікат" display="Завантажити сертифікат"/>
    <hyperlink ref="E888" r:id="rId886" tooltip="Завантажити сертифікат" display="Завантажити сертифікат"/>
    <hyperlink ref="E889" r:id="rId887" tooltip="Завантажити сертифікат" display="Завантажити сертифікат"/>
    <hyperlink ref="E890" r:id="rId888" tooltip="Завантажити сертифікат" display="Завантажити сертифікат"/>
    <hyperlink ref="E891" r:id="rId889" tooltip="Завантажити сертифікат" display="Завантажити сертифікат"/>
    <hyperlink ref="E892" r:id="rId890" tooltip="Завантажити сертифікат" display="Завантажити сертифікат"/>
    <hyperlink ref="E893" r:id="rId891" tooltip="Завантажити сертифікат" display="Завантажити сертифікат"/>
    <hyperlink ref="E894" r:id="rId892" tooltip="Завантажити сертифікат" display="Завантажити сертифікат"/>
    <hyperlink ref="E895" r:id="rId893" tooltip="Завантажити сертифікат" display="Завантажити сертифікат"/>
    <hyperlink ref="E896" r:id="rId894" tooltip="Завантажити сертифікат" display="Завантажити сертифікат"/>
    <hyperlink ref="E897" r:id="rId895" tooltip="Завантажити сертифікат" display="Завантажити сертифікат"/>
    <hyperlink ref="E898" r:id="rId896" tooltip="Завантажити сертифікат" display="Завантажити сертифікат"/>
    <hyperlink ref="E899" r:id="rId897" tooltip="Завантажити сертифікат" display="Завантажити сертифікат"/>
    <hyperlink ref="E900" r:id="rId898" tooltip="Завантажити сертифікат" display="Завантажити сертифікат"/>
    <hyperlink ref="E901" r:id="rId899" tooltip="Завантажити сертифікат" display="Завантажити сертифікат"/>
    <hyperlink ref="E902" r:id="rId900" tooltip="Завантажити сертифікат" display="Завантажити сертифікат"/>
    <hyperlink ref="E903" r:id="rId901" tooltip="Завантажити сертифікат" display="Завантажити сертифікат"/>
    <hyperlink ref="E904" r:id="rId902" tooltip="Завантажити сертифікат" display="Завантажити сертифікат"/>
    <hyperlink ref="E905" r:id="rId903" tooltip="Завантажити сертифікат" display="Завантажити сертифікат"/>
    <hyperlink ref="E906" r:id="rId904" tooltip="Завантажити сертифікат" display="Завантажити сертифікат"/>
    <hyperlink ref="E907" r:id="rId905" tooltip="Завантажити сертифікат" display="Завантажити сертифікат"/>
    <hyperlink ref="E908" r:id="rId906" tooltip="Завантажити сертифікат" display="Завантажити сертифікат"/>
    <hyperlink ref="E909" r:id="rId907" tooltip="Завантажити сертифікат" display="Завантажити сертифікат"/>
    <hyperlink ref="E910" r:id="rId908" tooltip="Завантажити сертифікат" display="Завантажити сертифікат"/>
    <hyperlink ref="E911" r:id="rId909" tooltip="Завантажити сертифікат" display="Завантажити сертифікат"/>
    <hyperlink ref="E912" r:id="rId910" tooltip="Завантажити сертифікат" display="Завантажити сертифікат"/>
    <hyperlink ref="E913" r:id="rId911" tooltip="Завантажити сертифікат" display="Завантажити сертифікат"/>
    <hyperlink ref="E914" r:id="rId912" tooltip="Завантажити сертифікат" display="Завантажити сертифікат"/>
    <hyperlink ref="E915" r:id="rId913" tooltip="Завантажити сертифікат" display="Завантажити сертифікат"/>
    <hyperlink ref="E916" r:id="rId914" tooltip="Завантажити сертифікат" display="Завантажити сертифікат"/>
    <hyperlink ref="E917" r:id="rId915" tooltip="Завантажити сертифікат" display="Завантажити сертифікат"/>
    <hyperlink ref="E918" r:id="rId916" tooltip="Завантажити сертифікат" display="Завантажити сертифікат"/>
    <hyperlink ref="E919" r:id="rId917" tooltip="Завантажити сертифікат" display="Завантажити сертифікат"/>
    <hyperlink ref="E920" r:id="rId918" tooltip="Завантажити сертифікат" display="Завантажити сертифікат"/>
    <hyperlink ref="E921" r:id="rId919" tooltip="Завантажити сертифікат" display="Завантажити сертифікат"/>
    <hyperlink ref="E922" r:id="rId920" tooltip="Завантажити сертифікат" display="Завантажити сертифікат"/>
    <hyperlink ref="E923" r:id="rId921" tooltip="Завантажити сертифікат" display="Завантажити сертифікат"/>
    <hyperlink ref="E924" r:id="rId922" tooltip="Завантажити сертифікат" display="Завантажити сертифікат"/>
    <hyperlink ref="E925" r:id="rId923" tooltip="Завантажити сертифікат" display="Завантажити сертифікат"/>
    <hyperlink ref="E926" r:id="rId924" tooltip="Завантажити сертифікат" display="Завантажити сертифікат"/>
    <hyperlink ref="E927" r:id="rId925" tooltip="Завантажити сертифікат" display="Завантажити сертифікат"/>
    <hyperlink ref="E928" r:id="rId926" tooltip="Завантажити сертифікат" display="Завантажити сертифікат"/>
    <hyperlink ref="E929" r:id="rId927" tooltip="Завантажити сертифікат" display="Завантажити сертифікат"/>
    <hyperlink ref="E930" r:id="rId928" tooltip="Завантажити сертифікат" display="Завантажити сертифікат"/>
    <hyperlink ref="E931" r:id="rId929" tooltip="Завантажити сертифікат" display="Завантажити сертифікат"/>
    <hyperlink ref="E932" r:id="rId930" tooltip="Завантажити сертифікат" display="Завантажити сертифікат"/>
    <hyperlink ref="E933" r:id="rId931" tooltip="Завантажити сертифікат" display="Завантажити сертифікат"/>
    <hyperlink ref="E934" r:id="rId932" tooltip="Завантажити сертифікат" display="Завантажити сертифікат"/>
    <hyperlink ref="E935" r:id="rId933" tooltip="Завантажити сертифікат" display="Завантажити сертифікат"/>
    <hyperlink ref="E936" r:id="rId934" tooltip="Завантажити сертифікат" display="Завантажити сертифікат"/>
    <hyperlink ref="E937" r:id="rId935" tooltip="Завантажити сертифікат" display="Завантажити сертифікат"/>
    <hyperlink ref="E938" r:id="rId936" tooltip="Завантажити сертифікат" display="Завантажити сертифікат"/>
    <hyperlink ref="E939" r:id="rId937" tooltip="Завантажити сертифікат" display="Завантажити сертифікат"/>
    <hyperlink ref="E940" r:id="rId938" tooltip="Завантажити сертифікат" display="Завантажити сертифікат"/>
    <hyperlink ref="E941" r:id="rId939" tooltip="Завантажити сертифікат" display="Завантажити сертифікат"/>
    <hyperlink ref="E942" r:id="rId940" tooltip="Завантажити сертифікат" display="Завантажити сертифікат"/>
    <hyperlink ref="E943" r:id="rId941" tooltip="Завантажити сертифікат" display="Завантажити сертифікат"/>
    <hyperlink ref="E944" r:id="rId942" tooltip="Завантажити сертифікат" display="Завантажити сертифікат"/>
    <hyperlink ref="E945" r:id="rId943" tooltip="Завантажити сертифікат" display="Завантажити сертифікат"/>
    <hyperlink ref="E946" r:id="rId944" tooltip="Завантажити сертифікат" display="Завантажити сертифікат"/>
    <hyperlink ref="E947" r:id="rId945" tooltip="Завантажити сертифікат" display="Завантажити сертифікат"/>
    <hyperlink ref="E948" r:id="rId946" tooltip="Завантажити сертифікат" display="Завантажити сертифікат"/>
    <hyperlink ref="E949" r:id="rId947" tooltip="Завантажити сертифікат" display="Завантажити сертифікат"/>
    <hyperlink ref="E950" r:id="rId948" tooltip="Завантажити сертифікат" display="Завантажити сертифікат"/>
    <hyperlink ref="E951" r:id="rId949" tooltip="Завантажити сертифікат" display="Завантажити сертифікат"/>
    <hyperlink ref="E952" r:id="rId950" tooltip="Завантажити сертифікат" display="Завантажити сертифікат"/>
    <hyperlink ref="E953" r:id="rId951" tooltip="Завантажити сертифікат" display="Завантажити сертифікат"/>
    <hyperlink ref="E954" r:id="rId952" tooltip="Завантажити сертифікат" display="Завантажити сертифікат"/>
    <hyperlink ref="E955" r:id="rId953" tooltip="Завантажити сертифікат" display="Завантажити сертифікат"/>
    <hyperlink ref="E956" r:id="rId954" tooltip="Завантажити сертифікат" display="Завантажити сертифікат"/>
    <hyperlink ref="E957" r:id="rId955" tooltip="Завантажити сертифікат" display="Завантажити сертифікат"/>
    <hyperlink ref="E958" r:id="rId956" tooltip="Завантажити сертифікат" display="Завантажити сертифікат"/>
    <hyperlink ref="E959" r:id="rId957" tooltip="Завантажити сертифікат" display="Завантажити сертифікат"/>
    <hyperlink ref="E960" r:id="rId958" tooltip="Завантажити сертифікат" display="Завантажити сертифікат"/>
    <hyperlink ref="E961" r:id="rId959" tooltip="Завантажити сертифікат" display="Завантажити сертифікат"/>
    <hyperlink ref="E962" r:id="rId960" tooltip="Завантажити сертифікат" display="Завантажити сертифікат"/>
    <hyperlink ref="E963" r:id="rId961" tooltip="Завантажити сертифікат" display="Завантажити сертифікат"/>
    <hyperlink ref="E964" r:id="rId962" tooltip="Завантажити сертифікат" display="Завантажити сертифікат"/>
    <hyperlink ref="E965" r:id="rId963" tooltip="Завантажити сертифікат" display="Завантажити сертифікат"/>
    <hyperlink ref="E966" r:id="rId964" tooltip="Завантажити сертифікат" display="Завантажити сертифікат"/>
    <hyperlink ref="E967" r:id="rId965" tooltip="Завантажити сертифікат" display="Завантажити сертифікат"/>
    <hyperlink ref="E968" r:id="rId966" tooltip="Завантажити сертифікат" display="Завантажити сертифікат"/>
    <hyperlink ref="E969" r:id="rId967" tooltip="Завантажити сертифікат" display="Завантажити сертифікат"/>
    <hyperlink ref="E970" r:id="rId968" tooltip="Завантажити сертифікат" display="Завантажити сертифікат"/>
    <hyperlink ref="E971" r:id="rId969" tooltip="Завантажити сертифікат" display="Завантажити сертифікат"/>
    <hyperlink ref="E972" r:id="rId970" tooltip="Завантажити сертифікат" display="Завантажити сертифікат"/>
    <hyperlink ref="E973" r:id="rId971" tooltip="Завантажити сертифікат" display="Завантажити сертифікат"/>
    <hyperlink ref="E974" r:id="rId972" tooltip="Завантажити сертифікат" display="Завантажити сертифікат"/>
    <hyperlink ref="E975" r:id="rId973" tooltip="Завантажити сертифікат" display="Завантажити сертифікат"/>
    <hyperlink ref="E976" r:id="rId974" tooltip="Завантажити сертифікат" display="Завантажити сертифікат"/>
    <hyperlink ref="E977" r:id="rId975" tooltip="Завантажити сертифікат" display="Завантажити сертифікат"/>
    <hyperlink ref="E978" r:id="rId976" tooltip="Завантажити сертифікат" display="Завантажити сертифікат"/>
    <hyperlink ref="E979" r:id="rId977" tooltip="Завантажити сертифікат" display="Завантажити сертифікат"/>
    <hyperlink ref="E980" r:id="rId978" tooltip="Завантажити сертифікат" display="Завантажити сертифікат"/>
    <hyperlink ref="E981" r:id="rId979" tooltip="Завантажити сертифікат" display="Завантажити сертифікат"/>
    <hyperlink ref="E982" r:id="rId980" tooltip="Завантажити сертифікат" display="Завантажити сертифікат"/>
    <hyperlink ref="E983" r:id="rId981" tooltip="Завантажити сертифікат" display="Завантажити сертифікат"/>
    <hyperlink ref="E984" r:id="rId982" tooltip="Завантажити сертифікат" display="Завантажити сертифікат"/>
    <hyperlink ref="E985" r:id="rId983" tooltip="Завантажити сертифікат" display="Завантажити сертифікат"/>
    <hyperlink ref="E986" r:id="rId984" tooltip="Завантажити сертифікат" display="Завантажити сертифікат"/>
    <hyperlink ref="E987" r:id="rId985" tooltip="Завантажити сертифікат" display="Завантажити сертифікат"/>
    <hyperlink ref="E988" r:id="rId986" tooltip="Завантажити сертифікат" display="Завантажити сертифікат"/>
    <hyperlink ref="E989" r:id="rId987" tooltip="Завантажити сертифікат" display="Завантажити сертифікат"/>
    <hyperlink ref="E990" r:id="rId988" tooltip="Завантажити сертифікат" display="Завантажити сертифікат"/>
    <hyperlink ref="E991" r:id="rId989" tooltip="Завантажити сертифікат" display="Завантажити сертифікат"/>
    <hyperlink ref="E992" r:id="rId990" tooltip="Завантажити сертифікат" display="Завантажити сертифікат"/>
    <hyperlink ref="E993" r:id="rId991" tooltip="Завантажити сертифікат" display="Завантажити сертифікат"/>
    <hyperlink ref="E994" r:id="rId992" tooltip="Завантажити сертифікат" display="Завантажити сертифікат"/>
    <hyperlink ref="E995" r:id="rId993" tooltip="Завантажити сертифікат" display="Завантажити сертифікат"/>
    <hyperlink ref="E996" r:id="rId994" tooltip="Завантажити сертифікат" display="Завантажити сертифікат"/>
    <hyperlink ref="E997" r:id="rId995" tooltip="Завантажити сертифікат" display="Завантажити сертифікат"/>
    <hyperlink ref="E998" r:id="rId996" tooltip="Завантажити сертифікат" display="Завантажити сертифікат"/>
    <hyperlink ref="E999" r:id="rId997" tooltip="Завантажити сертифікат" display="Завантажити сертифікат"/>
    <hyperlink ref="E1000" r:id="rId998" tooltip="Завантажити сертифікат" display="Завантажити сертифікат"/>
    <hyperlink ref="E1001" r:id="rId999" tooltip="Завантажити сертифікат" display="Завантажити сертифікат"/>
    <hyperlink ref="E1002" r:id="rId1000" tooltip="Завантажити сертифікат" display="Завантажити сертифікат"/>
    <hyperlink ref="E1003" r:id="rId1001" tooltip="Завантажити сертифікат" display="Завантажити сертифікат"/>
    <hyperlink ref="E1004" r:id="rId1002" tooltip="Завантажити сертифікат" display="Завантажити сертифікат"/>
    <hyperlink ref="E1005" r:id="rId1003" tooltip="Завантажити сертифікат" display="Завантажити сертифікат"/>
    <hyperlink ref="E1006" r:id="rId1004" tooltip="Завантажити сертифікат" display="Завантажити сертифікат"/>
    <hyperlink ref="E1007" r:id="rId1005" tooltip="Завантажити сертифікат" display="Завантажити сертифікат"/>
    <hyperlink ref="E1008" r:id="rId1006" tooltip="Завантажити сертифікат" display="Завантажити сертифікат"/>
    <hyperlink ref="E1009" r:id="rId1007" tooltip="Завантажити сертифікат" display="Завантажити сертифікат"/>
    <hyperlink ref="E1010" r:id="rId1008" tooltip="Завантажити сертифікат" display="Завантажити сертифікат"/>
    <hyperlink ref="E1011" r:id="rId1009" tooltip="Завантажити сертифікат" display="Завантажити сертифікат"/>
    <hyperlink ref="E1012" r:id="rId1010" tooltip="Завантажити сертифікат" display="Завантажити сертифікат"/>
    <hyperlink ref="E1013" r:id="rId1011" tooltip="Завантажити сертифікат" display="Завантажити сертифікат"/>
    <hyperlink ref="E1014" r:id="rId1012" tooltip="Завантажити сертифікат" display="Завантажити сертифікат"/>
    <hyperlink ref="E1015" r:id="rId1013" tooltip="Завантажити сертифікат" display="Завантажити сертифікат"/>
    <hyperlink ref="E1016" r:id="rId1014" tooltip="Завантажити сертифікат" display="Завантажити сертифікат"/>
    <hyperlink ref="E1017" r:id="rId1015" tooltip="Завантажити сертифікат" display="Завантажити сертифікат"/>
    <hyperlink ref="E1018" r:id="rId1016" tooltip="Завантажити сертифікат" display="Завантажити сертифікат"/>
    <hyperlink ref="E1019" r:id="rId1017" tooltip="Завантажити сертифікат" display="Завантажити сертифікат"/>
    <hyperlink ref="E1020" r:id="rId1018" tooltip="Завантажити сертифікат" display="Завантажити сертифікат"/>
    <hyperlink ref="E1021" r:id="rId1019" tooltip="Завантажити сертифікат" display="Завантажити сертифікат"/>
    <hyperlink ref="E1022" r:id="rId1020" tooltip="Завантажити сертифікат" display="Завантажити сертифікат"/>
    <hyperlink ref="E1023" r:id="rId1021" tooltip="Завантажити сертифікат" display="Завантажити сертифікат"/>
    <hyperlink ref="E1024" r:id="rId1022" tooltip="Завантажити сертифікат" display="Завантажити сертифікат"/>
    <hyperlink ref="E1025" r:id="rId1023" tooltip="Завантажити сертифікат" display="Завантажити сертифікат"/>
    <hyperlink ref="E1026" r:id="rId1024" tooltip="Завантажити сертифікат" display="Завантажити сертифікат"/>
    <hyperlink ref="E1027" r:id="rId1025" tooltip="Завантажити сертифікат" display="Завантажити сертифікат"/>
    <hyperlink ref="E1028" r:id="rId1026" tooltip="Завантажити сертифікат" display="Завантажити сертифікат"/>
    <hyperlink ref="E1029" r:id="rId1027" tooltip="Завантажити сертифікат" display="Завантажити сертифікат"/>
    <hyperlink ref="E1030" r:id="rId1028" tooltip="Завантажити сертифікат" display="Завантажити сертифікат"/>
    <hyperlink ref="E1031" r:id="rId1029" tooltip="Завантажити сертифікат" display="Завантажити сертифікат"/>
    <hyperlink ref="E1032" r:id="rId1030" tooltip="Завантажити сертифікат" display="Завантажити сертифікат"/>
    <hyperlink ref="E1033" r:id="rId1031" tooltip="Завантажити сертифікат" display="Завантажити сертифікат"/>
    <hyperlink ref="E1034" r:id="rId1032" tooltip="Завантажити сертифікат" display="Завантажити сертифікат"/>
    <hyperlink ref="E1035" r:id="rId1033" tooltip="Завантажити сертифікат" display="Завантажити сертифікат"/>
    <hyperlink ref="E1036" r:id="rId1034" tooltip="Завантажити сертифікат" display="Завантажити сертифікат"/>
    <hyperlink ref="E1037" r:id="rId1035" tooltip="Завантажити сертифікат" display="Завантажити сертифікат"/>
    <hyperlink ref="E1038" r:id="rId1036" tooltip="Завантажити сертифікат" display="Завантажити сертифікат"/>
    <hyperlink ref="E1039" r:id="rId1037" tooltip="Завантажити сертифікат" display="Завантажити сертифікат"/>
    <hyperlink ref="E1040" r:id="rId1038" tooltip="Завантажити сертифікат" display="Завантажити сертифікат"/>
    <hyperlink ref="E1041" r:id="rId1039" tooltip="Завантажити сертифікат" display="Завантажити сертифікат"/>
    <hyperlink ref="E1042" r:id="rId1040" tooltip="Завантажити сертифікат" display="Завантажити сертифікат"/>
    <hyperlink ref="E1043" r:id="rId1041" tooltip="Завантажити сертифікат" display="Завантажити сертифікат"/>
    <hyperlink ref="E1044" r:id="rId1042" tooltip="Завантажити сертифікат" display="Завантажити сертифікат"/>
    <hyperlink ref="E1045" r:id="rId1043" tooltip="Завантажити сертифікат" display="Завантажити сертифікат"/>
    <hyperlink ref="E1046" r:id="rId1044" tooltip="Завантажити сертифікат" display="Завантажити сертифікат"/>
    <hyperlink ref="E1047" r:id="rId1045" tooltip="Завантажити сертифікат" display="Завантажити сертифікат"/>
    <hyperlink ref="E1048" r:id="rId1046" tooltip="Завантажити сертифікат" display="Завантажити сертифікат"/>
    <hyperlink ref="E1049" r:id="rId1047" tooltip="Завантажити сертифікат" display="Завантажити сертифікат"/>
    <hyperlink ref="E1050" r:id="rId1048" tooltip="Завантажити сертифікат" display="Завантажити сертифікат"/>
    <hyperlink ref="E1051" r:id="rId1049" tooltip="Завантажити сертифікат" display="Завантажити сертифікат"/>
    <hyperlink ref="E1052" r:id="rId1050" tooltip="Завантажити сертифікат" display="Завантажити сертифікат"/>
    <hyperlink ref="E1053" r:id="rId1051" tooltip="Завантажити сертифікат" display="Завантажити сертифікат"/>
    <hyperlink ref="E1054" r:id="rId1052" tooltip="Завантажити сертифікат" display="Завантажити сертифікат"/>
    <hyperlink ref="E1055" r:id="rId1053" tooltip="Завантажити сертифікат" display="Завантажити сертифікат"/>
    <hyperlink ref="E1056" r:id="rId1054" tooltip="Завантажити сертифікат" display="Завантажити сертифікат"/>
    <hyperlink ref="E1057" r:id="rId1055" tooltip="Завантажити сертифікат" display="Завантажити сертифікат"/>
    <hyperlink ref="E1058" r:id="rId1056" tooltip="Завантажити сертифікат" display="Завантажити сертифікат"/>
    <hyperlink ref="E1059" r:id="rId1057" tooltip="Завантажити сертифікат" display="Завантажити сертифікат"/>
    <hyperlink ref="E1060" r:id="rId1058" tooltip="Завантажити сертифікат" display="Завантажити сертифікат"/>
    <hyperlink ref="E1061" r:id="rId1059" tooltip="Завантажити сертифікат" display="Завантажити сертифікат"/>
    <hyperlink ref="E1062" r:id="rId1060" tooltip="Завантажити сертифікат" display="Завантажити сертифікат"/>
    <hyperlink ref="E1063" r:id="rId1061" tooltip="Завантажити сертифікат" display="Завантажити сертифікат"/>
    <hyperlink ref="E1064" r:id="rId1062" tooltip="Завантажити сертифікат" display="Завантажити сертифікат"/>
    <hyperlink ref="E1065" r:id="rId1063" tooltip="Завантажити сертифікат" display="Завантажити сертифікат"/>
    <hyperlink ref="E1066" r:id="rId1064" tooltip="Завантажити сертифікат" display="Завантажити сертифікат"/>
    <hyperlink ref="E1067" r:id="rId1065" tooltip="Завантажити сертифікат" display="Завантажити сертифікат"/>
    <hyperlink ref="E1068" r:id="rId1066" tooltip="Завантажити сертифікат" display="Завантажити сертифікат"/>
    <hyperlink ref="E1069" r:id="rId1067" tooltip="Завантажити сертифікат" display="Завантажити сертифікат"/>
    <hyperlink ref="E1070" r:id="rId1068" tooltip="Завантажити сертифікат" display="Завантажити сертифікат"/>
    <hyperlink ref="E1071" r:id="rId1069" tooltip="Завантажити сертифікат" display="Завантажити сертифікат"/>
    <hyperlink ref="E1072" r:id="rId1070" tooltip="Завантажити сертифікат" display="Завантажити сертифікат"/>
    <hyperlink ref="E1073" r:id="rId1071" tooltip="Завантажити сертифікат" display="Завантажити сертифікат"/>
    <hyperlink ref="E1074" r:id="rId1072" tooltip="Завантажити сертифікат" display="Завантажити сертифікат"/>
    <hyperlink ref="E1075" r:id="rId1073" tooltip="Завантажити сертифікат" display="Завантажити сертифікат"/>
    <hyperlink ref="E1076" r:id="rId1074" tooltip="Завантажити сертифікат" display="Завантажити сертифікат"/>
    <hyperlink ref="E1077" r:id="rId1075" tooltip="Завантажити сертифікат" display="Завантажити сертифікат"/>
    <hyperlink ref="E1078" r:id="rId1076" tooltip="Завантажити сертифікат" display="Завантажити сертифікат"/>
    <hyperlink ref="E1079" r:id="rId1077" tooltip="Завантажити сертифікат" display="Завантажити сертифікат"/>
    <hyperlink ref="E1080" r:id="rId1078" tooltip="Завантажити сертифікат" display="Завантажити сертифікат"/>
    <hyperlink ref="E1081" r:id="rId1079" tooltip="Завантажити сертифікат" display="Завантажити сертифікат"/>
    <hyperlink ref="E1082" r:id="rId1080" tooltip="Завантажити сертифікат" display="Завантажити сертифікат"/>
    <hyperlink ref="E1083" r:id="rId1081" tooltip="Завантажити сертифікат" display="Завантажити сертифікат"/>
    <hyperlink ref="E1084" r:id="rId1082" tooltip="Завантажити сертифікат" display="Завантажити сертифікат"/>
    <hyperlink ref="E1085" r:id="rId1083" tooltip="Завантажити сертифікат" display="Завантажити сертифікат"/>
    <hyperlink ref="E1086" r:id="rId1084" tooltip="Завантажити сертифікат" display="Завантажити сертифікат"/>
    <hyperlink ref="E1087" r:id="rId1085" tooltip="Завантажити сертифікат" display="Завантажити сертифікат"/>
    <hyperlink ref="E1088" r:id="rId1086" tooltip="Завантажити сертифікат" display="Завантажити сертифікат"/>
    <hyperlink ref="E1089" r:id="rId1087" tooltip="Завантажити сертифікат" display="Завантажити сертифікат"/>
    <hyperlink ref="E1090" r:id="rId1088" tooltip="Завантажити сертифікат" display="Завантажити сертифікат"/>
    <hyperlink ref="E1091" r:id="rId1089" tooltip="Завантажити сертифікат" display="Завантажити сертифікат"/>
    <hyperlink ref="E1092" r:id="rId1090" tooltip="Завантажити сертифікат" display="Завантажити сертифікат"/>
    <hyperlink ref="E1093" r:id="rId1091" tooltip="Завантажити сертифікат" display="Завантажити сертифікат"/>
    <hyperlink ref="E1094" r:id="rId1092" tooltip="Завантажити сертифікат" display="Завантажити сертифікат"/>
    <hyperlink ref="E1095" r:id="rId1093" tooltip="Завантажити сертифікат" display="Завантажити сертифікат"/>
    <hyperlink ref="E1096" r:id="rId1094" tooltip="Завантажити сертифікат" display="Завантажити сертифікат"/>
    <hyperlink ref="E1097" r:id="rId1095" tooltip="Завантажити сертифікат" display="Завантажити сертифікат"/>
    <hyperlink ref="E1098" r:id="rId1096" tooltip="Завантажити сертифікат" display="Завантажити сертифікат"/>
    <hyperlink ref="E1099" r:id="rId1097" tooltip="Завантажити сертифікат" display="Завантажити сертифікат"/>
    <hyperlink ref="E1100" r:id="rId1098" tooltip="Завантажити сертифікат" display="Завантажити сертифікат"/>
    <hyperlink ref="E1101" r:id="rId1099" tooltip="Завантажити сертифікат" display="Завантажити сертифікат"/>
    <hyperlink ref="E1102" r:id="rId1100" tooltip="Завантажити сертифікат" display="Завантажити сертифікат"/>
    <hyperlink ref="E1103" r:id="rId1101" tooltip="Завантажити сертифікат" display="Завантажити сертифікат"/>
    <hyperlink ref="E1104" r:id="rId1102" tooltip="Завантажити сертифікат" display="Завантажити сертифікат"/>
    <hyperlink ref="E1105" r:id="rId1103" tooltip="Завантажити сертифікат" display="Завантажити сертифікат"/>
    <hyperlink ref="E1106" r:id="rId1104" tooltip="Завантажити сертифікат" display="Завантажити сертифікат"/>
    <hyperlink ref="E1107" r:id="rId1105" tooltip="Завантажити сертифікат" display="Завантажити сертифікат"/>
    <hyperlink ref="E1108" r:id="rId1106" tooltip="Завантажити сертифікат" display="Завантажити сертифікат"/>
    <hyperlink ref="E1109" r:id="rId1107" tooltip="Завантажити сертифікат" display="Завантажити сертифікат"/>
    <hyperlink ref="E1110" r:id="rId1108" tooltip="Завантажити сертифікат" display="Завантажити сертифікат"/>
    <hyperlink ref="E1111" r:id="rId1109" tooltip="Завантажити сертифікат" display="Завантажити сертифікат"/>
    <hyperlink ref="E1112" r:id="rId1110" tooltip="Завантажити сертифікат" display="Завантажити сертифікат"/>
    <hyperlink ref="E1113" r:id="rId1111" tooltip="Завантажити сертифікат" display="Завантажити сертифікат"/>
    <hyperlink ref="E1114" r:id="rId1112" tooltip="Завантажити сертифікат" display="Завантажити сертифікат"/>
    <hyperlink ref="E1115" r:id="rId1113" tooltip="Завантажити сертифікат" display="Завантажити сертифікат"/>
    <hyperlink ref="E1116" r:id="rId1114" tooltip="Завантажити сертифікат" display="Завантажити сертифікат"/>
    <hyperlink ref="E1117" r:id="rId1115" tooltip="Завантажити сертифікат" display="Завантажити сертифікат"/>
    <hyperlink ref="E1118" r:id="rId1116" tooltip="Завантажити сертифікат" display="Завантажити сертифікат"/>
    <hyperlink ref="E1119" r:id="rId1117" tooltip="Завантажити сертифікат" display="Завантажити сертифікат"/>
    <hyperlink ref="E1120" r:id="rId1118" tooltip="Завантажити сертифікат" display="Завантажити сертифікат"/>
    <hyperlink ref="E1121" r:id="rId1119" tooltip="Завантажити сертифікат" display="Завантажити сертифікат"/>
    <hyperlink ref="E1122" r:id="rId1120" tooltip="Завантажити сертифікат" display="Завантажити сертифікат"/>
    <hyperlink ref="E1123" r:id="rId1121" tooltip="Завантажити сертифікат" display="Завантажити сертифікат"/>
    <hyperlink ref="E1124" r:id="rId1122" tooltip="Завантажити сертифікат" display="Завантажити сертифікат"/>
    <hyperlink ref="E1125" r:id="rId1123" tooltip="Завантажити сертифікат" display="Завантажити сертифікат"/>
    <hyperlink ref="E1126" r:id="rId1124" tooltip="Завантажити сертифікат" display="Завантажити сертифікат"/>
    <hyperlink ref="E1127" r:id="rId1125" tooltip="Завантажити сертифікат" display="Завантажити сертифікат"/>
    <hyperlink ref="E1128" r:id="rId1126" tooltip="Завантажити сертифікат" display="Завантажити сертифікат"/>
    <hyperlink ref="E1129" r:id="rId1127" tooltip="Завантажити сертифікат" display="Завантажити сертифікат"/>
    <hyperlink ref="E1130" r:id="rId1128" tooltip="Завантажити сертифікат" display="Завантажити сертифікат"/>
    <hyperlink ref="E1131" r:id="rId1129" tooltip="Завантажити сертифікат" display="Завантажити сертифікат"/>
    <hyperlink ref="E1132" r:id="rId1130" tooltip="Завантажити сертифікат" display="Завантажити сертифікат"/>
    <hyperlink ref="E1133" r:id="rId1131" tooltip="Завантажити сертифікат" display="Завантажити сертифікат"/>
    <hyperlink ref="E1134" r:id="rId1132" tooltip="Завантажити сертифікат" display="Завантажити сертифікат"/>
    <hyperlink ref="E1135" r:id="rId1133" tooltip="Завантажити сертифікат" display="Завантажити сертифікат"/>
    <hyperlink ref="E1136" r:id="rId1134" tooltip="Завантажити сертифікат" display="Завантажити сертифікат"/>
    <hyperlink ref="E1137" r:id="rId1135" tooltip="Завантажити сертифікат" display="Завантажити сертифікат"/>
    <hyperlink ref="E1138" r:id="rId1136" tooltip="Завантажити сертифікат" display="Завантажити сертифікат"/>
    <hyperlink ref="E1139" r:id="rId1137" tooltip="Завантажити сертифікат" display="Завантажити сертифікат"/>
    <hyperlink ref="E1140" r:id="rId1138" tooltip="Завантажити сертифікат" display="Завантажити сертифікат"/>
    <hyperlink ref="E1141" r:id="rId1139" tooltip="Завантажити сертифікат" display="Завантажити сертифікат"/>
    <hyperlink ref="E1142" r:id="rId1140" tooltip="Завантажити сертифікат" display="Завантажити сертифікат"/>
    <hyperlink ref="E1143" r:id="rId1141" tooltip="Завантажити сертифікат" display="Завантажити сертифікат"/>
    <hyperlink ref="E1144" r:id="rId1142" tooltip="Завантажити сертифікат" display="Завантажити сертифікат"/>
    <hyperlink ref="E1145" r:id="rId1143" tooltip="Завантажити сертифікат" display="Завантажити сертифікат"/>
    <hyperlink ref="E1146" r:id="rId1144" tooltip="Завантажити сертифікат" display="Завантажити сертифікат"/>
    <hyperlink ref="E1147" r:id="rId1145" tooltip="Завантажити сертифікат" display="Завантажити сертифікат"/>
    <hyperlink ref="E1148" r:id="rId1146" tooltip="Завантажити сертифікат" display="Завантажити сертифікат"/>
    <hyperlink ref="E1149" r:id="rId1147" tooltip="Завантажити сертифікат" display="Завантажити сертифікат"/>
    <hyperlink ref="E1150" r:id="rId1148" tooltip="Завантажити сертифікат" display="Завантажити сертифікат"/>
    <hyperlink ref="E1151" r:id="rId1149" tooltip="Завантажити сертифікат" display="Завантажити сертифікат"/>
    <hyperlink ref="E1152" r:id="rId1150" tooltip="Завантажити сертифікат" display="Завантажити сертифікат"/>
    <hyperlink ref="E1153" r:id="rId1151" tooltip="Завантажити сертифікат" display="Завантажити сертифікат"/>
    <hyperlink ref="E1154" r:id="rId1152" tooltip="Завантажити сертифікат" display="Завантажити сертифікат"/>
    <hyperlink ref="E1155" r:id="rId1153" tooltip="Завантажити сертифікат" display="Завантажити сертифікат"/>
    <hyperlink ref="E1156" r:id="rId1154" tooltip="Завантажити сертифікат" display="Завантажити сертифікат"/>
    <hyperlink ref="E1157" r:id="rId1155" tooltip="Завантажити сертифікат" display="Завантажити сертифікат"/>
    <hyperlink ref="E1158" r:id="rId1156" tooltip="Завантажити сертифікат" display="Завантажити сертифікат"/>
    <hyperlink ref="E1159" r:id="rId1157" tooltip="Завантажити сертифікат" display="Завантажити сертифікат"/>
    <hyperlink ref="E1160" r:id="rId1158" tooltip="Завантажити сертифікат" display="Завантажити сертифікат"/>
    <hyperlink ref="E1161" r:id="rId1159" tooltip="Завантажити сертифікат" display="Завантажити сертифікат"/>
    <hyperlink ref="E1162" r:id="rId1160" tooltip="Завантажити сертифікат" display="Завантажити сертифікат"/>
    <hyperlink ref="E1163" r:id="rId1161" tooltip="Завантажити сертифікат" display="Завантажити сертифікат"/>
    <hyperlink ref="E1164" r:id="rId1162" tooltip="Завантажити сертифікат" display="Завантажити сертифікат"/>
    <hyperlink ref="E1165" r:id="rId1163" tooltip="Завантажити сертифікат" display="Завантажити сертифікат"/>
    <hyperlink ref="E1166" r:id="rId1164" tooltip="Завантажити сертифікат" display="Завантажити сертифікат"/>
    <hyperlink ref="E1167" r:id="rId1165" tooltip="Завантажити сертифікат" display="Завантажити сертифікат"/>
    <hyperlink ref="E1168" r:id="rId1166" tooltip="Завантажити сертифікат" display="Завантажити сертифікат"/>
    <hyperlink ref="E1169" r:id="rId1167" tooltip="Завантажити сертифікат" display="Завантажити сертифікат"/>
    <hyperlink ref="E1170" r:id="rId1168" tooltip="Завантажити сертифікат" display="Завантажити сертифікат"/>
    <hyperlink ref="E1171" r:id="rId1169" tooltip="Завантажити сертифікат" display="Завантажити сертифікат"/>
    <hyperlink ref="E1172" r:id="rId1170" tooltip="Завантажити сертифікат" display="Завантажити сертифікат"/>
    <hyperlink ref="E1173" r:id="rId1171" tooltip="Завантажити сертифікат" display="Завантажити сертифікат"/>
    <hyperlink ref="E1174" r:id="rId1172" tooltip="Завантажити сертифікат" display="Завантажити сертифікат"/>
    <hyperlink ref="E1175" r:id="rId1173" tooltip="Завантажити сертифікат" display="Завантажити сертифікат"/>
    <hyperlink ref="E1176" r:id="rId1174" tooltip="Завантажити сертифікат" display="Завантажити сертифікат"/>
    <hyperlink ref="E1177" r:id="rId1175" tooltip="Завантажити сертифікат" display="Завантажити сертифікат"/>
    <hyperlink ref="E1178" r:id="rId1176" tooltip="Завантажити сертифікат" display="Завантажити сертифікат"/>
    <hyperlink ref="E1179" r:id="rId1177" tooltip="Завантажити сертифікат" display="Завантажити сертифікат"/>
    <hyperlink ref="E1180" r:id="rId1178" tooltip="Завантажити сертифікат" display="Завантажити сертифікат"/>
    <hyperlink ref="E1181" r:id="rId1179" tooltip="Завантажити сертифікат" display="Завантажити сертифікат"/>
    <hyperlink ref="E1182" r:id="rId1180" tooltip="Завантажити сертифікат" display="Завантажити сертифікат"/>
    <hyperlink ref="E1183" r:id="rId1181" tooltip="Завантажити сертифікат" display="Завантажити сертифікат"/>
    <hyperlink ref="E1184" r:id="rId1182" tooltip="Завантажити сертифікат" display="Завантажити сертифікат"/>
    <hyperlink ref="E1185" r:id="rId1183" tooltip="Завантажити сертифікат" display="Завантажити сертифікат"/>
    <hyperlink ref="E1186" r:id="rId1184" tooltip="Завантажити сертифікат" display="Завантажити сертифікат"/>
    <hyperlink ref="E1187" r:id="rId1185" tooltip="Завантажити сертифікат" display="Завантажити сертифікат"/>
    <hyperlink ref="E1188" r:id="rId1186" tooltip="Завантажити сертифікат" display="Завантажити сертифікат"/>
    <hyperlink ref="E1189" r:id="rId1187" tooltip="Завантажити сертифікат" display="Завантажити сертифікат"/>
    <hyperlink ref="E1190" r:id="rId1188" tooltip="Завантажити сертифікат" display="Завантажити сертифікат"/>
    <hyperlink ref="E1191" r:id="rId1189" tooltip="Завантажити сертифікат" display="Завантажити сертифікат"/>
    <hyperlink ref="E1192" r:id="rId1190" tooltip="Завантажити сертифікат" display="Завантажити сертифікат"/>
    <hyperlink ref="E1193" r:id="rId1191" tooltip="Завантажити сертифікат" display="Завантажити сертифікат"/>
    <hyperlink ref="E1194" r:id="rId1192" tooltip="Завантажити сертифікат" display="Завантажити сертифікат"/>
    <hyperlink ref="E1195" r:id="rId1193" tooltip="Завантажити сертифікат" display="Завантажити сертифікат"/>
    <hyperlink ref="E1196" r:id="rId1194" tooltip="Завантажити сертифікат" display="Завантажити сертифікат"/>
    <hyperlink ref="E1197" r:id="rId1195" tooltip="Завантажити сертифікат" display="Завантажити сертифікат"/>
    <hyperlink ref="E1198" r:id="rId1196" tooltip="Завантажити сертифікат" display="Завантажити сертифікат"/>
    <hyperlink ref="E1199" r:id="rId1197" tooltip="Завантажити сертифікат" display="Завантажити сертифікат"/>
    <hyperlink ref="E1200" r:id="rId1198" tooltip="Завантажити сертифікат" display="Завантажити сертифікат"/>
    <hyperlink ref="E1201" r:id="rId1199" tooltip="Завантажити сертифікат" display="Завантажити сертифікат"/>
    <hyperlink ref="E1202" r:id="rId1200" tooltip="Завантажити сертифікат" display="Завантажити сертифікат"/>
    <hyperlink ref="E1203" r:id="rId1201" tooltip="Завантажити сертифікат" display="Завантажити сертифікат"/>
    <hyperlink ref="E1204" r:id="rId1202" tooltip="Завантажити сертифікат" display="Завантажити сертифікат"/>
    <hyperlink ref="E1205" r:id="rId1203" tooltip="Завантажити сертифікат" display="Завантажити сертифікат"/>
    <hyperlink ref="E1206" r:id="rId1204" tooltip="Завантажити сертифікат" display="Завантажити сертифікат"/>
    <hyperlink ref="E1207" r:id="rId1205" tooltip="Завантажити сертифікат" display="Завантажити сертифікат"/>
    <hyperlink ref="E1208" r:id="rId1206" tooltip="Завантажити сертифікат" display="Завантажити сертифікат"/>
    <hyperlink ref="E1209" r:id="rId1207" tooltip="Завантажити сертифікат" display="Завантажити сертифікат"/>
    <hyperlink ref="E1210" r:id="rId1208" tooltip="Завантажити сертифікат" display="Завантажити сертифікат"/>
    <hyperlink ref="E1211" r:id="rId1209" tooltip="Завантажити сертифікат" display="Завантажити сертифікат"/>
    <hyperlink ref="E1212" r:id="rId1210" tooltip="Завантажити сертифікат" display="Завантажити сертифікат"/>
    <hyperlink ref="E1213" r:id="rId1211" tooltip="Завантажити сертифікат" display="Завантажити сертифікат"/>
    <hyperlink ref="E1214" r:id="rId1212" tooltip="Завантажити сертифікат" display="Завантажити сертифікат"/>
    <hyperlink ref="E1215" r:id="rId1213" tooltip="Завантажити сертифікат" display="Завантажити сертифікат"/>
    <hyperlink ref="E1216" r:id="rId1214" tooltip="Завантажити сертифікат" display="Завантажити сертифікат"/>
    <hyperlink ref="E1217" r:id="rId1215" tooltip="Завантажити сертифікат" display="Завантажити сертифікат"/>
    <hyperlink ref="E1218" r:id="rId1216" tooltip="Завантажити сертифікат" display="Завантажити сертифікат"/>
    <hyperlink ref="E1219" r:id="rId1217" tooltip="Завантажити сертифікат" display="Завантажити сертифікат"/>
    <hyperlink ref="E1220" r:id="rId1218" tooltip="Завантажити сертифікат" display="Завантажити сертифікат"/>
    <hyperlink ref="E1221" r:id="rId1219" tooltip="Завантажити сертифікат" display="Завантажити сертифікат"/>
    <hyperlink ref="E1222" r:id="rId1220" tooltip="Завантажити сертифікат" display="Завантажити сертифікат"/>
    <hyperlink ref="E1223" r:id="rId1221" tooltip="Завантажити сертифікат" display="Завантажити сертифікат"/>
    <hyperlink ref="E1224" r:id="rId1222" tooltip="Завантажити сертифікат" display="Завантажити сертифікат"/>
    <hyperlink ref="E1225" r:id="rId1223" tooltip="Завантажити сертифікат" display="Завантажити сертифікат"/>
    <hyperlink ref="E1226" r:id="rId1224" tooltip="Завантажити сертифікат" display="Завантажити сертифікат"/>
    <hyperlink ref="E1227" r:id="rId1225" tooltip="Завантажити сертифікат" display="Завантажити сертифікат"/>
    <hyperlink ref="E1228" r:id="rId1226" tooltip="Завантажити сертифікат" display="Завантажити сертифікат"/>
    <hyperlink ref="E1229" r:id="rId1227" tooltip="Завантажити сертифікат" display="Завантажити сертифікат"/>
    <hyperlink ref="E1230" r:id="rId1228" tooltip="Завантажити сертифікат" display="Завантажити сертифікат"/>
    <hyperlink ref="E1231" r:id="rId1229" tooltip="Завантажити сертифікат" display="Завантажити сертифікат"/>
    <hyperlink ref="E1232" r:id="rId1230" tooltip="Завантажити сертифікат" display="Завантажити сертифікат"/>
    <hyperlink ref="E1233" r:id="rId1231" tooltip="Завантажити сертифікат" display="Завантажити сертифікат"/>
    <hyperlink ref="E1234" r:id="rId1232" tooltip="Завантажити сертифікат" display="Завантажити сертифікат"/>
    <hyperlink ref="E1235" r:id="rId1233" tooltip="Завантажити сертифікат" display="Завантажити сертифікат"/>
    <hyperlink ref="E1236" r:id="rId1234" tooltip="Завантажити сертифікат" display="Завантажити сертифікат"/>
    <hyperlink ref="E1237" r:id="rId1235" tooltip="Завантажити сертифікат" display="Завантажити сертифікат"/>
    <hyperlink ref="E1238" r:id="rId1236" tooltip="Завантажити сертифікат" display="Завантажити сертифікат"/>
    <hyperlink ref="E1239" r:id="rId1237" tooltip="Завантажити сертифікат" display="Завантажити сертифікат"/>
    <hyperlink ref="E1240" r:id="rId1238" tooltip="Завантажити сертифікат" display="Завантажити сертифікат"/>
    <hyperlink ref="E1241" r:id="rId1239" tooltip="Завантажити сертифікат" display="Завантажити сертифікат"/>
    <hyperlink ref="E1242" r:id="rId1240" tooltip="Завантажити сертифікат" display="Завантажити сертифікат"/>
    <hyperlink ref="E1243" r:id="rId1241" tooltip="Завантажити сертифікат" display="Завантажити сертифікат"/>
    <hyperlink ref="E1244" r:id="rId1242" tooltip="Завантажити сертифікат" display="Завантажити сертифікат"/>
    <hyperlink ref="E1245" r:id="rId1243" tooltip="Завантажити сертифікат" display="Завантажити сертифікат"/>
    <hyperlink ref="E1246" r:id="rId1244" tooltip="Завантажити сертифікат" display="Завантажити сертифікат"/>
    <hyperlink ref="E1247" r:id="rId1245" tooltip="Завантажити сертифікат" display="Завантажити сертифікат"/>
    <hyperlink ref="E1248" r:id="rId1246" tooltip="Завантажити сертифікат" display="Завантажити сертифікат"/>
    <hyperlink ref="E1249" r:id="rId1247" tooltip="Завантажити сертифікат" display="Завантажити сертифікат"/>
    <hyperlink ref="E1250" r:id="rId1248" tooltip="Завантажити сертифікат" display="Завантажити сертифікат"/>
    <hyperlink ref="E1251" r:id="rId1249" tooltip="Завантажити сертифікат" display="Завантажити сертифікат"/>
    <hyperlink ref="E1252" r:id="rId1250" tooltip="Завантажити сертифікат" display="Завантажити сертифікат"/>
    <hyperlink ref="E1253" r:id="rId1251" tooltip="Завантажити сертифікат" display="Завантажити сертифікат"/>
    <hyperlink ref="E1254" r:id="rId1252" tooltip="Завантажити сертифікат" display="Завантажити сертифікат"/>
    <hyperlink ref="E1255" r:id="rId1253" tooltip="Завантажити сертифікат" display="Завантажити сертифікат"/>
    <hyperlink ref="E1256" r:id="rId1254" tooltip="Завантажити сертифікат" display="Завантажити сертифікат"/>
    <hyperlink ref="E1257" r:id="rId1255" tooltip="Завантажити сертифікат" display="Завантажити сертифікат"/>
    <hyperlink ref="E1258" r:id="rId1256" tooltip="Завантажити сертифікат" display="Завантажити сертифікат"/>
    <hyperlink ref="E1259" r:id="rId1257" tooltip="Завантажити сертифікат" display="Завантажити сертифікат"/>
    <hyperlink ref="E1260" r:id="rId1258" tooltip="Завантажити сертифікат" display="Завантажити сертифікат"/>
    <hyperlink ref="E1261" r:id="rId1259" tooltip="Завантажити сертифікат" display="Завантажити сертифікат"/>
    <hyperlink ref="E1262" r:id="rId1260" tooltip="Завантажити сертифікат" display="Завантажити сертифікат"/>
    <hyperlink ref="E1263" r:id="rId1261" tooltip="Завантажити сертифікат" display="Завантажити сертифікат"/>
    <hyperlink ref="E1264" r:id="rId1262" tooltip="Завантажити сертифікат" display="Завантажити сертифікат"/>
    <hyperlink ref="E1265" r:id="rId1263" tooltip="Завантажити сертифікат" display="Завантажити сертифікат"/>
    <hyperlink ref="E1266" r:id="rId1264" tooltip="Завантажити сертифікат" display="Завантажити сертифікат"/>
    <hyperlink ref="E1267" r:id="rId1265" tooltip="Завантажити сертифікат" display="Завантажити сертифікат"/>
    <hyperlink ref="E1268" r:id="rId1266" tooltip="Завантажити сертифікат" display="Завантажити сертифікат"/>
    <hyperlink ref="E1269" r:id="rId1267" tooltip="Завантажити сертифікат" display="Завантажити сертифікат"/>
    <hyperlink ref="E1270" r:id="rId1268" tooltip="Завантажити сертифікат" display="Завантажити сертифікат"/>
    <hyperlink ref="E1271" r:id="rId1269" tooltip="Завантажити сертифікат" display="Завантажити сертифікат"/>
    <hyperlink ref="E1272" r:id="rId1270" tooltip="Завантажити сертифікат" display="Завантажити сертифікат"/>
    <hyperlink ref="E1273" r:id="rId1271" tooltip="Завантажити сертифікат" display="Завантажити сертифікат"/>
    <hyperlink ref="E1274" r:id="rId1272" tooltip="Завантажити сертифікат" display="Завантажити сертифікат"/>
    <hyperlink ref="E1275" r:id="rId1273" tooltip="Завантажити сертифікат" display="Завантажити сертифікат"/>
    <hyperlink ref="E1276" r:id="rId1274" tooltip="Завантажити сертифікат" display="Завантажити сертифікат"/>
    <hyperlink ref="E1277" r:id="rId1275" tooltip="Завантажити сертифікат" display="Завантажити сертифікат"/>
    <hyperlink ref="E1278" r:id="rId1276" tooltip="Завантажити сертифікат" display="Завантажити сертифікат"/>
    <hyperlink ref="E1279" r:id="rId1277" tooltip="Завантажити сертифікат" display="Завантажити сертифікат"/>
    <hyperlink ref="E1280" r:id="rId1278" tooltip="Завантажити сертифікат" display="Завантажити сертифікат"/>
    <hyperlink ref="E1281" r:id="rId1279" tooltip="Завантажити сертифікат" display="Завантажити сертифікат"/>
    <hyperlink ref="E1282" r:id="rId1280" tooltip="Завантажити сертифікат" display="Завантажити сертифікат"/>
    <hyperlink ref="E1283" r:id="rId1281" tooltip="Завантажити сертифікат" display="Завантажити сертифікат"/>
    <hyperlink ref="E1284" r:id="rId1282" tooltip="Завантажити сертифікат" display="Завантажити сертифікат"/>
    <hyperlink ref="E1285" r:id="rId1283" tooltip="Завантажити сертифікат" display="Завантажити сертифікат"/>
    <hyperlink ref="E1286" r:id="rId1284" tooltip="Завантажити сертифікат" display="Завантажити сертифікат"/>
    <hyperlink ref="E1287" r:id="rId1285" tooltip="Завантажити сертифікат" display="Завантажити сертифікат"/>
    <hyperlink ref="E1288" r:id="rId1286" tooltip="Завантажити сертифікат" display="Завантажити сертифікат"/>
    <hyperlink ref="E1289" r:id="rId1287" tooltip="Завантажити сертифікат" display="Завантажити сертифікат"/>
    <hyperlink ref="E1290" r:id="rId1288" tooltip="Завантажити сертифікат" display="Завантажити сертифікат"/>
    <hyperlink ref="E1291" r:id="rId1289" tooltip="Завантажити сертифікат" display="Завантажити сертифікат"/>
    <hyperlink ref="E1292" r:id="rId1290" tooltip="Завантажити сертифікат" display="Завантажити сертифікат"/>
    <hyperlink ref="E1293" r:id="rId1291" tooltip="Завантажити сертифікат" display="Завантажити сертифікат"/>
    <hyperlink ref="E1294" r:id="rId1292" tooltip="Завантажити сертифікат" display="Завантажити сертифікат"/>
    <hyperlink ref="E1295" r:id="rId1293" tooltip="Завантажити сертифікат" display="Завантажити сертифікат"/>
    <hyperlink ref="E1296" r:id="rId1294" tooltip="Завантажити сертифікат" display="Завантажити сертифікат"/>
    <hyperlink ref="E1297" r:id="rId1295" tooltip="Завантажити сертифікат" display="Завантажити сертифікат"/>
    <hyperlink ref="E1298" r:id="rId1296" tooltip="Завантажити сертифікат" display="Завантажити сертифікат"/>
    <hyperlink ref="E1299" r:id="rId1297" tooltip="Завантажити сертифікат" display="Завантажити сертифікат"/>
    <hyperlink ref="E1300" r:id="rId1298" tooltip="Завантажити сертифікат" display="Завантажити сертифікат"/>
    <hyperlink ref="E1301" r:id="rId1299" tooltip="Завантажити сертифікат" display="Завантажити сертифікат"/>
    <hyperlink ref="E1302" r:id="rId1300" tooltip="Завантажити сертифікат" display="Завантажити сертифікат"/>
    <hyperlink ref="E1303" r:id="rId1301" tooltip="Завантажити сертифікат" display="Завантажити сертифікат"/>
    <hyperlink ref="E1304" r:id="rId1302" tooltip="Завантажити сертифікат" display="Завантажити сертифікат"/>
    <hyperlink ref="E1305" r:id="rId1303" tooltip="Завантажити сертифікат" display="Завантажити сертифікат"/>
    <hyperlink ref="E1306" r:id="rId1304" tooltip="Завантажити сертифікат" display="Завантажити сертифікат"/>
    <hyperlink ref="E1307" r:id="rId1305" tooltip="Завантажити сертифікат" display="Завантажити сертифікат"/>
    <hyperlink ref="E1308" r:id="rId1306" tooltip="Завантажити сертифікат" display="Завантажити сертифікат"/>
    <hyperlink ref="E1309" r:id="rId1307" tooltip="Завантажити сертифікат" display="Завантажити сертифікат"/>
    <hyperlink ref="E1310" r:id="rId1308" tooltip="Завантажити сертифікат" display="Завантажити сертифікат"/>
    <hyperlink ref="E1311" r:id="rId1309" tooltip="Завантажити сертифікат" display="Завантажити сертифікат"/>
    <hyperlink ref="E1312" r:id="rId1310" tooltip="Завантажити сертифікат" display="Завантажити сертифікат"/>
    <hyperlink ref="E1313" r:id="rId1311" tooltip="Завантажити сертифікат" display="Завантажити сертифікат"/>
    <hyperlink ref="E1314" r:id="rId1312" tooltip="Завантажити сертифікат" display="Завантажити сертифікат"/>
    <hyperlink ref="E1315" r:id="rId1313" tooltip="Завантажити сертифікат" display="Завантажити сертифікат"/>
    <hyperlink ref="E1316" r:id="rId1314" tooltip="Завантажити сертифікат" display="Завантажити сертифікат"/>
    <hyperlink ref="E1317" r:id="rId1315" tooltip="Завантажити сертифікат" display="Завантажити сертифікат"/>
    <hyperlink ref="E1318" r:id="rId1316" tooltip="Завантажити сертифікат" display="Завантажити сертифікат"/>
    <hyperlink ref="E1319" r:id="rId1317" tooltip="Завантажити сертифікат" display="Завантажити сертифікат"/>
    <hyperlink ref="E1320" r:id="rId1318" tooltip="Завантажити сертифікат" display="Завантажити сертифікат"/>
    <hyperlink ref="E1321" r:id="rId1319" tooltip="Завантажити сертифікат" display="Завантажити сертифікат"/>
    <hyperlink ref="E1322" r:id="rId1320" tooltip="Завантажити сертифікат" display="Завантажити сертифікат"/>
    <hyperlink ref="E1323" r:id="rId1321" tooltip="Завантажити сертифікат" display="Завантажити сертифікат"/>
    <hyperlink ref="E1324" r:id="rId1322" tooltip="Завантажити сертифікат" display="Завантажити сертифікат"/>
    <hyperlink ref="E1325" r:id="rId1323" tooltip="Завантажити сертифікат" display="Завантажити сертифікат"/>
    <hyperlink ref="E1326" r:id="rId1324" tooltip="Завантажити сертифікат" display="Завантажити сертифікат"/>
    <hyperlink ref="E1327" r:id="rId1325" tooltip="Завантажити сертифікат" display="Завантажити сертифікат"/>
    <hyperlink ref="E1328" r:id="rId1326" tooltip="Завантажити сертифікат" display="Завантажити сертифікат"/>
    <hyperlink ref="E1329" r:id="rId1327" tooltip="Завантажити сертифікат" display="Завантажити сертифікат"/>
    <hyperlink ref="E1330" r:id="rId1328" tooltip="Завантажити сертифікат" display="Завантажити сертифікат"/>
    <hyperlink ref="E1331" r:id="rId1329" tooltip="Завантажити сертифікат" display="Завантажити сертифікат"/>
    <hyperlink ref="E1332" r:id="rId1330" tooltip="Завантажити сертифікат" display="Завантажити сертифікат"/>
    <hyperlink ref="E1333" r:id="rId1331" tooltip="Завантажити сертифікат" display="Завантажити сертифікат"/>
    <hyperlink ref="E1334" r:id="rId1332" tooltip="Завантажити сертифікат" display="Завантажити сертифікат"/>
    <hyperlink ref="E1335" r:id="rId1333" tooltip="Завантажити сертифікат" display="Завантажити сертифікат"/>
    <hyperlink ref="E1336" r:id="rId1334" tooltip="Завантажити сертифікат" display="Завантажити сертифікат"/>
    <hyperlink ref="E1337" r:id="rId1335" tooltip="Завантажити сертифікат" display="Завантажити сертифікат"/>
    <hyperlink ref="E1338" r:id="rId1336" tooltip="Завантажити сертифікат" display="Завантажити сертифікат"/>
    <hyperlink ref="E1339" r:id="rId1337" tooltip="Завантажити сертифікат" display="Завантажити сертифікат"/>
    <hyperlink ref="E1340" r:id="rId1338" tooltip="Завантажити сертифікат" display="Завантажити сертифікат"/>
    <hyperlink ref="E1341" r:id="rId1339" tooltip="Завантажити сертифікат" display="Завантажити сертифікат"/>
    <hyperlink ref="E1342" r:id="rId1340" tooltip="Завантажити сертифікат" display="Завантажити сертифікат"/>
    <hyperlink ref="E1343" r:id="rId1341" tooltip="Завантажити сертифікат" display="Завантажити сертифікат"/>
    <hyperlink ref="E1344" r:id="rId1342" tooltip="Завантажити сертифікат" display="Завантажити сертифікат"/>
    <hyperlink ref="E1345" r:id="rId1343" tooltip="Завантажити сертифікат" display="Завантажити сертифікат"/>
    <hyperlink ref="E1346" r:id="rId1344" tooltip="Завантажити сертифікат" display="Завантажити сертифікат"/>
    <hyperlink ref="E1347" r:id="rId1345" tooltip="Завантажити сертифікат" display="Завантажити сертифікат"/>
    <hyperlink ref="E1348" r:id="rId1346" tooltip="Завантажити сертифікат" display="Завантажити сертифікат"/>
    <hyperlink ref="E1349" r:id="rId1347" tooltip="Завантажити сертифікат" display="Завантажити сертифікат"/>
    <hyperlink ref="E1350" r:id="rId1348" tooltip="Завантажити сертифікат" display="Завантажити сертифікат"/>
    <hyperlink ref="E1351" r:id="rId1349" tooltip="Завантажити сертифікат" display="Завантажити сертифікат"/>
    <hyperlink ref="E1352" r:id="rId1350" tooltip="Завантажити сертифікат" display="Завантажити сертифікат"/>
    <hyperlink ref="E1353" r:id="rId1351" tooltip="Завантажити сертифікат" display="Завантажити сертифікат"/>
    <hyperlink ref="E1354" r:id="rId1352" tooltip="Завантажити сертифікат" display="Завантажити сертифікат"/>
    <hyperlink ref="E1355" r:id="rId1353" tooltip="Завантажити сертифікат" display="Завантажити сертифікат"/>
    <hyperlink ref="E1356" r:id="rId1354" tooltip="Завантажити сертифікат" display="Завантажити сертифікат"/>
    <hyperlink ref="E1357" r:id="rId1355" tooltip="Завантажити сертифікат" display="Завантажити сертифікат"/>
    <hyperlink ref="E1358" r:id="rId1356" tooltip="Завантажити сертифікат" display="Завантажити сертифікат"/>
    <hyperlink ref="E1359" r:id="rId1357" tooltip="Завантажити сертифікат" display="Завантажити сертифікат"/>
    <hyperlink ref="E1360" r:id="rId1358" tooltip="Завантажити сертифікат" display="Завантажити сертифікат"/>
    <hyperlink ref="E1361" r:id="rId1359" tooltip="Завантажити сертифікат" display="Завантажити сертифікат"/>
    <hyperlink ref="E1362" r:id="rId1360" tooltip="Завантажити сертифікат" display="Завантажити сертифікат"/>
    <hyperlink ref="E1363" r:id="rId1361" tooltip="Завантажити сертифікат" display="Завантажити сертифікат"/>
    <hyperlink ref="E1364" r:id="rId1362" tooltip="Завантажити сертифікат" display="Завантажити сертифікат"/>
    <hyperlink ref="E1365" r:id="rId1363" tooltip="Завантажити сертифікат" display="Завантажити сертифікат"/>
    <hyperlink ref="E1366" r:id="rId1364" tooltip="Завантажити сертифікат" display="Завантажити сертифікат"/>
    <hyperlink ref="E1367" r:id="rId1365" tooltip="Завантажити сертифікат" display="Завантажити сертифікат"/>
    <hyperlink ref="E1368" r:id="rId1366" tooltip="Завантажити сертифікат" display="Завантажити сертифікат"/>
    <hyperlink ref="E1369" r:id="rId1367" tooltip="Завантажити сертифікат" display="Завантажити сертифікат"/>
    <hyperlink ref="E1370" r:id="rId1368" tooltip="Завантажити сертифікат" display="Завантажити сертифікат"/>
    <hyperlink ref="E1371" r:id="rId1369" tooltip="Завантажити сертифікат" display="Завантажити сертифікат"/>
    <hyperlink ref="E1372" r:id="rId1370" tooltip="Завантажити сертифікат" display="Завантажити сертифікат"/>
    <hyperlink ref="E1373" r:id="rId1371" tooltip="Завантажити сертифікат" display="Завантажити сертифікат"/>
    <hyperlink ref="E1374" r:id="rId1372" tooltip="Завантажити сертифікат" display="Завантажити сертифікат"/>
    <hyperlink ref="E1375" r:id="rId1373" tooltip="Завантажити сертифікат" display="Завантажити сертифікат"/>
    <hyperlink ref="E1376" r:id="rId1374" tooltip="Завантажити сертифікат" display="Завантажити сертифікат"/>
    <hyperlink ref="E1377" r:id="rId1375" tooltip="Завантажити сертифікат" display="Завантажити сертифікат"/>
    <hyperlink ref="E1378" r:id="rId1376" tooltip="Завантажити сертифікат" display="Завантажити сертифікат"/>
    <hyperlink ref="E1379" r:id="rId1377" tooltip="Завантажити сертифікат" display="Завантажити сертифікат"/>
    <hyperlink ref="E1380" r:id="rId1378" tooltip="Завантажити сертифікат" display="Завантажити сертифікат"/>
    <hyperlink ref="E1381" r:id="rId1379" tooltip="Завантажити сертифікат" display="Завантажити сертифікат"/>
    <hyperlink ref="E1382" r:id="rId1380" tooltip="Завантажити сертифікат" display="Завантажити сертифікат"/>
    <hyperlink ref="E1383" r:id="rId1381" tooltip="Завантажити сертифікат" display="Завантажити сертифікат"/>
    <hyperlink ref="E1384" r:id="rId1382" tooltip="Завантажити сертифікат" display="Завантажити сертифікат"/>
    <hyperlink ref="E1385" r:id="rId1383" tooltip="Завантажити сертифікат" display="Завантажити сертифікат"/>
    <hyperlink ref="E1386" r:id="rId1384" tooltip="Завантажити сертифікат" display="Завантажити сертифікат"/>
    <hyperlink ref="E1387" r:id="rId1385" tooltip="Завантажити сертифікат" display="Завантажити сертифікат"/>
    <hyperlink ref="E1388" r:id="rId1386" tooltip="Завантажити сертифікат" display="Завантажити сертифікат"/>
    <hyperlink ref="E1389" r:id="rId1387" tooltip="Завантажити сертифікат" display="Завантажити сертифікат"/>
    <hyperlink ref="E1390" r:id="rId1388" tooltip="Завантажити сертифікат" display="Завантажити сертифікат"/>
    <hyperlink ref="E1391" r:id="rId1389" tooltip="Завантажити сертифікат" display="Завантажити сертифікат"/>
    <hyperlink ref="E1392" r:id="rId1390" tooltip="Завантажити сертифікат" display="Завантажити сертифікат"/>
    <hyperlink ref="E1393" r:id="rId1391" tooltip="Завантажити сертифікат" display="Завантажити сертифікат"/>
    <hyperlink ref="E1394" r:id="rId1392" tooltip="Завантажити сертифікат" display="Завантажити сертифікат"/>
    <hyperlink ref="E1395" r:id="rId1393" tooltip="Завантажити сертифікат" display="Завантажити сертифікат"/>
    <hyperlink ref="E1396" r:id="rId1394" tooltip="Завантажити сертифікат" display="Завантажити сертифікат"/>
    <hyperlink ref="E1397" r:id="rId1395" tooltip="Завантажити сертифікат" display="Завантажити сертифікат"/>
    <hyperlink ref="E1398" r:id="rId1396" tooltip="Завантажити сертифікат" display="Завантажити сертифікат"/>
    <hyperlink ref="E1399" r:id="rId1397" tooltip="Завантажити сертифікат" display="Завантажити сертифікат"/>
    <hyperlink ref="E1400" r:id="rId1398" tooltip="Завантажити сертифікат" display="Завантажити сертифікат"/>
    <hyperlink ref="E1401" r:id="rId1399" tooltip="Завантажити сертифікат" display="Завантажити сертифікат"/>
    <hyperlink ref="E1402" r:id="rId1400" tooltip="Завантажити сертифікат" display="Завантажити сертифікат"/>
    <hyperlink ref="E1403" r:id="rId1401" tooltip="Завантажити сертифікат" display="Завантажити сертифікат"/>
    <hyperlink ref="E1404" r:id="rId1402" tooltip="Завантажити сертифікат" display="Завантажити сертифікат"/>
    <hyperlink ref="E1405" r:id="rId1403" tooltip="Завантажити сертифікат" display="Завантажити сертифікат"/>
    <hyperlink ref="E1406" r:id="rId1404" tooltip="Завантажити сертифікат" display="Завантажити сертифікат"/>
    <hyperlink ref="E1407" r:id="rId1405" tooltip="Завантажити сертифікат" display="Завантажити сертифікат"/>
    <hyperlink ref="E1408" r:id="rId1406" tooltip="Завантажити сертифікат" display="Завантажити сертифікат"/>
    <hyperlink ref="E1409" r:id="rId1407" tooltip="Завантажити сертифікат" display="Завантажити сертифікат"/>
    <hyperlink ref="E1410" r:id="rId1408" tooltip="Завантажити сертифікат" display="Завантажити сертифікат"/>
    <hyperlink ref="E1411" r:id="rId1409" tooltip="Завантажити сертифікат" display="Завантажити сертифікат"/>
    <hyperlink ref="E1412" r:id="rId1410" tooltip="Завантажити сертифікат" display="Завантажити сертифікат"/>
    <hyperlink ref="E1413" r:id="rId1411" tooltip="Завантажити сертифікат" display="Завантажити сертифікат"/>
    <hyperlink ref="E1414" r:id="rId1412" tooltip="Завантажити сертифікат" display="Завантажити сертифікат"/>
    <hyperlink ref="E1415" r:id="rId1413" tooltip="Завантажити сертифікат" display="Завантажити сертифікат"/>
    <hyperlink ref="E1416" r:id="rId1414" tooltip="Завантажити сертифікат" display="Завантажити сертифікат"/>
    <hyperlink ref="E1417" r:id="rId1415" tooltip="Завантажити сертифікат" display="Завантажити сертифікат"/>
    <hyperlink ref="E1418" r:id="rId1416" tooltip="Завантажити сертифікат" display="Завантажити сертифікат"/>
    <hyperlink ref="E1419" r:id="rId1417" tooltip="Завантажити сертифікат" display="Завантажити сертифікат"/>
    <hyperlink ref="E1420" r:id="rId1418" tooltip="Завантажити сертифікат" display="Завантажити сертифікат"/>
    <hyperlink ref="E1421" r:id="rId1419" tooltip="Завантажити сертифікат" display="Завантажити сертифікат"/>
    <hyperlink ref="E1422" r:id="rId1420" tooltip="Завантажити сертифікат" display="Завантажити сертифікат"/>
    <hyperlink ref="E1423" r:id="rId1421" tooltip="Завантажити сертифікат" display="Завантажити сертифікат"/>
    <hyperlink ref="E1424" r:id="rId1422" tooltip="Завантажити сертифікат" display="Завантажити сертифікат"/>
    <hyperlink ref="E1425" r:id="rId1423" tooltip="Завантажити сертифікат" display="Завантажити сертифікат"/>
    <hyperlink ref="E1426" r:id="rId1424" tooltip="Завантажити сертифікат" display="Завантажити сертифікат"/>
    <hyperlink ref="E1427" r:id="rId1425" tooltip="Завантажити сертифікат" display="Завантажити сертифікат"/>
    <hyperlink ref="E1428" r:id="rId1426" tooltip="Завантажити сертифікат" display="Завантажити сертифікат"/>
    <hyperlink ref="E1429" r:id="rId1427" tooltip="Завантажити сертифікат" display="Завантажити сертифікат"/>
    <hyperlink ref="E1430" r:id="rId1428" tooltip="Завантажити сертифікат" display="Завантажити сертифікат"/>
    <hyperlink ref="E1431" r:id="rId1429" tooltip="Завантажити сертифікат" display="Завантажити сертифікат"/>
    <hyperlink ref="E1432" r:id="rId1430" tooltip="Завантажити сертифікат" display="Завантажити сертифікат"/>
    <hyperlink ref="E1433" r:id="rId1431" tooltip="Завантажити сертифікат" display="Завантажити сертифікат"/>
    <hyperlink ref="E1434" r:id="rId1432" tooltip="Завантажити сертифікат" display="Завантажити сертифікат"/>
    <hyperlink ref="E1435" r:id="rId1433" tooltip="Завантажити сертифікат" display="Завантажити сертифікат"/>
    <hyperlink ref="E1436" r:id="rId1434" tooltip="Завантажити сертифікат" display="Завантажити сертифікат"/>
    <hyperlink ref="E1437" r:id="rId1435" tooltip="Завантажити сертифікат" display="Завантажити сертифікат"/>
    <hyperlink ref="E1438" r:id="rId1436" tooltip="Завантажити сертифікат" display="Завантажити сертифікат"/>
    <hyperlink ref="E1439" r:id="rId1437" tooltip="Завантажити сертифікат" display="Завантажити сертифікат"/>
    <hyperlink ref="E1440" r:id="rId1438" tooltip="Завантажити сертифікат" display="Завантажити сертифікат"/>
    <hyperlink ref="E1441" r:id="rId1439" tooltip="Завантажити сертифікат" display="Завантажити сертифікат"/>
    <hyperlink ref="E1442" r:id="rId1440" tooltip="Завантажити сертифікат" display="Завантажити сертифікат"/>
    <hyperlink ref="E1443" r:id="rId1441" tooltip="Завантажити сертифікат" display="Завантажити сертифікат"/>
    <hyperlink ref="E1444" r:id="rId1442" tooltip="Завантажити сертифікат" display="Завантажити сертифікат"/>
    <hyperlink ref="E1445" r:id="rId1443" tooltip="Завантажити сертифікат" display="Завантажити сертифікат"/>
    <hyperlink ref="E1446" r:id="rId1444" tooltip="Завантажити сертифікат" display="Завантажити сертифікат"/>
    <hyperlink ref="E1447" r:id="rId1445" tooltip="Завантажити сертифікат" display="Завантажити сертифікат"/>
    <hyperlink ref="E1448" r:id="rId1446" tooltip="Завантажити сертифікат" display="Завантажити сертифікат"/>
    <hyperlink ref="E1449" r:id="rId1447" tooltip="Завантажити сертифікат" display="Завантажити сертифікат"/>
    <hyperlink ref="E1450" r:id="rId1448" tooltip="Завантажити сертифікат" display="Завантажити сертифікат"/>
    <hyperlink ref="E1451" r:id="rId1449" tooltip="Завантажити сертифікат" display="Завантажити сертифікат"/>
    <hyperlink ref="E1452" r:id="rId1450" tooltip="Завантажити сертифікат" display="Завантажити сертифікат"/>
    <hyperlink ref="E1453" r:id="rId1451" tooltip="Завантажити сертифікат" display="Завантажити сертифікат"/>
    <hyperlink ref="E1454" r:id="rId1452" tooltip="Завантажити сертифікат" display="Завантажити сертифікат"/>
    <hyperlink ref="E1455" r:id="rId1453" tooltip="Завантажити сертифікат" display="Завантажити сертифікат"/>
    <hyperlink ref="E1456" r:id="rId1454" tooltip="Завантажити сертифікат" display="Завантажити сертифікат"/>
    <hyperlink ref="E1457" r:id="rId1455" tooltip="Завантажити сертифікат" display="Завантажити сертифікат"/>
    <hyperlink ref="E1458" r:id="rId1456" tooltip="Завантажити сертифікат" display="Завантажити сертифікат"/>
    <hyperlink ref="E1459" r:id="rId1457" tooltip="Завантажити сертифікат" display="Завантажити сертифікат"/>
    <hyperlink ref="E1460" r:id="rId1458" tooltip="Завантажити сертифікат" display="Завантажити сертифікат"/>
    <hyperlink ref="E1461" r:id="rId1459" tooltip="Завантажити сертифікат" display="Завантажити сертифікат"/>
    <hyperlink ref="E1462" r:id="rId1460" tooltip="Завантажити сертифікат" display="Завантажити сертифікат"/>
    <hyperlink ref="E1463" r:id="rId1461" tooltip="Завантажити сертифікат" display="Завантажити сертифікат"/>
    <hyperlink ref="E1464" r:id="rId1462" tooltip="Завантажити сертифікат" display="Завантажити сертифікат"/>
    <hyperlink ref="E1465" r:id="rId1463" tooltip="Завантажити сертифікат" display="Завантажити сертифікат"/>
    <hyperlink ref="E1466" r:id="rId1464" tooltip="Завантажити сертифікат" display="Завантажити сертифікат"/>
    <hyperlink ref="E1467" r:id="rId1465" tooltip="Завантажити сертифікат" display="Завантажити сертифікат"/>
    <hyperlink ref="E1468" r:id="rId1466" tooltip="Завантажити сертифікат" display="Завантажити сертифікат"/>
    <hyperlink ref="E1469" r:id="rId1467" tooltip="Завантажити сертифікат" display="Завантажити сертифікат"/>
    <hyperlink ref="E1470" r:id="rId1468" tooltip="Завантажити сертифікат" display="Завантажити сертифікат"/>
    <hyperlink ref="E1471" r:id="rId1469" tooltip="Завантажити сертифікат" display="Завантажити сертифікат"/>
    <hyperlink ref="E1472" r:id="rId1470" tooltip="Завантажити сертифікат" display="Завантажити сертифікат"/>
    <hyperlink ref="E1473" r:id="rId1471" tooltip="Завантажити сертифікат" display="Завантажити сертифікат"/>
    <hyperlink ref="E1474" r:id="rId1472" tooltip="Завантажити сертифікат" display="Завантажити сертифікат"/>
    <hyperlink ref="E1475" r:id="rId1473" tooltip="Завантажити сертифікат" display="Завантажити сертифікат"/>
    <hyperlink ref="E1476" r:id="rId1474" tooltip="Завантажити сертифікат" display="Завантажити сертифікат"/>
    <hyperlink ref="E1477" r:id="rId1475" tooltip="Завантажити сертифікат" display="Завантажити сертифікат"/>
    <hyperlink ref="E1478" r:id="rId1476" tooltip="Завантажити сертифікат" display="Завантажити сертифікат"/>
    <hyperlink ref="E1479" r:id="rId1477" tooltip="Завантажити сертифікат" display="Завантажити сертифікат"/>
    <hyperlink ref="E1480" r:id="rId1478" tooltip="Завантажити сертифікат" display="Завантажити сертифікат"/>
    <hyperlink ref="E1481" r:id="rId1479" tooltip="Завантажити сертифікат" display="Завантажити сертифікат"/>
    <hyperlink ref="E1482" r:id="rId1480" tooltip="Завантажити сертифікат" display="Завантажити сертифікат"/>
    <hyperlink ref="E1483" r:id="rId1481" tooltip="Завантажити сертифікат" display="Завантажити сертифікат"/>
    <hyperlink ref="E1484" r:id="rId1482" tooltip="Завантажити сертифікат" display="Завантажити сертифікат"/>
    <hyperlink ref="E1485" r:id="rId1483" tooltip="Завантажити сертифікат" display="Завантажити сертифікат"/>
    <hyperlink ref="E1486" r:id="rId1484" tooltip="Завантажити сертифікат" display="Завантажити сертифікат"/>
    <hyperlink ref="E1487" r:id="rId1485" tooltip="Завантажити сертифікат" display="Завантажити сертифікат"/>
    <hyperlink ref="E1488" r:id="rId1486" tooltip="Завантажити сертифікат" display="Завантажити сертифікат"/>
    <hyperlink ref="E1489" r:id="rId1487" tooltip="Завантажити сертифікат" display="Завантажити сертифікат"/>
    <hyperlink ref="E1490" r:id="rId1488" tooltip="Завантажити сертифікат" display="Завантажити сертифікат"/>
    <hyperlink ref="E1491" r:id="rId1489" tooltip="Завантажити сертифікат" display="Завантажити сертифікат"/>
    <hyperlink ref="E1492" r:id="rId1490" tooltip="Завантажити сертифікат" display="Завантажити сертифікат"/>
    <hyperlink ref="E1493" r:id="rId1491" tooltip="Завантажити сертифікат" display="Завантажити сертифікат"/>
    <hyperlink ref="E1494" r:id="rId1492" tooltip="Завантажити сертифікат" display="Завантажити сертифікат"/>
    <hyperlink ref="E1495" r:id="rId1493" tooltip="Завантажити сертифікат" display="Завантажити сертифікат"/>
    <hyperlink ref="E1496" r:id="rId1494" tooltip="Завантажити сертифікат" display="Завантажити сертифікат"/>
    <hyperlink ref="E1497" r:id="rId1495" tooltip="Завантажити сертифікат" display="Завантажити сертифікат"/>
    <hyperlink ref="E1498" r:id="rId1496" tooltip="Завантажити сертифікат" display="Завантажити сертифікат"/>
    <hyperlink ref="E1499" r:id="rId1497" tooltip="Завантажити сертифікат" display="Завантажити сертифікат"/>
    <hyperlink ref="E1500" r:id="rId1498" tooltip="Завантажити сертифікат" display="Завантажити сертифікат"/>
    <hyperlink ref="E1501" r:id="rId1499" tooltip="Завантажити сертифікат" display="Завантажити сертифікат"/>
    <hyperlink ref="E1502" r:id="rId1500" tooltip="Завантажити сертифікат" display="Завантажити сертифікат"/>
    <hyperlink ref="E1503" r:id="rId1501" tooltip="Завантажити сертифікат" display="Завантажити сертифікат"/>
    <hyperlink ref="E1504" r:id="rId1502" tooltip="Завантажити сертифікат" display="Завантажити сертифікат"/>
    <hyperlink ref="E1505" r:id="rId1503" tooltip="Завантажити сертифікат" display="Завантажити сертифікат"/>
    <hyperlink ref="E1506" r:id="rId1504" tooltip="Завантажити сертифікат" display="Завантажити сертифікат"/>
    <hyperlink ref="E1507" r:id="rId1505" tooltip="Завантажити сертифікат" display="Завантажити сертифікат"/>
    <hyperlink ref="E1508" r:id="rId1506" tooltip="Завантажити сертифікат" display="Завантажити сертифікат"/>
    <hyperlink ref="E1509" r:id="rId1507" tooltip="Завантажити сертифікат" display="Завантажити сертифікат"/>
    <hyperlink ref="E1510" r:id="rId1508" tooltip="Завантажити сертифікат" display="Завантажити сертифікат"/>
    <hyperlink ref="E1511" r:id="rId1509" tooltip="Завантажити сертифікат" display="Завантажити сертифікат"/>
    <hyperlink ref="E1512" r:id="rId1510" tooltip="Завантажити сертифікат" display="Завантажити сертифікат"/>
    <hyperlink ref="E1513" r:id="rId1511" tooltip="Завантажити сертифікат" display="Завантажити сертифікат"/>
    <hyperlink ref="E1514" r:id="rId1512" tooltip="Завантажити сертифікат" display="Завантажити сертифікат"/>
    <hyperlink ref="E1515" r:id="rId1513" tooltip="Завантажити сертифікат" display="Завантажити сертифікат"/>
    <hyperlink ref="E1516" r:id="rId1514" tooltip="Завантажити сертифікат" display="Завантажити сертифікат"/>
    <hyperlink ref="E1517" r:id="rId1515" tooltip="Завантажити сертифікат" display="Завантажити сертифікат"/>
    <hyperlink ref="E1518" r:id="rId1516" tooltip="Завантажити сертифікат" display="Завантажити сертифікат"/>
    <hyperlink ref="E1519" r:id="rId1517" tooltip="Завантажити сертифікат" display="Завантажити сертифікат"/>
    <hyperlink ref="E1520" r:id="rId1518" tooltip="Завантажити сертифікат" display="Завантажити сертифікат"/>
    <hyperlink ref="E1521" r:id="rId1519" tooltip="Завантажити сертифікат" display="Завантажити сертифікат"/>
    <hyperlink ref="E1522" r:id="rId1520" tooltip="Завантажити сертифікат" display="Завантажити сертифікат"/>
    <hyperlink ref="E1523" r:id="rId1521" tooltip="Завантажити сертифікат" display="Завантажити сертифікат"/>
    <hyperlink ref="E1524" r:id="rId1522" tooltip="Завантажити сертифікат" display="Завантажити сертифікат"/>
    <hyperlink ref="E1525" r:id="rId1523" tooltip="Завантажити сертифікат" display="Завантажити сертифікат"/>
    <hyperlink ref="E1526" r:id="rId1524" tooltip="Завантажити сертифікат" display="Завантажити сертифікат"/>
    <hyperlink ref="E1527" r:id="rId1525" tooltip="Завантажити сертифікат" display="Завантажити сертифікат"/>
    <hyperlink ref="E1528" r:id="rId1526" tooltip="Завантажити сертифікат" display="Завантажити сертифікат"/>
    <hyperlink ref="E1529" r:id="rId1527" tooltip="Завантажити сертифікат" display="Завантажити сертифікат"/>
    <hyperlink ref="E1530" r:id="rId1528" tooltip="Завантажити сертифікат" display="Завантажити сертифікат"/>
    <hyperlink ref="E1531" r:id="rId1529" tooltip="Завантажити сертифікат" display="Завантажити сертифікат"/>
    <hyperlink ref="E1532" r:id="rId1530" tooltip="Завантажити сертифікат" display="Завантажити сертифікат"/>
    <hyperlink ref="E1533" r:id="rId1531" tooltip="Завантажити сертифікат" display="Завантажити сертифікат"/>
    <hyperlink ref="E1534" r:id="rId1532" tooltip="Завантажити сертифікат" display="Завантажити сертифікат"/>
    <hyperlink ref="E1535" r:id="rId1533" tooltip="Завантажити сертифікат" display="Завантажити сертифікат"/>
    <hyperlink ref="E1536" r:id="rId1534" tooltip="Завантажити сертифікат" display="Завантажити сертифікат"/>
    <hyperlink ref="E1537" r:id="rId1535" tooltip="Завантажити сертифікат" display="Завантажити сертифікат"/>
    <hyperlink ref="E1538" r:id="rId1536" tooltip="Завантажити сертифікат" display="Завантажити сертифікат"/>
    <hyperlink ref="E1539" r:id="rId1537" tooltip="Завантажити сертифікат" display="Завантажити сертифікат"/>
    <hyperlink ref="E1540" r:id="rId1538" tooltip="Завантажити сертифікат" display="Завантажити сертифікат"/>
    <hyperlink ref="E1541" r:id="rId1539" tooltip="Завантажити сертифікат" display="Завантажити сертифікат"/>
    <hyperlink ref="E1542" r:id="rId1540" tooltip="Завантажити сертифікат" display="Завантажити сертифікат"/>
    <hyperlink ref="E1543" r:id="rId1541" tooltip="Завантажити сертифікат" display="Завантажити сертифікат"/>
    <hyperlink ref="E1544" r:id="rId1542" tooltip="Завантажити сертифікат" display="Завантажити сертифікат"/>
    <hyperlink ref="E1545" r:id="rId1543" tooltip="Завантажити сертифікат" display="Завантажити сертифікат"/>
    <hyperlink ref="E1546" r:id="rId1544" tooltip="Завантажити сертифікат" display="Завантажити сертифікат"/>
    <hyperlink ref="E1547" r:id="rId1545" tooltip="Завантажити сертифікат" display="Завантажити сертифікат"/>
    <hyperlink ref="E1548" r:id="rId1546" tooltip="Завантажити сертифікат" display="Завантажити сертифікат"/>
    <hyperlink ref="E1549" r:id="rId1547" tooltip="Завантажити сертифікат" display="Завантажити сертифікат"/>
    <hyperlink ref="E1550" r:id="rId1548" tooltip="Завантажити сертифікат" display="Завантажити сертифікат"/>
    <hyperlink ref="E1551" r:id="rId1549" tooltip="Завантажити сертифікат" display="Завантажити сертифікат"/>
    <hyperlink ref="E1552" r:id="rId1550" tooltip="Завантажити сертифікат" display="Завантажити сертифікат"/>
    <hyperlink ref="E1553" r:id="rId1551" tooltip="Завантажити сертифікат" display="Завантажити сертифікат"/>
    <hyperlink ref="E1554" r:id="rId1552" tooltip="Завантажити сертифікат" display="Завантажити сертифікат"/>
    <hyperlink ref="E1555" r:id="rId1553" tooltip="Завантажити сертифікат" display="Завантажити сертифікат"/>
    <hyperlink ref="E1556" r:id="rId1554" tooltip="Завантажити сертифікат" display="Завантажити сертифікат"/>
    <hyperlink ref="E1557" r:id="rId1555" tooltip="Завантажити сертифікат" display="Завантажити сертифікат"/>
    <hyperlink ref="E1558" r:id="rId1556" tooltip="Завантажити сертифікат" display="Завантажити сертифікат"/>
    <hyperlink ref="E1559" r:id="rId1557" tooltip="Завантажити сертифікат" display="Завантажити сертифікат"/>
    <hyperlink ref="E1560" r:id="rId1558" tooltip="Завантажити сертифікат" display="Завантажити сертифікат"/>
    <hyperlink ref="E1561" r:id="rId1559" tooltip="Завантажити сертифікат" display="Завантажити сертифікат"/>
    <hyperlink ref="E1562" r:id="rId1560" tooltip="Завантажити сертифікат" display="Завантажити сертифікат"/>
    <hyperlink ref="E1563" r:id="rId1561" tooltip="Завантажити сертифікат" display="Завантажити сертифікат"/>
    <hyperlink ref="E1564" r:id="rId1562" tooltip="Завантажити сертифікат" display="Завантажити сертифікат"/>
    <hyperlink ref="E1565" r:id="rId1563" tooltip="Завантажити сертифікат" display="Завантажити сертифікат"/>
    <hyperlink ref="E1566" r:id="rId1564" tooltip="Завантажити сертифікат" display="Завантажити сертифікат"/>
    <hyperlink ref="E1567" r:id="rId1565" tooltip="Завантажити сертифікат" display="Завантажити сертифікат"/>
    <hyperlink ref="E1568" r:id="rId1566" tooltip="Завантажити сертифікат" display="Завантажити сертифікат"/>
    <hyperlink ref="E1569" r:id="rId1567" tooltip="Завантажити сертифікат" display="Завантажити сертифікат"/>
    <hyperlink ref="E1570" r:id="rId1568" tooltip="Завантажити сертифікат" display="Завантажити сертифікат"/>
    <hyperlink ref="E1571" r:id="rId1569" tooltip="Завантажити сертифікат" display="Завантажити сертифікат"/>
    <hyperlink ref="E1572" r:id="rId1570" tooltip="Завантажити сертифікат" display="Завантажити сертифікат"/>
    <hyperlink ref="E1573" r:id="rId1571" tooltip="Завантажити сертифікат" display="Завантажити сертифікат"/>
    <hyperlink ref="E1574" r:id="rId1572" tooltip="Завантажити сертифікат" display="Завантажити сертифікат"/>
    <hyperlink ref="E1575" r:id="rId1573" tooltip="Завантажити сертифікат" display="Завантажити сертифікат"/>
    <hyperlink ref="E1576" r:id="rId1574" tooltip="Завантажити сертифікат" display="Завантажити сертифікат"/>
    <hyperlink ref="E1577" r:id="rId1575" tooltip="Завантажити сертифікат" display="Завантажити сертифікат"/>
    <hyperlink ref="E1578" r:id="rId1576" tooltip="Завантажити сертифікат" display="Завантажити сертифікат"/>
    <hyperlink ref="E1579" r:id="rId1577" tooltip="Завантажити сертифікат" display="Завантажити сертифікат"/>
    <hyperlink ref="E1580" r:id="rId1578" tooltip="Завантажити сертифікат" display="Завантажити сертифікат"/>
    <hyperlink ref="E1581" r:id="rId1579" tooltip="Завантажити сертифікат" display="Завантажити сертифікат"/>
    <hyperlink ref="E1582" r:id="rId1580" tooltip="Завантажити сертифікат" display="Завантажити сертифікат"/>
    <hyperlink ref="E1583" r:id="rId1581" tooltip="Завантажити сертифікат" display="Завантажити сертифікат"/>
    <hyperlink ref="E1584" r:id="rId1582" tooltip="Завантажити сертифікат" display="Завантажити сертифікат"/>
    <hyperlink ref="E1585" r:id="rId1583" tooltip="Завантажити сертифікат" display="Завантажити сертифікат"/>
    <hyperlink ref="E1586" r:id="rId1584" tooltip="Завантажити сертифікат" display="Завантажити сертифікат"/>
    <hyperlink ref="E1587" r:id="rId1585" tooltip="Завантажити сертифікат" display="Завантажити сертифікат"/>
    <hyperlink ref="E1588" r:id="rId1586" tooltip="Завантажити сертифікат" display="Завантажити сертифікат"/>
    <hyperlink ref="E1589" r:id="rId1587" tooltip="Завантажити сертифікат" display="Завантажити сертифікат"/>
    <hyperlink ref="E1590" r:id="rId1588" tooltip="Завантажити сертифікат" display="Завантажити сертифікат"/>
    <hyperlink ref="E1591" r:id="rId1589" tooltip="Завантажити сертифікат" display="Завантажити сертифікат"/>
    <hyperlink ref="E1592" r:id="rId1590" tooltip="Завантажити сертифікат" display="Завантажити сертифікат"/>
    <hyperlink ref="E1593" r:id="rId1591" tooltip="Завантажити сертифікат" display="Завантажити сертифікат"/>
    <hyperlink ref="E1594" r:id="rId1592" tooltip="Завантажити сертифікат" display="Завантажити сертифікат"/>
    <hyperlink ref="E1595" r:id="rId1593" tooltip="Завантажити сертифікат" display="Завантажити сертифікат"/>
    <hyperlink ref="E1596" r:id="rId1594" tooltip="Завантажити сертифікат" display="Завантажити сертифікат"/>
    <hyperlink ref="E1597" r:id="rId1595" tooltip="Завантажити сертифікат" display="Завантажити сертифікат"/>
    <hyperlink ref="E1598" r:id="rId1596" tooltip="Завантажити сертифікат" display="Завантажити сертифікат"/>
    <hyperlink ref="E1599" r:id="rId1597" tooltip="Завантажити сертифікат" display="Завантажити сертифікат"/>
    <hyperlink ref="E1600" r:id="rId1598" tooltip="Завантажити сертифікат" display="Завантажити сертифікат"/>
    <hyperlink ref="E1601" r:id="rId1599" tooltip="Завантажити сертифікат" display="Завантажити сертифікат"/>
    <hyperlink ref="E1602" r:id="rId1600" tooltip="Завантажити сертифікат" display="Завантажити сертифікат"/>
    <hyperlink ref="E1603" r:id="rId1601" tooltip="Завантажити сертифікат" display="Завантажити сертифікат"/>
    <hyperlink ref="E1604" r:id="rId1602" tooltip="Завантажити сертифікат" display="Завантажити сертифікат"/>
    <hyperlink ref="E1605" r:id="rId1603" tooltip="Завантажити сертифікат" display="Завантажити сертифікат"/>
    <hyperlink ref="E1606" r:id="rId1604" tooltip="Завантажити сертифікат" display="Завантажити сертифікат"/>
    <hyperlink ref="E1607" r:id="rId1605" tooltip="Завантажити сертифікат" display="Завантажити сертифікат"/>
    <hyperlink ref="E1608" r:id="rId1606" tooltip="Завантажити сертифікат" display="Завантажити сертифікат"/>
    <hyperlink ref="E1609" r:id="rId1607" tooltip="Завантажити сертифікат" display="Завантажити сертифікат"/>
    <hyperlink ref="E1610" r:id="rId1608" tooltip="Завантажити сертифікат" display="Завантажити сертифікат"/>
    <hyperlink ref="E1611" r:id="rId1609" tooltip="Завантажити сертифікат" display="Завантажити сертифікат"/>
    <hyperlink ref="E1612" r:id="rId1610" tooltip="Завантажити сертифікат" display="Завантажити сертифікат"/>
    <hyperlink ref="E1613" r:id="rId1611" tooltip="Завантажити сертифікат" display="Завантажити сертифікат"/>
    <hyperlink ref="E1614" r:id="rId1612" tooltip="Завантажити сертифікат" display="Завантажити сертифікат"/>
    <hyperlink ref="E1615" r:id="rId1613" tooltip="Завантажити сертифікат" display="Завантажити сертифікат"/>
    <hyperlink ref="E1616" r:id="rId1614" tooltip="Завантажити сертифікат" display="Завантажити сертифікат"/>
    <hyperlink ref="E1617" r:id="rId1615" tooltip="Завантажити сертифікат" display="Завантажити сертифікат"/>
    <hyperlink ref="E1618" r:id="rId1616" tooltip="Завантажити сертифікат" display="Завантажити сертифікат"/>
    <hyperlink ref="E1619" r:id="rId1617" tooltip="Завантажити сертифікат" display="Завантажити сертифікат"/>
    <hyperlink ref="E1620" r:id="rId1618" tooltip="Завантажити сертифікат" display="Завантажити сертифікат"/>
    <hyperlink ref="E1621" r:id="rId1619" tooltip="Завантажити сертифікат" display="Завантажити сертифікат"/>
    <hyperlink ref="E1622" r:id="rId1620" tooltip="Завантажити сертифікат" display="Завантажити сертифікат"/>
    <hyperlink ref="E1623" r:id="rId1621" tooltip="Завантажити сертифікат" display="Завантажити сертифікат"/>
    <hyperlink ref="E1624" r:id="rId1622" tooltip="Завантажити сертифікат" display="Завантажити сертифікат"/>
    <hyperlink ref="E1625" r:id="rId1623" tooltip="Завантажити сертифікат" display="Завантажити сертифікат"/>
    <hyperlink ref="E1626" r:id="rId1624" tooltip="Завантажити сертифікат" display="Завантажити сертифікат"/>
    <hyperlink ref="E1627" r:id="rId1625" tooltip="Завантажити сертифікат" display="Завантажити сертифікат"/>
    <hyperlink ref="E1628" r:id="rId1626" tooltip="Завантажити сертифікат" display="Завантажити сертифікат"/>
    <hyperlink ref="E1629" r:id="rId1627" tooltip="Завантажити сертифікат" display="Завантажити сертифікат"/>
    <hyperlink ref="E1630" r:id="rId1628" tooltip="Завантажити сертифікат" display="Завантажити сертифікат"/>
    <hyperlink ref="E1631" r:id="rId1629" tooltip="Завантажити сертифікат" display="Завантажити сертифікат"/>
    <hyperlink ref="E1632" r:id="rId1630" tooltip="Завантажити сертифікат" display="Завантажити сертифікат"/>
    <hyperlink ref="E1633" r:id="rId1631" tooltip="Завантажити сертифікат" display="Завантажити сертифікат"/>
    <hyperlink ref="E1634" r:id="rId1632" tooltip="Завантажити сертифікат" display="Завантажити сертифікат"/>
    <hyperlink ref="E1635" r:id="rId1633" tooltip="Завантажити сертифікат" display="Завантажити сертифікат"/>
    <hyperlink ref="E1636" r:id="rId1634" tooltip="Завантажити сертифікат" display="Завантажити сертифікат"/>
    <hyperlink ref="E1637" r:id="rId1635" tooltip="Завантажити сертифікат" display="Завантажити сертифікат"/>
    <hyperlink ref="E1638" r:id="rId1636" tooltip="Завантажити сертифікат" display="Завантажити сертифікат"/>
    <hyperlink ref="E1639" r:id="rId1637" tooltip="Завантажити сертифікат" display="Завантажити сертифікат"/>
    <hyperlink ref="E1640" r:id="rId1638" tooltip="Завантажити сертифікат" display="Завантажити сертифікат"/>
    <hyperlink ref="E1641" r:id="rId1639" tooltip="Завантажити сертифікат" display="Завантажити сертифікат"/>
    <hyperlink ref="E1642" r:id="rId1640" tooltip="Завантажити сертифікат" display="Завантажити сертифікат"/>
    <hyperlink ref="E1643" r:id="rId1641" tooltip="Завантажити сертифікат" display="Завантажити сертифікат"/>
    <hyperlink ref="E1644" r:id="rId1642" tooltip="Завантажити сертифікат" display="Завантажити сертифікат"/>
    <hyperlink ref="E1645" r:id="rId1643" tooltip="Завантажити сертифікат" display="Завантажити сертифікат"/>
    <hyperlink ref="E1646" r:id="rId1644" tooltip="Завантажити сертифікат" display="Завантажити сертифікат"/>
    <hyperlink ref="E1647" r:id="rId1645" tooltip="Завантажити сертифікат" display="Завантажити сертифікат"/>
    <hyperlink ref="E1648" r:id="rId1646" tooltip="Завантажити сертифікат" display="Завантажити сертифікат"/>
    <hyperlink ref="E1649" r:id="rId1647" tooltip="Завантажити сертифікат" display="Завантажити сертифікат"/>
    <hyperlink ref="E1650" r:id="rId1648" tooltip="Завантажити сертифікат" display="Завантажити сертифікат"/>
    <hyperlink ref="E1651" r:id="rId1649" tooltip="Завантажити сертифікат" display="Завантажити сертифікат"/>
    <hyperlink ref="E1652" r:id="rId1650" tooltip="Завантажити сертифікат" display="Завантажити сертифікат"/>
    <hyperlink ref="E1653" r:id="rId1651" tooltip="Завантажити сертифікат" display="Завантажити сертифікат"/>
    <hyperlink ref="E1654" r:id="rId1652" tooltip="Завантажити сертифікат" display="Завантажити сертифікат"/>
    <hyperlink ref="E1655" r:id="rId1653" tooltip="Завантажити сертифікат" display="Завантажити сертифікат"/>
    <hyperlink ref="E1656" r:id="rId1654" tooltip="Завантажити сертифікат" display="Завантажити сертифікат"/>
    <hyperlink ref="E1657" r:id="rId1655" tooltip="Завантажити сертифікат" display="Завантажити сертифікат"/>
    <hyperlink ref="E1658" r:id="rId1656" tooltip="Завантажити сертифікат" display="Завантажити сертифікат"/>
    <hyperlink ref="E1659" r:id="rId1657" tooltip="Завантажити сертифікат" display="Завантажити сертифікат"/>
    <hyperlink ref="E1660" r:id="rId1658" tooltip="Завантажити сертифікат" display="Завантажити сертифікат"/>
    <hyperlink ref="E1661" r:id="rId1659" tooltip="Завантажити сертифікат" display="Завантажити сертифікат"/>
    <hyperlink ref="E1662" r:id="rId1660" tooltip="Завантажити сертифікат" display="Завантажити сертифікат"/>
    <hyperlink ref="E1663" r:id="rId1661" tooltip="Завантажити сертифікат" display="Завантажити сертифікат"/>
    <hyperlink ref="E1664" r:id="rId1662" tooltip="Завантажити сертифікат" display="Завантажити сертифікат"/>
    <hyperlink ref="E1665" r:id="rId1663" tooltip="Завантажити сертифікат" display="Завантажити сертифікат"/>
    <hyperlink ref="E1666" r:id="rId1664" tooltip="Завантажити сертифікат" display="Завантажити сертифікат"/>
    <hyperlink ref="E1667" r:id="rId1665" tooltip="Завантажити сертифікат" display="Завантажити сертифікат"/>
    <hyperlink ref="E1668" r:id="rId1666" tooltip="Завантажити сертифікат" display="Завантажити сертифікат"/>
    <hyperlink ref="E1669" r:id="rId1667" tooltip="Завантажити сертифікат" display="Завантажити сертифікат"/>
    <hyperlink ref="E1670" r:id="rId1668" tooltip="Завантажити сертифікат" display="Завантажити сертифікат"/>
    <hyperlink ref="E1671" r:id="rId1669" tooltip="Завантажити сертифікат" display="Завантажити сертифікат"/>
    <hyperlink ref="E1672" r:id="rId1670" tooltip="Завантажити сертифікат" display="Завантажити сертифікат"/>
    <hyperlink ref="E1673" r:id="rId1671" tooltip="Завантажити сертифікат" display="Завантажити сертифікат"/>
    <hyperlink ref="E1674" r:id="rId1672" tooltip="Завантажити сертифікат" display="Завантажити сертифікат"/>
    <hyperlink ref="E1675" r:id="rId1673" tooltip="Завантажити сертифікат" display="Завантажити сертифікат"/>
    <hyperlink ref="E1676" r:id="rId1674" tooltip="Завантажити сертифікат" display="Завантажити сертифікат"/>
    <hyperlink ref="E1677" r:id="rId1675" tooltip="Завантажити сертифікат" display="Завантажити сертифікат"/>
    <hyperlink ref="E1678" r:id="rId1676" tooltip="Завантажити сертифікат" display="Завантажити сертифікат"/>
    <hyperlink ref="E1679" r:id="rId1677" tooltip="Завантажити сертифікат" display="Завантажити сертифікат"/>
    <hyperlink ref="E1680" r:id="rId1678" tooltip="Завантажити сертифікат" display="Завантажити сертифікат"/>
    <hyperlink ref="E1681" r:id="rId1679" tooltip="Завантажити сертифікат" display="Завантажити сертифікат"/>
    <hyperlink ref="E1682" r:id="rId1680" tooltip="Завантажити сертифікат" display="Завантажити сертифікат"/>
    <hyperlink ref="E1683" r:id="rId1681" tooltip="Завантажити сертифікат" display="Завантажити сертифікат"/>
    <hyperlink ref="E1684" r:id="rId1682" tooltip="Завантажити сертифікат" display="Завантажити сертифікат"/>
    <hyperlink ref="E1685" r:id="rId1683" tooltip="Завантажити сертифікат" display="Завантажити сертифікат"/>
    <hyperlink ref="E1686" r:id="rId1684" tooltip="Завантажити сертифікат" display="Завантажити сертифікат"/>
    <hyperlink ref="E1687" r:id="rId1685" tooltip="Завантажити сертифікат" display="Завантажити сертифікат"/>
    <hyperlink ref="E1688" r:id="rId1686" tooltip="Завантажити сертифікат" display="Завантажити сертифікат"/>
    <hyperlink ref="E1689" r:id="rId1687" tooltip="Завантажити сертифікат" display="Завантажити сертифікат"/>
    <hyperlink ref="E1690" r:id="rId1688" tooltip="Завантажити сертифікат" display="Завантажити сертифікат"/>
    <hyperlink ref="E1691" r:id="rId1689" tooltip="Завантажити сертифікат" display="Завантажити сертифікат"/>
    <hyperlink ref="E1692" r:id="rId1690" tooltip="Завантажити сертифікат" display="Завантажити сертифікат"/>
    <hyperlink ref="E1693" r:id="rId1691" tooltip="Завантажити сертифікат" display="Завантажити сертифікат"/>
    <hyperlink ref="E1694" r:id="rId1692" tooltip="Завантажити сертифікат" display="Завантажити сертифікат"/>
    <hyperlink ref="E1695" r:id="rId1693" tooltip="Завантажити сертифікат" display="Завантажити сертифікат"/>
    <hyperlink ref="E1696" r:id="rId1694" tooltip="Завантажити сертифікат" display="Завантажити сертифікат"/>
    <hyperlink ref="E1697" r:id="rId1695" tooltip="Завантажити сертифікат" display="Завантажити сертифікат"/>
    <hyperlink ref="E1698" r:id="rId1696" tooltip="Завантажити сертифікат" display="Завантажити сертифікат"/>
    <hyperlink ref="E1699" r:id="rId1697" tooltip="Завантажити сертифікат" display="Завантажити сертифікат"/>
    <hyperlink ref="E1700" r:id="rId1698" tooltip="Завантажити сертифікат" display="Завантажити сертифікат"/>
    <hyperlink ref="E1701" r:id="rId1699" tooltip="Завантажити сертифікат" display="Завантажити сертифікат"/>
    <hyperlink ref="E1702" r:id="rId1700" tooltip="Завантажити сертифікат" display="Завантажити сертифікат"/>
    <hyperlink ref="E1703" r:id="rId1701" tooltip="Завантажити сертифікат" display="Завантажити сертифікат"/>
    <hyperlink ref="E1704" r:id="rId1702" tooltip="Завантажити сертифікат" display="Завантажити сертифікат"/>
    <hyperlink ref="E1705" r:id="rId1703" tooltip="Завантажити сертифікат" display="Завантажити сертифікат"/>
    <hyperlink ref="E1706" r:id="rId1704" tooltip="Завантажити сертифікат" display="Завантажити сертифікат"/>
    <hyperlink ref="E1707" r:id="rId1705" tooltip="Завантажити сертифікат" display="Завантажити сертифікат"/>
    <hyperlink ref="E1708" r:id="rId1706" tooltip="Завантажити сертифікат" display="Завантажити сертифікат"/>
    <hyperlink ref="E1709" r:id="rId1707" tooltip="Завантажити сертифікат" display="Завантажити сертифікат"/>
    <hyperlink ref="E1710" r:id="rId1708" tooltip="Завантажити сертифікат" display="Завантажити сертифікат"/>
    <hyperlink ref="E1711" r:id="rId1709" tooltip="Завантажити сертифікат" display="Завантажити сертифікат"/>
    <hyperlink ref="E1712" r:id="rId1710" tooltip="Завантажити сертифікат" display="Завантажити сертифікат"/>
    <hyperlink ref="E1713" r:id="rId1711" tooltip="Завантажити сертифікат" display="Завантажити сертифікат"/>
    <hyperlink ref="E1714" r:id="rId1712" tooltip="Завантажити сертифікат" display="Завантажити сертифікат"/>
    <hyperlink ref="E1715" r:id="rId1713" tooltip="Завантажити сертифікат" display="Завантажити сертифікат"/>
    <hyperlink ref="E1716" r:id="rId1714" tooltip="Завантажити сертифікат" display="Завантажити сертифікат"/>
    <hyperlink ref="E1717" r:id="rId1715" tooltip="Завантажити сертифікат" display="Завантажити сертифікат"/>
    <hyperlink ref="E1718" r:id="rId1716" tooltip="Завантажити сертифікат" display="Завантажити сертифікат"/>
    <hyperlink ref="E1719" r:id="rId1717" tooltip="Завантажити сертифікат" display="Завантажити сертифікат"/>
    <hyperlink ref="E1720" r:id="rId1718" tooltip="Завантажити сертифікат" display="Завантажити сертифікат"/>
    <hyperlink ref="E1721" r:id="rId1719" tooltip="Завантажити сертифікат" display="Завантажити сертифікат"/>
    <hyperlink ref="E1722" r:id="rId1720" tooltip="Завантажити сертифікат" display="Завантажити сертифікат"/>
    <hyperlink ref="E1723" r:id="rId1721" tooltip="Завантажити сертифікат" display="Завантажити сертифікат"/>
    <hyperlink ref="E1724" r:id="rId1722" tooltip="Завантажити сертифікат" display="Завантажити сертифікат"/>
    <hyperlink ref="E1725" r:id="rId1723" tooltip="Завантажити сертифікат" display="Завантажити сертифікат"/>
    <hyperlink ref="E1726" r:id="rId1724" tooltip="Завантажити сертифікат" display="Завантажити сертифікат"/>
    <hyperlink ref="E1727" r:id="rId1725" tooltip="Завантажити сертифікат" display="Завантажити сертифікат"/>
    <hyperlink ref="E1728" r:id="rId1726" tooltip="Завантажити сертифікат" display="Завантажити сертифікат"/>
    <hyperlink ref="E1729" r:id="rId1727" tooltip="Завантажити сертифікат" display="Завантажити сертифікат"/>
    <hyperlink ref="E1730" r:id="rId1728" tooltip="Завантажити сертифікат" display="Завантажити сертифікат"/>
    <hyperlink ref="E1731" r:id="rId1729" tooltip="Завантажити сертифікат" display="Завантажити сертифікат"/>
    <hyperlink ref="E1732" r:id="rId1730" tooltip="Завантажити сертифікат" display="Завантажити сертифікат"/>
    <hyperlink ref="E1733" r:id="rId1731" tooltip="Завантажити сертифікат" display="Завантажити сертифікат"/>
    <hyperlink ref="E1734" r:id="rId1732" tooltip="Завантажити сертифікат" display="Завантажити сертифікат"/>
    <hyperlink ref="E1735" r:id="rId1733" tooltip="Завантажити сертифікат" display="Завантажити сертифікат"/>
    <hyperlink ref="E1736" r:id="rId1734" tooltip="Завантажити сертифікат" display="Завантажити сертифікат"/>
    <hyperlink ref="E1737" r:id="rId1735" tooltip="Завантажити сертифікат" display="Завантажити сертифікат"/>
    <hyperlink ref="E1738" r:id="rId1736" tooltip="Завантажити сертифікат" display="Завантажити сертифікат"/>
    <hyperlink ref="E1739" r:id="rId1737" tooltip="Завантажити сертифікат" display="Завантажити сертифікат"/>
    <hyperlink ref="E1740" r:id="rId1738" tooltip="Завантажити сертифікат" display="Завантажити сертифікат"/>
    <hyperlink ref="E1741" r:id="rId1739" tooltip="Завантажити сертифікат" display="Завантажити сертифікат"/>
    <hyperlink ref="E1742" r:id="rId1740" tooltip="Завантажити сертифікат" display="Завантажити сертифікат"/>
    <hyperlink ref="E1743" r:id="rId1741" tooltip="Завантажити сертифікат" display="Завантажити сертифікат"/>
    <hyperlink ref="E1744" r:id="rId1742" tooltip="Завантажити сертифікат" display="Завантажити сертифікат"/>
    <hyperlink ref="E1745" r:id="rId1743" tooltip="Завантажити сертифікат" display="Завантажити сертифікат"/>
    <hyperlink ref="E1746" r:id="rId1744" tooltip="Завантажити сертифікат" display="Завантажити сертифікат"/>
    <hyperlink ref="E1747" r:id="rId1745" tooltip="Завантажити сертифікат" display="Завантажити сертифікат"/>
    <hyperlink ref="E1748" r:id="rId1746" tooltip="Завантажити сертифікат" display="Завантажити сертифікат"/>
    <hyperlink ref="E1749" r:id="rId1747" tooltip="Завантажити сертифікат" display="Завантажити сертифікат"/>
    <hyperlink ref="E1750" r:id="rId1748" tooltip="Завантажити сертифікат" display="Завантажити сертифікат"/>
    <hyperlink ref="E1751" r:id="rId1749" tooltip="Завантажити сертифікат" display="Завантажити сертифікат"/>
    <hyperlink ref="E1752" r:id="rId1750" tooltip="Завантажити сертифікат" display="Завантажити сертифікат"/>
    <hyperlink ref="E1753" r:id="rId1751" tooltip="Завантажити сертифікат" display="Завантажити сертифікат"/>
    <hyperlink ref="E1754" r:id="rId1752" tooltip="Завантажити сертифікат" display="Завантажити сертифікат"/>
    <hyperlink ref="E1755" r:id="rId1753" tooltip="Завантажити сертифікат" display="Завантажити сертифікат"/>
    <hyperlink ref="E1756" r:id="rId1754" tooltip="Завантажити сертифікат" display="Завантажити сертифікат"/>
    <hyperlink ref="E1757" r:id="rId1755" tooltip="Завантажити сертифікат" display="Завантажити сертифікат"/>
    <hyperlink ref="E1758" r:id="rId1756" tooltip="Завантажити сертифікат" display="Завантажити сертифікат"/>
    <hyperlink ref="E1759" r:id="rId1757" tooltip="Завантажити сертифікат" display="Завантажити сертифікат"/>
    <hyperlink ref="E1760" r:id="rId1758" tooltip="Завантажити сертифікат" display="Завантажити сертифікат"/>
    <hyperlink ref="E1761" r:id="rId1759" tooltip="Завантажити сертифікат" display="Завантажити сертифікат"/>
    <hyperlink ref="E1762" r:id="rId1760" tooltip="Завантажити сертифікат" display="Завантажити сертифікат"/>
    <hyperlink ref="E1763" r:id="rId1761" tooltip="Завантажити сертифікат" display="Завантажити сертифікат"/>
    <hyperlink ref="E1764" r:id="rId1762" tooltip="Завантажити сертифікат" display="Завантажити сертифікат"/>
    <hyperlink ref="E1765" r:id="rId1763" tooltip="Завантажити сертифікат" display="Завантажити сертифікат"/>
    <hyperlink ref="E1766" r:id="rId1764" tooltip="Завантажити сертифікат" display="Завантажити сертифікат"/>
    <hyperlink ref="E1767" r:id="rId1765" tooltip="Завантажити сертифікат" display="Завантажити сертифікат"/>
    <hyperlink ref="E1768" r:id="rId1766" tooltip="Завантажити сертифікат" display="Завантажити сертифікат"/>
    <hyperlink ref="E1769" r:id="rId1767" tooltip="Завантажити сертифікат" display="Завантажити сертифікат"/>
    <hyperlink ref="E1770" r:id="rId1768" tooltip="Завантажити сертифікат" display="Завантажити сертифікат"/>
    <hyperlink ref="E1771" r:id="rId1769" tooltip="Завантажити сертифікат" display="Завантажити сертифікат"/>
    <hyperlink ref="E1772" r:id="rId1770" tooltip="Завантажити сертифікат" display="Завантажити сертифікат"/>
    <hyperlink ref="E1773" r:id="rId1771" tooltip="Завантажити сертифікат" display="Завантажити сертифікат"/>
    <hyperlink ref="E1774" r:id="rId1772" tooltip="Завантажити сертифікат" display="Завантажити сертифікат"/>
    <hyperlink ref="E1775" r:id="rId1773" tooltip="Завантажити сертифікат" display="Завантажити сертифікат"/>
    <hyperlink ref="E1776" r:id="rId1774" tooltip="Завантажити сертифікат" display="Завантажити сертифікат"/>
    <hyperlink ref="E1777" r:id="rId1775" tooltip="Завантажити сертифікат" display="Завантажити сертифікат"/>
    <hyperlink ref="E1778" r:id="rId1776" tooltip="Завантажити сертифікат" display="Завантажити сертифікат"/>
    <hyperlink ref="E1779" r:id="rId1777" tooltip="Завантажити сертифікат" display="Завантажити сертифікат"/>
    <hyperlink ref="E1780" r:id="rId1778" tooltip="Завантажити сертифікат" display="Завантажити сертифікат"/>
    <hyperlink ref="E1781" r:id="rId1779" tooltip="Завантажити сертифікат" display="Завантажити сертифікат"/>
    <hyperlink ref="E1782" r:id="rId1780" tooltip="Завантажити сертифікат" display="Завантажити сертифікат"/>
    <hyperlink ref="E1783" r:id="rId1781" tooltip="Завантажити сертифікат" display="Завантажити сертифікат"/>
    <hyperlink ref="E1784" r:id="rId1782" tooltip="Завантажити сертифікат" display="Завантажити сертифікат"/>
    <hyperlink ref="E1785" r:id="rId1783" tooltip="Завантажити сертифікат" display="Завантажити сертифікат"/>
    <hyperlink ref="E1786" r:id="rId1784" tooltip="Завантажити сертифікат" display="Завантажити сертифікат"/>
    <hyperlink ref="E1787" r:id="rId1785" tooltip="Завантажити сертифікат" display="Завантажити сертифікат"/>
    <hyperlink ref="E1788" r:id="rId1786" tooltip="Завантажити сертифікат" display="Завантажити сертифікат"/>
    <hyperlink ref="E1789" r:id="rId1787" tooltip="Завантажити сертифікат" display="Завантажити сертифікат"/>
    <hyperlink ref="E1790" r:id="rId1788" tooltip="Завантажити сертифікат" display="Завантажити сертифікат"/>
    <hyperlink ref="E1791" r:id="rId1789" tooltip="Завантажити сертифікат" display="Завантажити сертифікат"/>
    <hyperlink ref="E1792" r:id="rId1790" tooltip="Завантажити сертифікат" display="Завантажити сертифікат"/>
    <hyperlink ref="E1793" r:id="rId1791" tooltip="Завантажити сертифікат" display="Завантажити сертифікат"/>
    <hyperlink ref="E1794" r:id="rId1792" tooltip="Завантажити сертифікат" display="Завантажити сертифікат"/>
    <hyperlink ref="E1795" r:id="rId1793" tooltip="Завантажити сертифікат" display="Завантажити сертифікат"/>
    <hyperlink ref="E1796" r:id="rId1794" tooltip="Завантажити сертифікат" display="Завантажити сертифікат"/>
    <hyperlink ref="E1797" r:id="rId1795" tooltip="Завантажити сертифікат" display="Завантажити сертифікат"/>
    <hyperlink ref="E1798" r:id="rId1796" tooltip="Завантажити сертифікат" display="Завантажити сертифікат"/>
    <hyperlink ref="E1799" r:id="rId1797" tooltip="Завантажити сертифікат" display="Завантажити сертифікат"/>
    <hyperlink ref="E1800" r:id="rId1798" tooltip="Завантажити сертифікат" display="Завантажити сертифікат"/>
    <hyperlink ref="E1801" r:id="rId1799" tooltip="Завантажити сертифікат" display="Завантажити сертифікат"/>
    <hyperlink ref="E1802" r:id="rId1800" tooltip="Завантажити сертифікат" display="Завантажити сертифікат"/>
    <hyperlink ref="E1803" r:id="rId1801" tooltip="Завантажити сертифікат" display="Завантажити сертифікат"/>
    <hyperlink ref="E1804" r:id="rId1802" tooltip="Завантажити сертифікат" display="Завантажити сертифікат"/>
    <hyperlink ref="E1805" r:id="rId1803" tooltip="Завантажити сертифікат" display="Завантажити сертифікат"/>
    <hyperlink ref="E1806" r:id="rId1804" tooltip="Завантажити сертифікат" display="Завантажити сертифікат"/>
    <hyperlink ref="E1807" r:id="rId1805" tooltip="Завантажити сертифікат" display="Завантажити сертифікат"/>
    <hyperlink ref="E1808" r:id="rId1806" tooltip="Завантажити сертифікат" display="Завантажити сертифікат"/>
    <hyperlink ref="E1809" r:id="rId1807" tooltip="Завантажити сертифікат" display="Завантажити сертифікат"/>
    <hyperlink ref="E1810" r:id="rId1808" tooltip="Завантажити сертифікат" display="Завантажити сертифікат"/>
    <hyperlink ref="E1811" r:id="rId1809" tooltip="Завантажити сертифікат" display="Завантажити сертифікат"/>
    <hyperlink ref="E1812" r:id="rId1810" tooltip="Завантажити сертифікат" display="Завантажити сертифікат"/>
    <hyperlink ref="E1813" r:id="rId1811" tooltip="Завантажити сертифікат" display="Завантажити сертифікат"/>
    <hyperlink ref="E1814" r:id="rId1812" tooltip="Завантажити сертифікат" display="Завантажити сертифікат"/>
    <hyperlink ref="E1815" r:id="rId1813" tooltip="Завантажити сертифікат" display="Завантажити сертифікат"/>
    <hyperlink ref="E1816" r:id="rId1814" tooltip="Завантажити сертифікат" display="Завантажити сертифікат"/>
    <hyperlink ref="E1817" r:id="rId1815" tooltip="Завантажити сертифікат" display="Завантажити сертифікат"/>
    <hyperlink ref="E1818" r:id="rId1816" tooltip="Завантажити сертифікат" display="Завантажити сертифікат"/>
    <hyperlink ref="E1819" r:id="rId1817" tooltip="Завантажити сертифікат" display="Завантажити сертифікат"/>
    <hyperlink ref="E1820" r:id="rId1818" tooltip="Завантажити сертифікат" display="Завантажити сертифікат"/>
    <hyperlink ref="E1821" r:id="rId1819" tooltip="Завантажити сертифікат" display="Завантажити сертифікат"/>
    <hyperlink ref="E1822" r:id="rId1820" tooltip="Завантажити сертифікат" display="Завантажити сертифікат"/>
    <hyperlink ref="E1823" r:id="rId1821" tooltip="Завантажити сертифікат" display="Завантажити сертифікат"/>
    <hyperlink ref="E1824" r:id="rId1822" tooltip="Завантажити сертифікат" display="Завантажити сертифікат"/>
    <hyperlink ref="E1825" r:id="rId1823" tooltip="Завантажити сертифікат" display="Завантажити сертифікат"/>
    <hyperlink ref="E1826" r:id="rId1824" tooltip="Завантажити сертифікат" display="Завантажити сертифікат"/>
    <hyperlink ref="E1827" r:id="rId1825" tooltip="Завантажити сертифікат" display="Завантажити сертифікат"/>
    <hyperlink ref="E1828" r:id="rId1826" tooltip="Завантажити сертифікат" display="Завантажити сертифікат"/>
    <hyperlink ref="E1829" r:id="rId1827" tooltip="Завантажити сертифікат" display="Завантажити сертифікат"/>
    <hyperlink ref="E1830" r:id="rId1828" tooltip="Завантажити сертифікат" display="Завантажити сертифікат"/>
    <hyperlink ref="E1831" r:id="rId1829" tooltip="Завантажити сертифікат" display="Завантажити сертифікат"/>
    <hyperlink ref="E1832" r:id="rId1830" tooltip="Завантажити сертифікат" display="Завантажити сертифікат"/>
    <hyperlink ref="E1833" r:id="rId1831" tooltip="Завантажити сертифікат" display="Завантажити сертифікат"/>
    <hyperlink ref="E1834" r:id="rId1832" tooltip="Завантажити сертифікат" display="Завантажити сертифікат"/>
    <hyperlink ref="E1835" r:id="rId1833" tooltip="Завантажити сертифікат" display="Завантажити сертифікат"/>
    <hyperlink ref="E1836" r:id="rId1834" tooltip="Завантажити сертифікат" display="Завантажити сертифікат"/>
    <hyperlink ref="E1837" r:id="rId1835" tooltip="Завантажити сертифікат" display="Завантажити сертифікат"/>
    <hyperlink ref="E1838" r:id="rId1836" tooltip="Завантажити сертифікат" display="Завантажити сертифікат"/>
    <hyperlink ref="E1839" r:id="rId1837" tooltip="Завантажити сертифікат" display="Завантажити сертифікат"/>
    <hyperlink ref="E1840" r:id="rId1838" tooltip="Завантажити сертифікат" display="Завантажити сертифікат"/>
    <hyperlink ref="E1841" r:id="rId1839" tooltip="Завантажити сертифікат" display="Завантажити сертифікат"/>
    <hyperlink ref="E1842" r:id="rId1840" tooltip="Завантажити сертифікат" display="Завантажити сертифікат"/>
    <hyperlink ref="E1843" r:id="rId1841" tooltip="Завантажити сертифікат" display="Завантажити сертифікат"/>
    <hyperlink ref="E1844" r:id="rId1842" tooltip="Завантажити сертифікат" display="Завантажити сертифікат"/>
    <hyperlink ref="E1845" r:id="rId1843" tooltip="Завантажити сертифікат" display="Завантажити сертифікат"/>
    <hyperlink ref="E1846" r:id="rId1844" tooltip="Завантажити сертифікат" display="Завантажити сертифікат"/>
    <hyperlink ref="E1847" r:id="rId1845" tooltip="Завантажити сертифікат" display="Завантажити сертифікат"/>
    <hyperlink ref="E1848" r:id="rId1846" tooltip="Завантажити сертифікат" display="Завантажити сертифікат"/>
    <hyperlink ref="E1849" r:id="rId1847" tooltip="Завантажити сертифікат" display="Завантажити сертифікат"/>
    <hyperlink ref="E1850" r:id="rId1848" tooltip="Завантажити сертифікат" display="Завантажити сертифікат"/>
    <hyperlink ref="E1851" r:id="rId1849" tooltip="Завантажити сертифікат" display="Завантажити сертифікат"/>
    <hyperlink ref="E1852" r:id="rId1850" tooltip="Завантажити сертифікат" display="Завантажити сертифікат"/>
    <hyperlink ref="E1853" r:id="rId1851" tooltip="Завантажити сертифікат" display="Завантажити сертифікат"/>
    <hyperlink ref="E1854" r:id="rId1852" tooltip="Завантажити сертифікат" display="Завантажити сертифікат"/>
    <hyperlink ref="E1855" r:id="rId1853" tooltip="Завантажити сертифікат" display="Завантажити сертифікат"/>
    <hyperlink ref="E1856" r:id="rId1854" tooltip="Завантажити сертифікат" display="Завантажити сертифікат"/>
    <hyperlink ref="E1857" r:id="rId1855" tooltip="Завантажити сертифікат" display="Завантажити сертифікат"/>
    <hyperlink ref="E1858" r:id="rId1856" tooltip="Завантажити сертифікат" display="Завантажити сертифікат"/>
    <hyperlink ref="E1859" r:id="rId1857" tooltip="Завантажити сертифікат" display="Завантажити сертифікат"/>
    <hyperlink ref="E1860" r:id="rId1858" tooltip="Завантажити сертифікат" display="Завантажити сертифікат"/>
    <hyperlink ref="E1861" r:id="rId1859" tooltip="Завантажити сертифікат" display="Завантажити сертифікат"/>
    <hyperlink ref="E1862" r:id="rId1860" tooltip="Завантажити сертифікат" display="Завантажити сертифікат"/>
    <hyperlink ref="E1863" r:id="rId1861" tooltip="Завантажити сертифікат" display="Завантажити сертифікат"/>
    <hyperlink ref="E1864" r:id="rId1862" tooltip="Завантажити сертифікат" display="Завантажити сертифікат"/>
    <hyperlink ref="E1865" r:id="rId1863" tooltip="Завантажити сертифікат" display="Завантажити сертифікат"/>
    <hyperlink ref="E1866" r:id="rId1864" tooltip="Завантажити сертифікат" display="Завантажити сертифікат"/>
    <hyperlink ref="E1867" r:id="rId1865" tooltip="Завантажити сертифікат" display="Завантажити сертифікат"/>
    <hyperlink ref="E1868" r:id="rId1866" tooltip="Завантажити сертифікат" display="Завантажити сертифікат"/>
    <hyperlink ref="E1869" r:id="rId1867" tooltip="Завантажити сертифікат" display="Завантажити сертифікат"/>
    <hyperlink ref="E1870" r:id="rId1868" tooltip="Завантажити сертифікат" display="Завантажити сертифікат"/>
    <hyperlink ref="E1871" r:id="rId1869" tooltip="Завантажити сертифікат" display="Завантажити сертифікат"/>
    <hyperlink ref="E1872" r:id="rId1870" tooltip="Завантажити сертифікат" display="Завантажити сертифікат"/>
    <hyperlink ref="E1873" r:id="rId1871" tooltip="Завантажити сертифікат" display="Завантажити сертифікат"/>
    <hyperlink ref="E1874" r:id="rId1872" tooltip="Завантажити сертифікат" display="Завантажити сертифікат"/>
    <hyperlink ref="E1875" r:id="rId1873" tooltip="Завантажити сертифікат" display="Завантажити сертифікат"/>
    <hyperlink ref="E1876" r:id="rId1874" tooltip="Завантажити сертифікат" display="Завантажити сертифікат"/>
    <hyperlink ref="E1877" r:id="rId1875" tooltip="Завантажити сертифікат" display="Завантажити сертифікат"/>
    <hyperlink ref="E1878" r:id="rId1876" tooltip="Завантажити сертифікат" display="Завантажити сертифікат"/>
    <hyperlink ref="E1879" r:id="rId1877" tooltip="Завантажити сертифікат" display="Завантажити сертифікат"/>
    <hyperlink ref="E1880" r:id="rId1878" tooltip="Завантажити сертифікат" display="Завантажити сертифікат"/>
    <hyperlink ref="E1881" r:id="rId1879" tooltip="Завантажити сертифікат" display="Завантажити сертифікат"/>
    <hyperlink ref="E1882" r:id="rId1880" tooltip="Завантажити сертифікат" display="Завантажити сертифікат"/>
    <hyperlink ref="E1883" r:id="rId1881" tooltip="Завантажити сертифікат" display="Завантажити сертифікат"/>
    <hyperlink ref="E1884" r:id="rId1882" tooltip="Завантажити сертифікат" display="Завантажити сертифікат"/>
    <hyperlink ref="E1885" r:id="rId1883" tooltip="Завантажити сертифікат" display="Завантажити сертифікат"/>
    <hyperlink ref="E1886" r:id="rId1884" tooltip="Завантажити сертифікат" display="Завантажити сертифікат"/>
    <hyperlink ref="E1887" r:id="rId1885" tooltip="Завантажити сертифікат" display="Завантажити сертифікат"/>
    <hyperlink ref="E1888" r:id="rId1886" tooltip="Завантажити сертифікат" display="Завантажити сертифікат"/>
    <hyperlink ref="E1889" r:id="rId1887" tooltip="Завантажити сертифікат" display="Завантажити сертифікат"/>
    <hyperlink ref="E1890" r:id="rId1888" tooltip="Завантажити сертифікат" display="Завантажити сертифікат"/>
    <hyperlink ref="E1891" r:id="rId1889" tooltip="Завантажити сертифікат" display="Завантажити сертифікат"/>
    <hyperlink ref="E1892" r:id="rId1890" tooltip="Завантажити сертифікат" display="Завантажити сертифікат"/>
    <hyperlink ref="E1893" r:id="rId1891" tooltip="Завантажити сертифікат" display="Завантажити сертифікат"/>
    <hyperlink ref="E1894" r:id="rId1892" tooltip="Завантажити сертифікат" display="Завантажити сертифікат"/>
    <hyperlink ref="E1895" r:id="rId1893" tooltip="Завантажити сертифікат" display="Завантажити сертифікат"/>
    <hyperlink ref="E1896" r:id="rId1894" tooltip="Завантажити сертифікат" display="Завантажити сертифікат"/>
    <hyperlink ref="E1897" r:id="rId1895" tooltip="Завантажити сертифікат" display="Завантажити сертифікат"/>
    <hyperlink ref="E1898" r:id="rId1896" tooltip="Завантажити сертифікат" display="Завантажити сертифікат"/>
    <hyperlink ref="E1899" r:id="rId1897" tooltip="Завантажити сертифікат" display="Завантажити сертифікат"/>
    <hyperlink ref="E1900" r:id="rId1898" tooltip="Завантажити сертифікат" display="Завантажити сертифікат"/>
    <hyperlink ref="E1901" r:id="rId1899" tooltip="Завантажити сертифікат" display="Завантажити сертифікат"/>
    <hyperlink ref="E1902" r:id="rId1900" tooltip="Завантажити сертифікат" display="Завантажити сертифікат"/>
    <hyperlink ref="E1903" r:id="rId1901" tooltip="Завантажити сертифікат" display="Завантажити сертифікат"/>
    <hyperlink ref="E1904" r:id="rId1902" tooltip="Завантажити сертифікат" display="Завантажити сертифікат"/>
    <hyperlink ref="E1905" r:id="rId1903" tooltip="Завантажити сертифікат" display="Завантажити сертифікат"/>
    <hyperlink ref="E1906" r:id="rId1904" tooltip="Завантажити сертифікат" display="Завантажити сертифікат"/>
    <hyperlink ref="E1907" r:id="rId1905" tooltip="Завантажити сертифікат" display="Завантажити сертифікат"/>
    <hyperlink ref="E1908" r:id="rId1906" tooltip="Завантажити сертифікат" display="Завантажити сертифікат"/>
    <hyperlink ref="E1909" r:id="rId1907" tooltip="Завантажити сертифікат" display="Завантажити сертифікат"/>
    <hyperlink ref="E1910" r:id="rId1908" tooltip="Завантажити сертифікат" display="Завантажити сертифікат"/>
    <hyperlink ref="E1911" r:id="rId1909" tooltip="Завантажити сертифікат" display="Завантажити сертифікат"/>
    <hyperlink ref="E1912" r:id="rId1910" tooltip="Завантажити сертифікат" display="Завантажити сертифікат"/>
    <hyperlink ref="E1913" r:id="rId1911" tooltip="Завантажити сертифікат" display="Завантажити сертифікат"/>
    <hyperlink ref="E1914" r:id="rId1912" tooltip="Завантажити сертифікат" display="Завантажити сертифікат"/>
    <hyperlink ref="E1915" r:id="rId1913" tooltip="Завантажити сертифікат" display="Завантажити сертифікат"/>
    <hyperlink ref="E1916" r:id="rId1914" tooltip="Завантажити сертифікат" display="Завантажити сертифікат"/>
    <hyperlink ref="E1917" r:id="rId1915" tooltip="Завантажити сертифікат" display="Завантажити сертифікат"/>
    <hyperlink ref="E1918" r:id="rId1916" tooltip="Завантажити сертифікат" display="Завантажити сертифікат"/>
    <hyperlink ref="E1919" r:id="rId1917" tooltip="Завантажити сертифікат" display="Завантажити сертифікат"/>
    <hyperlink ref="E1920" r:id="rId1918" tooltip="Завантажити сертифікат" display="Завантажити сертифікат"/>
    <hyperlink ref="E1921" r:id="rId1919" tooltip="Завантажити сертифікат" display="Завантажити сертифікат"/>
    <hyperlink ref="E1922" r:id="rId1920" tooltip="Завантажити сертифікат" display="Завантажити сертифікат"/>
    <hyperlink ref="E1923" r:id="rId1921" tooltip="Завантажити сертифікат" display="Завантажити сертифікат"/>
    <hyperlink ref="E1924" r:id="rId1922" tooltip="Завантажити сертифікат" display="Завантажити сертифікат"/>
    <hyperlink ref="E1925" r:id="rId1923" tooltip="Завантажити сертифікат" display="Завантажити сертифікат"/>
    <hyperlink ref="E1926" r:id="rId1924" tooltip="Завантажити сертифікат" display="Завантажити сертифікат"/>
    <hyperlink ref="E1927" r:id="rId1925" tooltip="Завантажити сертифікат" display="Завантажити сертифікат"/>
    <hyperlink ref="E1928" r:id="rId1926" tooltip="Завантажити сертифікат" display="Завантажити сертифікат"/>
    <hyperlink ref="E1929" r:id="rId1927" tooltip="Завантажити сертифікат" display="Завантажити сертифікат"/>
    <hyperlink ref="E1930" r:id="rId1928" tooltip="Завантажити сертифікат" display="Завантажити сертифікат"/>
    <hyperlink ref="E1931" r:id="rId1929" tooltip="Завантажити сертифікат" display="Завантажити сертифікат"/>
    <hyperlink ref="E1932" r:id="rId1930" tooltip="Завантажити сертифікат" display="Завантажити сертифікат"/>
    <hyperlink ref="E1933" r:id="rId1931" tooltip="Завантажити сертифікат" display="Завантажити сертифікат"/>
    <hyperlink ref="E1934" r:id="rId1932" tooltip="Завантажити сертифікат" display="Завантажити сертифікат"/>
    <hyperlink ref="E1935" r:id="rId1933" tooltip="Завантажити сертифікат" display="Завантажити сертифікат"/>
    <hyperlink ref="E1936" r:id="rId1934" tooltip="Завантажити сертифікат" display="Завантажити сертифікат"/>
    <hyperlink ref="E1937" r:id="rId1935" tooltip="Завантажити сертифікат" display="Завантажити сертифікат"/>
    <hyperlink ref="E1938" r:id="rId1936" tooltip="Завантажити сертифікат" display="Завантажити сертифікат"/>
    <hyperlink ref="E1939" r:id="rId1937" tooltip="Завантажити сертифікат" display="Завантажити сертифікат"/>
    <hyperlink ref="E1940" r:id="rId1938" tooltip="Завантажити сертифікат" display="Завантажити сертифікат"/>
    <hyperlink ref="E1941" r:id="rId1939" tooltip="Завантажити сертифікат" display="Завантажити сертифікат"/>
    <hyperlink ref="E1942" r:id="rId1940" tooltip="Завантажити сертифікат" display="Завантажити сертифікат"/>
    <hyperlink ref="E1943" r:id="rId1941" tooltip="Завантажити сертифікат" display="Завантажити сертифікат"/>
    <hyperlink ref="E1944" r:id="rId1942" tooltip="Завантажити сертифікат" display="Завантажити сертифікат"/>
    <hyperlink ref="E1945" r:id="rId1943" tooltip="Завантажити сертифікат" display="Завантажити сертифікат"/>
    <hyperlink ref="E1946" r:id="rId1944" tooltip="Завантажити сертифікат" display="Завантажити сертифікат"/>
    <hyperlink ref="E1947" r:id="rId1945" tooltip="Завантажити сертифікат" display="Завантажити сертифікат"/>
    <hyperlink ref="E1948" r:id="rId1946" tooltip="Завантажити сертифікат" display="Завантажити сертифікат"/>
    <hyperlink ref="E1949" r:id="rId1947" tooltip="Завантажити сертифікат" display="Завантажити сертифікат"/>
    <hyperlink ref="E1950" r:id="rId1948" tooltip="Завантажити сертифікат" display="Завантажити сертифікат"/>
    <hyperlink ref="E1951" r:id="rId1949" tooltip="Завантажити сертифікат" display="Завантажити сертифікат"/>
    <hyperlink ref="E1952" r:id="rId1950" tooltip="Завантажити сертифікат" display="Завантажити сертифікат"/>
    <hyperlink ref="E1953" r:id="rId1951" tooltip="Завантажити сертифікат" display="Завантажити сертифікат"/>
    <hyperlink ref="E1954" r:id="rId1952" tooltip="Завантажити сертифікат" display="Завантажити сертифікат"/>
    <hyperlink ref="E1955" r:id="rId1953" tooltip="Завантажити сертифікат" display="Завантажити сертифікат"/>
    <hyperlink ref="E1956" r:id="rId1954" tooltip="Завантажити сертифікат" display="Завантажити сертифікат"/>
    <hyperlink ref="E1957" r:id="rId1955" tooltip="Завантажити сертифікат" display="Завантажити сертифікат"/>
    <hyperlink ref="E1958" r:id="rId1956" tooltip="Завантажити сертифікат" display="Завантажити сертифікат"/>
    <hyperlink ref="E1959" r:id="rId1957" tooltip="Завантажити сертифікат" display="Завантажити сертифікат"/>
    <hyperlink ref="E1960" r:id="rId1958" tooltip="Завантажити сертифікат" display="Завантажити сертифікат"/>
    <hyperlink ref="E1961" r:id="rId1959" tooltip="Завантажити сертифікат" display="Завантажити сертифікат"/>
    <hyperlink ref="E1962" r:id="rId1960" tooltip="Завантажити сертифікат" display="Завантажити сертифікат"/>
    <hyperlink ref="E1963" r:id="rId1961" tooltip="Завантажити сертифікат" display="Завантажити сертифікат"/>
    <hyperlink ref="E1964" r:id="rId1962" tooltip="Завантажити сертифікат" display="Завантажити сертифікат"/>
    <hyperlink ref="E1965" r:id="rId1963" tooltip="Завантажити сертифікат" display="Завантажити сертифікат"/>
    <hyperlink ref="E1966" r:id="rId1964" tooltip="Завантажити сертифікат" display="Завантажити сертифікат"/>
    <hyperlink ref="E1967" r:id="rId1965" tooltip="Завантажити сертифікат" display="Завантажити сертифікат"/>
    <hyperlink ref="E1968" r:id="rId1966" tooltip="Завантажити сертифікат" display="Завантажити сертифікат"/>
    <hyperlink ref="E1969" r:id="rId1967" tooltip="Завантажити сертифікат" display="Завантажити сертифікат"/>
    <hyperlink ref="E1970" r:id="rId1968" tooltip="Завантажити сертифікат" display="Завантажити сертифікат"/>
    <hyperlink ref="E1971" r:id="rId1969" tooltip="Завантажити сертифікат" display="Завантажити сертифікат"/>
    <hyperlink ref="E1972" r:id="rId1970" tooltip="Завантажити сертифікат" display="Завантажити сертифікат"/>
    <hyperlink ref="E1973" r:id="rId1971" tooltip="Завантажити сертифікат" display="Завантажити сертифікат"/>
    <hyperlink ref="E1974" r:id="rId1972" tooltip="Завантажити сертифікат" display="Завантажити сертифікат"/>
    <hyperlink ref="E1975" r:id="rId1973" tooltip="Завантажити сертифікат" display="Завантажити сертифікат"/>
    <hyperlink ref="E1976" r:id="rId1974" tooltip="Завантажити сертифікат" display="Завантажити сертифікат"/>
    <hyperlink ref="E1977" r:id="rId1975" tooltip="Завантажити сертифікат" display="Завантажити сертифікат"/>
    <hyperlink ref="E1978" r:id="rId1976" tooltip="Завантажити сертифікат" display="Завантажити сертифікат"/>
    <hyperlink ref="E1979" r:id="rId1977" tooltip="Завантажити сертифікат" display="Завантажити сертифікат"/>
    <hyperlink ref="E1980" r:id="rId1978" tooltip="Завантажити сертифікат" display="Завантажити сертифікат"/>
    <hyperlink ref="E1981" r:id="rId1979" tooltip="Завантажити сертифікат" display="Завантажити сертифікат"/>
    <hyperlink ref="E1982" r:id="rId1980" tooltip="Завантажити сертифікат" display="Завантажити сертифікат"/>
    <hyperlink ref="E1983" r:id="rId1981" tooltip="Завантажити сертифікат" display="Завантажити сертифікат"/>
    <hyperlink ref="E1984" r:id="rId1982" tooltip="Завантажити сертифікат" display="Завантажити сертифікат"/>
    <hyperlink ref="E1985" r:id="rId1983" tooltip="Завантажити сертифікат" display="Завантажити сертифікат"/>
    <hyperlink ref="E1986" r:id="rId1984" tooltip="Завантажити сертифікат" display="Завантажити сертифікат"/>
    <hyperlink ref="E1987" r:id="rId1985" tooltip="Завантажити сертифікат" display="Завантажити сертифікат"/>
    <hyperlink ref="E1988" r:id="rId1986" tooltip="Завантажити сертифікат" display="Завантажити сертифікат"/>
    <hyperlink ref="E1989" r:id="rId1987" tooltip="Завантажити сертифікат" display="Завантажити сертифікат"/>
    <hyperlink ref="E1990" r:id="rId1988" tooltip="Завантажити сертифікат" display="Завантажити сертифікат"/>
    <hyperlink ref="E1991" r:id="rId1989" tooltip="Завантажити сертифікат" display="Завантажити сертифікат"/>
    <hyperlink ref="E1992" r:id="rId1990" tooltip="Завантажити сертифікат" display="Завантажити сертифікат"/>
    <hyperlink ref="E1993" r:id="rId1991" tooltip="Завантажити сертифікат" display="Завантажити сертифікат"/>
    <hyperlink ref="E1994" r:id="rId1992" tooltip="Завантажити сертифікат" display="Завантажити сертифікат"/>
    <hyperlink ref="E1995" r:id="rId1993" tooltip="Завантажити сертифікат" display="Завантажити сертифікат"/>
    <hyperlink ref="E1996" r:id="rId1994" tooltip="Завантажити сертифікат" display="Завантажити сертифікат"/>
    <hyperlink ref="E1997" r:id="rId1995" tooltip="Завантажити сертифікат" display="Завантажити сертифікат"/>
    <hyperlink ref="E1998" r:id="rId1996" tooltip="Завантажити сертифікат" display="Завантажити сертифікат"/>
    <hyperlink ref="E1999" r:id="rId1997" tooltip="Завантажити сертифікат" display="Завантажити сертифікат"/>
    <hyperlink ref="E2000" r:id="rId1998" tooltip="Завантажити сертифікат" display="Завантажити сертифікат"/>
    <hyperlink ref="E2001" r:id="rId1999" tooltip="Завантажити сертифікат" display="Завантажити сертифікат"/>
    <hyperlink ref="E2002" r:id="rId2000" tooltip="Завантажити сертифікат" display="Завантажити сертифікат"/>
    <hyperlink ref="E2003" r:id="rId2001" tooltip="Завантажити сертифікат" display="Завантажити сертифікат"/>
    <hyperlink ref="E2004" r:id="rId2002" tooltip="Завантажити сертифікат" display="Завантажити сертифікат"/>
    <hyperlink ref="E2005" r:id="rId2003" tooltip="Завантажити сертифікат" display="Завантажити сертифікат"/>
    <hyperlink ref="E2006" r:id="rId2004" tooltip="Завантажити сертифікат" display="Завантажити сертифікат"/>
    <hyperlink ref="E2007" r:id="rId2005" tooltip="Завантажити сертифікат" display="Завантажити сертифікат"/>
    <hyperlink ref="E2008" r:id="rId2006" tooltip="Завантажити сертифікат" display="Завантажити сертифікат"/>
    <hyperlink ref="E2009" r:id="rId2007" tooltip="Завантажити сертифікат" display="Завантажити сертифікат"/>
    <hyperlink ref="E2010" r:id="rId2008" tooltip="Завантажити сертифікат" display="Завантажити сертифікат"/>
    <hyperlink ref="E2011" r:id="rId2009" tooltip="Завантажити сертифікат" display="Завантажити сертифікат"/>
    <hyperlink ref="E2012" r:id="rId2010" tooltip="Завантажити сертифікат" display="Завантажити сертифікат"/>
    <hyperlink ref="E2013" r:id="rId2011" tooltip="Завантажити сертифікат" display="Завантажити сертифікат"/>
    <hyperlink ref="E2014" r:id="rId2012" tooltip="Завантажити сертифікат" display="Завантажити сертифікат"/>
    <hyperlink ref="E2015" r:id="rId2013" tooltip="Завантажити сертифікат" display="Завантажити сертифікат"/>
    <hyperlink ref="E2016" r:id="rId2014" tooltip="Завантажити сертифікат" display="Завантажити сертифікат"/>
    <hyperlink ref="E2017" r:id="rId2015" tooltip="Завантажити сертифікат" display="Завантажити сертифікат"/>
    <hyperlink ref="E2018" r:id="rId2016" tooltip="Завантажити сертифікат" display="Завантажити сертифікат"/>
    <hyperlink ref="E2019" r:id="rId2017" tooltip="Завантажити сертифікат" display="Завантажити сертифікат"/>
    <hyperlink ref="E2020" r:id="rId2018" tooltip="Завантажити сертифікат" display="Завантажити сертифікат"/>
    <hyperlink ref="E2021" r:id="rId2019" tooltip="Завантажити сертифікат" display="Завантажити сертифікат"/>
    <hyperlink ref="E2022" r:id="rId2020" tooltip="Завантажити сертифікат" display="Завантажити сертифікат"/>
    <hyperlink ref="E2023" r:id="rId2021" tooltip="Завантажити сертифікат" display="Завантажити сертифікат"/>
    <hyperlink ref="E2024" r:id="rId2022" tooltip="Завантажити сертифікат" display="Завантажити сертифікат"/>
    <hyperlink ref="E2025" r:id="rId2023" tooltip="Завантажити сертифікат" display="Завантажити сертифікат"/>
    <hyperlink ref="E2026" r:id="rId2024" tooltip="Завантажити сертифікат" display="Завантажити сертифікат"/>
    <hyperlink ref="E2027" r:id="rId2025" tooltip="Завантажити сертифікат" display="Завантажити сертифікат"/>
    <hyperlink ref="E2028" r:id="rId2026" tooltip="Завантажити сертифікат" display="Завантажити сертифікат"/>
    <hyperlink ref="E2029" r:id="rId2027" tooltip="Завантажити сертифікат" display="Завантажити сертифікат"/>
    <hyperlink ref="E2030" r:id="rId2028" tooltip="Завантажити сертифікат" display="Завантажити сертифікат"/>
    <hyperlink ref="E2031" r:id="rId2029" tooltip="Завантажити сертифікат" display="Завантажити сертифікат"/>
    <hyperlink ref="E2032" r:id="rId2030" tooltip="Завантажити сертифікат" display="Завантажити сертифікат"/>
    <hyperlink ref="E2034" r:id="rId2031" tooltip="Завантажити сертифікат" display="Завантажити сертифікат"/>
    <hyperlink ref="E2035" r:id="rId2032" tooltip="Завантажити сертифікат" display="Завантажити сертифікат"/>
    <hyperlink ref="E2036" r:id="rId2033" tooltip="Завантажити сертифікат" display="Завантажити сертифікат"/>
    <hyperlink ref="E2037" r:id="rId2034" tooltip="Завантажити сертифікат" display="Завантажити сертифікат"/>
    <hyperlink ref="E2038" r:id="rId2035" tooltip="Завантажити сертифікат" display="Завантажити сертифікат"/>
    <hyperlink ref="E2039" r:id="rId2036" tooltip="Завантажити сертифікат" display="Завантажити сертифікат"/>
    <hyperlink ref="E2040" r:id="rId2037" tooltip="Завантажити сертифікат" display="Завантажити сертифікат"/>
    <hyperlink ref="E2041" r:id="rId2038" tooltip="Завантажити сертифікат" display="Завантажити сертифікат"/>
    <hyperlink ref="E2042" r:id="rId2039" tooltip="Завантажити сертифікат" display="Завантажити сертифікат"/>
    <hyperlink ref="E2043" r:id="rId2040" tooltip="Завантажити сертифікат" display="Завантажити сертифікат"/>
    <hyperlink ref="E2044" r:id="rId2041" tooltip="Завантажити сертифікат" display="Завантажити сертифікат"/>
    <hyperlink ref="E2045" r:id="rId2042" tooltip="Завантажити сертифікат" display="Завантажити сертифікат"/>
    <hyperlink ref="E2046" r:id="rId2043" tooltip="Завантажити сертифікат" display="Завантажити сертифікат"/>
    <hyperlink ref="E2047" r:id="rId2044" tooltip="Завантажити сертифікат" display="Завантажити сертифікат"/>
    <hyperlink ref="E2048" r:id="rId2045" tooltip="Завантажити сертифікат" display="Завантажити сертифікат"/>
    <hyperlink ref="E2049" r:id="rId2046" tooltip="Завантажити сертифікат" display="Завантажити сертифікат"/>
    <hyperlink ref="E2050" r:id="rId2047" tooltip="Завантажити сертифікат" display="Завантажити сертифікат"/>
    <hyperlink ref="E2051" r:id="rId2048" tooltip="Завантажити сертифікат" display="Завантажити сертифікат"/>
    <hyperlink ref="E2052" r:id="rId2049" tooltip="Завантажити сертифікат" display="Завантажити сертифікат"/>
    <hyperlink ref="E2053" r:id="rId2050" tooltip="Завантажити сертифікат" display="Завантажити сертифікат"/>
    <hyperlink ref="E2054" r:id="rId2051" tooltip="Завантажити сертифікат" display="Завантажити сертифікат"/>
    <hyperlink ref="E2055" r:id="rId2052" tooltip="Завантажити сертифікат" display="Завантажити сертифікат"/>
    <hyperlink ref="E2056" r:id="rId2053" tooltip="Завантажити сертифікат" display="Завантажити сертифікат"/>
    <hyperlink ref="E2057" r:id="rId2054" tooltip="Завантажити сертифікат" display="Завантажити сертифікат"/>
    <hyperlink ref="E2058" r:id="rId2055" tooltip="Завантажити сертифікат" display="Завантажити сертифікат"/>
    <hyperlink ref="E2059" r:id="rId2056" tooltip="Завантажити сертифікат" display="Завантажити сертифікат"/>
    <hyperlink ref="E2060" r:id="rId2057" tooltip="Завантажити сертифікат" display="Завантажити сертифікат"/>
    <hyperlink ref="E2061" r:id="rId2058" tooltip="Завантажити сертифікат" display="Завантажити сертифікат"/>
    <hyperlink ref="E2062" r:id="rId2059" tooltip="Завантажити сертифікат" display="Завантажити сертифікат"/>
    <hyperlink ref="E2063" r:id="rId2060" tooltip="Завантажити сертифікат" display="Завантажити сертифікат"/>
    <hyperlink ref="E2064" r:id="rId2061" tooltip="Завантажити сертифікат" display="Завантажити сертифікат"/>
    <hyperlink ref="E2065" r:id="rId2062" tooltip="Завантажити сертифікат" display="Завантажити сертифікат"/>
    <hyperlink ref="E2066" r:id="rId2063" tooltip="Завантажити сертифікат" display="Завантажити сертифікат"/>
    <hyperlink ref="E2067" r:id="rId2064" tooltip="Завантажити сертифікат" display="Завантажити сертифікат"/>
    <hyperlink ref="E2068" r:id="rId2065" tooltip="Завантажити сертифікат" display="Завантажити сертифікат"/>
    <hyperlink ref="E2069" r:id="rId2066" tooltip="Завантажити сертифікат" display="Завантажити сертифікат"/>
    <hyperlink ref="E2070" r:id="rId2067" tooltip="Завантажити сертифікат" display="Завантажити сертифікат"/>
    <hyperlink ref="E2071" r:id="rId2068" tooltip="Завантажити сертифікат" display="Завантажити сертифікат"/>
    <hyperlink ref="E2072" r:id="rId2069" tooltip="Завантажити сертифікат" display="Завантажити сертифікат"/>
    <hyperlink ref="E2073" r:id="rId2070" tooltip="Завантажити сертифікат" display="Завантажити сертифікат"/>
    <hyperlink ref="E2074" r:id="rId2071" tooltip="Завантажити сертифікат" display="Завантажити сертифікат"/>
    <hyperlink ref="E2075" r:id="rId2072" tooltip="Завантажити сертифікат" display="Завантажити сертифікат"/>
    <hyperlink ref="E2076" r:id="rId2073" tooltip="Завантажити сертифікат" display="Завантажити сертифікат"/>
    <hyperlink ref="E2077" r:id="rId2074" tooltip="Завантажити сертифікат" display="Завантажити сертифікат"/>
    <hyperlink ref="E2078" r:id="rId2075" tooltip="Завантажити сертифікат" display="Завантажити сертифікат"/>
    <hyperlink ref="E2079" r:id="rId2076" tooltip="Завантажити сертифікат" display="Завантажити сертифікат"/>
    <hyperlink ref="E2080" r:id="rId2077" tooltip="Завантажити сертифікат" display="Завантажити сертифікат"/>
    <hyperlink ref="E2081" r:id="rId2078" tooltip="Завантажити сертифікат" display="Завантажити сертифікат"/>
    <hyperlink ref="E2082" r:id="rId2079" tooltip="Завантажити сертифікат" display="Завантажити сертифікат"/>
    <hyperlink ref="E2083" r:id="rId2080" tooltip="Завантажити сертифікат" display="Завантажити сертифікат"/>
    <hyperlink ref="E2084" r:id="rId2081" tooltip="Завантажити сертифікат" display="Завантажити сертифікат"/>
    <hyperlink ref="E2085" r:id="rId2082" tooltip="Завантажити сертифікат" display="Завантажити сертифікат"/>
    <hyperlink ref="E2086" r:id="rId2083" tooltip="Завантажити сертифікат" display="Завантажити сертифікат"/>
    <hyperlink ref="E2087" r:id="rId2084" tooltip="Завантажити сертифікат" display="Завантажити сертифікат"/>
    <hyperlink ref="E2088" r:id="rId2085" tooltip="Завантажити сертифікат" display="Завантажити сертифікат"/>
    <hyperlink ref="E2089" r:id="rId2086" tooltip="Завантажити сертифікат" display="Завантажити сертифікат"/>
    <hyperlink ref="E2090" r:id="rId2087" tooltip="Завантажити сертифікат" display="Завантажити сертифікат"/>
    <hyperlink ref="E2091" r:id="rId2088" tooltip="Завантажити сертифікат" display="Завантажити сертифікат"/>
    <hyperlink ref="E2092" r:id="rId2089" tooltip="Завантажити сертифікат" display="Завантажити сертифікат"/>
    <hyperlink ref="E2093" r:id="rId2090" tooltip="Завантажити сертифікат" display="Завантажити сертифікат"/>
    <hyperlink ref="E2094" r:id="rId2091" tooltip="Завантажити сертифікат" display="Завантажити сертифікат"/>
    <hyperlink ref="E2095" r:id="rId2092" tooltip="Завантажити сертифікат" display="Завантажити сертифікат"/>
    <hyperlink ref="E2096" r:id="rId2093" tooltip="Завантажити сертифікат" display="Завантажити сертифікат"/>
    <hyperlink ref="E2097" r:id="rId2094" tooltip="Завантажити сертифікат" display="Завантажити сертифікат"/>
    <hyperlink ref="E2098" r:id="rId2095" tooltip="Завантажити сертифікат" display="Завантажити сертифікат"/>
    <hyperlink ref="E2099" r:id="rId2096" tooltip="Завантажити сертифікат" display="Завантажити сертифікат"/>
    <hyperlink ref="E2100" r:id="rId2097" tooltip="Завантажити сертифікат" display="Завантажити сертифікат"/>
    <hyperlink ref="E2101" r:id="rId2098" tooltip="Завантажити сертифікат" display="Завантажити сертифікат"/>
    <hyperlink ref="E2102" r:id="rId2099" tooltip="Завантажити сертифікат" display="Завантажити сертифікат"/>
    <hyperlink ref="E2103" r:id="rId2100" tooltip="Завантажити сертифікат" display="Завантажити сертифікат"/>
    <hyperlink ref="E2104" r:id="rId2101" tooltip="Завантажити сертифікат" display="Завантажити сертифікат"/>
    <hyperlink ref="E2105" r:id="rId2102" tooltip="Завантажити сертифікат" display="Завантажити сертифікат"/>
    <hyperlink ref="E2106" r:id="rId2103" tooltip="Завантажити сертифікат" display="Завантажити сертифікат"/>
    <hyperlink ref="E2107" r:id="rId2104" tooltip="Завантажити сертифікат" display="Завантажити сертифікат"/>
    <hyperlink ref="E2108" r:id="rId2105" tooltip="Завантажити сертифікат" display="Завантажити сертифікат"/>
    <hyperlink ref="E2109" r:id="rId2106" tooltip="Завантажити сертифікат" display="Завантажити сертифікат"/>
    <hyperlink ref="E2110" r:id="rId2107" tooltip="Завантажити сертифікат" display="Завантажити сертифікат"/>
    <hyperlink ref="E2111" r:id="rId2108" tooltip="Завантажити сертифікат" display="Завантажити сертифікат"/>
    <hyperlink ref="E2112" r:id="rId2109" tooltip="Завантажити сертифікат" display="Завантажити сертифікат"/>
    <hyperlink ref="E2113" r:id="rId2110" tooltip="Завантажити сертифікат" display="Завантажити сертифікат"/>
    <hyperlink ref="E2114" r:id="rId2111" tooltip="Завантажити сертифікат" display="Завантажити сертифікат"/>
    <hyperlink ref="E2115" r:id="rId2112" tooltip="Завантажити сертифікат" display="Завантажити сертифікат"/>
    <hyperlink ref="E2116" r:id="rId2113" tooltip="Завантажити сертифікат" display="Завантажити сертифікат"/>
    <hyperlink ref="E2117" r:id="rId2114" tooltip="Завантажити сертифікат" display="Завантажити сертифікат"/>
    <hyperlink ref="E2118" r:id="rId2115" tooltip="Завантажити сертифікат" display="Завантажити сертифікат"/>
    <hyperlink ref="E2119" r:id="rId2116" tooltip="Завантажити сертифікат" display="Завантажити сертифікат"/>
    <hyperlink ref="E2120" r:id="rId2117" tooltip="Завантажити сертифікат" display="Завантажити сертифікат"/>
    <hyperlink ref="E2121" r:id="rId2118" tooltip="Завантажити сертифікат" display="Завантажити сертифікат"/>
    <hyperlink ref="E2122" r:id="rId2119" tooltip="Завантажити сертифікат" display="Завантажити сертифікат"/>
    <hyperlink ref="E2123" r:id="rId2120" tooltip="Завантажити сертифікат" display="Завантажити сертифікат"/>
    <hyperlink ref="E2124" r:id="rId2121" tooltip="Завантажити сертифікат" display="Завантажити сертифікат"/>
    <hyperlink ref="E2125" r:id="rId2122" tooltip="Завантажити сертифікат" display="Завантажити сертифікат"/>
    <hyperlink ref="E2126" r:id="rId2123" tooltip="Завантажити сертифікат" display="Завантажити сертифікат"/>
    <hyperlink ref="E2127" r:id="rId2124" tooltip="Завантажити сертифікат" display="Завантажити сертифікат"/>
    <hyperlink ref="E2128" r:id="rId2125" tooltip="Завантажити сертифікат" display="Завантажити сертифікат"/>
    <hyperlink ref="E2129" r:id="rId2126" tooltip="Завантажити сертифікат" display="Завантажити сертифікат"/>
    <hyperlink ref="E2130" r:id="rId2127" tooltip="Завантажити сертифікат" display="Завантажити сертифікат"/>
    <hyperlink ref="E2131" r:id="rId2128" tooltip="Завантажити сертифікат" display="Завантажити сертифікат"/>
    <hyperlink ref="E2132" r:id="rId2129" tooltip="Завантажити сертифікат" display="Завантажити сертифікат"/>
    <hyperlink ref="E2133" r:id="rId2130" tooltip="Завантажити сертифікат" display="Завантажити сертифікат"/>
    <hyperlink ref="E2134" r:id="rId2131" tooltip="Завантажити сертифікат" display="Завантажити сертифікат"/>
    <hyperlink ref="E2135" r:id="rId2132" tooltip="Завантажити сертифікат" display="Завантажити сертифікат"/>
    <hyperlink ref="E2136" r:id="rId2133" tooltip="Завантажити сертифікат" display="Завантажити сертифікат"/>
    <hyperlink ref="E2137" r:id="rId2134" tooltip="Завантажити сертифікат" display="Завантажити сертифікат"/>
    <hyperlink ref="E2138" r:id="rId2135" tooltip="Завантажити сертифікат" display="Завантажити сертифікат"/>
    <hyperlink ref="E2139" r:id="rId2136" tooltip="Завантажити сертифікат" display="Завантажити сертифікат"/>
    <hyperlink ref="E2140" r:id="rId2137" tooltip="Завантажити сертифікат" display="Завантажити сертифікат"/>
    <hyperlink ref="E2141" r:id="rId2138" tooltip="Завантажити сертифікат" display="Завантажити сертифікат"/>
    <hyperlink ref="E2142" r:id="rId2139" tooltip="Завантажити сертифікат" display="Завантажити сертифікат"/>
    <hyperlink ref="E2143" r:id="rId2140" tooltip="Завантажити сертифікат" display="Завантажити сертифікат"/>
    <hyperlink ref="E2144" r:id="rId2141" tooltip="Завантажити сертифікат" display="Завантажити сертифікат"/>
    <hyperlink ref="E2145" r:id="rId2142" tooltip="Завантажити сертифікат" display="Завантажити сертифікат"/>
    <hyperlink ref="E2146" r:id="rId2143" tooltip="Завантажити сертифікат" display="Завантажити сертифікат"/>
    <hyperlink ref="E2147" r:id="rId2144" tooltip="Завантажити сертифікат" display="Завантажити сертифікат"/>
    <hyperlink ref="E2148" r:id="rId2145" tooltip="Завантажити сертифікат" display="Завантажити сертифікат"/>
    <hyperlink ref="E2149" r:id="rId2146" tooltip="Завантажити сертифікат" display="Завантажити сертифікат"/>
    <hyperlink ref="E2150" r:id="rId2147" tooltip="Завантажити сертифікат" display="Завантажити сертифікат"/>
    <hyperlink ref="E2151" r:id="rId2148" tooltip="Завантажити сертифікат" display="Завантажити сертифікат"/>
    <hyperlink ref="E2152" r:id="rId2149" tooltip="Завантажити сертифікат" display="Завантажити сертифікат"/>
    <hyperlink ref="E2153" r:id="rId2150" tooltip="Завантажити сертифікат" display="Завантажити сертифікат"/>
    <hyperlink ref="E2154" r:id="rId2151" tooltip="Завантажити сертифікат" display="Завантажити сертифікат"/>
    <hyperlink ref="E2155" r:id="rId2152" tooltip="Завантажити сертифікат" display="Завантажити сертифікат"/>
    <hyperlink ref="E2156" r:id="rId2153" tooltip="Завантажити сертифікат" display="Завантажити сертифікат"/>
    <hyperlink ref="E2157" r:id="rId2154" tooltip="Завантажити сертифікат" display="Завантажити сертифікат"/>
    <hyperlink ref="E2158" r:id="rId2155" tooltip="Завантажити сертифікат" display="Завантажити сертифікат"/>
    <hyperlink ref="E2159" r:id="rId2156" tooltip="Завантажити сертифікат" display="Завантажити сертифікат"/>
    <hyperlink ref="E2160" r:id="rId2157" tooltip="Завантажити сертифікат" display="Завантажити сертифікат"/>
    <hyperlink ref="E2161" r:id="rId2158" tooltip="Завантажити сертифікат" display="Завантажити сертифікат"/>
    <hyperlink ref="E2162" r:id="rId2159" tooltip="Завантажити сертифікат" display="Завантажити сертифікат"/>
    <hyperlink ref="E2163" r:id="rId2160" tooltip="Завантажити сертифікат" display="Завантажити сертифікат"/>
    <hyperlink ref="E2164" r:id="rId2161" tooltip="Завантажити сертифікат" display="Завантажити сертифікат"/>
    <hyperlink ref="E2165" r:id="rId2162" tooltip="Завантажити сертифікат" display="Завантажити сертифікат"/>
    <hyperlink ref="E2166" r:id="rId2163" tooltip="Завантажити сертифікат" display="Завантажити сертифікат"/>
    <hyperlink ref="E2167" r:id="rId2164" tooltip="Завантажити сертифікат" display="Завантажити сертифікат"/>
    <hyperlink ref="E2168" r:id="rId2165" tooltip="Завантажити сертифікат" display="Завантажити сертифікат"/>
    <hyperlink ref="E2169" r:id="rId2166" tooltip="Завантажити сертифікат" display="Завантажити сертифікат"/>
    <hyperlink ref="E2170" r:id="rId2167" tooltip="Завантажити сертифікат" display="Завантажити сертифікат"/>
    <hyperlink ref="E2171" r:id="rId2168" tooltip="Завантажити сертифікат" display="Завантажити сертифікат"/>
    <hyperlink ref="E2172" r:id="rId2169" tooltip="Завантажити сертифікат" display="Завантажити сертифікат"/>
    <hyperlink ref="E2173" r:id="rId2170" tooltip="Завантажити сертифікат" display="Завантажити сертифікат"/>
    <hyperlink ref="E2174" r:id="rId2171" tooltip="Завантажити сертифікат" display="Завантажити сертифікат"/>
    <hyperlink ref="E2175" r:id="rId2172" tooltip="Завантажити сертифікат" display="Завантажити сертифікат"/>
    <hyperlink ref="E2176" r:id="rId2173" tooltip="Завантажити сертифікат" display="Завантажити сертифікат"/>
    <hyperlink ref="E2177" r:id="rId2174" tooltip="Завантажити сертифікат" display="Завантажити сертифікат"/>
    <hyperlink ref="E2178" r:id="rId2175" tooltip="Завантажити сертифікат" display="Завантажити сертифікат"/>
    <hyperlink ref="E2179" r:id="rId2176" tooltip="Завантажити сертифікат" display="Завантажити сертифікат"/>
    <hyperlink ref="E2180" r:id="rId2177" tooltip="Завантажити сертифікат" display="Завантажити сертифікат"/>
    <hyperlink ref="E2181" r:id="rId2178" tooltip="Завантажити сертифікат" display="Завантажити сертифікат"/>
    <hyperlink ref="E2182" r:id="rId2179" tooltip="Завантажити сертифікат" display="Завантажити сертифікат"/>
    <hyperlink ref="E2183" r:id="rId2180" tooltip="Завантажити сертифікат" display="Завантажити сертифікат"/>
    <hyperlink ref="E2184" r:id="rId2181" tooltip="Завантажити сертифікат" display="Завантажити сертифікат"/>
    <hyperlink ref="E2185" r:id="rId2182" tooltip="Завантажити сертифікат" display="Завантажити сертифікат"/>
    <hyperlink ref="E2186" r:id="rId2183" tooltip="Завантажити сертифікат" display="Завантажити сертифікат"/>
    <hyperlink ref="E2187" r:id="rId2184" tooltip="Завантажити сертифікат" display="Завантажити сертифікат"/>
    <hyperlink ref="E2188" r:id="rId2185" tooltip="Завантажити сертифікат" display="Завантажити сертифікат"/>
    <hyperlink ref="E2189" r:id="rId2186" tooltip="Завантажити сертифікат" display="Завантажити сертифікат"/>
    <hyperlink ref="E2190" r:id="rId2187" tooltip="Завантажити сертифікат" display="Завантажити сертифікат"/>
    <hyperlink ref="E2191" r:id="rId2188" tooltip="Завантажити сертифікат" display="Завантажити сертифікат"/>
    <hyperlink ref="E2192" r:id="rId2189" tooltip="Завантажити сертифікат" display="Завантажити сертифікат"/>
    <hyperlink ref="E2193" r:id="rId2190" tooltip="Завантажити сертифікат" display="Завантажити сертифікат"/>
    <hyperlink ref="E2194" r:id="rId2191" tooltip="Завантажити сертифікат" display="Завантажити сертифікат"/>
    <hyperlink ref="E2195" r:id="rId2192" tooltip="Завантажити сертифікат" display="Завантажити сертифікат"/>
    <hyperlink ref="E2196" r:id="rId2193" tooltip="Завантажити сертифікат" display="Завантажити сертифікат"/>
    <hyperlink ref="E2197" r:id="rId2194" tooltip="Завантажити сертифікат" display="Завантажити сертифікат"/>
    <hyperlink ref="E2198" r:id="rId2195" tooltip="Завантажити сертифікат" display="Завантажити сертифікат"/>
    <hyperlink ref="E2199" r:id="rId2196" tooltip="Завантажити сертифікат" display="Завантажити сертифікат"/>
    <hyperlink ref="E2200" r:id="rId2197" tooltip="Завантажити сертифікат" display="Завантажити сертифікат"/>
    <hyperlink ref="E2201" r:id="rId2198" tooltip="Завантажити сертифікат" display="Завантажити сертифікат"/>
    <hyperlink ref="E2202" r:id="rId2199" tooltip="Завантажити сертифікат" display="Завантажити сертифікат"/>
    <hyperlink ref="E2203" r:id="rId2200" tooltip="Завантажити сертифікат" display="Завантажити сертифікат"/>
    <hyperlink ref="E2204" r:id="rId2201" tooltip="Завантажити сертифікат" display="Завантажити сертифікат"/>
    <hyperlink ref="E2205" r:id="rId2202" tooltip="Завантажити сертифікат" display="Завантажити сертифікат"/>
    <hyperlink ref="E2206" r:id="rId2203" tooltip="Завантажити сертифікат" display="Завантажити сертифікат"/>
    <hyperlink ref="E2207" r:id="rId2204" tooltip="Завантажити сертифікат" display="Завантажити сертифікат"/>
    <hyperlink ref="E2208" r:id="rId2205" tooltip="Завантажити сертифікат" display="Завантажити сертифікат"/>
    <hyperlink ref="E2209" r:id="rId2206" tooltip="Завантажити сертифікат" display="Завантажити сертифікат"/>
    <hyperlink ref="E2210" r:id="rId2207" tooltip="Завантажити сертифікат" display="Завантажити сертифікат"/>
    <hyperlink ref="E2211" r:id="rId2208" tooltip="Завантажити сертифікат" display="Завантажити сертифікат"/>
    <hyperlink ref="E2212" r:id="rId2209" tooltip="Завантажити сертифікат" display="Завантажити сертифікат"/>
    <hyperlink ref="E2213" r:id="rId2210" tooltip="Завантажити сертифікат" display="Завантажити сертифікат"/>
    <hyperlink ref="E2214" r:id="rId2211" tooltip="Завантажити сертифікат" display="Завантажити сертифікат"/>
    <hyperlink ref="E2215" r:id="rId2212" tooltip="Завантажити сертифікат" display="Завантажити сертифікат"/>
    <hyperlink ref="E2216" r:id="rId2213" tooltip="Завантажити сертифікат" display="Завантажити сертифікат"/>
    <hyperlink ref="E2217" r:id="rId2214" tooltip="Завантажити сертифікат" display="Завантажити сертифікат"/>
    <hyperlink ref="E2218" r:id="rId2215" tooltip="Завантажити сертифікат" display="Завантажити сертифікат"/>
    <hyperlink ref="E2219" r:id="rId2216" tooltip="Завантажити сертифікат" display="Завантажити сертифікат"/>
    <hyperlink ref="E2220" r:id="rId2217" tooltip="Завантажити сертифікат" display="Завантажити сертифікат"/>
    <hyperlink ref="E2221" r:id="rId2218" tooltip="Завантажити сертифікат" display="Завантажити сертифікат"/>
    <hyperlink ref="E2222" r:id="rId2219" tooltip="Завантажити сертифікат" display="Завантажити сертифікат"/>
    <hyperlink ref="E2223" r:id="rId2220" tooltip="Завантажити сертифікат" display="Завантажити сертифікат"/>
    <hyperlink ref="E2224" r:id="rId2221" tooltip="Завантажити сертифікат" display="Завантажити сертифікат"/>
    <hyperlink ref="E2225" r:id="rId2222" tooltip="Завантажити сертифікат" display="Завантажити сертифікат"/>
    <hyperlink ref="E2226" r:id="rId2223" tooltip="Завантажити сертифікат" display="Завантажити сертифікат"/>
    <hyperlink ref="E2227" r:id="rId2224" tooltip="Завантажити сертифікат" display="Завантажити сертифікат"/>
    <hyperlink ref="E2228" r:id="rId2225" tooltip="Завантажити сертифікат" display="Завантажити сертифікат"/>
    <hyperlink ref="E2229" r:id="rId2226" tooltip="Завантажити сертифікат" display="Завантажити сертифікат"/>
    <hyperlink ref="E2230" r:id="rId2227" tooltip="Завантажити сертифікат" display="Завантажити сертифікат"/>
    <hyperlink ref="E2231" r:id="rId2228" tooltip="Завантажити сертифікат" display="Завантажити сертифікат"/>
    <hyperlink ref="E2232" r:id="rId2229" tooltip="Завантажити сертифікат" display="Завантажити сертифікат"/>
    <hyperlink ref="E2233" r:id="rId2230" tooltip="Завантажити сертифікат" display="Завантажити сертифікат"/>
    <hyperlink ref="E2234" r:id="rId2231" tooltip="Завантажити сертифікат" display="Завантажити сертифікат"/>
    <hyperlink ref="E2235" r:id="rId2232" tooltip="Завантажити сертифікат" display="Завантажити сертифікат"/>
    <hyperlink ref="E2236" r:id="rId2233" tooltip="Завантажити сертифікат" display="Завантажити сертифікат"/>
    <hyperlink ref="E2237" r:id="rId2234" tooltip="Завантажити сертифікат" display="Завантажити сертифікат"/>
    <hyperlink ref="E2238" r:id="rId2235" tooltip="Завантажити сертифікат" display="Завантажити сертифікат"/>
    <hyperlink ref="E2239" r:id="rId2236" tooltip="Завантажити сертифікат" display="Завантажити сертифікат"/>
    <hyperlink ref="E2240" r:id="rId2237" tooltip="Завантажити сертифікат" display="Завантажити сертифікат"/>
    <hyperlink ref="E2241" r:id="rId2238" tooltip="Завантажити сертифікат" display="Завантажити сертифікат"/>
    <hyperlink ref="E2242" r:id="rId2239" tooltip="Завантажити сертифікат" display="Завантажити сертифікат"/>
    <hyperlink ref="E2243" r:id="rId2240" tooltip="Завантажити сертифікат" display="Завантажити сертифікат"/>
    <hyperlink ref="E2244" r:id="rId2241" tooltip="Завантажити сертифікат" display="Завантажити сертифікат"/>
    <hyperlink ref="E2245" r:id="rId2242" tooltip="Завантажити сертифікат" display="Завантажити сертифікат"/>
    <hyperlink ref="E2246" r:id="rId2243" tooltip="Завантажити сертифікат" display="Завантажити сертифікат"/>
    <hyperlink ref="E2247" r:id="rId2244" tooltip="Завантажити сертифікат" display="Завантажити сертифікат"/>
    <hyperlink ref="E2248" r:id="rId2245" tooltip="Завантажити сертифікат" display="Завантажити сертифікат"/>
    <hyperlink ref="E2249" r:id="rId2246" tooltip="Завантажити сертифікат" display="Завантажити сертифікат"/>
    <hyperlink ref="E2250" r:id="rId2247" tooltip="Завантажити сертифікат" display="Завантажити сертифікат"/>
    <hyperlink ref="E2251" r:id="rId2248" tooltip="Завантажити сертифікат" display="Завантажити сертифікат"/>
    <hyperlink ref="E2252" r:id="rId2249" tooltip="Завантажити сертифікат" display="Завантажити сертифікат"/>
    <hyperlink ref="E2253" r:id="rId2250" tooltip="Завантажити сертифікат" display="Завантажити сертифікат"/>
    <hyperlink ref="E2254" r:id="rId2251" tooltip="Завантажити сертифікат" display="Завантажити сертифікат"/>
    <hyperlink ref="E2255" r:id="rId2252" tooltip="Завантажити сертифікат" display="Завантажити сертифікат"/>
    <hyperlink ref="E2256" r:id="rId2253" tooltip="Завантажити сертифікат" display="Завантажити сертифікат"/>
    <hyperlink ref="E2257" r:id="rId2254" tooltip="Завантажити сертифікат" display="Завантажити сертифікат"/>
    <hyperlink ref="E2258" r:id="rId2255" tooltip="Завантажити сертифікат" display="Завантажити сертифікат"/>
    <hyperlink ref="E2259" r:id="rId2256" tooltip="Завантажити сертифікат" display="Завантажити сертифікат"/>
    <hyperlink ref="E2260" r:id="rId2257" tooltip="Завантажити сертифікат" display="Завантажити сертифікат"/>
    <hyperlink ref="E2261" r:id="rId2258" tooltip="Завантажити сертифікат" display="Завантажити сертифікат"/>
    <hyperlink ref="E2262" r:id="rId2259" tooltip="Завантажити сертифікат" display="Завантажити сертифікат"/>
    <hyperlink ref="E2263" r:id="rId2260" tooltip="Завантажити сертифікат" display="Завантажити сертифікат"/>
    <hyperlink ref="E2264" r:id="rId2261" tooltip="Завантажити сертифікат" display="Завантажити сертифікат"/>
    <hyperlink ref="E2265" r:id="rId2262" tooltip="Завантажити сертифікат" display="Завантажити сертифікат"/>
    <hyperlink ref="E2266" r:id="rId2263" tooltip="Завантажити сертифікат" display="Завантажити сертифікат"/>
    <hyperlink ref="E2267" r:id="rId2264" tooltip="Завантажити сертифікат" display="Завантажити сертифікат"/>
    <hyperlink ref="E2268" r:id="rId2265" tooltip="Завантажити сертифікат" display="Завантажити сертифікат"/>
    <hyperlink ref="E2269" r:id="rId2266" tooltip="Завантажити сертифікат" display="Завантажити сертифікат"/>
    <hyperlink ref="E2270" r:id="rId2267" tooltip="Завантажити сертифікат" display="Завантажити сертифікат"/>
    <hyperlink ref="E2271" r:id="rId2268" tooltip="Завантажити сертифікат" display="Завантажити сертифікат"/>
    <hyperlink ref="E2272" r:id="rId2269" tooltip="Завантажити сертифікат" display="Завантажити сертифікат"/>
    <hyperlink ref="E2273" r:id="rId2270" tooltip="Завантажити сертифікат" display="Завантажити сертифікат"/>
    <hyperlink ref="E2274" r:id="rId2271" tooltip="Завантажити сертифікат" display="Завантажити сертифікат"/>
    <hyperlink ref="E2275" r:id="rId2272" tooltip="Завантажити сертифікат" display="Завантажити сертифікат"/>
    <hyperlink ref="E2276" r:id="rId2273" tooltip="Завантажити сертифікат" display="Завантажити сертифікат"/>
    <hyperlink ref="E2277" r:id="rId2274" tooltip="Завантажити сертифікат" display="Завантажити сертифікат"/>
    <hyperlink ref="E2278" r:id="rId2275" tooltip="Завантажити сертифікат" display="Завантажити сертифікат"/>
    <hyperlink ref="E2279" r:id="rId2276" tooltip="Завантажити сертифікат" display="Завантажити сертифікат"/>
    <hyperlink ref="E2280" r:id="rId2277" tooltip="Завантажити сертифікат" display="Завантажити сертифікат"/>
    <hyperlink ref="E2281" r:id="rId2278" tooltip="Завантажити сертифікат" display="Завантажити сертифікат"/>
    <hyperlink ref="E2282" r:id="rId2279" tooltip="Завантажити сертифікат" display="Завантажити сертифікат"/>
    <hyperlink ref="E2283" r:id="rId2280" tooltip="Завантажити сертифікат" display="Завантажити сертифікат"/>
    <hyperlink ref="E2284" r:id="rId2281" tooltip="Завантажити сертифікат" display="Завантажити сертифікат"/>
    <hyperlink ref="E2285" r:id="rId2282" tooltip="Завантажити сертифікат" display="Завантажити сертифікат"/>
    <hyperlink ref="E2286" r:id="rId2283" tooltip="Завантажити сертифікат" display="Завантажити сертифікат"/>
    <hyperlink ref="E2287" r:id="rId2284" tooltip="Завантажити сертифікат" display="Завантажити сертифікат"/>
    <hyperlink ref="E2288" r:id="rId2285" tooltip="Завантажити сертифікат" display="Завантажити сертифікат"/>
    <hyperlink ref="E2289" r:id="rId2286" tooltip="Завантажити сертифікат" display="Завантажити сертифікат"/>
    <hyperlink ref="E2290" r:id="rId2287" tooltip="Завантажити сертифікат" display="Завантажити сертифікат"/>
    <hyperlink ref="E2291" r:id="rId2288" tooltip="Завантажити сертифікат" display="Завантажити сертифікат"/>
    <hyperlink ref="E2292" r:id="rId2289" tooltip="Завантажити сертифікат" display="Завантажити сертифікат"/>
    <hyperlink ref="E2293" r:id="rId2290" tooltip="Завантажити сертифікат" display="Завантажити сертифікат"/>
    <hyperlink ref="E2294" r:id="rId2291" tooltip="Завантажити сертифікат" display="Завантажити сертифікат"/>
    <hyperlink ref="E2295" r:id="rId2292" tooltip="Завантажити сертифікат" display="Завантажити сертифікат"/>
    <hyperlink ref="E2296" r:id="rId2293" tooltip="Завантажити сертифікат" display="Завантажити сертифікат"/>
    <hyperlink ref="E2297" r:id="rId2294" tooltip="Завантажити сертифікат" display="Завантажити сертифікат"/>
    <hyperlink ref="E2298" r:id="rId2295" tooltip="Завантажити сертифікат" display="Завантажити сертифікат"/>
    <hyperlink ref="E2299" r:id="rId2296" tooltip="Завантажити сертифікат" display="Завантажити сертифікат"/>
    <hyperlink ref="E2300" r:id="rId2297" tooltip="Завантажити сертифікат" display="Завантажити сертифікат"/>
    <hyperlink ref="E2301" r:id="rId2298" tooltip="Завантажити сертифікат" display="Завантажити сертифікат"/>
    <hyperlink ref="E2302" r:id="rId2299" tooltip="Завантажити сертифікат" display="Завантажити сертифікат"/>
    <hyperlink ref="E2303" r:id="rId2300" tooltip="Завантажити сертифікат" display="Завантажити сертифікат"/>
    <hyperlink ref="E2304" r:id="rId2301" tooltip="Завантажити сертифікат" display="Завантажити сертифікат"/>
    <hyperlink ref="E2305" r:id="rId2302" tooltip="Завантажити сертифікат" display="Завантажити сертифікат"/>
    <hyperlink ref="E2306" r:id="rId2303" tooltip="Завантажити сертифікат" display="Завантажити сертифікат"/>
    <hyperlink ref="E2307" r:id="rId2304" tooltip="Завантажити сертифікат" display="Завантажити сертифікат"/>
    <hyperlink ref="E2308" r:id="rId2305" tooltip="Завантажити сертифікат" display="Завантажити сертифікат"/>
    <hyperlink ref="E2309" r:id="rId2306" tooltip="Завантажити сертифікат" display="Завантажити сертифікат"/>
    <hyperlink ref="E2310" r:id="rId2307" tooltip="Завантажити сертифікат" display="Завантажити сертифікат"/>
    <hyperlink ref="E2311" r:id="rId2308" tooltip="Завантажити сертифікат" display="Завантажити сертифікат"/>
    <hyperlink ref="E2312" r:id="rId2309" tooltip="Завантажити сертифікат" display="Завантажити сертифікат"/>
    <hyperlink ref="E2313" r:id="rId2310" tooltip="Завантажити сертифікат" display="Завантажити сертифікат"/>
    <hyperlink ref="E2314" r:id="rId2311" tooltip="Завантажити сертифікат" display="Завантажити сертифікат"/>
    <hyperlink ref="E2315" r:id="rId2312" tooltip="Завантажити сертифікат" display="Завантажити сертифікат"/>
    <hyperlink ref="E2316" r:id="rId2313" tooltip="Завантажити сертифікат" display="Завантажити сертифікат"/>
    <hyperlink ref="E2317" r:id="rId2314" tooltip="Завантажити сертифікат" display="Завантажити сертифікат"/>
    <hyperlink ref="E2318" r:id="rId2315" tooltip="Завантажити сертифікат" display="Завантажити сертифікат"/>
    <hyperlink ref="E2319" r:id="rId2316" tooltip="Завантажити сертифікат" display="Завантажити сертифікат"/>
    <hyperlink ref="E2320" r:id="rId2317" tooltip="Завантажити сертифікат" display="Завантажити сертифікат"/>
    <hyperlink ref="E2321" r:id="rId2318" tooltip="Завантажити сертифікат" display="Завантажити сертифікат"/>
    <hyperlink ref="E2322" r:id="rId2319" tooltip="Завантажити сертифікат" display="Завантажити сертифікат"/>
    <hyperlink ref="E2323" r:id="rId2320" tooltip="Завантажити сертифікат" display="Завантажити сертифікат"/>
    <hyperlink ref="E2324" r:id="rId2321" tooltip="Завантажити сертифікат" display="Завантажити сертифікат"/>
    <hyperlink ref="E2325" r:id="rId2322" tooltip="Завантажити сертифікат" display="Завантажити сертифікат"/>
    <hyperlink ref="E2326" r:id="rId2323" tooltip="Завантажити сертифікат" display="Завантажити сертифікат"/>
    <hyperlink ref="E2327" r:id="rId2324" tooltip="Завантажити сертифікат" display="Завантажити сертифікат"/>
    <hyperlink ref="E2328" r:id="rId2325" tooltip="Завантажити сертифікат" display="Завантажити сертифікат"/>
    <hyperlink ref="E2329" r:id="rId2326" tooltip="Завантажити сертифікат" display="Завантажити сертифікат"/>
    <hyperlink ref="E2330" r:id="rId2327" tooltip="Завантажити сертифікат" display="Завантажити сертифікат"/>
    <hyperlink ref="E2331" r:id="rId2328" tooltip="Завантажити сертифікат" display="Завантажити сертифікат"/>
    <hyperlink ref="E2332" r:id="rId2329" tooltip="Завантажити сертифікат" display="Завантажити сертифікат"/>
    <hyperlink ref="E2333" r:id="rId2330" tooltip="Завантажити сертифікат" display="Завантажити сертифікат"/>
    <hyperlink ref="E2334" r:id="rId2331" tooltip="Завантажити сертифікат" display="Завантажити сертифікат"/>
    <hyperlink ref="E2335" r:id="rId2332" tooltip="Завантажити сертифікат" display="Завантажити сертифікат"/>
    <hyperlink ref="E2336" r:id="rId2333" tooltip="Завантажити сертифікат" display="Завантажити сертифікат"/>
    <hyperlink ref="E2337" r:id="rId2334" tooltip="Завантажити сертифікат" display="Завантажити сертифікат"/>
    <hyperlink ref="E2338" r:id="rId2335" tooltip="Завантажити сертифікат" display="Завантажити сертифікат"/>
    <hyperlink ref="E2339" r:id="rId2336" tooltip="Завантажити сертифікат" display="Завантажити сертифікат"/>
    <hyperlink ref="E2340" r:id="rId2337" tooltip="Завантажити сертифікат" display="Завантажити сертифікат"/>
    <hyperlink ref="E2341" r:id="rId2338" tooltip="Завантажити сертифікат" display="Завантажити сертифікат"/>
    <hyperlink ref="E2342" r:id="rId2339" tooltip="Завантажити сертифікат" display="Завантажити сертифікат"/>
    <hyperlink ref="E2343" r:id="rId2340" tooltip="Завантажити сертифікат" display="Завантажити сертифікат"/>
    <hyperlink ref="E2344" r:id="rId2341" tooltip="Завантажити сертифікат" display="Завантажити сертифікат"/>
    <hyperlink ref="E2345" r:id="rId2342" tooltip="Завантажити сертифікат" display="Завантажити сертифікат"/>
    <hyperlink ref="E2346" r:id="rId2343" tooltip="Завантажити сертифікат" display="Завантажити сертифікат"/>
    <hyperlink ref="E2347" r:id="rId2344" tooltip="Завантажити сертифікат" display="Завантажити сертифікат"/>
    <hyperlink ref="E2348" r:id="rId2345" tooltip="Завантажити сертифікат" display="Завантажити сертифікат"/>
    <hyperlink ref="E2349" r:id="rId2346" tooltip="Завантажити сертифікат" display="Завантажити сертифікат"/>
    <hyperlink ref="E2350" r:id="rId2347" tooltip="Завантажити сертифікат" display="Завантажити сертифікат"/>
    <hyperlink ref="E2351" r:id="rId2348" tooltip="Завантажити сертифікат" display="Завантажити сертифікат"/>
    <hyperlink ref="E2352" r:id="rId2349" tooltip="Завантажити сертифікат" display="Завантажити сертифікат"/>
    <hyperlink ref="E2353" r:id="rId2350" tooltip="Завантажити сертифікат" display="Завантажити сертифікат"/>
    <hyperlink ref="E2354" r:id="rId2351" tooltip="Завантажити сертифікат" display="Завантажити сертифікат"/>
    <hyperlink ref="E2355" r:id="rId2352" tooltip="Завантажити сертифікат" display="Завантажити сертифікат"/>
    <hyperlink ref="E2356" r:id="rId2353" tooltip="Завантажити сертифікат" display="Завантажити сертифікат"/>
    <hyperlink ref="E2357" r:id="rId2354" tooltip="Завантажити сертифікат" display="Завантажити сертифікат"/>
    <hyperlink ref="E2358" r:id="rId2355" tooltip="Завантажити сертифікат" display="Завантажити сертифікат"/>
    <hyperlink ref="E2359" r:id="rId2356" tooltip="Завантажити сертифікат" display="Завантажити сертифікат"/>
    <hyperlink ref="E2360" r:id="rId2357" tooltip="Завантажити сертифікат" display="Завантажити сертифікат"/>
    <hyperlink ref="E2361" r:id="rId2358" tooltip="Завантажити сертифікат" display="Завантажити сертифікат"/>
    <hyperlink ref="E2362" r:id="rId2359" tooltip="Завантажити сертифікат" display="Завантажити сертифікат"/>
    <hyperlink ref="E2363" r:id="rId2360" tooltip="Завантажити сертифікат" display="Завантажити сертифікат"/>
    <hyperlink ref="E2364" r:id="rId2361" tooltip="Завантажити сертифікат" display="Завантажити сертифікат"/>
    <hyperlink ref="E2365" r:id="rId2362" tooltip="Завантажити сертифікат" display="Завантажити сертифікат"/>
    <hyperlink ref="E2366" r:id="rId2363" tooltip="Завантажити сертифікат" display="Завантажити сертифікат"/>
    <hyperlink ref="E2367" r:id="rId2364" tooltip="Завантажити сертифікат" display="Завантажити сертифікат"/>
    <hyperlink ref="E2368" r:id="rId2365" tooltip="Завантажити сертифікат" display="Завантажити сертифікат"/>
    <hyperlink ref="E2369" r:id="rId2366" tooltip="Завантажити сертифікат" display="Завантажити сертифікат"/>
    <hyperlink ref="E2370" r:id="rId2367" tooltip="Завантажити сертифікат" display="Завантажити сертифікат"/>
    <hyperlink ref="E2371" r:id="rId2368" tooltip="Завантажити сертифікат" display="Завантажити сертифікат"/>
    <hyperlink ref="E2372" r:id="rId2369" tooltip="Завантажити сертифікат" display="Завантажити сертифікат"/>
    <hyperlink ref="E2373" r:id="rId2370" tooltip="Завантажити сертифікат" display="Завантажити сертифікат"/>
    <hyperlink ref="E2374" r:id="rId2371" tooltip="Завантажити сертифікат" display="Завантажити сертифікат"/>
    <hyperlink ref="E2375" r:id="rId2372" tooltip="Завантажити сертифікат" display="Завантажити сертифікат"/>
    <hyperlink ref="E2376" r:id="rId2373" tooltip="Завантажити сертифікат" display="Завантажити сертифікат"/>
    <hyperlink ref="E2377" r:id="rId2374" tooltip="Завантажити сертифікат" display="Завантажити сертифікат"/>
    <hyperlink ref="E2378" r:id="rId2375" tooltip="Завантажити сертифікат" display="Завантажити сертифікат"/>
    <hyperlink ref="E2379" r:id="rId2376" tooltip="Завантажити сертифікат" display="Завантажити сертифікат"/>
    <hyperlink ref="E2380" r:id="rId2377" tooltip="Завантажити сертифікат" display="Завантажити сертифікат"/>
    <hyperlink ref="E2381" r:id="rId2378" tooltip="Завантажити сертифікат" display="Завантажити сертифікат"/>
    <hyperlink ref="E2382" r:id="rId2379" tooltip="Завантажити сертифікат" display="Завантажити сертифікат"/>
    <hyperlink ref="E2383" r:id="rId2380" tooltip="Завантажити сертифікат" display="Завантажити сертифікат"/>
    <hyperlink ref="E2384" r:id="rId2381" tooltip="Завантажити сертифікат" display="Завантажити сертифікат"/>
    <hyperlink ref="E2385" r:id="rId2382" tooltip="Завантажити сертифікат" display="Завантажити сертифікат"/>
    <hyperlink ref="E2386" r:id="rId2383" tooltip="Завантажити сертифікат" display="Завантажити сертифікат"/>
    <hyperlink ref="E2387" r:id="rId2384" tooltip="Завантажити сертифікат" display="Завантажити сертифікат"/>
    <hyperlink ref="E2388" r:id="rId2385" tooltip="Завантажити сертифікат" display="Завантажити сертифікат"/>
    <hyperlink ref="E2389" r:id="rId2386" tooltip="Завантажити сертифікат" display="Завантажити сертифікат"/>
    <hyperlink ref="E2390" r:id="rId2387" tooltip="Завантажити сертифікат" display="Завантажити сертифікат"/>
    <hyperlink ref="E2391" r:id="rId2388" tooltip="Завантажити сертифікат" display="Завантажити сертифікат"/>
    <hyperlink ref="E2392" r:id="rId2389" tooltip="Завантажити сертифікат" display="Завантажити сертифікат"/>
    <hyperlink ref="E2393" r:id="rId2390" tooltip="Завантажити сертифікат" display="Завантажити сертифікат"/>
    <hyperlink ref="E2394" r:id="rId2391" tooltip="Завантажити сертифікат" display="Завантажити сертифікат"/>
    <hyperlink ref="E2395" r:id="rId2392" tooltip="Завантажити сертифікат" display="Завантажити сертифікат"/>
    <hyperlink ref="E2396" r:id="rId2393" tooltip="Завантажити сертифікат" display="Завантажити сертифікат"/>
    <hyperlink ref="E2397" r:id="rId2394" tooltip="Завантажити сертифікат" display="Завантажити сертифікат"/>
    <hyperlink ref="E2398" r:id="rId2395" tooltip="Завантажити сертифікат" display="Завантажити сертифікат"/>
    <hyperlink ref="E2399" r:id="rId2396" tooltip="Завантажити сертифікат" display="Завантажити сертифікат"/>
    <hyperlink ref="E2400" r:id="rId2397" tooltip="Завантажити сертифікат" display="Завантажити сертифікат"/>
    <hyperlink ref="E2401" r:id="rId2398" tooltip="Завантажити сертифікат" display="Завантажити сертифікат"/>
    <hyperlink ref="E2402" r:id="rId2399" tooltip="Завантажити сертифікат" display="Завантажити сертифікат"/>
    <hyperlink ref="E2403" r:id="rId2400" tooltip="Завантажити сертифікат" display="Завантажити сертифікат"/>
    <hyperlink ref="E2404" r:id="rId2401" tooltip="Завантажити сертифікат" display="Завантажити сертифікат"/>
    <hyperlink ref="E2405" r:id="rId2402" tooltip="Завантажити сертифікат" display="Завантажити сертифікат"/>
    <hyperlink ref="E2406" r:id="rId2403" tooltip="Завантажити сертифікат" display="Завантажити сертифікат"/>
    <hyperlink ref="E2407" r:id="rId2404" tooltip="Завантажити сертифікат" display="Завантажити сертифікат"/>
    <hyperlink ref="E2408" r:id="rId2405" tooltip="Завантажити сертифікат" display="Завантажити сертифікат"/>
    <hyperlink ref="E2409" r:id="rId2406" tooltip="Завантажити сертифікат" display="Завантажити сертифікат"/>
    <hyperlink ref="E2410" r:id="rId2407" tooltip="Завантажити сертифікат" display="Завантажити сертифікат"/>
    <hyperlink ref="E2411" r:id="rId2408" tooltip="Завантажити сертифікат" display="Завантажити сертифікат"/>
    <hyperlink ref="E2412" r:id="rId2409" tooltip="Завантажити сертифікат" display="Завантажити сертифікат"/>
    <hyperlink ref="E2413" r:id="rId2410" tooltip="Завантажити сертифікат" display="Завантажити сертифікат"/>
    <hyperlink ref="E2414" r:id="rId2411" tooltip="Завантажити сертифікат" display="Завантажити сертифікат"/>
    <hyperlink ref="E2415" r:id="rId2412" tooltip="Завантажити сертифікат" display="Завантажити сертифікат"/>
    <hyperlink ref="E2416" r:id="rId2413" tooltip="Завантажити сертифікат" display="Завантажити сертифікат"/>
    <hyperlink ref="E2417" r:id="rId2414" tooltip="Завантажити сертифікат" display="Завантажити сертифікат"/>
    <hyperlink ref="E2418" r:id="rId2415" tooltip="Завантажити сертифікат" display="Завантажити сертифікат"/>
    <hyperlink ref="E2419" r:id="rId2416" tooltip="Завантажити сертифікат" display="Завантажити сертифікат"/>
    <hyperlink ref="E2420" r:id="rId2417" tooltip="Завантажити сертифікат" display="Завантажити сертифікат"/>
    <hyperlink ref="E2421" r:id="rId2418" tooltip="Завантажити сертифікат" display="Завантажити сертифікат"/>
    <hyperlink ref="E2422" r:id="rId2419" tooltip="Завантажити сертифікат" display="Завантажити сертифікат"/>
    <hyperlink ref="E2423" r:id="rId2420" tooltip="Завантажити сертифікат" display="Завантажити сертифікат"/>
    <hyperlink ref="E2424" r:id="rId2421" tooltip="Завантажити сертифікат" display="Завантажити сертифікат"/>
    <hyperlink ref="E2425" r:id="rId2422" tooltip="Завантажити сертифікат" display="Завантажити сертифікат"/>
    <hyperlink ref="E2426" r:id="rId2423" tooltip="Завантажити сертифікат" display="Завантажити сертифікат"/>
    <hyperlink ref="E2427" r:id="rId2424" tooltip="Завантажити сертифікат" display="Завантажити сертифікат"/>
    <hyperlink ref="E2428" r:id="rId2425" tooltip="Завантажити сертифікат" display="Завантажити сертифікат"/>
    <hyperlink ref="E2429" r:id="rId2426" tooltip="Завантажити сертифікат" display="Завантажити сертифікат"/>
    <hyperlink ref="E2430" r:id="rId2427" tooltip="Завантажити сертифікат" display="Завантажити сертифікат"/>
    <hyperlink ref="E2431" r:id="rId2428" tooltip="Завантажити сертифікат" display="Завантажити сертифікат"/>
    <hyperlink ref="E2432" r:id="rId2429" tooltip="Завантажити сертифікат" display="Завантажити сертифікат"/>
    <hyperlink ref="E2433" r:id="rId2430" tooltip="Завантажити сертифікат" display="Завантажити сертифікат"/>
    <hyperlink ref="E2434" r:id="rId2431" tooltip="Завантажити сертифікат" display="Завантажити сертифікат"/>
    <hyperlink ref="E2435" r:id="rId2432" tooltip="Завантажити сертифікат" display="Завантажити сертифікат"/>
    <hyperlink ref="E2436" r:id="rId2433" tooltip="Завантажити сертифікат" display="Завантажити сертифікат"/>
    <hyperlink ref="E2437" r:id="rId2434" tooltip="Завантажити сертифікат" display="Завантажити сертифікат"/>
    <hyperlink ref="E2438" r:id="rId2435" tooltip="Завантажити сертифікат" display="Завантажити сертифікат"/>
    <hyperlink ref="E2439" r:id="rId2436" tooltip="Завантажити сертифікат" display="Завантажити сертифікат"/>
    <hyperlink ref="E2440" r:id="rId2437" tooltip="Завантажити сертифікат" display="Завантажити сертифікат"/>
    <hyperlink ref="E2441" r:id="rId2438" tooltip="Завантажити сертифікат" display="Завантажити сертифікат"/>
    <hyperlink ref="E2442" r:id="rId2439" tooltip="Завантажити сертифікат" display="Завантажити сертифікат"/>
    <hyperlink ref="E2443" r:id="rId2440" tooltip="Завантажити сертифікат" display="Завантажити сертифікат"/>
    <hyperlink ref="E2444" r:id="rId2441" tooltip="Завантажити сертифікат" display="Завантажити сертифікат"/>
    <hyperlink ref="E2445" r:id="rId2442" tooltip="Завантажити сертифікат" display="Завантажити сертифікат"/>
    <hyperlink ref="E2446" r:id="rId2443" tooltip="Завантажити сертифікат" display="Завантажити сертифікат"/>
    <hyperlink ref="E2447" r:id="rId2444" tooltip="Завантажити сертифікат" display="Завантажити сертифікат"/>
    <hyperlink ref="E2448" r:id="rId2445" tooltip="Завантажити сертифікат" display="Завантажити сертифікат"/>
    <hyperlink ref="E2449" r:id="rId2446" tooltip="Завантажити сертифікат" display="Завантажити сертифікат"/>
    <hyperlink ref="E2450" r:id="rId2447" tooltip="Завантажити сертифікат" display="Завантажити сертифікат"/>
    <hyperlink ref="E2451" r:id="rId2448" tooltip="Завантажити сертифікат" display="Завантажити сертифікат"/>
    <hyperlink ref="E2452" r:id="rId2449" tooltip="Завантажити сертифікат" display="Завантажити сертифікат"/>
    <hyperlink ref="E2453" r:id="rId2450" tooltip="Завантажити сертифікат" display="Завантажити сертифікат"/>
    <hyperlink ref="E2454" r:id="rId2451" tooltip="Завантажити сертифікат" display="Завантажити сертифікат"/>
    <hyperlink ref="E2455" r:id="rId2452" tooltip="Завантажити сертифікат" display="Завантажити сертифікат"/>
    <hyperlink ref="E2456" r:id="rId2453" tooltip="Завантажити сертифікат" display="Завантажити сертифікат"/>
    <hyperlink ref="E2457" r:id="rId2454" tooltip="Завантажити сертифікат" display="Завантажити сертифікат"/>
    <hyperlink ref="E2458" r:id="rId2455" tooltip="Завантажити сертифікат" display="Завантажити сертифікат"/>
    <hyperlink ref="E2459" r:id="rId2456" tooltip="Завантажити сертифікат" display="Завантажити сертифікат"/>
    <hyperlink ref="E2460" r:id="rId2457" tooltip="Завантажити сертифікат" display="Завантажити сертифікат"/>
    <hyperlink ref="E2461" r:id="rId2458" tooltip="Завантажити сертифікат" display="Завантажити сертифікат"/>
    <hyperlink ref="E2462" r:id="rId2459" tooltip="Завантажити сертифікат" display="Завантажити сертифікат"/>
    <hyperlink ref="E2463" r:id="rId2460" tooltip="Завантажити сертифікат" display="Завантажити сертифікат"/>
    <hyperlink ref="E2464" r:id="rId2461" tooltip="Завантажити сертифікат" display="Завантажити сертифікат"/>
    <hyperlink ref="E2465" r:id="rId2462" tooltip="Завантажити сертифікат" display="Завантажити сертифікат"/>
    <hyperlink ref="E2466" r:id="rId2463" tooltip="Завантажити сертифікат" display="Завантажити сертифікат"/>
    <hyperlink ref="E2467" r:id="rId2464" tooltip="Завантажити сертифікат" display="Завантажити сертифікат"/>
    <hyperlink ref="E2468" r:id="rId2465" tooltip="Завантажити сертифікат" display="Завантажити сертифікат"/>
    <hyperlink ref="E2469" r:id="rId2466" tooltip="Завантажити сертифікат" display="Завантажити сертифікат"/>
    <hyperlink ref="E2470" r:id="rId2467" tooltip="Завантажити сертифікат" display="Завантажити сертифікат"/>
    <hyperlink ref="E2471" r:id="rId2468" tooltip="Завантажити сертифікат" display="Завантажити сертифікат"/>
    <hyperlink ref="E2472" r:id="rId2469" tooltip="Завантажити сертифікат" display="Завантажити сертифікат"/>
    <hyperlink ref="E2473" r:id="rId2470" tooltip="Завантажити сертифікат" display="Завантажити сертифікат"/>
    <hyperlink ref="E2474" r:id="rId2471" tooltip="Завантажити сертифікат" display="Завантажити сертифікат"/>
    <hyperlink ref="E2475" r:id="rId2472" tooltip="Завантажити сертифікат" display="Завантажити сертифікат"/>
    <hyperlink ref="E2476" r:id="rId2473" tooltip="Завантажити сертифікат" display="Завантажити сертифікат"/>
    <hyperlink ref="E2477" r:id="rId2474" tooltip="Завантажити сертифікат" display="Завантажити сертифікат"/>
    <hyperlink ref="E2478" r:id="rId2475" tooltip="Завантажити сертифікат" display="Завантажити сертифікат"/>
    <hyperlink ref="E2479" r:id="rId2476" tooltip="Завантажити сертифікат" display="Завантажити сертифікат"/>
    <hyperlink ref="E2480" r:id="rId2477" tooltip="Завантажити сертифікат" display="Завантажити сертифікат"/>
    <hyperlink ref="E2481" r:id="rId2478" tooltip="Завантажити сертифікат" display="Завантажити сертифікат"/>
    <hyperlink ref="E2482" r:id="rId2479" tooltip="Завантажити сертифікат" display="Завантажити сертифікат"/>
    <hyperlink ref="E2483" r:id="rId2480" tooltip="Завантажити сертифікат" display="Завантажити сертифікат"/>
    <hyperlink ref="E2484" r:id="rId2481" tooltip="Завантажити сертифікат" display="Завантажити сертифікат"/>
    <hyperlink ref="E2485" r:id="rId2482" tooltip="Завантажити сертифікат" display="Завантажити сертифікат"/>
    <hyperlink ref="E2486" r:id="rId2483" tooltip="Завантажити сертифікат" display="Завантажити сертифікат"/>
    <hyperlink ref="E2487" r:id="rId2484" tooltip="Завантажити сертифікат" display="Завантажити сертифікат"/>
    <hyperlink ref="E2488" r:id="rId2485" tooltip="Завантажити сертифікат" display="Завантажити сертифікат"/>
    <hyperlink ref="E2489" r:id="rId2486" tooltip="Завантажити сертифікат" display="Завантажити сертифікат"/>
    <hyperlink ref="E2490" r:id="rId2487" tooltip="Завантажити сертифікат" display="Завантажити сертифікат"/>
    <hyperlink ref="E2491" r:id="rId2488" tooltip="Завантажити сертифікат" display="Завантажити сертифікат"/>
    <hyperlink ref="E2492" r:id="rId2489" tooltip="Завантажити сертифікат" display="Завантажити сертифікат"/>
    <hyperlink ref="E2493" r:id="rId2490" tooltip="Завантажити сертифікат" display="Завантажити сертифікат"/>
    <hyperlink ref="E2494" r:id="rId2491" tooltip="Завантажити сертифікат" display="Завантажити сертифікат"/>
    <hyperlink ref="E2495" r:id="rId2492" tooltip="Завантажити сертифікат" display="Завантажити сертифікат"/>
    <hyperlink ref="E2496" r:id="rId2493" tooltip="Завантажити сертифікат" display="Завантажити сертифікат"/>
    <hyperlink ref="E2497" r:id="rId2494" tooltip="Завантажити сертифікат" display="Завантажити сертифікат"/>
    <hyperlink ref="E2498" r:id="rId2495" tooltip="Завантажити сертифікат" display="Завантажити сертифікат"/>
    <hyperlink ref="E2499" r:id="rId2496" tooltip="Завантажити сертифікат" display="Завантажити сертифікат"/>
    <hyperlink ref="E2500" r:id="rId2497" tooltip="Завантажити сертифікат" display="Завантажити сертифікат"/>
    <hyperlink ref="E2501" r:id="rId2498" tooltip="Завантажити сертифікат" display="Завантажити сертифікат"/>
    <hyperlink ref="E2502" r:id="rId2499" tooltip="Завантажити сертифікат" display="Завантажити сертифікат"/>
    <hyperlink ref="E2503" r:id="rId2500" tooltip="Завантажити сертифікат" display="Завантажити сертифікат"/>
    <hyperlink ref="E2504" r:id="rId2501" tooltip="Завантажити сертифікат" display="Завантажити сертифікат"/>
    <hyperlink ref="E2505" r:id="rId2502" tooltip="Завантажити сертифікат" display="Завантажити сертифікат"/>
    <hyperlink ref="E2506" r:id="rId2503" tooltip="Завантажити сертифікат" display="Завантажити сертифікат"/>
    <hyperlink ref="E2507" r:id="rId2504" tooltip="Завантажити сертифікат" display="Завантажити сертифікат"/>
    <hyperlink ref="E2508" r:id="rId2505" tooltip="Завантажити сертифікат" display="Завантажити сертифікат"/>
    <hyperlink ref="E2509" r:id="rId2506" tooltip="Завантажити сертифікат" display="Завантажити сертифікат"/>
    <hyperlink ref="E2510" r:id="rId2507" tooltip="Завантажити сертифікат" display="Завантажити сертифікат"/>
    <hyperlink ref="E2511" r:id="rId2508" tooltip="Завантажити сертифікат" display="Завантажити сертифікат"/>
    <hyperlink ref="E2512" r:id="rId2509" tooltip="Завантажити сертифікат" display="Завантажити сертифікат"/>
    <hyperlink ref="E2513" r:id="rId2510" tooltip="Завантажити сертифікат" display="Завантажити сертифікат"/>
    <hyperlink ref="E2514" r:id="rId2511" tooltip="Завантажити сертифікат" display="Завантажити сертифікат"/>
    <hyperlink ref="E2515" r:id="rId2512" tooltip="Завантажити сертифікат" display="Завантажити сертифікат"/>
    <hyperlink ref="E2516" r:id="rId2513" tooltip="Завантажити сертифікат" display="Завантажити сертифікат"/>
    <hyperlink ref="E2517" r:id="rId2514" tooltip="Завантажити сертифікат" display="Завантажити сертифікат"/>
    <hyperlink ref="E2518" r:id="rId2515" tooltip="Завантажити сертифікат" display="Завантажити сертифікат"/>
    <hyperlink ref="E2519" r:id="rId2516" tooltip="Завантажити сертифікат" display="Завантажити сертифікат"/>
    <hyperlink ref="E2520" r:id="rId2517" tooltip="Завантажити сертифікат" display="Завантажити сертифікат"/>
    <hyperlink ref="E2521" r:id="rId2518" tooltip="Завантажити сертифікат" display="Завантажити сертифікат"/>
    <hyperlink ref="E2522" r:id="rId2519" tooltip="Завантажити сертифікат" display="Завантажити сертифікат"/>
    <hyperlink ref="E2523" r:id="rId2520" tooltip="Завантажити сертифікат" display="Завантажити сертифікат"/>
    <hyperlink ref="E2524" r:id="rId2521" tooltip="Завантажити сертифікат" display="Завантажити сертифікат"/>
    <hyperlink ref="E2525" r:id="rId2522" tooltip="Завантажити сертифікат" display="Завантажити сертифікат"/>
    <hyperlink ref="E2526" r:id="rId2523" tooltip="Завантажити сертифікат" display="Завантажити сертифікат"/>
    <hyperlink ref="E2527" r:id="rId2524" tooltip="Завантажити сертифікат" display="Завантажити сертифікат"/>
    <hyperlink ref="E2528" r:id="rId2525" tooltip="Завантажити сертифікат" display="Завантажити сертифікат"/>
    <hyperlink ref="E2529" r:id="rId2526" tooltip="Завантажити сертифікат" display="Завантажити сертифікат"/>
    <hyperlink ref="E2530" r:id="rId2527" tooltip="Завантажити сертифікат" display="Завантажити сертифікат"/>
    <hyperlink ref="E2531" r:id="rId2528" tooltip="Завантажити сертифікат" display="Завантажити сертифікат"/>
    <hyperlink ref="E2532" r:id="rId2529" tooltip="Завантажити сертифікат" display="Завантажити сертифікат"/>
    <hyperlink ref="E2533" r:id="rId2530" tooltip="Завантажити сертифікат" display="Завантажити сертифікат"/>
    <hyperlink ref="E2534" r:id="rId2531" tooltip="Завантажити сертифікат" display="Завантажити сертифікат"/>
    <hyperlink ref="E2535" r:id="rId2532" tooltip="Завантажити сертифікат" display="Завантажити сертифікат"/>
    <hyperlink ref="E2536" r:id="rId2533" tooltip="Завантажити сертифікат" display="Завантажити сертифікат"/>
    <hyperlink ref="E2537" r:id="rId2534" tooltip="Завантажити сертифікат" display="Завантажити сертифікат"/>
    <hyperlink ref="E2538" r:id="rId2535" tooltip="Завантажити сертифікат" display="Завантажити сертифікат"/>
    <hyperlink ref="E2539" r:id="rId2536" tooltip="Завантажити сертифікат" display="Завантажити сертифікат"/>
    <hyperlink ref="E2540" r:id="rId2537" tooltip="Завантажити сертифікат" display="Завантажити сертифікат"/>
    <hyperlink ref="E2541" r:id="rId2538" tooltip="Завантажити сертифікат" display="Завантажити сертифікат"/>
    <hyperlink ref="E2542" r:id="rId2539" tooltip="Завантажити сертифікат" display="Завантажити сертифікат"/>
    <hyperlink ref="E2543" r:id="rId2540" tooltip="Завантажити сертифікат" display="Завантажити сертифікат"/>
    <hyperlink ref="E2544" r:id="rId2541" tooltip="Завантажити сертифікат" display="Завантажити сертифікат"/>
    <hyperlink ref="E2545" r:id="rId2542" tooltip="Завантажити сертифікат" display="Завантажити сертифікат"/>
    <hyperlink ref="E2546" r:id="rId2543" tooltip="Завантажити сертифікат" display="Завантажити сертифікат"/>
    <hyperlink ref="E2547" r:id="rId2544" tooltip="Завантажити сертифікат" display="Завантажити сертифікат"/>
    <hyperlink ref="E2548" r:id="rId2545" tooltip="Завантажити сертифікат" display="Завантажити сертифікат"/>
    <hyperlink ref="E2549" r:id="rId2546" tooltip="Завантажити сертифікат" display="Завантажити сертифікат"/>
    <hyperlink ref="E2550" r:id="rId2547" tooltip="Завантажити сертифікат" display="Завантажити сертифікат"/>
    <hyperlink ref="E2551" r:id="rId2548" tooltip="Завантажити сертифікат" display="Завантажити сертифікат"/>
    <hyperlink ref="E2552" r:id="rId2549" tooltip="Завантажити сертифікат" display="Завантажити сертифікат"/>
    <hyperlink ref="E2553" r:id="rId2550" tooltip="Завантажити сертифікат" display="Завантажити сертифікат"/>
    <hyperlink ref="E2554" r:id="rId2551" tooltip="Завантажити сертифікат" display="Завантажити сертифікат"/>
    <hyperlink ref="E2555" r:id="rId2552" tooltip="Завантажити сертифікат" display="Завантажити сертифікат"/>
    <hyperlink ref="E2556" r:id="rId2553" tooltip="Завантажити сертифікат" display="Завантажити сертифікат"/>
    <hyperlink ref="E2557" r:id="rId2554" tooltip="Завантажити сертифікат" display="Завантажити сертифікат"/>
    <hyperlink ref="E2558" r:id="rId2555" tooltip="Завантажити сертифікат" display="Завантажити сертифікат"/>
    <hyperlink ref="E2559" r:id="rId2556" tooltip="Завантажити сертифікат" display="Завантажити сертифікат"/>
    <hyperlink ref="E2560" r:id="rId2557" tooltip="Завантажити сертифікат" display="Завантажити сертифікат"/>
    <hyperlink ref="E2561" r:id="rId2558" tooltip="Завантажити сертифікат" display="Завантажити сертифікат"/>
    <hyperlink ref="E2562" r:id="rId2559" tooltip="Завантажити сертифікат" display="Завантажити сертифікат"/>
    <hyperlink ref="E2563" r:id="rId2560" tooltip="Завантажити сертифікат" display="Завантажити сертифікат"/>
    <hyperlink ref="E2564" r:id="rId2561" tooltip="Завантажити сертифікат" display="Завантажити сертифікат"/>
    <hyperlink ref="E2565" r:id="rId2562" tooltip="Завантажити сертифікат" display="Завантажити сертифікат"/>
    <hyperlink ref="E2566" r:id="rId2563" tooltip="Завантажити сертифікат" display="Завантажити сертифікат"/>
    <hyperlink ref="E2567" r:id="rId2564" tooltip="Завантажити сертифікат" display="Завантажити сертифікат"/>
    <hyperlink ref="E2568" r:id="rId2565" tooltip="Завантажити сертифікат" display="Завантажити сертифікат"/>
    <hyperlink ref="E2569" r:id="rId2566" tooltip="Завантажити сертифікат" display="Завантажити сертифікат"/>
    <hyperlink ref="E2570" r:id="rId2567" tooltip="Завантажити сертифікат" display="Завантажити сертифікат"/>
    <hyperlink ref="E2571" r:id="rId2568" tooltip="Завантажити сертифікат" display="Завантажити сертифікат"/>
    <hyperlink ref="E2572" r:id="rId2569" tooltip="Завантажити сертифікат" display="Завантажити сертифікат"/>
    <hyperlink ref="E2573" r:id="rId2570" tooltip="Завантажити сертифікат" display="Завантажити сертифікат"/>
    <hyperlink ref="E2574" r:id="rId2571" tooltip="Завантажити сертифікат" display="Завантажити сертифікат"/>
    <hyperlink ref="E2575" r:id="rId2572" tooltip="Завантажити сертифікат" display="Завантажити сертифікат"/>
    <hyperlink ref="E2576" r:id="rId2573" tooltip="Завантажити сертифікат" display="Завантажити сертифікат"/>
    <hyperlink ref="E2577" r:id="rId2574" tooltip="Завантажити сертифікат" display="Завантажити сертифікат"/>
    <hyperlink ref="E2578" r:id="rId2575" tooltip="Завантажити сертифікат" display="Завантажити сертифікат"/>
    <hyperlink ref="E2579" r:id="rId2576" tooltip="Завантажити сертифікат" display="Завантажити сертифікат"/>
    <hyperlink ref="E2580" r:id="rId2577" tooltip="Завантажити сертифікат" display="Завантажити сертифікат"/>
    <hyperlink ref="E2581" r:id="rId2578" tooltip="Завантажити сертифікат" display="Завантажити сертифікат"/>
    <hyperlink ref="E2582" r:id="rId2579" tooltip="Завантажити сертифікат" display="Завантажити сертифікат"/>
    <hyperlink ref="E2583" r:id="rId2580" tooltip="Завантажити сертифікат" display="Завантажити сертифікат"/>
    <hyperlink ref="E2584" r:id="rId2581" tooltip="Завантажити сертифікат" display="Завантажити сертифікат"/>
    <hyperlink ref="E2585" r:id="rId2582" tooltip="Завантажити сертифікат" display="Завантажити сертифікат"/>
    <hyperlink ref="E2586" r:id="rId2583" tooltip="Завантажити сертифікат" display="Завантажити сертифікат"/>
    <hyperlink ref="E2587" r:id="rId2584" tooltip="Завантажити сертифікат" display="Завантажити сертифікат"/>
    <hyperlink ref="E2588" r:id="rId2585" tooltip="Завантажити сертифікат" display="Завантажити сертифікат"/>
    <hyperlink ref="E2589" r:id="rId2586" tooltip="Завантажити сертифікат" display="Завантажити сертифікат"/>
    <hyperlink ref="E2590" r:id="rId2587" tooltip="Завантажити сертифікат" display="Завантажити сертифікат"/>
    <hyperlink ref="E2591" r:id="rId2588" tooltip="Завантажити сертифікат" display="Завантажити сертифікат"/>
    <hyperlink ref="E2592" r:id="rId2589" tooltip="Завантажити сертифікат" display="Завантажити сертифікат"/>
    <hyperlink ref="E2593" r:id="rId2590" tooltip="Завантажити сертифікат" display="Завантажити сертифікат"/>
    <hyperlink ref="E2594" r:id="rId2591" tooltip="Завантажити сертифікат" display="Завантажити сертифікат"/>
    <hyperlink ref="E2595" r:id="rId2592" tooltip="Завантажити сертифікат" display="Завантажити сертифікат"/>
    <hyperlink ref="E2596" r:id="rId2593" tooltip="Завантажити сертифікат" display="Завантажити сертифікат"/>
    <hyperlink ref="E2597" r:id="rId2594" tooltip="Завантажити сертифікат" display="Завантажити сертифікат"/>
    <hyperlink ref="E2598" r:id="rId2595" tooltip="Завантажити сертифікат" display="Завантажити сертифікат"/>
    <hyperlink ref="E2599" r:id="rId2596" tooltip="Завантажити сертифікат" display="Завантажити сертифікат"/>
    <hyperlink ref="E2600" r:id="rId2597" tooltip="Завантажити сертифікат" display="Завантажити сертифікат"/>
    <hyperlink ref="E2601" r:id="rId2598" tooltip="Завантажити сертифікат" display="Завантажити сертифікат"/>
    <hyperlink ref="E2602" r:id="rId2599" tooltip="Завантажити сертифікат" display="Завантажити сертифікат"/>
    <hyperlink ref="E2603" r:id="rId2600" tooltip="Завантажити сертифікат" display="Завантажити сертифікат"/>
    <hyperlink ref="E2604" r:id="rId2601" tooltip="Завантажити сертифікат" display="Завантажити сертифікат"/>
    <hyperlink ref="E2605" r:id="rId2602" tooltip="Завантажити сертифікат" display="Завантажити сертифікат"/>
    <hyperlink ref="E2606" r:id="rId2603" tooltip="Завантажити сертифікат" display="Завантажити сертифікат"/>
    <hyperlink ref="E2607" r:id="rId2604" tooltip="Завантажити сертифікат" display="Завантажити сертифікат"/>
    <hyperlink ref="E2608" r:id="rId2605" tooltip="Завантажити сертифікат" display="Завантажити сертифікат"/>
    <hyperlink ref="E2609" r:id="rId2606" tooltip="Завантажити сертифікат" display="Завантажити сертифікат"/>
    <hyperlink ref="E2610" r:id="rId2607" tooltip="Завантажити сертифікат" display="Завантажити сертифікат"/>
    <hyperlink ref="E2611" r:id="rId2608" tooltip="Завантажити сертифікат" display="Завантажити сертифікат"/>
    <hyperlink ref="E2612" r:id="rId2609" tooltip="Завантажити сертифікат" display="Завантажити сертифікат"/>
    <hyperlink ref="E2613" r:id="rId2610" tooltip="Завантажити сертифікат" display="Завантажити сертифікат"/>
    <hyperlink ref="E2614" r:id="rId2611" tooltip="Завантажити сертифікат" display="Завантажити сертифікат"/>
    <hyperlink ref="E2615" r:id="rId2612" tooltip="Завантажити сертифікат" display="Завантажити сертифікат"/>
    <hyperlink ref="E2616" r:id="rId2613" tooltip="Завантажити сертифікат" display="Завантажити сертифікат"/>
    <hyperlink ref="E2617" r:id="rId2614" tooltip="Завантажити сертифікат" display="Завантажити сертифікат"/>
    <hyperlink ref="E2618" r:id="rId2615" tooltip="Завантажити сертифікат" display="Завантажити сертифікат"/>
    <hyperlink ref="E2619" r:id="rId2616" tooltip="Завантажити сертифікат" display="Завантажити сертифікат"/>
    <hyperlink ref="E2620" r:id="rId2617" tooltip="Завантажити сертифікат" display="Завантажити сертифікат"/>
    <hyperlink ref="E2621" r:id="rId2618" tooltip="Завантажити сертифікат" display="Завантажити сертифікат"/>
    <hyperlink ref="E2622" r:id="rId2619" tooltip="Завантажити сертифікат" display="Завантажити сертифікат"/>
    <hyperlink ref="E2623" r:id="rId2620" tooltip="Завантажити сертифікат" display="Завантажити сертифікат"/>
    <hyperlink ref="E2624" r:id="rId2621" tooltip="Завантажити сертифікат" display="Завантажити сертифікат"/>
    <hyperlink ref="E2625" r:id="rId2622" tooltip="Завантажити сертифікат" display="Завантажити сертифікат"/>
    <hyperlink ref="E2626" r:id="rId2623" tooltip="Завантажити сертифікат" display="Завантажити сертифікат"/>
    <hyperlink ref="E2627" r:id="rId2624" tooltip="Завантажити сертифікат" display="Завантажити сертифікат"/>
    <hyperlink ref="E2628" r:id="rId2625" tooltip="Завантажити сертифікат" display="Завантажити сертифікат"/>
    <hyperlink ref="E2629" r:id="rId2626" tooltip="Завантажити сертифікат" display="Завантажити сертифікат"/>
    <hyperlink ref="E2630" r:id="rId2627" tooltip="Завантажити сертифікат" display="Завантажити сертифікат"/>
    <hyperlink ref="E2631" r:id="rId2628" tooltip="Завантажити сертифікат" display="Завантажити сертифікат"/>
    <hyperlink ref="E2632" r:id="rId2629" tooltip="Завантажити сертифікат" display="Завантажити сертифікат"/>
    <hyperlink ref="E2633" r:id="rId2630" tooltip="Завантажити сертифікат" display="Завантажити сертифікат"/>
    <hyperlink ref="E2634" r:id="rId2631" tooltip="Завантажити сертифікат" display="Завантажити сертифікат"/>
    <hyperlink ref="E2635" r:id="rId2632" tooltip="Завантажити сертифікат" display="Завантажити сертифікат"/>
    <hyperlink ref="E2636" r:id="rId2633" tooltip="Завантажити сертифікат" display="Завантажити сертифікат"/>
    <hyperlink ref="E2637" r:id="rId2634" tooltip="Завантажити сертифікат" display="Завантажити сертифікат"/>
    <hyperlink ref="E2638" r:id="rId2635" tooltip="Завантажити сертифікат" display="Завантажити сертифікат"/>
    <hyperlink ref="E2639" r:id="rId2636" tooltip="Завантажити сертифікат" display="Завантажити сертифікат"/>
    <hyperlink ref="E2640" r:id="rId2637" tooltip="Завантажити сертифікат" display="Завантажити сертифікат"/>
    <hyperlink ref="E2641" r:id="rId2638" tooltip="Завантажити сертифікат" display="Завантажити сертифікат"/>
    <hyperlink ref="E2642" r:id="rId2639" tooltip="Завантажити сертифікат" display="Завантажити сертифікат"/>
    <hyperlink ref="E2643" r:id="rId2640" tooltip="Завантажити сертифікат" display="Завантажити сертифікат"/>
    <hyperlink ref="E2644" r:id="rId2641" tooltip="Завантажити сертифікат" display="Завантажити сертифікат"/>
    <hyperlink ref="E2645" r:id="rId2642" tooltip="Завантажити сертифікат" display="Завантажити сертифікат"/>
    <hyperlink ref="E2646" r:id="rId2643" tooltip="Завантажити сертифікат" display="Завантажити сертифікат"/>
    <hyperlink ref="E2647" r:id="rId2644" tooltip="Завантажити сертифікат" display="Завантажити сертифікат"/>
    <hyperlink ref="E2648" r:id="rId2645" tooltip="Завантажити сертифікат" display="Завантажити сертифікат"/>
    <hyperlink ref="E2649" r:id="rId2646" tooltip="Завантажити сертифікат" display="Завантажити сертифікат"/>
    <hyperlink ref="E2650" r:id="rId2647" tooltip="Завантажити сертифікат" display="Завантажити сертифікат"/>
    <hyperlink ref="E2651" r:id="rId2648" tooltip="Завантажити сертифікат" display="Завантажити сертифікат"/>
    <hyperlink ref="E2652" r:id="rId2649" tooltip="Завантажити сертифікат" display="Завантажити сертифікат"/>
    <hyperlink ref="E2653" r:id="rId2650" tooltip="Завантажити сертифікат" display="Завантажити сертифікат"/>
    <hyperlink ref="E2654" r:id="rId2651" tooltip="Завантажити сертифікат" display="Завантажити сертифікат"/>
    <hyperlink ref="E2655" r:id="rId2652" tooltip="Завантажити сертифікат" display="Завантажити сертифікат"/>
    <hyperlink ref="E2656" r:id="rId2653" tooltip="Завантажити сертифікат" display="Завантажити сертифікат"/>
    <hyperlink ref="E2657" r:id="rId2654" tooltip="Завантажити сертифікат" display="Завантажити сертифікат"/>
    <hyperlink ref="E2658" r:id="rId2655" tooltip="Завантажити сертифікат" display="Завантажити сертифікат"/>
    <hyperlink ref="E2659" r:id="rId2656" tooltip="Завантажити сертифікат" display="Завантажити сертифікат"/>
    <hyperlink ref="E2660" r:id="rId2657" tooltip="Завантажити сертифікат" display="Завантажити сертифікат"/>
    <hyperlink ref="E2661" r:id="rId2658" tooltip="Завантажити сертифікат" display="Завантажити сертифікат"/>
    <hyperlink ref="E2662" r:id="rId2659" tooltip="Завантажити сертифікат" display="Завантажити сертифікат"/>
    <hyperlink ref="E2663" r:id="rId2660" tooltip="Завантажити сертифікат" display="Завантажити сертифікат"/>
    <hyperlink ref="E2664" r:id="rId2661" tooltip="Завантажити сертифікат" display="Завантажити сертифікат"/>
    <hyperlink ref="E2665" r:id="rId2662" tooltip="Завантажити сертифікат" display="Завантажити сертифікат"/>
    <hyperlink ref="E2666" r:id="rId2663" tooltip="Завантажити сертифікат" display="Завантажити сертифікат"/>
    <hyperlink ref="E2667" r:id="rId2664" tooltip="Завантажити сертифікат" display="Завантажити сертифікат"/>
    <hyperlink ref="E2668" r:id="rId2665" tooltip="Завантажити сертифікат" display="Завантажити сертифікат"/>
    <hyperlink ref="E2669" r:id="rId2666" tooltip="Завантажити сертифікат" display="Завантажити сертифікат"/>
    <hyperlink ref="E2670" r:id="rId2667" tooltip="Завантажити сертифікат" display="Завантажити сертифікат"/>
    <hyperlink ref="E2671" r:id="rId2668" tooltip="Завантажити сертифікат" display="Завантажити сертифікат"/>
    <hyperlink ref="E2672" r:id="rId2669" tooltip="Завантажити сертифікат" display="Завантажити сертифікат"/>
    <hyperlink ref="E2673" r:id="rId2670" tooltip="Завантажити сертифікат" display="Завантажити сертифікат"/>
    <hyperlink ref="E2674" r:id="rId2671" tooltip="Завантажити сертифікат" display="Завантажити сертифікат"/>
    <hyperlink ref="E2675" r:id="rId2672" tooltip="Завантажити сертифікат" display="Завантажити сертифікат"/>
    <hyperlink ref="E2676" r:id="rId2673" tooltip="Завантажити сертифікат" display="Завантажити сертифікат"/>
    <hyperlink ref="E2677" r:id="rId2674" tooltip="Завантажити сертифікат" display="Завантажити сертифікат"/>
    <hyperlink ref="E2678" r:id="rId2675" tooltip="Завантажити сертифікат" display="Завантажити сертифікат"/>
    <hyperlink ref="E2679" r:id="rId2676" tooltip="Завантажити сертифікат" display="Завантажити сертифікат"/>
    <hyperlink ref="E2680" r:id="rId2677" tooltip="Завантажити сертифікат" display="Завантажити сертифікат"/>
    <hyperlink ref="E2681" r:id="rId2678" tooltip="Завантажити сертифікат" display="Завантажити сертифікат"/>
    <hyperlink ref="E2682" r:id="rId2679" tooltip="Завантажити сертифікат" display="Завантажити сертифікат"/>
    <hyperlink ref="E2683" r:id="rId2680" tooltip="Завантажити сертифікат" display="Завантажити сертифікат"/>
    <hyperlink ref="E2684" r:id="rId2681" tooltip="Завантажити сертифікат" display="Завантажити сертифікат"/>
    <hyperlink ref="E2685" r:id="rId2682" tooltip="Завантажити сертифікат" display="Завантажити сертифікат"/>
    <hyperlink ref="E2686" r:id="rId2683" tooltip="Завантажити сертифікат" display="Завантажити сертифікат"/>
    <hyperlink ref="E2687" r:id="rId2684" tooltip="Завантажити сертифікат" display="Завантажити сертифікат"/>
    <hyperlink ref="E2688" r:id="rId2685" tooltip="Завантажити сертифікат" display="Завантажити сертифікат"/>
    <hyperlink ref="E2689" r:id="rId2686" tooltip="Завантажити сертифікат" display="Завантажити сертифікат"/>
    <hyperlink ref="E2690" r:id="rId2687" tooltip="Завантажити сертифікат" display="Завантажити сертифікат"/>
    <hyperlink ref="E2691" r:id="rId2688" tooltip="Завантажити сертифікат" display="Завантажити сертифікат"/>
    <hyperlink ref="E2692" r:id="rId2689" tooltip="Завантажити сертифікат" display="Завантажити сертифікат"/>
    <hyperlink ref="E2693" r:id="rId2690" tooltip="Завантажити сертифікат" display="Завантажити сертифікат"/>
    <hyperlink ref="E2694" r:id="rId2691" tooltip="Завантажити сертифікат" display="Завантажити сертифікат"/>
    <hyperlink ref="E2695" r:id="rId2692" tooltip="Завантажити сертифікат" display="Завантажити сертифікат"/>
    <hyperlink ref="E2696" r:id="rId2693" tooltip="Завантажити сертифікат" display="Завантажити сертифікат"/>
    <hyperlink ref="E2697" r:id="rId2694" tooltip="Завантажити сертифікат" display="Завантажити сертифікат"/>
    <hyperlink ref="E2698" r:id="rId2695" tooltip="Завантажити сертифікат" display="Завантажити сертифікат"/>
    <hyperlink ref="E2699" r:id="rId2696" tooltip="Завантажити сертифікат" display="Завантажити сертифікат"/>
    <hyperlink ref="E2700" r:id="rId2697" tooltip="Завантажити сертифікат" display="Завантажити сертифікат"/>
    <hyperlink ref="E2701" r:id="rId2698" tooltip="Завантажити сертифікат" display="Завантажити сертифікат"/>
    <hyperlink ref="E2702" r:id="rId2699" tooltip="Завантажити сертифікат" display="Завантажити сертифікат"/>
    <hyperlink ref="E2703" r:id="rId2700" tooltip="Завантажити сертифікат" display="Завантажити сертифікат"/>
    <hyperlink ref="E2704" r:id="rId2701" tooltip="Завантажити сертифікат" display="Завантажити сертифікат"/>
    <hyperlink ref="E2705" r:id="rId2702" tooltip="Завантажити сертифікат" display="Завантажити сертифікат"/>
    <hyperlink ref="E2706" r:id="rId2703" tooltip="Завантажити сертифікат" display="Завантажити сертифікат"/>
    <hyperlink ref="E2707" r:id="rId2704" tooltip="Завантажити сертифікат" display="Завантажити сертифікат"/>
    <hyperlink ref="E2708" r:id="rId2705" tooltip="Завантажити сертифікат" display="Завантажити сертифікат"/>
    <hyperlink ref="E2709" r:id="rId2706" tooltip="Завантажити сертифікат" display="Завантажити сертифікат"/>
    <hyperlink ref="E2710" r:id="rId2707" tooltip="Завантажити сертифікат" display="Завантажити сертифікат"/>
    <hyperlink ref="E2711" r:id="rId2708" tooltip="Завантажити сертифікат" display="Завантажити сертифікат"/>
    <hyperlink ref="E2712" r:id="rId2709" tooltip="Завантажити сертифікат" display="Завантажити сертифікат"/>
    <hyperlink ref="E2713" r:id="rId2710" tooltip="Завантажити сертифікат" display="Завантажити сертифікат"/>
    <hyperlink ref="E2714" r:id="rId2711" tooltip="Завантажити сертифікат" display="Завантажити сертифікат"/>
    <hyperlink ref="E2715" r:id="rId2712" tooltip="Завантажити сертифікат" display="Завантажити сертифікат"/>
    <hyperlink ref="E2716" r:id="rId2713" tooltip="Завантажити сертифікат" display="Завантажити сертифікат"/>
    <hyperlink ref="E2717" r:id="rId2714" tooltip="Завантажити сертифікат" display="Завантажити сертифікат"/>
    <hyperlink ref="E2718" r:id="rId2715" tooltip="Завантажити сертифікат" display="Завантажити сертифікат"/>
    <hyperlink ref="E2719" r:id="rId2716" tooltip="Завантажити сертифікат" display="Завантажити сертифікат"/>
    <hyperlink ref="E2720" r:id="rId2717" tooltip="Завантажити сертифікат" display="Завантажити сертифікат"/>
    <hyperlink ref="E2721" r:id="rId2718" tooltip="Завантажити сертифікат" display="Завантажити сертифікат"/>
    <hyperlink ref="E2722" r:id="rId2719" tooltip="Завантажити сертифікат" display="Завантажити сертифікат"/>
    <hyperlink ref="E2723" r:id="rId2720" tooltip="Завантажити сертифікат" display="Завантажити сертифікат"/>
    <hyperlink ref="E2724" r:id="rId2721" tooltip="Завантажити сертифікат" display="Завантажити сертифікат"/>
    <hyperlink ref="E2725" r:id="rId2722" tooltip="Завантажити сертифікат" display="Завантажити сертифікат"/>
    <hyperlink ref="E2726" r:id="rId2723" tooltip="Завантажити сертифікат" display="Завантажити сертифікат"/>
    <hyperlink ref="E2727" r:id="rId2724" tooltip="Завантажити сертифікат" display="Завантажити сертифікат"/>
    <hyperlink ref="E2728" r:id="rId2725" tooltip="Завантажити сертифікат" display="Завантажити сертифікат"/>
    <hyperlink ref="E2729" r:id="rId2726" tooltip="Завантажити сертифікат" display="Завантажити сертифікат"/>
    <hyperlink ref="E2730" r:id="rId2727" tooltip="Завантажити сертифікат" display="Завантажити сертифікат"/>
    <hyperlink ref="E2731" r:id="rId2728" tooltip="Завантажити сертифікат" display="Завантажити сертифікат"/>
    <hyperlink ref="E2732" r:id="rId2729" tooltip="Завантажити сертифікат" display="Завантажити сертифікат"/>
    <hyperlink ref="E2733" r:id="rId2730" tooltip="Завантажити сертифікат" display="Завантажити сертифікат"/>
    <hyperlink ref="E2734" r:id="rId2731" tooltip="Завантажити сертифікат" display="Завантажити сертифікат"/>
    <hyperlink ref="E2735" r:id="rId2732" tooltip="Завантажити сертифікат" display="Завантажити сертифікат"/>
    <hyperlink ref="E2736" r:id="rId2733" tooltip="Завантажити сертифікат" display="Завантажити сертифікат"/>
    <hyperlink ref="E2737" r:id="rId2734" tooltip="Завантажити сертифікат" display="Завантажити сертифікат"/>
    <hyperlink ref="E2738" r:id="rId2735" tooltip="Завантажити сертифікат" display="Завантажити сертифікат"/>
    <hyperlink ref="E2739" r:id="rId2736" tooltip="Завантажити сертифікат" display="Завантажити сертифікат"/>
    <hyperlink ref="E2740" r:id="rId2737" tooltip="Завантажити сертифікат" display="Завантажити сертифікат"/>
    <hyperlink ref="E2741" r:id="rId2738" tooltip="Завантажити сертифікат" display="Завантажити сертифікат"/>
    <hyperlink ref="E2742" r:id="rId2739" tooltip="Завантажити сертифікат" display="Завантажити сертифікат"/>
    <hyperlink ref="E2743" r:id="rId2740" tooltip="Завантажити сертифікат" display="Завантажити сертифікат"/>
    <hyperlink ref="E2744" r:id="rId2741" tooltip="Завантажити сертифікат" display="Завантажити сертифікат"/>
    <hyperlink ref="E2745" r:id="rId2742" tooltip="Завантажити сертифікат" display="Завантажити сертифікат"/>
    <hyperlink ref="E2746" r:id="rId2743" tooltip="Завантажити сертифікат" display="Завантажити сертифікат"/>
    <hyperlink ref="E2747" r:id="rId2744" tooltip="Завантажити сертифікат" display="Завантажити сертифікат"/>
    <hyperlink ref="E2748" r:id="rId2745" tooltip="Завантажити сертифікат" display="Завантажити сертифікат"/>
    <hyperlink ref="E2749" r:id="rId2746" tooltip="Завантажити сертифікат" display="Завантажити сертифікат"/>
    <hyperlink ref="E2750" r:id="rId2747" tooltip="Завантажити сертифікат" display="Завантажити сертифікат"/>
    <hyperlink ref="E2751" r:id="rId2748" tooltip="Завантажити сертифікат" display="Завантажити сертифікат"/>
    <hyperlink ref="E2752" r:id="rId2749" tooltip="Завантажити сертифікат" display="Завантажити сертифікат"/>
    <hyperlink ref="E2753" r:id="rId2750" tooltip="Завантажити сертифікат" display="Завантажити сертифікат"/>
    <hyperlink ref="E2754" r:id="rId2751" tooltip="Завантажити сертифікат" display="Завантажити сертифікат"/>
    <hyperlink ref="E2755" r:id="rId2752" tooltip="Завантажити сертифікат" display="Завантажити сертифікат"/>
    <hyperlink ref="E2756" r:id="rId2753" tooltip="Завантажити сертифікат" display="Завантажити сертифікат"/>
    <hyperlink ref="E2757" r:id="rId2754" tooltip="Завантажити сертифікат" display="Завантажити сертифікат"/>
    <hyperlink ref="E2758" r:id="rId2755" tooltip="Завантажити сертифікат" display="Завантажити сертифікат"/>
    <hyperlink ref="E2759" r:id="rId2756" tooltip="Завантажити сертифікат" display="Завантажити сертифікат"/>
    <hyperlink ref="E2760" r:id="rId2757" tooltip="Завантажити сертифікат" display="Завантажити сертифікат"/>
    <hyperlink ref="E2761" r:id="rId2758" tooltip="Завантажити сертифікат" display="Завантажити сертифікат"/>
    <hyperlink ref="E2762" r:id="rId2759" tooltip="Завантажити сертифікат" display="Завантажити сертифікат"/>
    <hyperlink ref="E2763" r:id="rId2760" tooltip="Завантажити сертифікат" display="Завантажити сертифікат"/>
    <hyperlink ref="E2764" r:id="rId2761" tooltip="Завантажити сертифікат" display="Завантажити сертифікат"/>
    <hyperlink ref="E2765" r:id="rId2762" tooltip="Завантажити сертифікат" display="Завантажити сертифікат"/>
    <hyperlink ref="E2766" r:id="rId2763" tooltip="Завантажити сертифікат" display="Завантажити сертифікат"/>
    <hyperlink ref="E2767" r:id="rId2764" tooltip="Завантажити сертифікат" display="Завантажити сертифікат"/>
    <hyperlink ref="E2768" r:id="rId2765" tooltip="Завантажити сертифікат" display="Завантажити сертифікат"/>
    <hyperlink ref="E2769" r:id="rId2766" tooltip="Завантажити сертифікат" display="Завантажити сертифікат"/>
    <hyperlink ref="E2770" r:id="rId2767" tooltip="Завантажити сертифікат" display="Завантажити сертифікат"/>
    <hyperlink ref="E2771" r:id="rId2768" tooltip="Завантажити сертифікат" display="Завантажити сертифікат"/>
    <hyperlink ref="E2772" r:id="rId2769" tooltip="Завантажити сертифікат" display="Завантажити сертифікат"/>
    <hyperlink ref="E2773" r:id="rId2770" tooltip="Завантажити сертифікат" display="Завантажити сертифікат"/>
    <hyperlink ref="E2774" r:id="rId2771" tooltip="Завантажити сертифікат" display="Завантажити сертифікат"/>
    <hyperlink ref="E2775" r:id="rId2772" tooltip="Завантажити сертифікат" display="Завантажити сертифікат"/>
    <hyperlink ref="E2776" r:id="rId2773" tooltip="Завантажити сертифікат" display="Завантажити сертифікат"/>
    <hyperlink ref="E2777" r:id="rId2774" tooltip="Завантажити сертифікат" display="Завантажити сертифікат"/>
    <hyperlink ref="E2778" r:id="rId2775" tooltip="Завантажити сертифікат" display="Завантажити сертифікат"/>
    <hyperlink ref="E2779" r:id="rId2776" tooltip="Завантажити сертифікат" display="Завантажити сертифікат"/>
    <hyperlink ref="E2780" r:id="rId2777" tooltip="Завантажити сертифікат" display="Завантажити сертифікат"/>
    <hyperlink ref="E2781" r:id="rId2778" tooltip="Завантажити сертифікат" display="Завантажити сертифікат"/>
    <hyperlink ref="E2782" r:id="rId2779" tooltip="Завантажити сертифікат" display="Завантажити сертифікат"/>
    <hyperlink ref="E2783" r:id="rId2780" tooltip="Завантажити сертифікат" display="Завантажити сертифікат"/>
    <hyperlink ref="E2784" r:id="rId2781" tooltip="Завантажити сертифікат" display="Завантажити сертифікат"/>
    <hyperlink ref="E2785" r:id="rId2782" tooltip="Завантажити сертифікат" display="Завантажити сертифікат"/>
    <hyperlink ref="E2786" r:id="rId2783" tooltip="Завантажити сертифікат" display="Завантажити сертифікат"/>
    <hyperlink ref="E2787" r:id="rId2784" tooltip="Завантажити сертифікат" display="Завантажити сертифікат"/>
    <hyperlink ref="E2788" r:id="rId2785" tooltip="Завантажити сертифікат" display="Завантажити сертифікат"/>
    <hyperlink ref="E2789" r:id="rId2786" tooltip="Завантажити сертифікат" display="Завантажити сертифікат"/>
    <hyperlink ref="E2790" r:id="rId2787" tooltip="Завантажити сертифікат" display="Завантажити сертифікат"/>
    <hyperlink ref="E2791" r:id="rId2788" tooltip="Завантажити сертифікат" display="Завантажити сертифікат"/>
    <hyperlink ref="E2792" r:id="rId2789" tooltip="Завантажити сертифікат" display="Завантажити сертифікат"/>
    <hyperlink ref="E2793" r:id="rId2790" tooltip="Завантажити сертифікат" display="Завантажити сертифікат"/>
    <hyperlink ref="E2794" r:id="rId2791" tooltip="Завантажити сертифікат" display="Завантажити сертифікат"/>
    <hyperlink ref="E2795" r:id="rId2792" tooltip="Завантажити сертифікат" display="Завантажити сертифікат"/>
    <hyperlink ref="E2796" r:id="rId2793" tooltip="Завантажити сертифікат" display="Завантажити сертифікат"/>
    <hyperlink ref="E2797" r:id="rId2794" tooltip="Завантажити сертифікат" display="Завантажити сертифікат"/>
    <hyperlink ref="E2798" r:id="rId2795" tooltip="Завантажити сертифікат" display="Завантажити сертифікат"/>
    <hyperlink ref="E2799" r:id="rId2796" tooltip="Завантажити сертифікат" display="Завантажити сертифікат"/>
    <hyperlink ref="E2800" r:id="rId2797" tooltip="Завантажити сертифікат" display="Завантажити сертифікат"/>
    <hyperlink ref="E2801" r:id="rId2798" tooltip="Завантажити сертифікат" display="Завантажити сертифікат"/>
    <hyperlink ref="E2802" r:id="rId2799" tooltip="Завантажити сертифікат" display="Завантажити сертифікат"/>
    <hyperlink ref="E2803" r:id="rId2800" tooltip="Завантажити сертифікат" display="Завантажити сертифікат"/>
    <hyperlink ref="E2804" r:id="rId2801" tooltip="Завантажити сертифікат" display="Завантажити сертифікат"/>
    <hyperlink ref="E2805" r:id="rId2802" tooltip="Завантажити сертифікат" display="Завантажити сертифікат"/>
    <hyperlink ref="E2806" r:id="rId2803" tooltip="Завантажити сертифікат" display="Завантажити сертифікат"/>
    <hyperlink ref="E2807" r:id="rId2804" tooltip="Завантажити сертифікат" display="Завантажити сертифікат"/>
    <hyperlink ref="E2808" r:id="rId2805" tooltip="Завантажити сертифікат" display="Завантажити сертифікат"/>
    <hyperlink ref="E2809" r:id="rId2806" tooltip="Завантажити сертифікат" display="Завантажити сертифікат"/>
    <hyperlink ref="E2810" r:id="rId2807" tooltip="Завантажити сертифікат" display="Завантажити сертифікат"/>
    <hyperlink ref="E2811" r:id="rId2808" tooltip="Завантажити сертифікат" display="Завантажити сертифікат"/>
    <hyperlink ref="E2812" r:id="rId2809" tooltip="Завантажити сертифікат" display="Завантажити сертифікат"/>
    <hyperlink ref="E2813" r:id="rId2810" tooltip="Завантажити сертифікат" display="Завантажити сертифікат"/>
    <hyperlink ref="E2814" r:id="rId2811" tooltip="Завантажити сертифікат" display="Завантажити сертифікат"/>
    <hyperlink ref="E2815" r:id="rId2812" tooltip="Завантажити сертифікат" display="Завантажити сертифікат"/>
    <hyperlink ref="E2816" r:id="rId2813" tooltip="Завантажити сертифікат" display="Завантажити сертифікат"/>
    <hyperlink ref="E2817" r:id="rId2814" tooltip="Завантажити сертифікат" display="Завантажити сертифікат"/>
    <hyperlink ref="E2818" r:id="rId2815" tooltip="Завантажити сертифікат" display="Завантажити сертифікат"/>
    <hyperlink ref="E2819" r:id="rId2816" tooltip="Завантажити сертифікат" display="Завантажити сертифікат"/>
    <hyperlink ref="E2820" r:id="rId2817" tooltip="Завантажити сертифікат" display="Завантажити сертифікат"/>
    <hyperlink ref="E2821" r:id="rId2818" tooltip="Завантажити сертифікат" display="Завантажити сертифікат"/>
    <hyperlink ref="E2822" r:id="rId2819" tooltip="Завантажити сертифікат" display="Завантажити сертифікат"/>
    <hyperlink ref="E2823" r:id="rId2820" tooltip="Завантажити сертифікат" display="Завантажити сертифікат"/>
    <hyperlink ref="E2824" r:id="rId2821" tooltip="Завантажити сертифікат" display="Завантажити сертифікат"/>
    <hyperlink ref="E2825" r:id="rId2822" tooltip="Завантажити сертифікат" display="Завантажити сертифікат"/>
    <hyperlink ref="E2826" r:id="rId2823" tooltip="Завантажити сертифікат" display="Завантажити сертифікат"/>
    <hyperlink ref="E2827" r:id="rId2824" tooltip="Завантажити сертифікат" display="Завантажити сертифікат"/>
    <hyperlink ref="E2828" r:id="rId2825" tooltip="Завантажити сертифікат" display="Завантажити сертифікат"/>
    <hyperlink ref="E2829" r:id="rId2826" tooltip="Завантажити сертифікат" display="Завантажити сертифікат"/>
    <hyperlink ref="E2830" r:id="rId2827" tooltip="Завантажити сертифікат" display="Завантажити сертифікат"/>
    <hyperlink ref="E2831" r:id="rId2828" tooltip="Завантажити сертифікат" display="Завантажити сертифікат"/>
    <hyperlink ref="E2832" r:id="rId2829" tooltip="Завантажити сертифікат" display="Завантажити сертифікат"/>
    <hyperlink ref="E2833" r:id="rId2830" tooltip="Завантажити сертифікат" display="Завантажити сертифікат"/>
    <hyperlink ref="E2834" r:id="rId2831" tooltip="Завантажити сертифікат" display="Завантажити сертифікат"/>
    <hyperlink ref="E2835" r:id="rId2832" tooltip="Завантажити сертифікат" display="Завантажити сертифікат"/>
    <hyperlink ref="E2836" r:id="rId2833" tooltip="Завантажити сертифікат" display="Завантажити сертифікат"/>
    <hyperlink ref="E2837" r:id="rId2834" tooltip="Завантажити сертифікат" display="Завантажити сертифікат"/>
    <hyperlink ref="E2838" r:id="rId2835" tooltip="Завантажити сертифікат" display="Завантажити сертифікат"/>
    <hyperlink ref="E2839" r:id="rId2836" tooltip="Завантажити сертифікат" display="Завантажити сертифікат"/>
    <hyperlink ref="E2840" r:id="rId2837" tooltip="Завантажити сертифікат" display="Завантажити сертифікат"/>
    <hyperlink ref="E2841" r:id="rId2838" tooltip="Завантажити сертифікат" display="Завантажити сертифікат"/>
    <hyperlink ref="E2842" r:id="rId2839" tooltip="Завантажити сертифікат" display="Завантажити сертифікат"/>
    <hyperlink ref="E2843" r:id="rId2840" tooltip="Завантажити сертифікат" display="Завантажити сертифікат"/>
    <hyperlink ref="E2844" r:id="rId2841" tooltip="Завантажити сертифікат" display="Завантажити сертифікат"/>
    <hyperlink ref="E2845" r:id="rId2842" tooltip="Завантажити сертифікат" display="Завантажити сертифікат"/>
    <hyperlink ref="E2846" r:id="rId2843" tooltip="Завантажити сертифікат" display="Завантажити сертифікат"/>
    <hyperlink ref="E2847" r:id="rId2844" tooltip="Завантажити сертифікат" display="Завантажити сертифікат"/>
    <hyperlink ref="E2848" r:id="rId2845" tooltip="Завантажити сертифікат" display="Завантажити сертифікат"/>
    <hyperlink ref="E2849" r:id="rId2846" tooltip="Завантажити сертифікат" display="Завантажити сертифікат"/>
    <hyperlink ref="E2850" r:id="rId2847" tooltip="Завантажити сертифікат" display="Завантажити сертифікат"/>
    <hyperlink ref="E2851" r:id="rId2848" tooltip="Завантажити сертифікат" display="Завантажити сертифікат"/>
    <hyperlink ref="E2852" r:id="rId2849" tooltip="Завантажити сертифікат" display="Завантажити сертифікат"/>
    <hyperlink ref="E2853" r:id="rId2850" tooltip="Завантажити сертифікат" display="Завантажити сертифікат"/>
    <hyperlink ref="E2854" r:id="rId2851" tooltip="Завантажити сертифікат" display="Завантажити сертифікат"/>
    <hyperlink ref="E2855" r:id="rId2852" tooltip="Завантажити сертифікат" display="Завантажити сертифікат"/>
    <hyperlink ref="E2856" r:id="rId2853" tooltip="Завантажити сертифікат" display="Завантажити сертифікат"/>
    <hyperlink ref="E2857" r:id="rId2854" tooltip="Завантажити сертифікат" display="Завантажити сертифікат"/>
    <hyperlink ref="E2858" r:id="rId2855" tooltip="Завантажити сертифікат" display="Завантажити сертифікат"/>
    <hyperlink ref="E2859" r:id="rId2856" tooltip="Завантажити сертифікат" display="Завантажити сертифікат"/>
    <hyperlink ref="E2860" r:id="rId2857" tooltip="Завантажити сертифікат" display="Завантажити сертифікат"/>
    <hyperlink ref="E2861" r:id="rId2858" tooltip="Завантажити сертифікат" display="Завантажити сертифікат"/>
    <hyperlink ref="E2862" r:id="rId2859" tooltip="Завантажити сертифікат" display="Завантажити сертифікат"/>
    <hyperlink ref="E2863" r:id="rId2860" tooltip="Завантажити сертифікат" display="Завантажити сертифікат"/>
    <hyperlink ref="E2864" r:id="rId2861" tooltip="Завантажити сертифікат" display="Завантажити сертифікат"/>
    <hyperlink ref="E2865" r:id="rId2862" tooltip="Завантажити сертифікат" display="Завантажити сертифікат"/>
    <hyperlink ref="E2866" r:id="rId2863" tooltip="Завантажити сертифікат" display="Завантажити сертифікат"/>
    <hyperlink ref="E2867" r:id="rId2864" tooltip="Завантажити сертифікат" display="Завантажити сертифікат"/>
    <hyperlink ref="E2868" r:id="rId2865" tooltip="Завантажити сертифікат" display="Завантажити сертифікат"/>
    <hyperlink ref="E2869" r:id="rId2866" tooltip="Завантажити сертифікат" display="Завантажити сертифікат"/>
    <hyperlink ref="E2870" r:id="rId2867" tooltip="Завантажити сертифікат" display="Завантажити сертифікат"/>
    <hyperlink ref="E2871" r:id="rId2868" tooltip="Завантажити сертифікат" display="Завантажити сертифікат"/>
    <hyperlink ref="E2872" r:id="rId2869" tooltip="Завантажити сертифікат" display="Завантажити сертифікат"/>
    <hyperlink ref="E2873" r:id="rId2870" tooltip="Завантажити сертифікат" display="Завантажити сертифікат"/>
    <hyperlink ref="E2874" r:id="rId2871" tooltip="Завантажити сертифікат" display="Завантажити сертифікат"/>
    <hyperlink ref="E2875" r:id="rId2872" tooltip="Завантажити сертифікат" display="Завантажити сертифікат"/>
    <hyperlink ref="E2876" r:id="rId2873" tooltip="Завантажити сертифікат" display="Завантажити сертифікат"/>
    <hyperlink ref="E2877" r:id="rId2874" tooltip="Завантажити сертифікат" display="Завантажити сертифікат"/>
    <hyperlink ref="E2878" r:id="rId2875" tooltip="Завантажити сертифікат" display="Завантажити сертифікат"/>
    <hyperlink ref="E2879" r:id="rId2876" tooltip="Завантажити сертифікат" display="Завантажити сертифікат"/>
    <hyperlink ref="E2880" r:id="rId2877" tooltip="Завантажити сертифікат" display="Завантажити сертифікат"/>
    <hyperlink ref="E2881" r:id="rId2878" tooltip="Завантажити сертифікат" display="Завантажити сертифікат"/>
    <hyperlink ref="E2882" r:id="rId2879" tooltip="Завантажити сертифікат" display="Завантажити сертифікат"/>
    <hyperlink ref="E2883" r:id="rId2880" tooltip="Завантажити сертифікат" display="Завантажити сертифікат"/>
    <hyperlink ref="E2884" r:id="rId2881" tooltip="Завантажити сертифікат" display="Завантажити сертифікат"/>
    <hyperlink ref="E2885" r:id="rId2882" tooltip="Завантажити сертифікат" display="Завантажити сертифікат"/>
    <hyperlink ref="E2886" r:id="rId2883" tooltip="Завантажити сертифікат" display="Завантажити сертифікат"/>
    <hyperlink ref="E2887" r:id="rId2884" tooltip="Завантажити сертифікат" display="Завантажити сертифікат"/>
    <hyperlink ref="E2888" r:id="rId2885" tooltip="Завантажити сертифікат" display="Завантажити сертифікат"/>
    <hyperlink ref="E2889" r:id="rId2886" tooltip="Завантажити сертифікат" display="Завантажити сертифікат"/>
    <hyperlink ref="E2890" r:id="rId2887" tooltip="Завантажити сертифікат" display="Завантажити сертифікат"/>
    <hyperlink ref="E2891" r:id="rId2888" tooltip="Завантажити сертифікат" display="Завантажити сертифікат"/>
    <hyperlink ref="E2892" r:id="rId2889" tooltip="Завантажити сертифікат" display="Завантажити сертифікат"/>
    <hyperlink ref="E2893" r:id="rId2890" tooltip="Завантажити сертифікат" display="Завантажити сертифікат"/>
    <hyperlink ref="E2894" r:id="rId2891" tooltip="Завантажити сертифікат" display="Завантажити сертифікат"/>
    <hyperlink ref="E2895" r:id="rId2892" tooltip="Завантажити сертифікат" display="Завантажити сертифікат"/>
    <hyperlink ref="E2896" r:id="rId2893" tooltip="Завантажити сертифікат" display="Завантажити сертифікат"/>
    <hyperlink ref="E2897" r:id="rId2894" tooltip="Завантажити сертифікат" display="Завантажити сертифікат"/>
    <hyperlink ref="E2898" r:id="rId2895" tooltip="Завантажити сертифікат" display="Завантажити сертифікат"/>
    <hyperlink ref="E2899" r:id="rId2896" tooltip="Завантажити сертифікат" display="Завантажити сертифікат"/>
    <hyperlink ref="E2900" r:id="rId2897" tooltip="Завантажити сертифікат" display="Завантажити сертифікат"/>
    <hyperlink ref="E2901" r:id="rId2898" tooltip="Завантажити сертифікат" display="Завантажити сертифікат"/>
    <hyperlink ref="E2902" r:id="rId2899" tooltip="Завантажити сертифікат" display="Завантажити сертифікат"/>
    <hyperlink ref="E2903" r:id="rId2900" tooltip="Завантажити сертифікат" display="Завантажити сертифікат"/>
    <hyperlink ref="E2904" r:id="rId2901" tooltip="Завантажити сертифікат" display="Завантажити сертифікат"/>
    <hyperlink ref="E2905" r:id="rId2902" tooltip="Завантажити сертифікат" display="Завантажити сертифікат"/>
    <hyperlink ref="E2906" r:id="rId2903" tooltip="Завантажити сертифікат" display="Завантажити сертифікат"/>
    <hyperlink ref="E2907" r:id="rId2904" tooltip="Завантажити сертифікат" display="Завантажити сертифікат"/>
    <hyperlink ref="E2908" r:id="rId2905" tooltip="Завантажити сертифікат" display="Завантажити сертифікат"/>
    <hyperlink ref="E2909" r:id="rId2906" tooltip="Завантажити сертифікат" display="Завантажити сертифікат"/>
    <hyperlink ref="E2910" r:id="rId2907" tooltip="Завантажити сертифікат" display="Завантажити сертифікат"/>
    <hyperlink ref="E2911" r:id="rId2908" tooltip="Завантажити сертифікат" display="Завантажити сертифікат"/>
    <hyperlink ref="E2912" r:id="rId2909" tooltip="Завантажити сертифікат" display="Завантажити сертифікат"/>
    <hyperlink ref="E2913" r:id="rId2910" tooltip="Завантажити сертифікат" display="Завантажити сертифікат"/>
    <hyperlink ref="E2914" r:id="rId2911" tooltip="Завантажити сертифікат" display="Завантажити сертифікат"/>
    <hyperlink ref="E2915" r:id="rId2912" tooltip="Завантажити сертифікат" display="Завантажити сертифікат"/>
    <hyperlink ref="E2916" r:id="rId2913" tooltip="Завантажити сертифікат" display="Завантажити сертифікат"/>
    <hyperlink ref="E2917" r:id="rId2914" tooltip="Завантажити сертифікат" display="Завантажити сертифікат"/>
    <hyperlink ref="E2918" r:id="rId2915" tooltip="Завантажити сертифікат" display="Завантажити сертифікат"/>
    <hyperlink ref="E2919" r:id="rId2916" tooltip="Завантажити сертифікат" display="Завантажити сертифікат"/>
    <hyperlink ref="E2920" r:id="rId2917" tooltip="Завантажити сертифікат" display="Завантажити сертифікат"/>
    <hyperlink ref="E2921" r:id="rId2918" tooltip="Завантажити сертифікат" display="Завантажити сертифікат"/>
    <hyperlink ref="E2922" r:id="rId2919" tooltip="Завантажити сертифікат" display="Завантажити сертифікат"/>
    <hyperlink ref="E2923" r:id="rId2920" tooltip="Завантажити сертифікат" display="Завантажити сертифікат"/>
    <hyperlink ref="E2924" r:id="rId2921" tooltip="Завантажити сертифікат" display="Завантажити сертифікат"/>
    <hyperlink ref="E2925" r:id="rId2922" tooltip="Завантажити сертифікат" display="Завантажити сертифікат"/>
    <hyperlink ref="E2926" r:id="rId2923" tooltip="Завантажити сертифікат" display="Завантажити сертифікат"/>
    <hyperlink ref="E2927" r:id="rId2924" tooltip="Завантажити сертифікат" display="Завантажити сертифікат"/>
    <hyperlink ref="E2928" r:id="rId2925" tooltip="Завантажити сертифікат" display="Завантажити сертифікат"/>
    <hyperlink ref="E2929" r:id="rId2926" tooltip="Завантажити сертифікат" display="Завантажити сертифікат"/>
    <hyperlink ref="E2930" r:id="rId2927" tooltip="Завантажити сертифікат" display="Завантажити сертифікат"/>
    <hyperlink ref="E2931" r:id="rId2928" tooltip="Завантажити сертифікат" display="Завантажити сертифікат"/>
    <hyperlink ref="E2932" r:id="rId2929" tooltip="Завантажити сертифікат" display="Завантажити сертифікат"/>
    <hyperlink ref="E2933" r:id="rId2930" tooltip="Завантажити сертифікат" display="Завантажити сертифікат"/>
    <hyperlink ref="E2934" r:id="rId2931" tooltip="Завантажити сертифікат" display="Завантажити сертифікат"/>
    <hyperlink ref="E2935" r:id="rId2932" tooltip="Завантажити сертифікат" display="Завантажити сертифікат"/>
    <hyperlink ref="E2936" r:id="rId2933" tooltip="Завантажити сертифікат" display="Завантажити сертифікат"/>
    <hyperlink ref="E2937" r:id="rId2934" tooltip="Завантажити сертифікат" display="Завантажити сертифікат"/>
    <hyperlink ref="E2938" r:id="rId2935" tooltip="Завантажити сертифікат" display="Завантажити сертифікат"/>
    <hyperlink ref="E2939" r:id="rId2936" tooltip="Завантажити сертифікат" display="Завантажити сертифікат"/>
    <hyperlink ref="E2940" r:id="rId2937" tooltip="Завантажити сертифікат" display="Завантажити сертифікат"/>
    <hyperlink ref="E2941" r:id="rId2938" tooltip="Завантажити сертифікат" display="Завантажити сертифікат"/>
    <hyperlink ref="E2942" r:id="rId2939" tooltip="Завантажити сертифікат" display="Завантажити сертифікат"/>
    <hyperlink ref="E2943" r:id="rId2940" tooltip="Завантажити сертифікат" display="Завантажити сертифікат"/>
    <hyperlink ref="E2944" r:id="rId2941" tooltip="Завантажити сертифікат" display="Завантажити сертифікат"/>
    <hyperlink ref="E2945" r:id="rId2942" tooltip="Завантажити сертифікат" display="Завантажити сертифікат"/>
    <hyperlink ref="E2946" r:id="rId2943" tooltip="Завантажити сертифікат" display="Завантажити сертифікат"/>
    <hyperlink ref="E2947" r:id="rId2944" tooltip="Завантажити сертифікат" display="Завантажити сертифікат"/>
    <hyperlink ref="E2948" r:id="rId2945" tooltip="Завантажити сертифікат" display="Завантажити сертифікат"/>
    <hyperlink ref="E2949" r:id="rId2946" tooltip="Завантажити сертифікат" display="Завантажити сертифікат"/>
    <hyperlink ref="E2950" r:id="rId2947" tooltip="Завантажити сертифікат" display="Завантажити сертифікат"/>
    <hyperlink ref="E2951" r:id="rId2948" tooltip="Завантажити сертифікат" display="Завантажити сертифікат"/>
    <hyperlink ref="E2952" r:id="rId2949" tooltip="Завантажити сертифікат" display="Завантажити сертифікат"/>
    <hyperlink ref="E2953" r:id="rId2950" tooltip="Завантажити сертифікат" display="Завантажити сертифікат"/>
    <hyperlink ref="E2954" r:id="rId2951" tooltip="Завантажити сертифікат" display="Завантажити сертифікат"/>
    <hyperlink ref="E2955" r:id="rId2952" tooltip="Завантажити сертифікат" display="Завантажити сертифікат"/>
    <hyperlink ref="E2956" r:id="rId2953" tooltip="Завантажити сертифікат" display="Завантажити сертифікат"/>
    <hyperlink ref="E2957" r:id="rId2954" tooltip="Завантажити сертифікат" display="Завантажити сертифікат"/>
    <hyperlink ref="E2958" r:id="rId2955" tooltip="Завантажити сертифікат" display="Завантажити сертифікат"/>
    <hyperlink ref="E2959" r:id="rId2956" tooltip="Завантажити сертифікат" display="Завантажити сертифікат"/>
    <hyperlink ref="E2960" r:id="rId2957" tooltip="Завантажити сертифікат" display="Завантажити сертифікат"/>
    <hyperlink ref="E2961" r:id="rId2958" tooltip="Завантажити сертифікат" display="Завантажити сертифікат"/>
    <hyperlink ref="E2962" r:id="rId2959" tooltip="Завантажити сертифікат" display="Завантажити сертифікат"/>
    <hyperlink ref="E2963" r:id="rId2960" tooltip="Завантажити сертифікат" display="Завантажити сертифікат"/>
    <hyperlink ref="E2964" r:id="rId2961" tooltip="Завантажити сертифікат" display="Завантажити сертифікат"/>
    <hyperlink ref="E2965" r:id="rId2962" tooltip="Завантажити сертифікат" display="Завантажити сертифікат"/>
    <hyperlink ref="E2966" r:id="rId2963" tooltip="Завантажити сертифікат" display="Завантажити сертифікат"/>
    <hyperlink ref="E2967" r:id="rId2964" tooltip="Завантажити сертифікат" display="Завантажити сертифікат"/>
    <hyperlink ref="E2968" r:id="rId2965" tooltip="Завантажити сертифікат" display="Завантажити сертифікат"/>
    <hyperlink ref="E2969" r:id="rId2966" tooltip="Завантажити сертифікат" display="Завантажити сертифікат"/>
    <hyperlink ref="E2970" r:id="rId2967" tooltip="Завантажити сертифікат" display="Завантажити сертифікат"/>
    <hyperlink ref="E2971" r:id="rId2968" tooltip="Завантажити сертифікат" display="Завантажити сертифікат"/>
    <hyperlink ref="E2972" r:id="rId2969" tooltip="Завантажити сертифікат" display="Завантажити сертифікат"/>
    <hyperlink ref="E2973" r:id="rId2970" tooltip="Завантажити сертифікат" display="Завантажити сертифікат"/>
    <hyperlink ref="E2974" r:id="rId2971" tooltip="Завантажити сертифікат" display="Завантажити сертифікат"/>
    <hyperlink ref="E2975" r:id="rId2972" tooltip="Завантажити сертифікат" display="Завантажити сертифікат"/>
    <hyperlink ref="E2976" r:id="rId2973" tooltip="Завантажити сертифікат" display="Завантажити сертифікат"/>
    <hyperlink ref="E2977" r:id="rId2974" tooltip="Завантажити сертифікат" display="Завантажити сертифікат"/>
    <hyperlink ref="E2978" r:id="rId2975" tooltip="Завантажити сертифікат" display="Завантажити сертифікат"/>
    <hyperlink ref="E2979" r:id="rId2976" tooltip="Завантажити сертифікат" display="Завантажити сертифікат"/>
    <hyperlink ref="E2980" r:id="rId2977" tooltip="Завантажити сертифікат" display="Завантажити сертифікат"/>
    <hyperlink ref="E2981" r:id="rId2978" tooltip="Завантажити сертифікат" display="Завантажити сертифікат"/>
    <hyperlink ref="E2982" r:id="rId2979" tooltip="Завантажити сертифікат" display="Завантажити сертифікат"/>
    <hyperlink ref="E2983" r:id="rId2980" tooltip="Завантажити сертифікат" display="Завантажити сертифікат"/>
    <hyperlink ref="E2984" r:id="rId2981" tooltip="Завантажити сертифікат" display="Завантажити сертифікат"/>
    <hyperlink ref="E2985" r:id="rId2982" tooltip="Завантажити сертифікат" display="Завантажити сертифікат"/>
    <hyperlink ref="E2986" r:id="rId2983" tooltip="Завантажити сертифікат" display="Завантажити сертифікат"/>
    <hyperlink ref="E2987" r:id="rId2984" tooltip="Завантажити сертифікат" display="Завантажити сертифікат"/>
    <hyperlink ref="E2988" r:id="rId2985" tooltip="Завантажити сертифікат" display="Завантажити сертифікат"/>
    <hyperlink ref="E2989" r:id="rId2986" tooltip="Завантажити сертифікат" display="Завантажити сертифікат"/>
    <hyperlink ref="E2990" r:id="rId2987" tooltip="Завантажити сертифікат" display="Завантажити сертифікат"/>
    <hyperlink ref="E2991" r:id="rId2988" tooltip="Завантажити сертифікат" display="Завантажити сертифікат"/>
    <hyperlink ref="E2992" r:id="rId2989" tooltip="Завантажити сертифікат" display="Завантажити сертифікат"/>
    <hyperlink ref="E2993" r:id="rId2990" tooltip="Завантажити сертифікат" display="Завантажити сертифікат"/>
    <hyperlink ref="E2994" r:id="rId2991" tooltip="Завантажити сертифікат" display="Завантажити сертифікат"/>
    <hyperlink ref="E2995" r:id="rId2992" tooltip="Завантажити сертифікат" display="Завантажити сертифікат"/>
    <hyperlink ref="E2996" r:id="rId2993" tooltip="Завантажити сертифікат" display="Завантажити сертифікат"/>
    <hyperlink ref="E2997" r:id="rId2994" tooltip="Завантажити сертифікат" display="Завантажити сертифікат"/>
    <hyperlink ref="E2998" r:id="rId2995" tooltip="Завантажити сертифікат" display="Завантажити сертифікат"/>
    <hyperlink ref="E2999" r:id="rId2996" tooltip="Завантажити сертифікат" display="Завантажити сертифікат"/>
    <hyperlink ref="E3000" r:id="rId2997" tooltip="Завантажити сертифікат" display="Завантажити сертифікат"/>
    <hyperlink ref="E3001" r:id="rId2998" tooltip="Завантажити сертифікат" display="Завантажити сертифікат"/>
    <hyperlink ref="E3002" r:id="rId2999" tooltip="Завантажити сертифікат" display="Завантажити сертифікат"/>
    <hyperlink ref="E3003" r:id="rId3000" tooltip="Завантажити сертифікат" display="Завантажити сертифікат"/>
    <hyperlink ref="E3004" r:id="rId3001" tooltip="Завантажити сертифікат" display="Завантажити сертифікат"/>
    <hyperlink ref="E3005" r:id="rId3002" tooltip="Завантажити сертифікат" display="Завантажити сертифікат"/>
    <hyperlink ref="E3006" r:id="rId3003" tooltip="Завантажити сертифікат" display="Завантажити сертифікат"/>
    <hyperlink ref="E3007" r:id="rId3004" tooltip="Завантажити сертифікат" display="Завантажити сертифікат"/>
    <hyperlink ref="E3008" r:id="rId3005" tooltip="Завантажити сертифікат" display="Завантажити сертифікат"/>
    <hyperlink ref="E3009" r:id="rId3006" tooltip="Завантажити сертифікат" display="Завантажити сертифікат"/>
    <hyperlink ref="E3010" r:id="rId3007" tooltip="Завантажити сертифікат" display="Завантажити сертифікат"/>
    <hyperlink ref="E3011" r:id="rId3008" tooltip="Завантажити сертифікат" display="Завантажити сертифікат"/>
    <hyperlink ref="E3012" r:id="rId3009" tooltip="Завантажити сертифікат" display="Завантажити сертифікат"/>
    <hyperlink ref="E3013" r:id="rId3010" tooltip="Завантажити сертифікат" display="Завантажити сертифікат"/>
    <hyperlink ref="E3014" r:id="rId3011" tooltip="Завантажити сертифікат" display="Завантажити сертифікат"/>
    <hyperlink ref="E3015" r:id="rId3012" tooltip="Завантажити сертифікат" display="Завантажити сертифікат"/>
    <hyperlink ref="E3016" r:id="rId3013" tooltip="Завантажити сертифікат" display="Завантажити сертифікат"/>
    <hyperlink ref="E3017" r:id="rId3014" tooltip="Завантажити сертифікат" display="Завантажити сертифікат"/>
    <hyperlink ref="E3018" r:id="rId3015" tooltip="Завантажити сертифікат" display="Завантажити сертифікат"/>
    <hyperlink ref="E3019" r:id="rId3016" tooltip="Завантажити сертифікат" display="Завантажити сертифікат"/>
    <hyperlink ref="E3020" r:id="rId3017" tooltip="Завантажити сертифікат" display="Завантажити сертифікат"/>
    <hyperlink ref="E3021" r:id="rId3018" tooltip="Завантажити сертифікат" display="Завантажити сертифікат"/>
    <hyperlink ref="E3022" r:id="rId3019" tooltip="Завантажити сертифікат" display="Завантажити сертифікат"/>
    <hyperlink ref="E3023" r:id="rId3020" tooltip="Завантажити сертифікат" display="Завантажити сертифікат"/>
    <hyperlink ref="E3024" r:id="rId3021" tooltip="Завантажити сертифікат" display="Завантажити сертифікат"/>
    <hyperlink ref="E3025" r:id="rId3022" tooltip="Завантажити сертифікат" display="Завантажити сертифікат"/>
    <hyperlink ref="E3026" r:id="rId3023" tooltip="Завантажити сертифікат" display="Завантажити сертифікат"/>
    <hyperlink ref="E3027" r:id="rId3024" tooltip="Завантажити сертифікат" display="Завантажити сертифікат"/>
    <hyperlink ref="E3028" r:id="rId3025" tooltip="Завантажити сертифікат" display="Завантажити сертифікат"/>
    <hyperlink ref="E3029" r:id="rId3026" tooltip="Завантажити сертифікат" display="Завантажити сертифікат"/>
    <hyperlink ref="E3030" r:id="rId3027" tooltip="Завантажити сертифікат" display="Завантажити сертифікат"/>
    <hyperlink ref="E3031" r:id="rId3028" tooltip="Завантажити сертифікат" display="Завантажити сертифікат"/>
    <hyperlink ref="E3032" r:id="rId3029" tooltip="Завантажити сертифікат" display="Завантажити сертифікат"/>
    <hyperlink ref="E3033" r:id="rId3030" tooltip="Завантажити сертифікат" display="Завантажити сертифікат"/>
    <hyperlink ref="E3034" r:id="rId3031" tooltip="Завантажити сертифікат" display="Завантажити сертифікат"/>
    <hyperlink ref="E3035" r:id="rId3032" tooltip="Завантажити сертифікат" display="Завантажити сертифікат"/>
    <hyperlink ref="E3036" r:id="rId3033" tooltip="Завантажити сертифікат" display="Завантажити сертифікат"/>
    <hyperlink ref="E3037" r:id="rId3034" tooltip="Завантажити сертифікат" display="Завантажити сертифікат"/>
    <hyperlink ref="E3038" r:id="rId3035" tooltip="Завантажити сертифікат" display="Завантажити сертифікат"/>
    <hyperlink ref="E3039" r:id="rId3036" tooltip="Завантажити сертифікат" display="Завантажити сертифікат"/>
    <hyperlink ref="E3040" r:id="rId3037" tooltip="Завантажити сертифікат" display="Завантажити сертифікат"/>
    <hyperlink ref="E3041" r:id="rId3038" tooltip="Завантажити сертифікат" display="Завантажити сертифікат"/>
    <hyperlink ref="E3042" r:id="rId3039" tooltip="Завантажити сертифікат" display="Завантажити сертифікат"/>
    <hyperlink ref="E3043" r:id="rId3040" tooltip="Завантажити сертифікат" display="Завантажити сертифікат"/>
    <hyperlink ref="E3044" r:id="rId3041" tooltip="Завантажити сертифікат" display="Завантажити сертифікат"/>
    <hyperlink ref="E3045" r:id="rId3042" tooltip="Завантажити сертифікат" display="Завантажити сертифікат"/>
    <hyperlink ref="E3046" r:id="rId3043" tooltip="Завантажити сертифікат" display="Завантажити сертифікат"/>
    <hyperlink ref="E3047" r:id="rId3044" tooltip="Завантажити сертифікат" display="Завантажити сертифікат"/>
    <hyperlink ref="E3048" r:id="rId3045" tooltip="Завантажити сертифікат" display="Завантажити сертифікат"/>
    <hyperlink ref="E3049" r:id="rId3046" tooltip="Завантажити сертифікат" display="Завантажити сертифікат"/>
    <hyperlink ref="E3050" r:id="rId3047" tooltip="Завантажити сертифікат" display="Завантажити сертифікат"/>
    <hyperlink ref="E3051" r:id="rId3048" tooltip="Завантажити сертифікат" display="Завантажити сертифікат"/>
    <hyperlink ref="E3052" r:id="rId3049" tooltip="Завантажити сертифікат" display="Завантажити сертифікат"/>
    <hyperlink ref="E3053" r:id="rId3050" tooltip="Завантажити сертифікат" display="Завантажити сертифікат"/>
    <hyperlink ref="E3054" r:id="rId3051" tooltip="Завантажити сертифікат" display="Завантажити сертифікат"/>
    <hyperlink ref="E3055" r:id="rId3052" tooltip="Завантажити сертифікат" display="Завантажити сертифікат"/>
    <hyperlink ref="E3056" r:id="rId3053" tooltip="Завантажити сертифікат" display="Завантажити сертифікат"/>
    <hyperlink ref="E3057" r:id="rId3054" tooltip="Завантажити сертифікат" display="Завантажити сертифікат"/>
    <hyperlink ref="E3058" r:id="rId3055" tooltip="Завантажити сертифікат" display="Завантажити сертифікат"/>
    <hyperlink ref="E3059" r:id="rId3056" tooltip="Завантажити сертифікат" display="Завантажити сертифікат"/>
    <hyperlink ref="E3060" r:id="rId3057" tooltip="Завантажити сертифікат" display="Завантажити сертифікат"/>
    <hyperlink ref="E3061" r:id="rId3058" tooltip="Завантажити сертифікат" display="Завантажити сертифікат"/>
    <hyperlink ref="E3062" r:id="rId3059" tooltip="Завантажити сертифікат" display="Завантажити сертифікат"/>
    <hyperlink ref="E3063" r:id="rId3060" tooltip="Завантажити сертифікат" display="Завантажити сертифікат"/>
    <hyperlink ref="E3064" r:id="rId3061" tooltip="Завантажити сертифікат" display="Завантажити сертифікат"/>
    <hyperlink ref="E3065" r:id="rId3062" tooltip="Завантажити сертифікат" display="Завантажити сертифікат"/>
    <hyperlink ref="E3066" r:id="rId3063" tooltip="Завантажити сертифікат" display="Завантажити сертифікат"/>
    <hyperlink ref="E3067" r:id="rId3064" tooltip="Завантажити сертифікат" display="Завантажити сертифікат"/>
    <hyperlink ref="E3068" r:id="rId3065" tooltip="Завантажити сертифікат" display="Завантажити сертифікат"/>
    <hyperlink ref="E3069" r:id="rId3066" tooltip="Завантажити сертифікат" display="Завантажити сертифікат"/>
    <hyperlink ref="E3070" r:id="rId3067" tooltip="Завантажити сертифікат" display="Завантажити сертифікат"/>
    <hyperlink ref="E3071" r:id="rId3068" tooltip="Завантажити сертифікат" display="Завантажити сертифікат"/>
    <hyperlink ref="E3072" r:id="rId3069" tooltip="Завантажити сертифікат" display="Завантажити сертифікат"/>
    <hyperlink ref="E3073" r:id="rId3070" tooltip="Завантажити сертифікат" display="Завантажити сертифікат"/>
    <hyperlink ref="E3074" r:id="rId3071" tooltip="Завантажити сертифікат" display="Завантажити сертифікат"/>
    <hyperlink ref="E3075" r:id="rId3072" tooltip="Завантажити сертифікат" display="Завантажити сертифікат"/>
    <hyperlink ref="E3076" r:id="rId3073" tooltip="Завантажити сертифікат" display="Завантажити сертифікат"/>
    <hyperlink ref="E3077" r:id="rId3074" tooltip="Завантажити сертифікат" display="Завантажити сертифікат"/>
    <hyperlink ref="E3078" r:id="rId3075" tooltip="Завантажити сертифікат" display="Завантажити сертифікат"/>
    <hyperlink ref="E3079" r:id="rId3076" tooltip="Завантажити сертифікат" display="Завантажити сертифікат"/>
    <hyperlink ref="E3080" r:id="rId3077" tooltip="Завантажити сертифікат" display="Завантажити сертифікат"/>
    <hyperlink ref="E3081" r:id="rId3078" tooltip="Завантажити сертифікат" display="Завантажити сертифікат"/>
    <hyperlink ref="E3082" r:id="rId3079" tooltip="Завантажити сертифікат" display="Завантажити сертифікат"/>
    <hyperlink ref="E3083" r:id="rId3080" tooltip="Завантажити сертифікат" display="Завантажити сертифікат"/>
    <hyperlink ref="E3084" r:id="rId3081" tooltip="Завантажити сертифікат" display="Завантажити сертифікат"/>
    <hyperlink ref="E3085" r:id="rId3082" tooltip="Завантажити сертифікат" display="Завантажити сертифікат"/>
    <hyperlink ref="E3086" r:id="rId3083" tooltip="Завантажити сертифікат" display="Завантажити сертифікат"/>
    <hyperlink ref="E3087" r:id="rId3084" tooltip="Завантажити сертифікат" display="Завантажити сертифікат"/>
    <hyperlink ref="E3088" r:id="rId3085" tooltip="Завантажити сертифікат" display="Завантажити сертифікат"/>
    <hyperlink ref="E3089" r:id="rId3086" tooltip="Завантажити сертифікат" display="Завантажити сертифікат"/>
    <hyperlink ref="E3090" r:id="rId3087" tooltip="Завантажити сертифікат" display="Завантажити сертифікат"/>
    <hyperlink ref="E3091" r:id="rId3088" tooltip="Завантажити сертифікат" display="Завантажити сертифікат"/>
    <hyperlink ref="E3092" r:id="rId3089" tooltip="Завантажити сертифікат" display="Завантажити сертифікат"/>
    <hyperlink ref="E3093" r:id="rId3090" tooltip="Завантажити сертифікат" display="Завантажити сертифікат"/>
    <hyperlink ref="E3094" r:id="rId3091" tooltip="Завантажити сертифікат" display="Завантажити сертифікат"/>
    <hyperlink ref="E3095" r:id="rId3092" tooltip="Завантажити сертифікат" display="Завантажити сертифікат"/>
    <hyperlink ref="E3096" r:id="rId3093" tooltip="Завантажити сертифікат" display="Завантажити сертифікат"/>
    <hyperlink ref="E3097" r:id="rId3094" tooltip="Завантажити сертифікат" display="Завантажити сертифікат"/>
    <hyperlink ref="E3098" r:id="rId3095" tooltip="Завантажити сертифікат" display="Завантажити сертифікат"/>
    <hyperlink ref="E3099" r:id="rId3096" tooltip="Завантажити сертифікат" display="Завантажити сертифікат"/>
    <hyperlink ref="E3100" r:id="rId3097" tooltip="Завантажити сертифікат" display="Завантажити сертифікат"/>
    <hyperlink ref="E3101" r:id="rId3098" tooltip="Завантажити сертифікат" display="Завантажити сертифікат"/>
    <hyperlink ref="E3102" r:id="rId3099" tooltip="Завантажити сертифікат" display="Завантажити сертифікат"/>
    <hyperlink ref="E3103" r:id="rId3100" tooltip="Завантажити сертифікат" display="Завантажити сертифікат"/>
    <hyperlink ref="E3104" r:id="rId3101" tooltip="Завантажити сертифікат" display="Завантажити сертифікат"/>
    <hyperlink ref="E3105" r:id="rId3102" tooltip="Завантажити сертифікат" display="Завантажити сертифікат"/>
    <hyperlink ref="E3106" r:id="rId3103" tooltip="Завантажити сертифікат" display="Завантажити сертифікат"/>
    <hyperlink ref="E3107" r:id="rId3104" tooltip="Завантажити сертифікат" display="Завантажити сертифікат"/>
    <hyperlink ref="E3108" r:id="rId3105" tooltip="Завантажити сертифікат" display="Завантажити сертифікат"/>
    <hyperlink ref="E3109" r:id="rId3106" tooltip="Завантажити сертифікат" display="Завантажити сертифікат"/>
    <hyperlink ref="E3110" r:id="rId3107" tooltip="Завантажити сертифікат" display="Завантажити сертифікат"/>
    <hyperlink ref="E3111" r:id="rId3108" tooltip="Завантажити сертифікат" display="Завантажити сертифікат"/>
    <hyperlink ref="E3112" r:id="rId3109" tooltip="Завантажити сертифікат" display="Завантажити сертифікат"/>
    <hyperlink ref="E3113" r:id="rId3110" tooltip="Завантажити сертифікат" display="Завантажити сертифікат"/>
    <hyperlink ref="E3114" r:id="rId3111" tooltip="Завантажити сертифікат" display="Завантажити сертифікат"/>
    <hyperlink ref="E3115" r:id="rId3112" tooltip="Завантажити сертифікат" display="Завантажити сертифікат"/>
    <hyperlink ref="E3116" r:id="rId3113" tooltip="Завантажити сертифікат" display="Завантажити сертифікат"/>
    <hyperlink ref="E3117" r:id="rId3114" tooltip="Завантажити сертифікат" display="Завантажити сертифікат"/>
    <hyperlink ref="E3118" r:id="rId3115" tooltip="Завантажити сертифікат" display="Завантажити сертифікат"/>
    <hyperlink ref="E3119" r:id="rId3116" tooltip="Завантажити сертифікат" display="Завантажити сертифікат"/>
    <hyperlink ref="E3120" r:id="rId3117" tooltip="Завантажити сертифікат" display="Завантажити сертифікат"/>
    <hyperlink ref="E3121" r:id="rId3118" tooltip="Завантажити сертифікат" display="Завантажити сертифікат"/>
    <hyperlink ref="E3122" r:id="rId3119" tooltip="Завантажити сертифікат" display="Завантажити сертифікат"/>
    <hyperlink ref="E3123" r:id="rId3120" tooltip="Завантажити сертифікат" display="Завантажити сертифікат"/>
    <hyperlink ref="E3124" r:id="rId3121" tooltip="Завантажити сертифікат" display="Завантажити сертифікат"/>
    <hyperlink ref="E3125" r:id="rId3122" tooltip="Завантажити сертифікат" display="Завантажити сертифікат"/>
    <hyperlink ref="E3126" r:id="rId3123" tooltip="Завантажити сертифікат" display="Завантажити сертифікат"/>
    <hyperlink ref="E3127" r:id="rId3124" tooltip="Завантажити сертифікат" display="Завантажити сертифікат"/>
    <hyperlink ref="E3128" r:id="rId3125" tooltip="Завантажити сертифікат" display="Завантажити сертифікат"/>
    <hyperlink ref="E3129" r:id="rId3126" tooltip="Завантажити сертифікат" display="Завантажити сертифікат"/>
    <hyperlink ref="E3130" r:id="rId3127" tooltip="Завантажити сертифікат" display="Завантажити сертифікат"/>
    <hyperlink ref="E3131" r:id="rId3128" tooltip="Завантажити сертифікат" display="Завантажити сертифікат"/>
    <hyperlink ref="E3132" r:id="rId3129" tooltip="Завантажити сертифікат" display="Завантажити сертифікат"/>
    <hyperlink ref="E3133" r:id="rId3130" tooltip="Завантажити сертифікат" display="Завантажити сертифікат"/>
    <hyperlink ref="E3134" r:id="rId3131" tooltip="Завантажити сертифікат" display="Завантажити сертифікат"/>
    <hyperlink ref="E3135" r:id="rId3132" tooltip="Завантажити сертифікат" display="Завантажити сертифікат"/>
    <hyperlink ref="E3136" r:id="rId3133" tooltip="Завантажити сертифікат" display="Завантажити сертифікат"/>
    <hyperlink ref="E3137" r:id="rId3134" tooltip="Завантажити сертифікат" display="Завантажити сертифікат"/>
    <hyperlink ref="E3138" r:id="rId3135" tooltip="Завантажити сертифікат" display="Завантажити сертифікат"/>
    <hyperlink ref="E3139" r:id="rId3136" tooltip="Завантажити сертифікат" display="Завантажити сертифікат"/>
    <hyperlink ref="E3140" r:id="rId3137" tooltip="Завантажити сертифікат" display="Завантажити сертифікат"/>
    <hyperlink ref="E3141" r:id="rId3138" tooltip="Завантажити сертифікат" display="Завантажити сертифікат"/>
    <hyperlink ref="E3142" r:id="rId3139" tooltip="Завантажити сертифікат" display="Завантажити сертифікат"/>
    <hyperlink ref="E3143" r:id="rId3140" tooltip="Завантажити сертифікат" display="Завантажити сертифікат"/>
    <hyperlink ref="E3144" r:id="rId3141" tooltip="Завантажити сертифікат" display="Завантажити сертифікат"/>
    <hyperlink ref="E3145" r:id="rId3142" tooltip="Завантажити сертифікат" display="Завантажити сертифікат"/>
    <hyperlink ref="E3146" r:id="rId3143" tooltip="Завантажити сертифікат" display="Завантажити сертифікат"/>
    <hyperlink ref="E3147" r:id="rId3144" tooltip="Завантажити сертифікат" display="Завантажити сертифікат"/>
    <hyperlink ref="E3148" r:id="rId3145" tooltip="Завантажити сертифікат" display="Завантажити сертифікат"/>
    <hyperlink ref="E3149" r:id="rId3146" tooltip="Завантажити сертифікат" display="Завантажити сертифікат"/>
    <hyperlink ref="E3150" r:id="rId3147" tooltip="Завантажити сертифікат" display="Завантажити сертифікат"/>
    <hyperlink ref="E3151" r:id="rId3148" tooltip="Завантажити сертифікат" display="Завантажити сертифікат"/>
    <hyperlink ref="E3152" r:id="rId3149" tooltip="Завантажити сертифікат" display="Завантажити сертифікат"/>
    <hyperlink ref="E3153" r:id="rId3150" tooltip="Завантажити сертифікат" display="Завантажити сертифікат"/>
    <hyperlink ref="E3154" r:id="rId3151" tooltip="Завантажити сертифікат" display="Завантажити сертифікат"/>
    <hyperlink ref="E3155" r:id="rId3152" tooltip="Завантажити сертифікат" display="Завантажити сертифікат"/>
    <hyperlink ref="E3156" r:id="rId3153" tooltip="Завантажити сертифікат" display="Завантажити сертифікат"/>
    <hyperlink ref="E3157" r:id="rId3154" tooltip="Завантажити сертифікат" display="Завантажити сертифікат"/>
    <hyperlink ref="E3158" r:id="rId3155" tooltip="Завантажити сертифікат" display="Завантажити сертифікат"/>
    <hyperlink ref="E3159" r:id="rId3156" tooltip="Завантажити сертифікат" display="Завантажити сертифікат"/>
    <hyperlink ref="E3160" r:id="rId3157" tooltip="Завантажити сертифікат" display="Завантажити сертифікат"/>
    <hyperlink ref="E3161" r:id="rId3158" tooltip="Завантажити сертифікат" display="Завантажити сертифікат"/>
    <hyperlink ref="E3162" r:id="rId3159" tooltip="Завантажити сертифікат" display="Завантажити сертифікат"/>
    <hyperlink ref="E3163" r:id="rId3160" tooltip="Завантажити сертифікат" display="Завантажити сертифікат"/>
    <hyperlink ref="E3164" r:id="rId3161" tooltip="Завантажити сертифікат" display="Завантажити сертифікат"/>
    <hyperlink ref="E3165" r:id="rId3162" tooltip="Завантажити сертифікат" display="Завантажити сертифікат"/>
    <hyperlink ref="E3166" r:id="rId3163" tooltip="Завантажити сертифікат" display="Завантажити сертифікат"/>
    <hyperlink ref="E3167" r:id="rId3164" tooltip="Завантажити сертифікат" display="Завантажити сертифікат"/>
    <hyperlink ref="E3168" r:id="rId3165" tooltip="Завантажити сертифікат" display="Завантажити сертифікат"/>
    <hyperlink ref="E3169" r:id="rId3166" tooltip="Завантажити сертифікат" display="Завантажити сертифікат"/>
    <hyperlink ref="E3170" r:id="rId3167" tooltip="Завантажити сертифікат" display="Завантажити сертифікат"/>
    <hyperlink ref="E3171" r:id="rId3168" tooltip="Завантажити сертифікат" display="Завантажити сертифікат"/>
    <hyperlink ref="E3172" r:id="rId3169" tooltip="Завантажити сертифікат" display="Завантажити сертифікат"/>
    <hyperlink ref="E3173" r:id="rId3170" tooltip="Завантажити сертифікат" display="Завантажити сертифікат"/>
    <hyperlink ref="E3174" r:id="rId3171" tooltip="Завантажити сертифікат" display="Завантажити сертифікат"/>
    <hyperlink ref="E3175" r:id="rId3172" tooltip="Завантажити сертифікат" display="Завантажити сертифікат"/>
    <hyperlink ref="E3176" r:id="rId3173" tooltip="Завантажити сертифікат" display="Завантажити сертифікат"/>
    <hyperlink ref="E3177" r:id="rId3174" tooltip="Завантажити сертифікат" display="Завантажити сертифікат"/>
    <hyperlink ref="E3178" r:id="rId3175" tooltip="Завантажити сертифікат" display="Завантажити сертифікат"/>
    <hyperlink ref="E3179" r:id="rId3176" tooltip="Завантажити сертифікат" display="Завантажити сертифікат"/>
    <hyperlink ref="E3180" r:id="rId3177" tooltip="Завантажити сертифікат" display="Завантажити сертифікат"/>
    <hyperlink ref="E3181" r:id="rId3178" tooltip="Завантажити сертифікат" display="Завантажити сертифікат"/>
    <hyperlink ref="E3182" r:id="rId3179" tooltip="Завантажити сертифікат" display="Завантажити сертифікат"/>
    <hyperlink ref="E3183" r:id="rId3180" tooltip="Завантажити сертифікат" display="Завантажити сертифікат"/>
    <hyperlink ref="E3184" r:id="rId3181" tooltip="Завантажити сертифікат" display="Завантажити сертифікат"/>
    <hyperlink ref="E3185" r:id="rId3182" tooltip="Завантажити сертифікат" display="Завантажити сертифікат"/>
    <hyperlink ref="E3186" r:id="rId3183" tooltip="Завантажити сертифікат" display="Завантажити сертифікат"/>
    <hyperlink ref="E3187" r:id="rId3184" tooltip="Завантажити сертифікат" display="Завантажити сертифікат"/>
    <hyperlink ref="E3188" r:id="rId3185" tooltip="Завантажити сертифікат" display="Завантажити сертифікат"/>
    <hyperlink ref="E3189" r:id="rId3186" tooltip="Завантажити сертифікат" display="Завантажити сертифікат"/>
    <hyperlink ref="E3190" r:id="rId3187" tooltip="Завантажити сертифікат" display="Завантажити сертифікат"/>
    <hyperlink ref="E3191" r:id="rId3188" tooltip="Завантажити сертифікат" display="Завантажити сертифікат"/>
    <hyperlink ref="E3192" r:id="rId3189" tooltip="Завантажити сертифікат" display="Завантажити сертифікат"/>
    <hyperlink ref="E3193" r:id="rId3190" tooltip="Завантажити сертифікат" display="Завантажити сертифікат"/>
    <hyperlink ref="E3194" r:id="rId3191" tooltip="Завантажити сертифікат" display="Завантажити сертифікат"/>
    <hyperlink ref="E3195" r:id="rId3192" tooltip="Завантажити сертифікат" display="Завантажити сертифікат"/>
    <hyperlink ref="E3196" r:id="rId3193" tooltip="Завантажити сертифікат" display="Завантажити сертифікат"/>
    <hyperlink ref="E3197" r:id="rId3194" tooltip="Завантажити сертифікат" display="Завантажити сертифікат"/>
    <hyperlink ref="E3198" r:id="rId3195" tooltip="Завантажити сертифікат" display="Завантажити сертифікат"/>
    <hyperlink ref="E3199" r:id="rId3196" tooltip="Завантажити сертифікат" display="Завантажити сертифікат"/>
    <hyperlink ref="E3200" r:id="rId3197" tooltip="Завантажити сертифікат" display="Завантажити сертифікат"/>
    <hyperlink ref="E3201" r:id="rId3198" tooltip="Завантажити сертифікат" display="Завантажити сертифікат"/>
    <hyperlink ref="E3202" r:id="rId3199" tooltip="Завантажити сертифікат" display="Завантажити сертифікат"/>
    <hyperlink ref="E3203" r:id="rId3200" tooltip="Завантажити сертифікат" display="Завантажити сертифікат"/>
    <hyperlink ref="E3204" r:id="rId3201" tooltip="Завантажити сертифікат" display="Завантажити сертифікат"/>
    <hyperlink ref="E3205" r:id="rId3202" tooltip="Завантажити сертифікат" display="Завантажити сертифікат"/>
    <hyperlink ref="E3206" r:id="rId3203" tooltip="Завантажити сертифікат" display="Завантажити сертифікат"/>
    <hyperlink ref="E3207" r:id="rId3204" tooltip="Завантажити сертифікат" display="Завантажити сертифікат"/>
    <hyperlink ref="E3208" r:id="rId3205" tooltip="Завантажити сертифікат" display="Завантажити сертифікат"/>
    <hyperlink ref="E3209" r:id="rId3206" tooltip="Завантажити сертифікат" display="Завантажити сертифікат"/>
    <hyperlink ref="E3210" r:id="rId3207" tooltip="Завантажити сертифікат" display="Завантажити сертифікат"/>
    <hyperlink ref="E3211" r:id="rId3208" tooltip="Завантажити сертифікат" display="Завантажити сертифікат"/>
    <hyperlink ref="E3212" r:id="rId3209" tooltip="Завантажити сертифікат" display="Завантажити сертифікат"/>
    <hyperlink ref="E3213" r:id="rId3210" tooltip="Завантажити сертифікат" display="Завантажити сертифікат"/>
    <hyperlink ref="E3214" r:id="rId3211" tooltip="Завантажити сертифікат" display="Завантажити сертифікат"/>
    <hyperlink ref="E3215" r:id="rId3212" tooltip="Завантажити сертифікат" display="Завантажити сертифікат"/>
    <hyperlink ref="E3216" r:id="rId3213" tooltip="Завантажити сертифікат" display="Завантажити сертифікат"/>
    <hyperlink ref="E3217" r:id="rId3214" tooltip="Завантажити сертифікат" display="Завантажити сертифікат"/>
    <hyperlink ref="E3218" r:id="rId3215" tooltip="Завантажити сертифікат" display="Завантажити сертифікат"/>
    <hyperlink ref="E3219" r:id="rId3216" tooltip="Завантажити сертифікат" display="Завантажити сертифікат"/>
    <hyperlink ref="E3220" r:id="rId3217" tooltip="Завантажити сертифікат" display="Завантажити сертифікат"/>
    <hyperlink ref="E3221" r:id="rId3218" tooltip="Завантажити сертифікат" display="Завантажити сертифікат"/>
    <hyperlink ref="E3222" r:id="rId3219" tooltip="Завантажити сертифікат" display="Завантажити сертифікат"/>
    <hyperlink ref="E3223" r:id="rId3220" tooltip="Завантажити сертифікат" display="Завантажити сертифікат"/>
    <hyperlink ref="E3224" r:id="rId3221" tooltip="Завантажити сертифікат" display="Завантажити сертифікат"/>
    <hyperlink ref="E3225" r:id="rId3222" tooltip="Завантажити сертифікат" display="Завантажити сертифікат"/>
    <hyperlink ref="E3226" r:id="rId3223" tooltip="Завантажити сертифікат" display="Завантажити сертифікат"/>
    <hyperlink ref="E3227" r:id="rId3224" tooltip="Завантажити сертифікат" display="Завантажити сертифікат"/>
    <hyperlink ref="E3228" r:id="rId3225" tooltip="Завантажити сертифікат" display="Завантажити сертифікат"/>
    <hyperlink ref="E3229" r:id="rId3226" tooltip="Завантажити сертифікат" display="Завантажити сертифікат"/>
    <hyperlink ref="E3230" r:id="rId3227" tooltip="Завантажити сертифікат" display="Завантажити сертифікат"/>
    <hyperlink ref="E3231" r:id="rId3228" tooltip="Завантажити сертифікат" display="Завантажити сертифікат"/>
    <hyperlink ref="E3232" r:id="rId3229" tooltip="Завантажити сертифікат" display="Завантажити сертифікат"/>
    <hyperlink ref="E3233" r:id="rId3230" tooltip="Завантажити сертифікат" display="Завантажити сертифікат"/>
    <hyperlink ref="E3234" r:id="rId3231" tooltip="Завантажити сертифікат" display="Завантажити сертифікат"/>
    <hyperlink ref="E3235" r:id="rId3232" tooltip="Завантажити сертифікат" display="Завантажити сертифікат"/>
    <hyperlink ref="E3236" r:id="rId3233" tooltip="Завантажити сертифікат" display="Завантажити сертифікат"/>
    <hyperlink ref="E3237" r:id="rId3234" tooltip="Завантажити сертифікат" display="Завантажити сертифікат"/>
    <hyperlink ref="E3238" r:id="rId3235" tooltip="Завантажити сертифікат" display="Завантажити сертифікат"/>
    <hyperlink ref="E3239" r:id="rId3236" tooltip="Завантажити сертифікат" display="Завантажити сертифікат"/>
    <hyperlink ref="E3240" r:id="rId3237" tooltip="Завантажити сертифікат" display="Завантажити сертифікат"/>
    <hyperlink ref="E3241" r:id="rId3238" tooltip="Завантажити сертифікат" display="Завантажити сертифікат"/>
    <hyperlink ref="E3242" r:id="rId3239" tooltip="Завантажити сертифікат" display="Завантажити сертифікат"/>
    <hyperlink ref="E3243" r:id="rId3240" tooltip="Завантажити сертифікат" display="Завантажити сертифікат"/>
    <hyperlink ref="E3244" r:id="rId3241" tooltip="Завантажити сертифікат" display="Завантажити сертифікат"/>
    <hyperlink ref="E3245" r:id="rId3242" tooltip="Завантажити сертифікат" display="Завантажити сертифікат"/>
    <hyperlink ref="E3246" r:id="rId3243" tooltip="Завантажити сертифікат" display="Завантажити сертифікат"/>
    <hyperlink ref="E3247" r:id="rId3244" tooltip="Завантажити сертифікат" display="Завантажити сертифікат"/>
    <hyperlink ref="E3248" r:id="rId3245" tooltip="Завантажити сертифікат" display="Завантажити сертифікат"/>
    <hyperlink ref="E3249" r:id="rId3246" tooltip="Завантажити сертифікат" display="Завантажити сертифікат"/>
    <hyperlink ref="E3250" r:id="rId3247" tooltip="Завантажити сертифікат" display="Завантажити сертифікат"/>
    <hyperlink ref="E3251" r:id="rId3248" tooltip="Завантажити сертифікат" display="Завантажити сертифікат"/>
    <hyperlink ref="E3252" r:id="rId3249" tooltip="Завантажити сертифікат" display="Завантажити сертифікат"/>
    <hyperlink ref="E3253" r:id="rId3250" tooltip="Завантажити сертифікат" display="Завантажити сертифікат"/>
    <hyperlink ref="E3254" r:id="rId3251" tooltip="Завантажити сертифікат" display="Завантажити сертифікат"/>
    <hyperlink ref="E3255" r:id="rId3252" tooltip="Завантажити сертифікат" display="Завантажити сертифікат"/>
    <hyperlink ref="E3256" r:id="rId3253" tooltip="Завантажити сертифікат" display="Завантажити сертифікат"/>
    <hyperlink ref="E3257" r:id="rId3254" tooltip="Завантажити сертифікат" display="Завантажити сертифікат"/>
    <hyperlink ref="E3258" r:id="rId3255" tooltip="Завантажити сертифікат" display="Завантажити сертифікат"/>
    <hyperlink ref="E3259" r:id="rId3256" tooltip="Завантажити сертифікат" display="Завантажити сертифікат"/>
    <hyperlink ref="E3260" r:id="rId3257" tooltip="Завантажити сертифікат" display="Завантажити сертифікат"/>
    <hyperlink ref="E3261" r:id="rId3258" tooltip="Завантажити сертифікат" display="Завантажити сертифікат"/>
    <hyperlink ref="E3262" r:id="rId3259" tooltip="Завантажити сертифікат" display="Завантажити сертифікат"/>
    <hyperlink ref="E3263" r:id="rId3260" tooltip="Завантажити сертифікат" display="Завантажити сертифікат"/>
    <hyperlink ref="E3264" r:id="rId3261" tooltip="Завантажити сертифікат" display="Завантажити сертифікат"/>
    <hyperlink ref="E3265" r:id="rId3262" tooltip="Завантажити сертифікат" display="Завантажити сертифікат"/>
    <hyperlink ref="E3266" r:id="rId3263" tooltip="Завантажити сертифікат" display="Завантажити сертифікат"/>
    <hyperlink ref="E3267" r:id="rId3264" tooltip="Завантажити сертифікат" display="Завантажити сертифікат"/>
    <hyperlink ref="E3268" r:id="rId3265" tooltip="Завантажити сертифікат" display="Завантажити сертифікат"/>
    <hyperlink ref="E3269" r:id="rId3266" tooltip="Завантажити сертифікат" display="Завантажити сертифікат"/>
    <hyperlink ref="E3270" r:id="rId3267" tooltip="Завантажити сертифікат" display="Завантажити сертифікат"/>
    <hyperlink ref="E3271" r:id="rId3268" tooltip="Завантажити сертифікат" display="Завантажити сертифікат"/>
    <hyperlink ref="E3272" r:id="rId3269" tooltip="Завантажити сертифікат" display="Завантажити сертифікат"/>
    <hyperlink ref="E3273" r:id="rId3270" tooltip="Завантажити сертифікат" display="Завантажити сертифікат"/>
    <hyperlink ref="E3274" r:id="rId3271" tooltip="Завантажити сертифікат" display="Завантажити сертифікат"/>
    <hyperlink ref="E3275" r:id="rId3272" tooltip="Завантажити сертифікат" display="Завантажити сертифікат"/>
    <hyperlink ref="E3276" r:id="rId3273" tooltip="Завантажити сертифікат" display="Завантажити сертифікат"/>
    <hyperlink ref="E3277" r:id="rId3274" tooltip="Завантажити сертифікат" display="Завантажити сертифікат"/>
    <hyperlink ref="E3278" r:id="rId3275" tooltip="Завантажити сертифікат" display="Завантажити сертифікат"/>
    <hyperlink ref="E3279" r:id="rId3276" tooltip="Завантажити сертифікат" display="Завантажити сертифікат"/>
    <hyperlink ref="E3280" r:id="rId3277" tooltip="Завантажити сертифікат" display="Завантажити сертифікат"/>
    <hyperlink ref="E3281" r:id="rId3278" tooltip="Завантажити сертифікат" display="Завантажити сертифікат"/>
    <hyperlink ref="E3282" r:id="rId3279" tooltip="Завантажити сертифікат" display="Завантажити сертифікат"/>
    <hyperlink ref="E3283" r:id="rId3280" tooltip="Завантажити сертифікат" display="Завантажити сертифікат"/>
    <hyperlink ref="E3284" r:id="rId3281" tooltip="Завантажити сертифікат" display="Завантажити сертифікат"/>
    <hyperlink ref="E3285" r:id="rId3282" tooltip="Завантажити сертифікат" display="Завантажити сертифікат"/>
    <hyperlink ref="E3286" r:id="rId3283" tooltip="Завантажити сертифікат" display="Завантажити сертифікат"/>
    <hyperlink ref="E3287" r:id="rId3284" tooltip="Завантажити сертифікат" display="Завантажити сертифікат"/>
    <hyperlink ref="E3288" r:id="rId3285" tooltip="Завантажити сертифікат" display="Завантажити сертифікат"/>
    <hyperlink ref="E3289" r:id="rId3286" tooltip="Завантажити сертифікат" display="Завантажити сертифікат"/>
    <hyperlink ref="E3290" r:id="rId3287" tooltip="Завантажити сертифікат" display="Завантажити сертифікат"/>
    <hyperlink ref="E3291" r:id="rId3288" tooltip="Завантажити сертифікат" display="Завантажити сертифікат"/>
    <hyperlink ref="E3292" r:id="rId3289" tooltip="Завантажити сертифікат" display="Завантажити сертифікат"/>
    <hyperlink ref="E3293" r:id="rId3290" tooltip="Завантажити сертифікат" display="Завантажити сертифікат"/>
    <hyperlink ref="E3294" r:id="rId3291" tooltip="Завантажити сертифікат" display="Завантажити сертифікат"/>
    <hyperlink ref="E3295" r:id="rId3292" tooltip="Завантажити сертифікат" display="Завантажити сертифікат"/>
    <hyperlink ref="E3296" r:id="rId3293" tooltip="Завантажити сертифікат" display="Завантажити сертифікат"/>
    <hyperlink ref="E3297" r:id="rId3294" tooltip="Завантажити сертифікат" display="Завантажити сертифікат"/>
    <hyperlink ref="E3298" r:id="rId3295" tooltip="Завантажити сертифікат" display="Завантажити сертифікат"/>
    <hyperlink ref="E3299" r:id="rId3296" tooltip="Завантажити сертифікат" display="Завантажити сертифікат"/>
    <hyperlink ref="E3300" r:id="rId3297" tooltip="Завантажити сертифікат" display="Завантажити сертифікат"/>
    <hyperlink ref="E3301" r:id="rId3298" tooltip="Завантажити сертифікат" display="Завантажити сертифікат"/>
    <hyperlink ref="E3302" r:id="rId3299" tooltip="Завантажити сертифікат" display="Завантажити сертифікат"/>
    <hyperlink ref="E3303" r:id="rId3300" tooltip="Завантажити сертифікат" display="Завантажити сертифікат"/>
    <hyperlink ref="E3304" r:id="rId3301" tooltip="Завантажити сертифікат" display="Завантажити сертифікат"/>
    <hyperlink ref="E3305" r:id="rId3302" tooltip="Завантажити сертифікат" display="Завантажити сертифікат"/>
    <hyperlink ref="E3306" r:id="rId3303" tooltip="Завантажити сертифікат" display="Завантажити сертифікат"/>
    <hyperlink ref="E3307" r:id="rId3304" tooltip="Завантажити сертифікат" display="Завантажити сертифікат"/>
    <hyperlink ref="E3308" r:id="rId3305" tooltip="Завантажити сертифікат" display="Завантажити сертифікат"/>
    <hyperlink ref="E3309" r:id="rId3306" tooltip="Завантажити сертифікат" display="Завантажити сертифікат"/>
    <hyperlink ref="E3310" r:id="rId3307" tooltip="Завантажити сертифікат" display="Завантажити сертифікат"/>
    <hyperlink ref="E3311" r:id="rId3308" tooltip="Завантажити сертифікат" display="Завантажити сертифікат"/>
    <hyperlink ref="E3312" r:id="rId3309" tooltip="Завантажити сертифікат" display="Завантажити сертифікат"/>
    <hyperlink ref="E3313" r:id="rId3310" tooltip="Завантажити сертифікат" display="Завантажити сертифікат"/>
    <hyperlink ref="E3314" r:id="rId3311" tooltip="Завантажити сертифікат" display="Завантажити сертифікат"/>
    <hyperlink ref="E3315" r:id="rId3312" tooltip="Завантажити сертифікат" display="Завантажити сертифікат"/>
    <hyperlink ref="E3316" r:id="rId3313" tooltip="Завантажити сертифікат" display="Завантажити сертифікат"/>
    <hyperlink ref="E3317" r:id="rId3314" tooltip="Завантажити сертифікат" display="Завантажити сертифікат"/>
    <hyperlink ref="E3318" r:id="rId3315" tooltip="Завантажити сертифікат" display="Завантажити сертифікат"/>
    <hyperlink ref="E3319" r:id="rId3316" tooltip="Завантажити сертифікат" display="Завантажити сертифікат"/>
    <hyperlink ref="E3320" r:id="rId3317" tooltip="Завантажити сертифікат" display="Завантажити сертифікат"/>
    <hyperlink ref="E3321" r:id="rId3318" tooltip="Завантажити сертифікат" display="Завантажити сертифікат"/>
    <hyperlink ref="E3322" r:id="rId3319" tooltip="Завантажити сертифікат" display="Завантажити сертифікат"/>
    <hyperlink ref="E3323" r:id="rId3320" tooltip="Завантажити сертифікат" display="Завантажити сертифікат"/>
    <hyperlink ref="E3324" r:id="rId3321" tooltip="Завантажити сертифікат" display="Завантажити сертифікат"/>
    <hyperlink ref="E3325" r:id="rId3322" tooltip="Завантажити сертифікат" display="Завантажити сертифікат"/>
    <hyperlink ref="E3326" r:id="rId3323" tooltip="Завантажити сертифікат" display="Завантажити сертифікат"/>
    <hyperlink ref="E3327" r:id="rId3324" tooltip="Завантажити сертифікат" display="Завантажити сертифікат"/>
    <hyperlink ref="E3328" r:id="rId3325" tooltip="Завантажити сертифікат" display="Завантажити сертифікат"/>
    <hyperlink ref="E3329" r:id="rId3326" tooltip="Завантажити сертифікат" display="Завантажити сертифікат"/>
    <hyperlink ref="E3330" r:id="rId3327" tooltip="Завантажити сертифікат" display="Завантажити сертифікат"/>
    <hyperlink ref="E3331" r:id="rId3328" tooltip="Завантажити сертифікат" display="Завантажити сертифікат"/>
    <hyperlink ref="E3332" r:id="rId3329" tooltip="Завантажити сертифікат" display="Завантажити сертифікат"/>
    <hyperlink ref="E3333" r:id="rId3330" tooltip="Завантажити сертифікат" display="Завантажити сертифікат"/>
    <hyperlink ref="E3334" r:id="rId3331" tooltip="Завантажити сертифікат" display="Завантажити сертифікат"/>
    <hyperlink ref="E3335" r:id="rId3332" tooltip="Завантажити сертифікат" display="Завантажити сертифікат"/>
    <hyperlink ref="E3336" r:id="rId3333" tooltip="Завантажити сертифікат" display="Завантажити сертифікат"/>
    <hyperlink ref="E3337" r:id="rId3334" tooltip="Завантажити сертифікат" display="Завантажити сертифікат"/>
    <hyperlink ref="E3338" r:id="rId3335" tooltip="Завантажити сертифікат" display="Завантажити сертифікат"/>
    <hyperlink ref="E3339" r:id="rId3336" tooltip="Завантажити сертифікат" display="Завантажити сертифікат"/>
    <hyperlink ref="E3340" r:id="rId3337" tooltip="Завантажити сертифікат" display="Завантажити сертифікат"/>
    <hyperlink ref="E3341" r:id="rId3338" tooltip="Завантажити сертифікат" display="Завантажити сертифікат"/>
    <hyperlink ref="E3342" r:id="rId3339" tooltip="Завантажити сертифікат" display="Завантажити сертифікат"/>
    <hyperlink ref="E3343" r:id="rId3340" tooltip="Завантажити сертифікат" display="Завантажити сертифікат"/>
    <hyperlink ref="E3344" r:id="rId3341" tooltip="Завантажити сертифікат" display="Завантажити сертифікат"/>
    <hyperlink ref="E3345" r:id="rId3342" tooltip="Завантажити сертифікат" display="Завантажити сертифікат"/>
    <hyperlink ref="E3346" r:id="rId3343" tooltip="Завантажити сертифікат" display="Завантажити сертифікат"/>
    <hyperlink ref="E3347" r:id="rId3344" tooltip="Завантажити сертифікат" display="Завантажити сертифікат"/>
    <hyperlink ref="E3348" r:id="rId3345" tooltip="Завантажити сертифікат" display="Завантажити сертифікат"/>
    <hyperlink ref="E3349" r:id="rId3346" tooltip="Завантажити сертифікат" display="Завантажити сертифікат"/>
    <hyperlink ref="E3350" r:id="rId3347" tooltip="Завантажити сертифікат" display="Завантажити сертифікат"/>
    <hyperlink ref="E3351" r:id="rId3348" tooltip="Завантажити сертифікат" display="Завантажити сертифікат"/>
    <hyperlink ref="E3352" r:id="rId3349" tooltip="Завантажити сертифікат" display="Завантажити сертифікат"/>
    <hyperlink ref="E3353" r:id="rId3350" tooltip="Завантажити сертифікат" display="Завантажити сертифікат"/>
    <hyperlink ref="E3354" r:id="rId3351" tooltip="Завантажити сертифікат" display="Завантажити сертифікат"/>
    <hyperlink ref="E3355" r:id="rId3352" tooltip="Завантажити сертифікат" display="Завантажити сертифікат"/>
    <hyperlink ref="E3356" r:id="rId3353" tooltip="Завантажити сертифікат" display="Завантажити сертифікат"/>
    <hyperlink ref="E3357" r:id="rId3354" tooltip="Завантажити сертифікат" display="Завантажити сертифікат"/>
    <hyperlink ref="E3358" r:id="rId3355" tooltip="Завантажити сертифікат" display="Завантажити сертифікат"/>
    <hyperlink ref="E3359" r:id="rId3356" tooltip="Завантажити сертифікат" display="Завантажити сертифікат"/>
    <hyperlink ref="E3360" r:id="rId3357" tooltip="Завантажити сертифікат" display="Завантажити сертифікат"/>
    <hyperlink ref="E3361" r:id="rId3358" tooltip="Завантажити сертифікат" display="Завантажити сертифікат"/>
    <hyperlink ref="E3362" r:id="rId3359" tooltip="Завантажити сертифікат" display="Завантажити сертифікат"/>
    <hyperlink ref="E3363" r:id="rId3360" tooltip="Завантажити сертифікат" display="Завантажити сертифікат"/>
    <hyperlink ref="E3364" r:id="rId3361" tooltip="Завантажити сертифікат" display="Завантажити сертифікат"/>
    <hyperlink ref="E3365" r:id="rId3362" tooltip="Завантажити сертифікат" display="Завантажити сертифікат"/>
    <hyperlink ref="E3366" r:id="rId3363" tooltip="Завантажити сертифікат" display="Завантажити сертифікат"/>
    <hyperlink ref="E3367" r:id="rId3364" tooltip="Завантажити сертифікат" display="Завантажити сертифікат"/>
    <hyperlink ref="E3368" r:id="rId3365" tooltip="Завантажити сертифікат" display="Завантажити сертифікат"/>
    <hyperlink ref="E3369" r:id="rId3366" tooltip="Завантажити сертифікат" display="Завантажити сертифікат"/>
    <hyperlink ref="E3370" r:id="rId3367" tooltip="Завантажити сертифікат" display="Завантажити сертифікат"/>
    <hyperlink ref="E3371" r:id="rId3368" tooltip="Завантажити сертифікат" display="Завантажити сертифікат"/>
    <hyperlink ref="E3372" r:id="rId3369" tooltip="Завантажити сертифікат" display="Завантажити сертифікат"/>
    <hyperlink ref="E3373" r:id="rId3370" tooltip="Завантажити сертифікат" display="Завантажити сертифікат"/>
    <hyperlink ref="E3374" r:id="rId3371" tooltip="Завантажити сертифікат" display="Завантажити сертифікат"/>
    <hyperlink ref="E3375" r:id="rId3372" tooltip="Завантажити сертифікат" display="Завантажити сертифікат"/>
    <hyperlink ref="E3376" r:id="rId3373" tooltip="Завантажити сертифікат" display="Завантажити сертифікат"/>
    <hyperlink ref="E3377" r:id="rId3374" tooltip="Завантажити сертифікат" display="Завантажити сертифікат"/>
    <hyperlink ref="E3378" r:id="rId3375" tooltip="Завантажити сертифікат" display="Завантажити сертифікат"/>
    <hyperlink ref="E3379" r:id="rId3376" tooltip="Завантажити сертифікат" display="Завантажити сертифікат"/>
    <hyperlink ref="E3380" r:id="rId3377" tooltip="Завантажити сертифікат" display="Завантажити сертифікат"/>
    <hyperlink ref="E3381" r:id="rId3378" tooltip="Завантажити сертифікат" display="Завантажити сертифікат"/>
    <hyperlink ref="E3382" r:id="rId3379" tooltip="Завантажити сертифікат" display="Завантажити сертифікат"/>
    <hyperlink ref="E3383" r:id="rId3380" tooltip="Завантажити сертифікат" display="Завантажити сертифікат"/>
    <hyperlink ref="E3384" r:id="rId3381" tooltip="Завантажити сертифікат" display="Завантажити сертифікат"/>
    <hyperlink ref="E3385" r:id="rId3382" tooltip="Завантажити сертифікат" display="Завантажити сертифікат"/>
    <hyperlink ref="E3386" r:id="rId3383" tooltip="Завантажити сертифікат" display="Завантажити сертифікат"/>
    <hyperlink ref="E3387" r:id="rId3384" tooltip="Завантажити сертифікат" display="Завантажити сертифікат"/>
    <hyperlink ref="E3388" r:id="rId3385" tooltip="Завантажити сертифікат" display="Завантажити сертифікат"/>
    <hyperlink ref="E3389" r:id="rId3386" tooltip="Завантажити сертифікат" display="Завантажити сертифікат"/>
    <hyperlink ref="E3390" r:id="rId3387" tooltip="Завантажити сертифікат" display="Завантажити сертифікат"/>
    <hyperlink ref="E3391" r:id="rId3388" tooltip="Завантажити сертифікат" display="Завантажити сертифікат"/>
    <hyperlink ref="E3392" r:id="rId3389" tooltip="Завантажити сертифікат" display="Завантажити сертифікат"/>
    <hyperlink ref="E3393" r:id="rId3390" tooltip="Завантажити сертифікат" display="Завантажити сертифікат"/>
    <hyperlink ref="E3394" r:id="rId3391" tooltip="Завантажити сертифікат" display="Завантажити сертифікат"/>
    <hyperlink ref="E3395" r:id="rId3392" tooltip="Завантажити сертифікат" display="Завантажити сертифікат"/>
    <hyperlink ref="E3396" r:id="rId3393" tooltip="Завантажити сертифікат" display="Завантажити сертифікат"/>
    <hyperlink ref="E3397" r:id="rId3394" tooltip="Завантажити сертифікат" display="Завантажити сертифікат"/>
    <hyperlink ref="E3398" r:id="rId3395" tooltip="Завантажити сертифікат" display="Завантажити сертифікат"/>
    <hyperlink ref="E3399" r:id="rId3396" tooltip="Завантажити сертифікат" display="Завантажити сертифікат"/>
    <hyperlink ref="E3400" r:id="rId3397" tooltip="Завантажити сертифікат" display="Завантажити сертифікат"/>
    <hyperlink ref="E3401" r:id="rId3398" tooltip="Завантажити сертифікат" display="Завантажити сертифікат"/>
    <hyperlink ref="E3402" r:id="rId3399" tooltip="Завантажити сертифікат" display="Завантажити сертифікат"/>
    <hyperlink ref="E3403" r:id="rId3400" tooltip="Завантажити сертифікат" display="Завантажити сертифікат"/>
    <hyperlink ref="E3404" r:id="rId3401" tooltip="Завантажити сертифікат" display="Завантажити сертифікат"/>
    <hyperlink ref="E3405" r:id="rId3402" tooltip="Завантажити сертифікат" display="Завантажити сертифікат"/>
    <hyperlink ref="E3406" r:id="rId3403" tooltip="Завантажити сертифікат" display="Завантажити сертифікат"/>
    <hyperlink ref="E3407" r:id="rId3404" tooltip="Завантажити сертифікат" display="Завантажити сертифікат"/>
    <hyperlink ref="E3408" r:id="rId3405" tooltip="Завантажити сертифікат" display="Завантажити сертифікат"/>
    <hyperlink ref="E3409" r:id="rId3406" tooltip="Завантажити сертифікат" display="Завантажити сертифікат"/>
    <hyperlink ref="E3410" r:id="rId3407" tooltip="Завантажити сертифікат" display="Завантажити сертифікат"/>
    <hyperlink ref="E3411" r:id="rId3408" tooltip="Завантажити сертифікат" display="Завантажити сертифікат"/>
    <hyperlink ref="E3412" r:id="rId3409" tooltip="Завантажити сертифікат" display="Завантажити сертифікат"/>
    <hyperlink ref="E3413" r:id="rId3410" tooltip="Завантажити сертифікат" display="Завантажити сертифікат"/>
    <hyperlink ref="E3414" r:id="rId3411" tooltip="Завантажити сертифікат" display="Завантажити сертифікат"/>
    <hyperlink ref="E3415" r:id="rId3412" tooltip="Завантажити сертифікат" display="Завантажити сертифікат"/>
    <hyperlink ref="E3416" r:id="rId3413" tooltip="Завантажити сертифікат" display="Завантажити сертифікат"/>
    <hyperlink ref="E3417" r:id="rId3414" tooltip="Завантажити сертифікат" display="Завантажити сертифікат"/>
    <hyperlink ref="E3418" r:id="rId3415" tooltip="Завантажити сертифікат" display="Завантажити сертифікат"/>
    <hyperlink ref="E3419" r:id="rId3416" tooltip="Завантажити сертифікат" display="Завантажити сертифікат"/>
    <hyperlink ref="E3420" r:id="rId3417" tooltip="Завантажити сертифікат" display="Завантажити сертифікат"/>
    <hyperlink ref="E3421" r:id="rId3418" tooltip="Завантажити сертифікат" display="Завантажити сертифікат"/>
    <hyperlink ref="E3422" r:id="rId3419" tooltip="Завантажити сертифікат" display="Завантажити сертифікат"/>
    <hyperlink ref="E3423" r:id="rId3420" tooltip="Завантажити сертифікат" display="Завантажити сертифікат"/>
    <hyperlink ref="E3424" r:id="rId3421" tooltip="Завантажити сертифікат" display="Завантажити сертифікат"/>
    <hyperlink ref="E3425" r:id="rId3422" tooltip="Завантажити сертифікат" display="Завантажити сертифікат"/>
    <hyperlink ref="E3426" r:id="rId3423" tooltip="Завантажити сертифікат" display="Завантажити сертифікат"/>
    <hyperlink ref="E3427" r:id="rId3424" tooltip="Завантажити сертифікат" display="Завантажити сертифікат"/>
    <hyperlink ref="E3428" r:id="rId3425" tooltip="Завантажити сертифікат" display="Завантажити сертифікат"/>
    <hyperlink ref="E3429" r:id="rId3426" tooltip="Завантажити сертифікат" display="Завантажити сертифікат"/>
    <hyperlink ref="E3430" r:id="rId3427" tooltip="Завантажити сертифікат" display="Завантажити сертифікат"/>
    <hyperlink ref="E3431" r:id="rId3428" tooltip="Завантажити сертифікат" display="Завантажити сертифікат"/>
    <hyperlink ref="E3432" r:id="rId3429" tooltip="Завантажити сертифікат" display="Завантажити сертифікат"/>
    <hyperlink ref="E3433" r:id="rId3430" tooltip="Завантажити сертифікат" display="Завантажити сертифікат"/>
    <hyperlink ref="E3434" r:id="rId3431" tooltip="Завантажити сертифікат" display="Завантажити сертифікат"/>
    <hyperlink ref="E3435" r:id="rId3432" tooltip="Завантажити сертифікат" display="Завантажити сертифікат"/>
    <hyperlink ref="E3436" r:id="rId3433" tooltip="Завантажити сертифікат" display="Завантажити сертифікат"/>
    <hyperlink ref="E3437" r:id="rId3434" tooltip="Завантажити сертифікат" display="Завантажити сертифікат"/>
    <hyperlink ref="E3438" r:id="rId3435" tooltip="Завантажити сертифікат" display="Завантажити сертифікат"/>
    <hyperlink ref="E3439" r:id="rId3436" tooltip="Завантажити сертифікат" display="Завантажити сертифікат"/>
    <hyperlink ref="E3440" r:id="rId3437" tooltip="Завантажити сертифікат" display="Завантажити сертифікат"/>
    <hyperlink ref="E3441" r:id="rId3438" tooltip="Завантажити сертифікат" display="Завантажити сертифікат"/>
    <hyperlink ref="E3442" r:id="rId3439" tooltip="Завантажити сертифікат" display="Завантажити сертифікат"/>
    <hyperlink ref="E3443" r:id="rId3440" tooltip="Завантажити сертифікат" display="Завантажити сертифікат"/>
    <hyperlink ref="E3444" r:id="rId3441" tooltip="Завантажити сертифікат" display="Завантажити сертифікат"/>
    <hyperlink ref="E3445" r:id="rId3442" tooltip="Завантажити сертифікат" display="Завантажити сертифікат"/>
    <hyperlink ref="E3446" r:id="rId3443" tooltip="Завантажити сертифікат" display="Завантажити сертифікат"/>
    <hyperlink ref="E3447" r:id="rId3444" tooltip="Завантажити сертифікат" display="Завантажити сертифікат"/>
    <hyperlink ref="E3448" r:id="rId3445" tooltip="Завантажити сертифікат" display="Завантажити сертифікат"/>
    <hyperlink ref="E3449" r:id="rId3446" tooltip="Завантажити сертифікат" display="Завантажити сертифікат"/>
    <hyperlink ref="E3450" r:id="rId3447" tooltip="Завантажити сертифікат" display="Завантажити сертифікат"/>
    <hyperlink ref="E3451" r:id="rId3448" tooltip="Завантажити сертифікат" display="Завантажити сертифікат"/>
    <hyperlink ref="E3452" r:id="rId3449" tooltip="Завантажити сертифікат" display="Завантажити сертифікат"/>
    <hyperlink ref="E3453" r:id="rId3450" tooltip="Завантажити сертифікат" display="Завантажити сертифікат"/>
    <hyperlink ref="E3454" r:id="rId3451" tooltip="Завантажити сертифікат" display="Завантажити сертифікат"/>
    <hyperlink ref="E3455" r:id="rId3452" tooltip="Завантажити сертифікат" display="Завантажити сертифікат"/>
    <hyperlink ref="E3456" r:id="rId3453" tooltip="Завантажити сертифікат" display="Завантажити сертифікат"/>
    <hyperlink ref="E3457" r:id="rId3454" tooltip="Завантажити сертифікат" display="Завантажити сертифікат"/>
    <hyperlink ref="E3458" r:id="rId3455" tooltip="Завантажити сертифікат" display="Завантажити сертифікат"/>
    <hyperlink ref="E3459" r:id="rId3456" tooltip="Завантажити сертифікат" display="Завантажити сертифікат"/>
    <hyperlink ref="E3460" r:id="rId3457" tooltip="Завантажити сертифікат" display="Завантажити сертифікат"/>
    <hyperlink ref="E3461" r:id="rId3458" tooltip="Завантажити сертифікат" display="Завантажити сертифікат"/>
    <hyperlink ref="E3462" r:id="rId3459" tooltip="Завантажити сертифікат" display="Завантажити сертифікат"/>
    <hyperlink ref="E3463" r:id="rId3460" tooltip="Завантажити сертифікат" display="Завантажити сертифікат"/>
    <hyperlink ref="E3464" r:id="rId3461" tooltip="Завантажити сертифікат" display="Завантажити сертифікат"/>
    <hyperlink ref="E3465" r:id="rId3462" tooltip="Завантажити сертифікат" display="Завантажити сертифікат"/>
    <hyperlink ref="E3466" r:id="rId3463" tooltip="Завантажити сертифікат" display="Завантажити сертифікат"/>
    <hyperlink ref="E3467" r:id="rId3464" tooltip="Завантажити сертифікат" display="Завантажити сертифікат"/>
    <hyperlink ref="E3468" r:id="rId3465" tooltip="Завантажити сертифікат" display="Завантажити сертифікат"/>
    <hyperlink ref="E3469" r:id="rId3466" tooltip="Завантажити сертифікат" display="Завантажити сертифікат"/>
    <hyperlink ref="E3470" r:id="rId3467" tooltip="Завантажити сертифікат" display="Завантажити сертифікат"/>
    <hyperlink ref="E3471" r:id="rId3468" tooltip="Завантажити сертифікат" display="Завантажити сертифікат"/>
    <hyperlink ref="E3472" r:id="rId3469" tooltip="Завантажити сертифікат" display="Завантажити сертифікат"/>
    <hyperlink ref="E3473" r:id="rId3470" tooltip="Завантажити сертифікат" display="Завантажити сертифікат"/>
    <hyperlink ref="E3474" r:id="rId3471" tooltip="Завантажити сертифікат" display="Завантажити сертифікат"/>
    <hyperlink ref="E3475" r:id="rId3472" tooltip="Завантажити сертифікат" display="Завантажити сертифікат"/>
    <hyperlink ref="E3476" r:id="rId3473" tooltip="Завантажити сертифікат" display="Завантажити сертифікат"/>
    <hyperlink ref="E3477" r:id="rId3474" tooltip="Завантажити сертифікат" display="Завантажити сертифікат"/>
    <hyperlink ref="E3478" r:id="rId3475" tooltip="Завантажити сертифікат" display="Завантажити сертифікат"/>
    <hyperlink ref="E3479" r:id="rId3476" tooltip="Завантажити сертифікат" display="Завантажити сертифікат"/>
    <hyperlink ref="E3480" r:id="rId3477" tooltip="Завантажити сертифікат" display="Завантажити сертифікат"/>
    <hyperlink ref="E3481" r:id="rId3478" tooltip="Завантажити сертифікат" display="Завантажити сертифікат"/>
    <hyperlink ref="E3482" r:id="rId3479" tooltip="Завантажити сертифікат" display="Завантажити сертифікат"/>
    <hyperlink ref="E3483" r:id="rId3480" tooltip="Завантажити сертифікат" display="Завантажити сертифікат"/>
    <hyperlink ref="E3484" r:id="rId3481" tooltip="Завантажити сертифікат" display="Завантажити сертифікат"/>
    <hyperlink ref="E3485" r:id="rId3482" tooltip="Завантажити сертифікат" display="Завантажити сертифікат"/>
    <hyperlink ref="E3486" r:id="rId3483" tooltip="Завантажити сертифікат" display="Завантажити сертифікат"/>
    <hyperlink ref="E3487" r:id="rId3484" tooltip="Завантажити сертифікат" display="Завантажити сертифікат"/>
    <hyperlink ref="E3488" r:id="rId3485" tooltip="Завантажити сертифікат" display="Завантажити сертифікат"/>
    <hyperlink ref="E3489" r:id="rId3486" tooltip="Завантажити сертифікат" display="Завантажити сертифікат"/>
    <hyperlink ref="E3490" r:id="rId3487" tooltip="Завантажити сертифікат" display="Завантажити сертифікат"/>
    <hyperlink ref="E3491" r:id="rId3488" tooltip="Завантажити сертифікат" display="Завантажити сертифікат"/>
    <hyperlink ref="E3492" r:id="rId3489" tooltip="Завантажити сертифікат" display="Завантажити сертифікат"/>
    <hyperlink ref="E3493" r:id="rId3490" tooltip="Завантажити сертифікат" display="Завантажити сертифікат"/>
    <hyperlink ref="E3494" r:id="rId3491" tooltip="Завантажити сертифікат" display="Завантажити сертифікат"/>
    <hyperlink ref="E3495" r:id="rId3492" tooltip="Завантажити сертифікат" display="Завантажити сертифікат"/>
    <hyperlink ref="E3496" r:id="rId3493" tooltip="Завантажити сертифікат" display="Завантажити сертифікат"/>
    <hyperlink ref="E3497" r:id="rId3494" tooltip="Завантажити сертифікат" display="Завантажити сертифікат"/>
    <hyperlink ref="E3498" r:id="rId3495" tooltip="Завантажити сертифікат" display="Завантажити сертифікат"/>
    <hyperlink ref="E3499" r:id="rId3496" tooltip="Завантажити сертифікат" display="Завантажити сертифікат"/>
    <hyperlink ref="E3500" r:id="rId3497" tooltip="Завантажити сертифікат" display="Завантажити сертифікат"/>
    <hyperlink ref="E3501" r:id="rId3498" tooltip="Завантажити сертифікат" display="Завантажити сертифікат"/>
    <hyperlink ref="E3502" r:id="rId3499" tooltip="Завантажити сертифікат" display="Завантажити сертифікат"/>
    <hyperlink ref="E3503" r:id="rId3500" tooltip="Завантажити сертифікат" display="Завантажити сертифікат"/>
    <hyperlink ref="E3504" r:id="rId3501" tooltip="Завантажити сертифікат" display="Завантажити сертифікат"/>
    <hyperlink ref="E3505" r:id="rId3502" tooltip="Завантажити сертифікат" display="Завантажити сертифікат"/>
    <hyperlink ref="E3506" r:id="rId3503" tooltip="Завантажити сертифікат" display="Завантажити сертифікат"/>
    <hyperlink ref="E3507" r:id="rId3504" tooltip="Завантажити сертифікат" display="Завантажити сертифікат"/>
    <hyperlink ref="E3508" r:id="rId3505" tooltip="Завантажити сертифікат" display="Завантажити сертифікат"/>
    <hyperlink ref="E3509" r:id="rId3506" tooltip="Завантажити сертифікат" display="Завантажити сертифікат"/>
    <hyperlink ref="E3510" r:id="rId3507" tooltip="Завантажити сертифікат" display="Завантажити сертифікат"/>
    <hyperlink ref="E3511" r:id="rId3508" tooltip="Завантажити сертифікат" display="Завантажити сертифікат"/>
    <hyperlink ref="E3512" r:id="rId3509" tooltip="Завантажити сертифікат" display="Завантажити сертифікат"/>
    <hyperlink ref="E3513" r:id="rId3510" tooltip="Завантажити сертифікат" display="Завантажити сертифікат"/>
    <hyperlink ref="E3514" r:id="rId3511" tooltip="Завантажити сертифікат" display="Завантажити сертифікат"/>
    <hyperlink ref="E3515" r:id="rId3512" tooltip="Завантажити сертифікат" display="Завантажити сертифікат"/>
    <hyperlink ref="E3516" r:id="rId3513" tooltip="Завантажити сертифікат" display="Завантажити сертифікат"/>
    <hyperlink ref="E3517" r:id="rId3514" tooltip="Завантажити сертифікат" display="Завантажити сертифікат"/>
    <hyperlink ref="E3518" r:id="rId3515" tooltip="Завантажити сертифікат" display="Завантажити сертифікат"/>
    <hyperlink ref="E3519" r:id="rId3516" tooltip="Завантажити сертифікат" display="Завантажити сертифікат"/>
    <hyperlink ref="E3520" r:id="rId3517" tooltip="Завантажити сертифікат" display="Завантажити сертифікат"/>
    <hyperlink ref="E3521" r:id="rId3518" tooltip="Завантажити сертифікат" display="Завантажити сертифікат"/>
    <hyperlink ref="E3522" r:id="rId3519" tooltip="Завантажити сертифікат" display="Завантажити сертифікат"/>
    <hyperlink ref="E3523" r:id="rId3520" tooltip="Завантажити сертифікат" display="Завантажити сертифікат"/>
    <hyperlink ref="E3524" r:id="rId3521" tooltip="Завантажити сертифікат" display="Завантажити сертифікат"/>
    <hyperlink ref="E3525" r:id="rId3522" tooltip="Завантажити сертифікат" display="Завантажити сертифікат"/>
    <hyperlink ref="E3526" r:id="rId3523" tooltip="Завантажити сертифікат" display="Завантажити сертифікат"/>
    <hyperlink ref="E3527" r:id="rId3524" tooltip="Завантажити сертифікат" display="Завантажити сертифікат"/>
    <hyperlink ref="E3528" r:id="rId3525" tooltip="Завантажити сертифікат" display="Завантажити сертифікат"/>
    <hyperlink ref="E3529" r:id="rId3526" tooltip="Завантажити сертифікат" display="Завантажити сертифікат"/>
    <hyperlink ref="E3530" r:id="rId3527" tooltip="Завантажити сертифікат" display="Завантажити сертифікат"/>
    <hyperlink ref="E3531" r:id="rId3528" tooltip="Завантажити сертифікат" display="Завантажити сертифікат"/>
    <hyperlink ref="E3532" r:id="rId3529" tooltip="Завантажити сертифікат" display="Завантажити сертифікат"/>
    <hyperlink ref="E3533" r:id="rId3530" tooltip="Завантажити сертифікат" display="Завантажити сертифікат"/>
    <hyperlink ref="E3534" r:id="rId3531" tooltip="Завантажити сертифікат" display="Завантажити сертифікат"/>
    <hyperlink ref="E3535" r:id="rId3532" tooltip="Завантажити сертифікат" display="Завантажити сертифікат"/>
    <hyperlink ref="E3536" r:id="rId3533" tooltip="Завантажити сертифікат" display="Завантажити сертифікат"/>
    <hyperlink ref="E3537" r:id="rId3534" tooltip="Завантажити сертифікат" display="Завантажити сертифікат"/>
    <hyperlink ref="E3538" r:id="rId3535" tooltip="Завантажити сертифікат" display="Завантажити сертифікат"/>
    <hyperlink ref="E3539" r:id="rId3536" tooltip="Завантажити сертифікат" display="Завантажити сертифікат"/>
    <hyperlink ref="E3540" r:id="rId3537" tooltip="Завантажити сертифікат" display="Завантажити сертифікат"/>
    <hyperlink ref="E3541" r:id="rId3538" tooltip="Завантажити сертифікат" display="Завантажити сертифікат"/>
    <hyperlink ref="E3542" r:id="rId3539" tooltip="Завантажити сертифікат" display="Завантажити сертифікат"/>
    <hyperlink ref="E3543" r:id="rId3540" tooltip="Завантажити сертифікат" display="Завантажити сертифікат"/>
    <hyperlink ref="E3544" r:id="rId3541" tooltip="Завантажити сертифікат" display="Завантажити сертифікат"/>
    <hyperlink ref="E3545" r:id="rId3542" tooltip="Завантажити сертифікат" display="Завантажити сертифікат"/>
    <hyperlink ref="E3546" r:id="rId3543" tooltip="Завантажити сертифікат" display="Завантажити сертифікат"/>
    <hyperlink ref="E3547" r:id="rId3544" tooltip="Завантажити сертифікат" display="Завантажити сертифікат"/>
    <hyperlink ref="E3548" r:id="rId3545" tooltip="Завантажити сертифікат" display="Завантажити сертифікат"/>
    <hyperlink ref="E3549" r:id="rId3546" tooltip="Завантажити сертифікат" display="Завантажити сертифікат"/>
    <hyperlink ref="E3550" r:id="rId3547" tooltip="Завантажити сертифікат" display="Завантажити сертифікат"/>
    <hyperlink ref="E3551" r:id="rId3548" tooltip="Завантажити сертифікат" display="Завантажити сертифікат"/>
    <hyperlink ref="E3552" r:id="rId3549" tooltip="Завантажити сертифікат" display="Завантажити сертифікат"/>
    <hyperlink ref="E3553" r:id="rId3550" tooltip="Завантажити сертифікат" display="Завантажити сертифікат"/>
    <hyperlink ref="E3554" r:id="rId3551" tooltip="Завантажити сертифікат" display="Завантажити сертифікат"/>
    <hyperlink ref="E3555" r:id="rId3552" tooltip="Завантажити сертифікат" display="Завантажити сертифікат"/>
    <hyperlink ref="E3556" r:id="rId3553" tooltip="Завантажити сертифікат" display="Завантажити сертифікат"/>
    <hyperlink ref="E3557" r:id="rId3554" tooltip="Завантажити сертифікат" display="Завантажити сертифікат"/>
    <hyperlink ref="E3558" r:id="rId3555" tooltip="Завантажити сертифікат" display="Завантажити сертифікат"/>
    <hyperlink ref="E3559" r:id="rId3556" tooltip="Завантажити сертифікат" display="Завантажити сертифікат"/>
    <hyperlink ref="E3560" r:id="rId3557" tooltip="Завантажити сертифікат" display="Завантажити сертифікат"/>
    <hyperlink ref="E3561" r:id="rId3558" tooltip="Завантажити сертифікат" display="Завантажити сертифікат"/>
    <hyperlink ref="E3562" r:id="rId3559" tooltip="Завантажити сертифікат" display="Завантажити сертифікат"/>
    <hyperlink ref="E3563" r:id="rId3560" tooltip="Завантажити сертифікат" display="Завантажити сертифікат"/>
    <hyperlink ref="E3564" r:id="rId3561" tooltip="Завантажити сертифікат" display="Завантажити сертифікат"/>
    <hyperlink ref="E3565" r:id="rId3562" tooltip="Завантажити сертифікат" display="Завантажити сертифікат"/>
    <hyperlink ref="E3566" r:id="rId3563" tooltip="Завантажити сертифікат" display="Завантажити сертифікат"/>
    <hyperlink ref="E3567" r:id="rId3564" tooltip="Завантажити сертифікат" display="Завантажити сертифікат"/>
    <hyperlink ref="E3568" r:id="rId3565" tooltip="Завантажити сертифікат" display="Завантажити сертифікат"/>
    <hyperlink ref="E3569" r:id="rId3566" tooltip="Завантажити сертифікат" display="Завантажити сертифікат"/>
    <hyperlink ref="E3570" r:id="rId3567" tooltip="Завантажити сертифікат" display="Завантажити сертифікат"/>
    <hyperlink ref="E3571" r:id="rId3568" tooltip="Завантажити сертифікат" display="Завантажити сертифікат"/>
    <hyperlink ref="E3572" r:id="rId3569" tooltip="Завантажити сертифікат" display="Завантажити сертифікат"/>
    <hyperlink ref="E3573" r:id="rId3570" tooltip="Завантажити сертифікат" display="Завантажити сертифікат"/>
    <hyperlink ref="E3574" r:id="rId3571" tooltip="Завантажити сертифікат" display="Завантажити сертифікат"/>
    <hyperlink ref="E3575" r:id="rId3572" tooltip="Завантажити сертифікат" display="Завантажити сертифікат"/>
    <hyperlink ref="E3576" r:id="rId3573" tooltip="Завантажити сертифікат" display="Завантажити сертифікат"/>
    <hyperlink ref="E3577" r:id="rId3574" tooltip="Завантажити сертифікат" display="Завантажити сертифікат"/>
    <hyperlink ref="E3578" r:id="rId3575" tooltip="Завантажити сертифікат" display="Завантажити сертифікат"/>
    <hyperlink ref="E3579" r:id="rId3576" tooltip="Завантажити сертифікат" display="Завантажити сертифікат"/>
    <hyperlink ref="E3580" r:id="rId3577" tooltip="Завантажити сертифікат" display="Завантажити сертифікат"/>
    <hyperlink ref="E3581" r:id="rId3578" tooltip="Завантажити сертифікат" display="Завантажити сертифікат"/>
    <hyperlink ref="E3582" r:id="rId3579" tooltip="Завантажити сертифікат" display="Завантажити сертифікат"/>
    <hyperlink ref="E3583" r:id="rId3580" tooltip="Завантажити сертифікат" display="Завантажити сертифікат"/>
    <hyperlink ref="E3584" r:id="rId3581" tooltip="Завантажити сертифікат" display="Завантажити сертифікат"/>
    <hyperlink ref="E3585" r:id="rId3582" tooltip="Завантажити сертифікат" display="Завантажити сертифікат"/>
    <hyperlink ref="E3586" r:id="rId3583" tooltip="Завантажити сертифікат" display="Завантажити сертифікат"/>
    <hyperlink ref="E3587" r:id="rId3584" tooltip="Завантажити сертифікат" display="Завантажити сертифікат"/>
    <hyperlink ref="E3588" r:id="rId3585" tooltip="Завантажити сертифікат" display="Завантажити сертифікат"/>
    <hyperlink ref="E3589" r:id="rId3586" tooltip="Завантажити сертифікат" display="Завантажити сертифікат"/>
    <hyperlink ref="E3590" r:id="rId3587" tooltip="Завантажити сертифікат" display="Завантажити сертифікат"/>
    <hyperlink ref="E3591" r:id="rId3588" tooltip="Завантажити сертифікат" display="Завантажити сертифікат"/>
    <hyperlink ref="E3592" r:id="rId3589" tooltip="Завантажити сертифікат" display="Завантажити сертифікат"/>
    <hyperlink ref="E3593" r:id="rId3590" tooltip="Завантажити сертифікат" display="Завантажити сертифікат"/>
    <hyperlink ref="E3594" r:id="rId3591" tooltip="Завантажити сертифікат" display="Завантажити сертифікат"/>
    <hyperlink ref="E3595" r:id="rId3592" tooltip="Завантажити сертифікат" display="Завантажити сертифікат"/>
    <hyperlink ref="E3596" r:id="rId3593" tooltip="Завантажити сертифікат" display="Завантажити сертифікат"/>
    <hyperlink ref="E3597" r:id="rId3594" tooltip="Завантажити сертифікат" display="Завантажити сертифікат"/>
    <hyperlink ref="E3598" r:id="rId3595" tooltip="Завантажити сертифікат" display="Завантажити сертифікат"/>
    <hyperlink ref="E3599" r:id="rId3596" tooltip="Завантажити сертифікат" display="Завантажити сертифікат"/>
    <hyperlink ref="E3600" r:id="rId3597" tooltip="Завантажити сертифікат" display="Завантажити сертифікат"/>
    <hyperlink ref="E3601" r:id="rId3598" tooltip="Завантажити сертифікат" display="Завантажити сертифікат"/>
    <hyperlink ref="E3602" r:id="rId3599" tooltip="Завантажити сертифікат" display="Завантажити сертифікат"/>
    <hyperlink ref="E3603" r:id="rId3600" tooltip="Завантажити сертифікат" display="Завантажити сертифікат"/>
    <hyperlink ref="E3604" r:id="rId3601" tooltip="Завантажити сертифікат" display="Завантажити сертифікат"/>
    <hyperlink ref="E3605" r:id="rId3602" tooltip="Завантажити сертифікат" display="Завантажити сертифікат"/>
    <hyperlink ref="E3606" r:id="rId3603" tooltip="Завантажити сертифікат" display="Завантажити сертифікат"/>
    <hyperlink ref="E3607" r:id="rId3604" tooltip="Завантажити сертифікат" display="Завантажити сертифікат"/>
    <hyperlink ref="E3608" r:id="rId3605" tooltip="Завантажити сертифікат" display="Завантажити сертифікат"/>
    <hyperlink ref="E3609" r:id="rId3606" tooltip="Завантажити сертифікат" display="Завантажити сертифікат"/>
    <hyperlink ref="E3610" r:id="rId3607" tooltip="Завантажити сертифікат" display="Завантажити сертифікат"/>
    <hyperlink ref="E3611" r:id="rId3608" tooltip="Завантажити сертифікат" display="Завантажити сертифікат"/>
    <hyperlink ref="E3612" r:id="rId3609" tooltip="Завантажити сертифікат" display="Завантажити сертифікат"/>
    <hyperlink ref="E3613" r:id="rId3610" tooltip="Завантажити сертифікат" display="Завантажити сертифікат"/>
    <hyperlink ref="E3614" r:id="rId3611" tooltip="Завантажити сертифікат" display="Завантажити сертифікат"/>
    <hyperlink ref="E3615" r:id="rId3612" tooltip="Завантажити сертифікат" display="Завантажити сертифікат"/>
    <hyperlink ref="E3616" r:id="rId3613" tooltip="Завантажити сертифікат" display="Завантажити сертифікат"/>
    <hyperlink ref="E3617" r:id="rId3614" tooltip="Завантажити сертифікат" display="Завантажити сертифікат"/>
    <hyperlink ref="E3618" r:id="rId3615" tooltip="Завантажити сертифікат" display="Завантажити сертифікат"/>
    <hyperlink ref="E3619" r:id="rId3616" tooltip="Завантажити сертифікат" display="Завантажити сертифікат"/>
    <hyperlink ref="E3620" r:id="rId3617" tooltip="Завантажити сертифікат" display="Завантажити сертифікат"/>
    <hyperlink ref="E3621" r:id="rId3618" tooltip="Завантажити сертифікат" display="Завантажити сертифікат"/>
    <hyperlink ref="E3622" r:id="rId3619" tooltip="Завантажити сертифікат" display="Завантажити сертифікат"/>
    <hyperlink ref="E3623" r:id="rId3620" tooltip="Завантажити сертифікат" display="Завантажити сертифікат"/>
    <hyperlink ref="E3624" r:id="rId3621" tooltip="Завантажити сертифікат" display="Завантажити сертифікат"/>
    <hyperlink ref="E3625" r:id="rId3622" tooltip="Завантажити сертифікат" display="Завантажити сертифікат"/>
    <hyperlink ref="E3626" r:id="rId3623" tooltip="Завантажити сертифікат" display="Завантажити сертифікат"/>
    <hyperlink ref="E3627" r:id="rId3624" tooltip="Завантажити сертифікат" display="Завантажити сертифікат"/>
    <hyperlink ref="E3628" r:id="rId3625" tooltip="Завантажити сертифікат" display="Завантажити сертифікат"/>
    <hyperlink ref="E3629" r:id="rId3626" tooltip="Завантажити сертифікат" display="Завантажити сертифікат"/>
    <hyperlink ref="E3630" r:id="rId3627" tooltip="Завантажити сертифікат" display="Завантажити сертифікат"/>
    <hyperlink ref="E3631" r:id="rId3628" tooltip="Завантажити сертифікат" display="Завантажити сертифікат"/>
    <hyperlink ref="E3632" r:id="rId3629" tooltip="Завантажити сертифікат" display="Завантажити сертифікат"/>
    <hyperlink ref="E3633" r:id="rId3630" tooltip="Завантажити сертифікат" display="Завантажити сертифікат"/>
    <hyperlink ref="E3634" r:id="rId3631" tooltip="Завантажити сертифікат" display="Завантажити сертифікат"/>
    <hyperlink ref="E3635" r:id="rId3632" tooltip="Завантажити сертифікат" display="Завантажити сертифікат"/>
    <hyperlink ref="E3636" r:id="rId3633" tooltip="Завантажити сертифікат" display="Завантажити сертифікат"/>
    <hyperlink ref="E3637" r:id="rId3634" tooltip="Завантажити сертифікат" display="Завантажити сертифікат"/>
    <hyperlink ref="E3638" r:id="rId3635" tooltip="Завантажити сертифікат" display="Завантажити сертифікат"/>
    <hyperlink ref="E3639" r:id="rId3636" tooltip="Завантажити сертифікат" display="Завантажити сертифікат"/>
    <hyperlink ref="E3640" r:id="rId3637" tooltip="Завантажити сертифікат" display="Завантажити сертифікат"/>
    <hyperlink ref="E3641" r:id="rId3638" tooltip="Завантажити сертифікат" display="Завантажити сертифікат"/>
    <hyperlink ref="E3642" r:id="rId3639" tooltip="Завантажити сертифікат" display="Завантажити сертифікат"/>
    <hyperlink ref="E3643" r:id="rId3640" tooltip="Завантажити сертифікат" display="Завантажити сертифікат"/>
    <hyperlink ref="E3644" r:id="rId3641" tooltip="Завантажити сертифікат" display="Завантажити сертифікат"/>
    <hyperlink ref="E3645" r:id="rId3642" tooltip="Завантажити сертифікат" display="Завантажити сертифікат"/>
    <hyperlink ref="E3646" r:id="rId3643" tooltip="Завантажити сертифікат" display="Завантажити сертифікат"/>
    <hyperlink ref="E3647" r:id="rId3644" tooltip="Завантажити сертифікат" display="Завантажити сертифікат"/>
    <hyperlink ref="E3648" r:id="rId3645" tooltip="Завантажити сертифікат" display="Завантажити сертифікат"/>
    <hyperlink ref="E3649" r:id="rId3646" tooltip="Завантажити сертифікат" display="Завантажити сертифікат"/>
    <hyperlink ref="E3650" r:id="rId3647" tooltip="Завантажити сертифікат" display="Завантажити сертифікат"/>
    <hyperlink ref="E3651" r:id="rId3648" tooltip="Завантажити сертифікат" display="Завантажити сертифікат"/>
    <hyperlink ref="E3652" r:id="rId3649" tooltip="Завантажити сертифікат" display="Завантажити сертифікат"/>
    <hyperlink ref="E3653" r:id="rId3650" tooltip="Завантажити сертифікат" display="Завантажити сертифікат"/>
    <hyperlink ref="E3654" r:id="rId3651" tooltip="Завантажити сертифікат" display="Завантажити сертифікат"/>
    <hyperlink ref="E3655" r:id="rId3652" tooltip="Завантажити сертифікат" display="Завантажити сертифікат"/>
    <hyperlink ref="E3656" r:id="rId3653" tooltip="Завантажити сертифікат" display="Завантажити сертифікат"/>
    <hyperlink ref="E3657" r:id="rId3654" tooltip="Завантажити сертифікат" display="Завантажити сертифікат"/>
    <hyperlink ref="E3658" r:id="rId3655" tooltip="Завантажити сертифікат" display="Завантажити сертифікат"/>
    <hyperlink ref="E3659" r:id="rId3656" tooltip="Завантажити сертифікат" display="Завантажити сертифікат"/>
    <hyperlink ref="E3660" r:id="rId3657" tooltip="Завантажити сертифікат" display="Завантажити сертифікат"/>
    <hyperlink ref="E3661" r:id="rId3658" tooltip="Завантажити сертифікат" display="Завантажити сертифікат"/>
    <hyperlink ref="E3662" r:id="rId3659" tooltip="Завантажити сертифікат" display="Завантажити сертифікат"/>
    <hyperlink ref="E3663" r:id="rId3660" tooltip="Завантажити сертифікат" display="Завантажити сертифікат"/>
    <hyperlink ref="E3664" r:id="rId3661" tooltip="Завантажити сертифікат" display="Завантажити сертифікат"/>
    <hyperlink ref="E3665" r:id="rId3662" tooltip="Завантажити сертифікат" display="Завантажити сертифікат"/>
    <hyperlink ref="E3666" r:id="rId3663" tooltip="Завантажити сертифікат" display="Завантажити сертифікат"/>
    <hyperlink ref="E3667" r:id="rId3664" tooltip="Завантажити сертифікат" display="Завантажити сертифікат"/>
    <hyperlink ref="E3668" r:id="rId3665" tooltip="Завантажити сертифікат" display="Завантажити сертифікат"/>
    <hyperlink ref="E3669" r:id="rId3666" tooltip="Завантажити сертифікат" display="Завантажити сертифікат"/>
    <hyperlink ref="E3670" r:id="rId3667" tooltip="Завантажити сертифікат" display="Завантажити сертифікат"/>
    <hyperlink ref="E3671" r:id="rId3668" tooltip="Завантажити сертифікат" display="Завантажити сертифікат"/>
    <hyperlink ref="E3672" r:id="rId3669" tooltip="Завантажити сертифікат" display="Завантажити сертифікат"/>
    <hyperlink ref="E3673" r:id="rId3670" tooltip="Завантажити сертифікат" display="Завантажити сертифікат"/>
    <hyperlink ref="E3674" r:id="rId3671" tooltip="Завантажити сертифікат" display="Завантажити сертифікат"/>
    <hyperlink ref="E3675" r:id="rId3672" tooltip="Завантажити сертифікат" display="Завантажити сертифікат"/>
    <hyperlink ref="E3676" r:id="rId3673" tooltip="Завантажити сертифікат" display="Завантажити сертифікат"/>
    <hyperlink ref="E3677" r:id="rId3674" tooltip="Завантажити сертифікат" display="Завантажити сертифікат"/>
    <hyperlink ref="E3678" r:id="rId3675" tooltip="Завантажити сертифікат" display="Завантажити сертифікат"/>
    <hyperlink ref="E3679" r:id="rId3676" tooltip="Завантажити сертифікат" display="Завантажити сертифікат"/>
    <hyperlink ref="E3680" r:id="rId3677" tooltip="Завантажити сертифікат" display="Завантажити сертифікат"/>
    <hyperlink ref="E3681" r:id="rId3678" tooltip="Завантажити сертифікат" display="Завантажити сертифікат"/>
    <hyperlink ref="E3682" r:id="rId3679" tooltip="Завантажити сертифікат" display="Завантажити сертифікат"/>
    <hyperlink ref="E3683" r:id="rId3680" tooltip="Завантажити сертифікат" display="Завантажити сертифікат"/>
    <hyperlink ref="E3684" r:id="rId3681" tooltip="Завантажити сертифікат" display="Завантажити сертифікат"/>
    <hyperlink ref="E3685" r:id="rId3682" tooltip="Завантажити сертифікат" display="Завантажити сертифікат"/>
    <hyperlink ref="E3686" r:id="rId3683" tooltip="Завантажити сертифікат" display="Завантажити сертифікат"/>
    <hyperlink ref="E3687" r:id="rId3684" tooltip="Завантажити сертифікат" display="Завантажити сертифікат"/>
    <hyperlink ref="E3688" r:id="rId3685" tooltip="Завантажити сертифікат" display="Завантажити сертифікат"/>
    <hyperlink ref="E3689" r:id="rId3686" tooltip="Завантажити сертифікат" display="Завантажити сертифікат"/>
    <hyperlink ref="E3690" r:id="rId3687" tooltip="Завантажити сертифікат" display="Завантажити сертифікат"/>
    <hyperlink ref="E3691" r:id="rId3688" tooltip="Завантажити сертифікат" display="Завантажити сертифікат"/>
    <hyperlink ref="E3692" r:id="rId3689" tooltip="Завантажити сертифікат" display="Завантажити сертифікат"/>
    <hyperlink ref="E3693" r:id="rId3690" tooltip="Завантажити сертифікат" display="Завантажити сертифікат"/>
    <hyperlink ref="E3694" r:id="rId3691" tooltip="Завантажити сертифікат" display="Завантажити сертифікат"/>
    <hyperlink ref="E3695" r:id="rId3692" tooltip="Завантажити сертифікат" display="Завантажити сертифікат"/>
    <hyperlink ref="E3696" r:id="rId3693" tooltip="Завантажити сертифікат" display="Завантажити сертифікат"/>
    <hyperlink ref="E3697" r:id="rId3694" tooltip="Завантажити сертифікат" display="Завантажити сертифікат"/>
    <hyperlink ref="E3698" r:id="rId3695" tooltip="Завантажити сертифікат" display="Завантажити сертифікат"/>
    <hyperlink ref="E3699" r:id="rId3696" tooltip="Завантажити сертифікат" display="Завантажити сертифікат"/>
    <hyperlink ref="E3700" r:id="rId3697" tooltip="Завантажити сертифікат" display="Завантажити сертифікат"/>
    <hyperlink ref="E3701" r:id="rId3698" tooltip="Завантажити сертифікат" display="Завантажити сертифікат"/>
    <hyperlink ref="E3702" r:id="rId3699" tooltip="Завантажити сертифікат" display="Завантажити сертифікат"/>
    <hyperlink ref="E3703" r:id="rId3700" tooltip="Завантажити сертифікат" display="Завантажити сертифікат"/>
    <hyperlink ref="E3704" r:id="rId3701" tooltip="Завантажити сертифікат" display="Завантажити сертифікат"/>
    <hyperlink ref="E3705" r:id="rId3702" tooltip="Завантажити сертифікат" display="Завантажити сертифікат"/>
    <hyperlink ref="E3706" r:id="rId3703" tooltip="Завантажити сертифікат" display="Завантажити сертифікат"/>
    <hyperlink ref="E3707" r:id="rId3704" tooltip="Завантажити сертифікат" display="Завантажити сертифікат"/>
    <hyperlink ref="E3708" r:id="rId3705" tooltip="Завантажити сертифікат" display="Завантажити сертифікат"/>
    <hyperlink ref="E3709" r:id="rId3706" tooltip="Завантажити сертифікат" display="Завантажити сертифікат"/>
    <hyperlink ref="E3710" r:id="rId3707" tooltip="Завантажити сертифікат" display="Завантажити сертифікат"/>
    <hyperlink ref="E3711" r:id="rId3708" tooltip="Завантажити сертифікат" display="Завантажити сертифікат"/>
    <hyperlink ref="E3712" r:id="rId3709" tooltip="Завантажити сертифікат" display="Завантажити сертифікат"/>
    <hyperlink ref="E3713" r:id="rId3710" tooltip="Завантажити сертифікат" display="Завантажити сертифікат"/>
    <hyperlink ref="E3714" r:id="rId3711" tooltip="Завантажити сертифікат" display="Завантажити сертифікат"/>
    <hyperlink ref="E3715" r:id="rId3712" tooltip="Завантажити сертифікат" display="Завантажити сертифікат"/>
    <hyperlink ref="E3716" r:id="rId3713" tooltip="Завантажити сертифікат" display="Завантажити сертифікат"/>
    <hyperlink ref="E3717" r:id="rId3714" tooltip="Завантажити сертифікат" display="Завантажити сертифікат"/>
    <hyperlink ref="E3718" r:id="rId3715" tooltip="Завантажити сертифікат" display="Завантажити сертифікат"/>
    <hyperlink ref="E3719" r:id="rId3716" tooltip="Завантажити сертифікат" display="Завантажити сертифікат"/>
    <hyperlink ref="E3720" r:id="rId3717" tooltip="Завантажити сертифікат" display="Завантажити сертифікат"/>
    <hyperlink ref="E3721" r:id="rId3718" tooltip="Завантажити сертифікат" display="Завантажити сертифікат"/>
    <hyperlink ref="E3722" r:id="rId3719" tooltip="Завантажити сертифікат" display="Завантажити сертифікат"/>
    <hyperlink ref="E3723" r:id="rId3720" tooltip="Завантажити сертифікат" display="Завантажити сертифікат"/>
    <hyperlink ref="E3724" r:id="rId3721" tooltip="Завантажити сертифікат" display="Завантажити сертифікат"/>
    <hyperlink ref="E3725" r:id="rId3722" tooltip="Завантажити сертифікат" display="Завантажити сертифікат"/>
    <hyperlink ref="E3726" r:id="rId3723" tooltip="Завантажити сертифікат" display="Завантажити сертифікат"/>
    <hyperlink ref="E3727" r:id="rId3724" tooltip="Завантажити сертифікат" display="Завантажити сертифікат"/>
    <hyperlink ref="E3728" r:id="rId3725" tooltip="Завантажити сертифікат" display="Завантажити сертифікат"/>
    <hyperlink ref="E3729" r:id="rId3726" tooltip="Завантажити сертифікат" display="Завантажити сертифікат"/>
    <hyperlink ref="E3730" r:id="rId3727" tooltip="Завантажити сертифікат" display="Завантажити сертифікат"/>
    <hyperlink ref="E3731" r:id="rId3728" tooltip="Завантажити сертифікат" display="Завантажити сертифікат"/>
    <hyperlink ref="E3732" r:id="rId3729" tooltip="Завантажити сертифікат" display="Завантажити сертифікат"/>
    <hyperlink ref="E3733" r:id="rId3730" tooltip="Завантажити сертифікат" display="Завантажити сертифікат"/>
    <hyperlink ref="E3734" r:id="rId3731" tooltip="Завантажити сертифікат" display="Завантажити сертифікат"/>
    <hyperlink ref="E3735" r:id="rId3732" tooltip="Завантажити сертифікат" display="Завантажити сертифікат"/>
    <hyperlink ref="E3736" r:id="rId3733" tooltip="Завантажити сертифікат" display="Завантажити сертифікат"/>
    <hyperlink ref="E3737" r:id="rId3734" tooltip="Завантажити сертифікат" display="Завантажити сертифікат"/>
    <hyperlink ref="E3738" r:id="rId3735" tooltip="Завантажити сертифікат" display="Завантажити сертифікат"/>
    <hyperlink ref="E3739" r:id="rId3736" tooltip="Завантажити сертифікат" display="Завантажити сертифікат"/>
    <hyperlink ref="E3740" r:id="rId3737" tooltip="Завантажити сертифікат" display="Завантажити сертифікат"/>
    <hyperlink ref="E3741" r:id="rId3738" tooltip="Завантажити сертифікат" display="Завантажити сертифікат"/>
    <hyperlink ref="E3742" r:id="rId3739" tooltip="Завантажити сертифікат" display="Завантажити сертифікат"/>
    <hyperlink ref="E3743" r:id="rId3740" tooltip="Завантажити сертифікат" display="Завантажити сертифікат"/>
    <hyperlink ref="E3744" r:id="rId3741" tooltip="Завантажити сертифікат" display="Завантажити сертифікат"/>
    <hyperlink ref="E3745" r:id="rId3742" tooltip="Завантажити сертифікат" display="Завантажити сертифікат"/>
    <hyperlink ref="E3746" r:id="rId3743" tooltip="Завантажити сертифікат" display="Завантажити сертифікат"/>
    <hyperlink ref="E3747" r:id="rId3744" tooltip="Завантажити сертифікат" display="Завантажити сертифікат"/>
    <hyperlink ref="E3748" r:id="rId3745" tooltip="Завантажити сертифікат" display="Завантажити сертифікат"/>
    <hyperlink ref="E3749" r:id="rId3746" tooltip="Завантажити сертифікат" display="Завантажити сертифікат"/>
    <hyperlink ref="E3750" r:id="rId3747" tooltip="Завантажити сертифікат" display="Завантажити сертифікат"/>
    <hyperlink ref="E3751" r:id="rId3748" tooltip="Завантажити сертифікат" display="Завантажити сертифікат"/>
    <hyperlink ref="E3752" r:id="rId3749" tooltip="Завантажити сертифікат" display="Завантажити сертифікат"/>
    <hyperlink ref="E3753" r:id="rId3750" tooltip="Завантажити сертифікат" display="Завантажити сертифікат"/>
    <hyperlink ref="E3754" r:id="rId3751" tooltip="Завантажити сертифікат" display="Завантажити сертифікат"/>
    <hyperlink ref="E3755" r:id="rId3752" tooltip="Завантажити сертифікат" display="Завантажити сертифікат"/>
    <hyperlink ref="E3756" r:id="rId3753" tooltip="Завантажити сертифікат" display="Завантажити сертифікат"/>
    <hyperlink ref="E3757" r:id="rId3754" tooltip="Завантажити сертифікат" display="Завантажити сертифікат"/>
    <hyperlink ref="E3758" r:id="rId3755" tooltip="Завантажити сертифікат" display="Завантажити сертифікат"/>
    <hyperlink ref="E3759" r:id="rId3756" tooltip="Завантажити сертифікат" display="Завантажити сертифікат"/>
    <hyperlink ref="E3760" r:id="rId3757" tooltip="Завантажити сертифікат" display="Завантажити сертифікат"/>
    <hyperlink ref="E3761" r:id="rId3758" tooltip="Завантажити сертифікат" display="Завантажити сертифікат"/>
    <hyperlink ref="E3762" r:id="rId3759" tooltip="Завантажити сертифікат" display="Завантажити сертифікат"/>
    <hyperlink ref="E3763" r:id="rId3760" tooltip="Завантажити сертифікат" display="Завантажити сертифікат"/>
    <hyperlink ref="E3764" r:id="rId3761" tooltip="Завантажити сертифікат" display="Завантажити сертифікат"/>
    <hyperlink ref="E3765" r:id="rId3762" tooltip="Завантажити сертифікат" display="Завантажити сертифікат"/>
    <hyperlink ref="E3766" r:id="rId3763" tooltip="Завантажити сертифікат" display="Завантажити сертифікат"/>
    <hyperlink ref="E3767" r:id="rId3764" tooltip="Завантажити сертифікат" display="Завантажити сертифікат"/>
    <hyperlink ref="E3768" r:id="rId3765" tooltip="Завантажити сертифікат" display="Завантажити сертифікат"/>
    <hyperlink ref="E3769" r:id="rId3766" tooltip="Завантажити сертифікат" display="Завантажити сертифікат"/>
    <hyperlink ref="E3770" r:id="rId3767" tooltip="Завантажити сертифікат" display="Завантажити сертифікат"/>
    <hyperlink ref="E3771" r:id="rId3768" tooltip="Завантажити сертифікат" display="Завантажити сертифікат"/>
    <hyperlink ref="E3772" r:id="rId3769" tooltip="Завантажити сертифікат" display="Завантажити сертифікат"/>
    <hyperlink ref="E3773" r:id="rId3770" tooltip="Завантажити сертифікат" display="Завантажити сертифікат"/>
    <hyperlink ref="E3774" r:id="rId3771" tooltip="Завантажити сертифікат" display="Завантажити сертифікат"/>
    <hyperlink ref="E3775" r:id="rId3772" tooltip="Завантажити сертифікат" display="Завантажити сертифікат"/>
    <hyperlink ref="E3776" r:id="rId3773" tooltip="Завантажити сертифікат" display="Завантажити сертифікат"/>
    <hyperlink ref="E3777" r:id="rId3774" tooltip="Завантажити сертифікат" display="Завантажити сертифікат"/>
    <hyperlink ref="E3778" r:id="rId3775" tooltip="Завантажити сертифікат" display="Завантажити сертифікат"/>
    <hyperlink ref="E3779" r:id="rId3776" tooltip="Завантажити сертифікат" display="Завантажити сертифікат"/>
    <hyperlink ref="E3780" r:id="rId3777" tooltip="Завантажити сертифікат" display="Завантажити сертифікат"/>
    <hyperlink ref="E3781" r:id="rId3778" tooltip="Завантажити сертифікат" display="Завантажити сертифікат"/>
    <hyperlink ref="E3782" r:id="rId3779" tooltip="Завантажити сертифікат" display="Завантажити сертифікат"/>
    <hyperlink ref="E3783" r:id="rId3780" tooltip="Завантажити сертифікат" display="Завантажити сертифікат"/>
    <hyperlink ref="E3784" r:id="rId3781" tooltip="Завантажити сертифікат" display="Завантажити сертифікат"/>
    <hyperlink ref="E3785" r:id="rId3782" tooltip="Завантажити сертифікат" display="Завантажити сертифікат"/>
    <hyperlink ref="E3786" r:id="rId3783" tooltip="Завантажити сертифікат" display="Завантажити сертифікат"/>
    <hyperlink ref="E3787" r:id="rId3784" tooltip="Завантажити сертифікат" display="Завантажити сертифікат"/>
    <hyperlink ref="E3788" r:id="rId3785" tooltip="Завантажити сертифікат" display="Завантажити сертифікат"/>
    <hyperlink ref="E3789" r:id="rId3786" tooltip="Завантажити сертифікат" display="Завантажити сертифікат"/>
    <hyperlink ref="E3790" r:id="rId3787" tooltip="Завантажити сертифікат" display="Завантажити сертифікат"/>
    <hyperlink ref="E3791" r:id="rId3788" tooltip="Завантажити сертифікат" display="Завантажити сертифікат"/>
    <hyperlink ref="E3792" r:id="rId3789" tooltip="Завантажити сертифікат" display="Завантажити сертифікат"/>
    <hyperlink ref="E3793" r:id="rId3790" tooltip="Завантажити сертифікат" display="Завантажити сертифікат"/>
    <hyperlink ref="E3794" r:id="rId3791" tooltip="Завантажити сертифікат" display="Завантажити сертифікат"/>
    <hyperlink ref="E3795" r:id="rId3792" tooltip="Завантажити сертифікат" display="Завантажити сертифікат"/>
    <hyperlink ref="E3796" r:id="rId3793" tooltip="Завантажити сертифікат" display="Завантажити сертифікат"/>
    <hyperlink ref="E3797" r:id="rId3794" tooltip="Завантажити сертифікат" display="Завантажити сертифікат"/>
    <hyperlink ref="E3798" r:id="rId3795" tooltip="Завантажити сертифікат" display="Завантажити сертифікат"/>
    <hyperlink ref="E3799" r:id="rId3796" tooltip="Завантажити сертифікат" display="Завантажити сертифікат"/>
    <hyperlink ref="E3800" r:id="rId3797" tooltip="Завантажити сертифікат" display="Завантажити сертифікат"/>
    <hyperlink ref="E3801" r:id="rId3798" tooltip="Завантажити сертифікат" display="Завантажити сертифікат"/>
    <hyperlink ref="E3802" r:id="rId3799" tooltip="Завантажити сертифікат" display="Завантажити сертифікат"/>
    <hyperlink ref="E3803" r:id="rId3800" tooltip="Завантажити сертифікат" display="Завантажити сертифікат"/>
    <hyperlink ref="E3804" r:id="rId3801" tooltip="Завантажити сертифікат" display="Завантажити сертифікат"/>
    <hyperlink ref="E3805" r:id="rId3802" tooltip="Завантажити сертифікат" display="Завантажити сертифікат"/>
    <hyperlink ref="E3806" r:id="rId3803" tooltip="Завантажити сертифікат" display="Завантажити сертифікат"/>
    <hyperlink ref="E3807" r:id="rId3804" tooltip="Завантажити сертифікат" display="Завантажити сертифікат"/>
    <hyperlink ref="E3808" r:id="rId3805" tooltip="Завантажити сертифікат" display="Завантажити сертифікат"/>
    <hyperlink ref="E3809" r:id="rId3806" tooltip="Завантажити сертифікат" display="Завантажити сертифікат"/>
    <hyperlink ref="E3810" r:id="rId3807" tooltip="Завантажити сертифікат" display="Завантажити сертифікат"/>
    <hyperlink ref="E3811" r:id="rId3808" tooltip="Завантажити сертифікат" display="Завантажити сертифікат"/>
    <hyperlink ref="E3812" r:id="rId3809" tooltip="Завантажити сертифікат" display="Завантажити сертифікат"/>
    <hyperlink ref="E3813" r:id="rId3810" tooltip="Завантажити сертифікат" display="Завантажити сертифікат"/>
    <hyperlink ref="E3814" r:id="rId3811" tooltip="Завантажити сертифікат" display="Завантажити сертифікат"/>
    <hyperlink ref="E3815" r:id="rId3812" tooltip="Завантажити сертифікат" display="Завантажити сертифікат"/>
    <hyperlink ref="E3816" r:id="rId3813" tooltip="Завантажити сертифікат" display="Завантажити сертифікат"/>
    <hyperlink ref="E3817" r:id="rId3814" tooltip="Завантажити сертифікат" display="Завантажити сертифікат"/>
    <hyperlink ref="E3818" r:id="rId3815" tooltip="Завантажити сертифікат" display="Завантажити сертифікат"/>
    <hyperlink ref="E3819" r:id="rId3816" tooltip="Завантажити сертифікат" display="Завантажити сертифікат"/>
    <hyperlink ref="E3820" r:id="rId3817" tooltip="Завантажити сертифікат" display="Завантажити сертифікат"/>
    <hyperlink ref="E3821" r:id="rId3818" tooltip="Завантажити сертифікат" display="Завантажити сертифікат"/>
    <hyperlink ref="E3822" r:id="rId3819" tooltip="Завантажити сертифікат" display="Завантажити сертифікат"/>
    <hyperlink ref="E3823" r:id="rId3820" tooltip="Завантажити сертифікат" display="Завантажити сертифікат"/>
    <hyperlink ref="E3824" r:id="rId3821" tooltip="Завантажити сертифікат" display="Завантажити сертифікат"/>
    <hyperlink ref="E3825" r:id="rId3822" tooltip="Завантажити сертифікат" display="Завантажити сертифікат"/>
    <hyperlink ref="E3826" r:id="rId3823" tooltip="Завантажити сертифікат" display="Завантажити сертифікат"/>
    <hyperlink ref="E3827" r:id="rId3824" tooltip="Завантажити сертифікат" display="Завантажити сертифікат"/>
    <hyperlink ref="E3828" r:id="rId3825" tooltip="Завантажити сертифікат" display="Завантажити сертифікат"/>
    <hyperlink ref="E3829" r:id="rId3826" tooltip="Завантажити сертифікат" display="Завантажити сертифікат"/>
    <hyperlink ref="E3830" r:id="rId3827" tooltip="Завантажити сертифікат" display="Завантажити сертифікат"/>
    <hyperlink ref="E3831" r:id="rId3828" tooltip="Завантажити сертифікат" display="Завантажити сертифікат"/>
    <hyperlink ref="E3832" r:id="rId3829" tooltip="Завантажити сертифікат" display="Завантажити сертифікат"/>
    <hyperlink ref="E3833" r:id="rId3830" tooltip="Завантажити сертифікат" display="Завантажити сертифікат"/>
    <hyperlink ref="E3834" r:id="rId3831" tooltip="Завантажити сертифікат" display="Завантажити сертифікат"/>
    <hyperlink ref="E3835" r:id="rId3832" tooltip="Завантажити сертифікат" display="Завантажити сертифікат"/>
    <hyperlink ref="E3836" r:id="rId3833" tooltip="Завантажити сертифікат" display="Завантажити сертифікат"/>
    <hyperlink ref="E3837" r:id="rId3834" tooltip="Завантажити сертифікат" display="Завантажити сертифікат"/>
    <hyperlink ref="E3838" r:id="rId3835" tooltip="Завантажити сертифікат" display="Завантажити сертифікат"/>
    <hyperlink ref="E3839" r:id="rId3836" tooltip="Завантажити сертифікат" display="Завантажити сертифікат"/>
    <hyperlink ref="E3840" r:id="rId3837" tooltip="Завантажити сертифікат" display="Завантажити сертифікат"/>
    <hyperlink ref="E3841" r:id="rId3838" tooltip="Завантажити сертифікат" display="Завантажити сертифікат"/>
    <hyperlink ref="E3842" r:id="rId3839" tooltip="Завантажити сертифікат" display="Завантажити сертифікат"/>
    <hyperlink ref="E3843" r:id="rId3840" tooltip="Завантажити сертифікат" display="Завантажити сертифікат"/>
    <hyperlink ref="E3844" r:id="rId3841" tooltip="Завантажити сертифікат" display="Завантажити сертифікат"/>
    <hyperlink ref="E3845" r:id="rId3842" tooltip="Завантажити сертифікат" display="Завантажити сертифікат"/>
    <hyperlink ref="E3846" r:id="rId3843" tooltip="Завантажити сертифікат" display="Завантажити сертифікат"/>
    <hyperlink ref="E3847" r:id="rId3844" tooltip="Завантажити сертифікат" display="Завантажити сертифікат"/>
    <hyperlink ref="E3848" r:id="rId3845" tooltip="Завантажити сертифікат" display="Завантажити сертифікат"/>
    <hyperlink ref="E3849" r:id="rId3846" tooltip="Завантажити сертифікат" display="Завантажити сертифікат"/>
    <hyperlink ref="E3850" r:id="rId3847" tooltip="Завантажити сертифікат" display="Завантажити сертифікат"/>
    <hyperlink ref="E3851" r:id="rId3848" tooltip="Завантажити сертифікат" display="Завантажити сертифікат"/>
    <hyperlink ref="E3852" r:id="rId3849" tooltip="Завантажити сертифікат" display="Завантажити сертифікат"/>
    <hyperlink ref="E3853" r:id="rId3850" tooltip="Завантажити сертифікат" display="Завантажити сертифікат"/>
    <hyperlink ref="E3854" r:id="rId3851" tooltip="Завантажити сертифікат" display="Завантажити сертифікат"/>
    <hyperlink ref="E3855" r:id="rId3852" tooltip="Завантажити сертифікат" display="Завантажити сертифікат"/>
    <hyperlink ref="E3856" r:id="rId3853" tooltip="Завантажити сертифікат" display="Завантажити сертифікат"/>
    <hyperlink ref="E3857" r:id="rId3854" tooltip="Завантажити сертифікат" display="Завантажити сертифікат"/>
    <hyperlink ref="E3858" r:id="rId3855" tooltip="Завантажити сертифікат" display="Завантажити сертифікат"/>
    <hyperlink ref="E3859" r:id="rId3856" tooltip="Завантажити сертифікат" display="Завантажити сертифікат"/>
    <hyperlink ref="E3860" r:id="rId3857" tooltip="Завантажити сертифікат" display="Завантажити сертифікат"/>
    <hyperlink ref="E3861" r:id="rId3858" tooltip="Завантажити сертифікат" display="Завантажити сертифікат"/>
    <hyperlink ref="E3862" r:id="rId3859" tooltip="Завантажити сертифікат" display="Завантажити сертифікат"/>
    <hyperlink ref="E3863" r:id="rId3860" tooltip="Завантажити сертифікат" display="Завантажити сертифікат"/>
    <hyperlink ref="E3864" r:id="rId3861" tooltip="Завантажити сертифікат" display="Завантажити сертифікат"/>
    <hyperlink ref="E3865" r:id="rId3862" tooltip="Завантажити сертифікат" display="Завантажити сертифікат"/>
    <hyperlink ref="E3866" r:id="rId3863" tooltip="Завантажити сертифікат" display="Завантажити сертифікат"/>
    <hyperlink ref="E3867" r:id="rId3864" tooltip="Завантажити сертифікат" display="Завантажити сертифікат"/>
    <hyperlink ref="E3868" r:id="rId3865" tooltip="Завантажити сертифікат" display="Завантажити сертифікат"/>
    <hyperlink ref="E3869" r:id="rId3866" tooltip="Завантажити сертифікат" display="Завантажити сертифікат"/>
    <hyperlink ref="E3870" r:id="rId3867" tooltip="Завантажити сертифікат" display="Завантажити сертифікат"/>
    <hyperlink ref="E3871" r:id="rId3868" tooltip="Завантажити сертифікат" display="Завантажити сертифікат"/>
    <hyperlink ref="E3872" r:id="rId3869" tooltip="Завантажити сертифікат" display="Завантажити сертифікат"/>
    <hyperlink ref="E3873" r:id="rId3870" tooltip="Завантажити сертифікат" display="Завантажити сертифікат"/>
    <hyperlink ref="E3874" r:id="rId3871" tooltip="Завантажити сертифікат" display="Завантажити сертифікат"/>
    <hyperlink ref="E3875" r:id="rId3872" tooltip="Завантажити сертифікат" display="Завантажити сертифікат"/>
    <hyperlink ref="E3876" r:id="rId3873" tooltip="Завантажити сертифікат" display="Завантажити сертифікат"/>
    <hyperlink ref="E3877" r:id="rId3874" tooltip="Завантажити сертифікат" display="Завантажити сертифікат"/>
    <hyperlink ref="E3878" r:id="rId3875" tooltip="Завантажити сертифікат" display="Завантажити сертифікат"/>
    <hyperlink ref="E3879" r:id="rId3876" tooltip="Завантажити сертифікат" display="Завантажити сертифікат"/>
    <hyperlink ref="E3880" r:id="rId3877" tooltip="Завантажити сертифікат" display="Завантажити сертифікат"/>
    <hyperlink ref="E3881" r:id="rId3878" tooltip="Завантажити сертифікат" display="Завантажити сертифікат"/>
    <hyperlink ref="E3882" r:id="rId3879" tooltip="Завантажити сертифікат" display="Завантажити сертифікат"/>
    <hyperlink ref="E3883" r:id="rId3880" tooltip="Завантажити сертифікат" display="Завантажити сертифікат"/>
    <hyperlink ref="E3884" r:id="rId3881" tooltip="Завантажити сертифікат" display="Завантажити сертифікат"/>
    <hyperlink ref="E3885" r:id="rId3882" tooltip="Завантажити сертифікат" display="Завантажити сертифікат"/>
    <hyperlink ref="E3886" r:id="rId3883" tooltip="Завантажити сертифікат" display="Завантажити сертифікат"/>
    <hyperlink ref="E3887" r:id="rId3884" tooltip="Завантажити сертифікат" display="Завантажити сертифікат"/>
    <hyperlink ref="E3888" r:id="rId3885" tooltip="Завантажити сертифікат" display="Завантажити сертифікат"/>
    <hyperlink ref="E3889" r:id="rId3886" tooltip="Завантажити сертифікат" display="Завантажити сертифікат"/>
    <hyperlink ref="E3890" r:id="rId3887" tooltip="Завантажити сертифікат" display="Завантажити сертифікат"/>
    <hyperlink ref="E3891" r:id="rId3888" tooltip="Завантажити сертифікат" display="Завантажити сертифікат"/>
    <hyperlink ref="E3892" r:id="rId3889" tooltip="Завантажити сертифікат" display="Завантажити сертифікат"/>
    <hyperlink ref="E3893" r:id="rId3890" tooltip="Завантажити сертифікат" display="Завантажити сертифікат"/>
    <hyperlink ref="E3894" r:id="rId3891" tooltip="Завантажити сертифікат" display="Завантажити сертифікат"/>
    <hyperlink ref="E3895" r:id="rId3892" tooltip="Завантажити сертифікат" display="Завантажити сертифікат"/>
    <hyperlink ref="E3896" r:id="rId3893" tooltip="Завантажити сертифікат" display="Завантажити сертифікат"/>
    <hyperlink ref="E3897" r:id="rId3894" tooltip="Завантажити сертифікат" display="Завантажити сертифікат"/>
    <hyperlink ref="E3898" r:id="rId3895" tooltip="Завантажити сертифікат" display="Завантажити сертифікат"/>
    <hyperlink ref="E3899" r:id="rId3896" tooltip="Завантажити сертифікат" display="Завантажити сертифікат"/>
    <hyperlink ref="E3900" r:id="rId3897" tooltip="Завантажити сертифікат" display="Завантажити сертифікат"/>
    <hyperlink ref="E3901" r:id="rId3898" tooltip="Завантажити сертифікат" display="Завантажити сертифікат"/>
    <hyperlink ref="E3902" r:id="rId3899" tooltip="Завантажити сертифікат" display="Завантажити сертифікат"/>
    <hyperlink ref="E3903" r:id="rId3900" tooltip="Завантажити сертифікат" display="Завантажити сертифікат"/>
    <hyperlink ref="E3904" r:id="rId3901" tooltip="Завантажити сертифікат" display="Завантажити сертифікат"/>
    <hyperlink ref="E3905" r:id="rId3902" tooltip="Завантажити сертифікат" display="Завантажити сертифікат"/>
    <hyperlink ref="E3906" r:id="rId3903" tooltip="Завантажити сертифікат" display="Завантажити сертифікат"/>
    <hyperlink ref="E3907" r:id="rId3904" tooltip="Завантажити сертифікат" display="Завантажити сертифікат"/>
    <hyperlink ref="E3908" r:id="rId3905" tooltip="Завантажити сертифікат" display="Завантажити сертифікат"/>
    <hyperlink ref="E3909" r:id="rId3906" tooltip="Завантажити сертифікат" display="Завантажити сертифікат"/>
    <hyperlink ref="E3910" r:id="rId3907" tooltip="Завантажити сертифікат" display="Завантажити сертифікат"/>
    <hyperlink ref="E3911" r:id="rId3908" tooltip="Завантажити сертифікат" display="Завантажити сертифікат"/>
    <hyperlink ref="E3912" r:id="rId3909" tooltip="Завантажити сертифікат" display="Завантажити сертифікат"/>
    <hyperlink ref="E3913" r:id="rId3910" tooltip="Завантажити сертифікат" display="Завантажити сертифікат"/>
    <hyperlink ref="E3914" r:id="rId3911" tooltip="Завантажити сертифікат" display="Завантажити сертифікат"/>
    <hyperlink ref="E3915" r:id="rId3912" tooltip="Завантажити сертифікат" display="Завантажити сертифікат"/>
    <hyperlink ref="E3916" r:id="rId3913" tooltip="Завантажити сертифікат" display="Завантажити сертифікат"/>
    <hyperlink ref="E3917" r:id="rId3914" tooltip="Завантажити сертифікат" display="Завантажити сертифікат"/>
    <hyperlink ref="E3918" r:id="rId3915" tooltip="Завантажити сертифікат" display="Завантажити сертифікат"/>
    <hyperlink ref="E3919" r:id="rId3916" tooltip="Завантажити сертифікат" display="Завантажити сертифікат"/>
    <hyperlink ref="E3920" r:id="rId3917" tooltip="Завантажити сертифікат" display="Завантажити сертифікат"/>
    <hyperlink ref="E3921" r:id="rId3918" tooltip="Завантажити сертифікат" display="Завантажити сертифікат"/>
    <hyperlink ref="E3922" r:id="rId3919" tooltip="Завантажити сертифікат" display="Завантажити сертифікат"/>
    <hyperlink ref="E3923" r:id="rId3920" tooltip="Завантажити сертифікат" display="Завантажити сертифікат"/>
    <hyperlink ref="E3924" r:id="rId3921" tooltip="Завантажити сертифікат" display="Завантажити сертифікат"/>
    <hyperlink ref="E3925" r:id="rId3922" tooltip="Завантажити сертифікат" display="Завантажити сертифікат"/>
    <hyperlink ref="E3926" r:id="rId3923" tooltip="Завантажити сертифікат" display="Завантажити сертифікат"/>
    <hyperlink ref="E3927" r:id="rId3924" tooltip="Завантажити сертифікат" display="Завантажити сертифікат"/>
    <hyperlink ref="E3928" r:id="rId3925" tooltip="Завантажити сертифікат" display="Завантажити сертифікат"/>
    <hyperlink ref="E3929" r:id="rId3926" tooltip="Завантажити сертифікат" display="Завантажити сертифікат"/>
    <hyperlink ref="E3930" r:id="rId3927" tooltip="Завантажити сертифікат" display="Завантажити сертифікат"/>
    <hyperlink ref="E3931" r:id="rId3928" tooltip="Завантажити сертифікат" display="Завантажити сертифікат"/>
    <hyperlink ref="E3932" r:id="rId3929" tooltip="Завантажити сертифікат" display="Завантажити сертифікат"/>
    <hyperlink ref="E3933" r:id="rId3930" tooltip="Завантажити сертифікат" display="Завантажити сертифікат"/>
    <hyperlink ref="E3934" r:id="rId3931" tooltip="Завантажити сертифікат" display="Завантажити сертифікат"/>
    <hyperlink ref="E3935" r:id="rId3932" tooltip="Завантажити сертифікат" display="Завантажити сертифікат"/>
    <hyperlink ref="E3936" r:id="rId3933" tooltip="Завантажити сертифікат" display="Завантажити сертифікат"/>
    <hyperlink ref="E3937" r:id="rId3934" tooltip="Завантажити сертифікат" display="Завантажити сертифікат"/>
    <hyperlink ref="E3938" r:id="rId3935" tooltip="Завантажити сертифікат" display="Завантажити сертифікат"/>
    <hyperlink ref="E3939" r:id="rId3936" tooltip="Завантажити сертифікат" display="Завантажити сертифікат"/>
    <hyperlink ref="E3940" r:id="rId3937" tooltip="Завантажити сертифікат" display="Завантажити сертифікат"/>
    <hyperlink ref="E3941" r:id="rId3938" tooltip="Завантажити сертифікат" display="Завантажити сертифікат"/>
    <hyperlink ref="E3942" r:id="rId3939" tooltip="Завантажити сертифікат" display="Завантажити сертифікат"/>
    <hyperlink ref="E3943" r:id="rId3940" tooltip="Завантажити сертифікат" display="Завантажити сертифікат"/>
    <hyperlink ref="E3944" r:id="rId3941" tooltip="Завантажити сертифікат" display="Завантажити сертифікат"/>
    <hyperlink ref="E3945" r:id="rId3942" tooltip="Завантажити сертифікат" display="Завантажити сертифікат"/>
    <hyperlink ref="E3946" r:id="rId3943" tooltip="Завантажити сертифікат" display="Завантажити сертифікат"/>
    <hyperlink ref="E3947" r:id="rId3944" tooltip="Завантажити сертифікат" display="Завантажити сертифікат"/>
    <hyperlink ref="E3948" r:id="rId3945" tooltip="Завантажити сертифікат" display="Завантажити сертифікат"/>
    <hyperlink ref="E3949" r:id="rId3946" tooltip="Завантажити сертифікат" display="Завантажити сертифікат"/>
    <hyperlink ref="E3950" r:id="rId3947" tooltip="Завантажити сертифікат" display="Завантажити сертифікат"/>
    <hyperlink ref="E3951" r:id="rId3948" tooltip="Завантажити сертифікат" display="Завантажити сертифікат"/>
    <hyperlink ref="E3952" r:id="rId3949" tooltip="Завантажити сертифікат" display="Завантажити сертифікат"/>
    <hyperlink ref="E3953" r:id="rId3950" tooltip="Завантажити сертифікат" display="Завантажити сертифікат"/>
    <hyperlink ref="E3954" r:id="rId3951" tooltip="Завантажити сертифікат" display="Завантажити сертифікат"/>
    <hyperlink ref="E3955" r:id="rId3952" tooltip="Завантажити сертифікат" display="Завантажити сертифікат"/>
    <hyperlink ref="E3956" r:id="rId3953" tooltip="Завантажити сертифікат" display="Завантажити сертифікат"/>
    <hyperlink ref="E3957" r:id="rId3954" tooltip="Завантажити сертифікат" display="Завантажити сертифікат"/>
    <hyperlink ref="E3958" r:id="rId3955" tooltip="Завантажити сертифікат" display="Завантажити сертифікат"/>
    <hyperlink ref="E3959" r:id="rId3956" tooltip="Завантажити сертифікат" display="Завантажити сертифікат"/>
    <hyperlink ref="E3960" r:id="rId3957" tooltip="Завантажити сертифікат" display="Завантажити сертифікат"/>
    <hyperlink ref="E3961" r:id="rId3958" tooltip="Завантажити сертифікат" display="Завантажити сертифікат"/>
    <hyperlink ref="E3962" r:id="rId3959" tooltip="Завантажити сертифікат" display="Завантажити сертифікат"/>
    <hyperlink ref="E3963" r:id="rId3960" tooltip="Завантажити сертифікат" display="Завантажити сертифікат"/>
    <hyperlink ref="E3964" r:id="rId3961" tooltip="Завантажити сертифікат" display="Завантажити сертифікат"/>
    <hyperlink ref="E3965" r:id="rId3962" tooltip="Завантажити сертифікат" display="Завантажити сертифікат"/>
    <hyperlink ref="E3966" r:id="rId3963" tooltip="Завантажити сертифікат" display="Завантажити сертифікат"/>
    <hyperlink ref="E3967" r:id="rId3964" tooltip="Завантажити сертифікат" display="Завантажити сертифікат"/>
    <hyperlink ref="E3968" r:id="rId3965" tooltip="Завантажити сертифікат" display="Завантажити сертифікат"/>
    <hyperlink ref="E3969" r:id="rId3966" tooltip="Завантажити сертифікат" display="Завантажити сертифікат"/>
    <hyperlink ref="E3970" r:id="rId3967" tooltip="Завантажити сертифікат" display="Завантажити сертифікат"/>
    <hyperlink ref="E3971" r:id="rId3968" tooltip="Завантажити сертифікат" display="Завантажити сертифікат"/>
    <hyperlink ref="E3972" r:id="rId3969" tooltip="Завантажити сертифікат" display="Завантажити сертифікат"/>
    <hyperlink ref="E3973" r:id="rId3970" tooltip="Завантажити сертифікат" display="Завантажити сертифікат"/>
    <hyperlink ref="E3974" r:id="rId3971" tooltip="Завантажити сертифікат" display="Завантажити сертифікат"/>
    <hyperlink ref="E3975" r:id="rId3972" tooltip="Завантажити сертифікат" display="Завантажити сертифікат"/>
    <hyperlink ref="E3976" r:id="rId3973" tooltip="Завантажити сертифікат" display="Завантажити сертифікат"/>
    <hyperlink ref="E3977" r:id="rId3974" tooltip="Завантажити сертифікат" display="Завантажити сертифікат"/>
    <hyperlink ref="E3978" r:id="rId3975" tooltip="Завантажити сертифікат" display="Завантажити сертифікат"/>
    <hyperlink ref="E3979" r:id="rId3976" tooltip="Завантажити сертифікат" display="Завантажити сертифікат"/>
    <hyperlink ref="E3980" r:id="rId3977" tooltip="Завантажити сертифікат" display="Завантажити сертифікат"/>
    <hyperlink ref="E3981" r:id="rId3978" tooltip="Завантажити сертифікат" display="Завантажити сертифікат"/>
    <hyperlink ref="E3982" r:id="rId3979" tooltip="Завантажити сертифікат" display="Завантажити сертифікат"/>
    <hyperlink ref="E3983" r:id="rId3980" tooltip="Завантажити сертифікат" display="Завантажити сертифікат"/>
    <hyperlink ref="E3984" r:id="rId3981" tooltip="Завантажити сертифікат" display="Завантажити сертифікат"/>
    <hyperlink ref="E3985" r:id="rId3982" tooltip="Завантажити сертифікат" display="Завантажити сертифікат"/>
    <hyperlink ref="E3986" r:id="rId3983" tooltip="Завантажити сертифікат" display="Завантажити сертифікат"/>
    <hyperlink ref="E3987" r:id="rId3984" tooltip="Завантажити сертифікат" display="Завантажити сертифікат"/>
    <hyperlink ref="E3988" r:id="rId3985" tooltip="Завантажити сертифікат" display="Завантажити сертифікат"/>
    <hyperlink ref="E3989" r:id="rId3986" tooltip="Завантажити сертифікат" display="Завантажити сертифікат"/>
    <hyperlink ref="E3990" r:id="rId3987" tooltip="Завантажити сертифікат" display="Завантажити сертифікат"/>
    <hyperlink ref="E3991" r:id="rId3988" tooltip="Завантажити сертифікат" display="Завантажити сертифікат"/>
    <hyperlink ref="E3992" r:id="rId3989" tooltip="Завантажити сертифікат" display="Завантажити сертифікат"/>
    <hyperlink ref="E3993" r:id="rId3990" tooltip="Завантажити сертифікат" display="Завантажити сертифікат"/>
    <hyperlink ref="E3994" r:id="rId3991" tooltip="Завантажити сертифікат" display="Завантажити сертифікат"/>
    <hyperlink ref="E3995" r:id="rId3992" tooltip="Завантажити сертифікат" display="Завантажити сертифікат"/>
    <hyperlink ref="E3996" r:id="rId3993" tooltip="Завантажити сертифікат" display="Завантажити сертифікат"/>
    <hyperlink ref="E3997" r:id="rId3994" tooltip="Завантажити сертифікат" display="Завантажити сертифікат"/>
    <hyperlink ref="E3998" r:id="rId3995" tooltip="Завантажити сертифікат" display="Завантажити сертифікат"/>
    <hyperlink ref="E3999" r:id="rId3996" tooltip="Завантажити сертифікат" display="Завантажити сертифікат"/>
    <hyperlink ref="E4000" r:id="rId3997" tooltip="Завантажити сертифікат" display="Завантажити сертифікат"/>
    <hyperlink ref="E4001" r:id="rId3998" tooltip="Завантажити сертифікат" display="Завантажити сертифікат"/>
    <hyperlink ref="E4002" r:id="rId3999" tooltip="Завантажити сертифікат" display="Завантажити сертифікат"/>
    <hyperlink ref="E4003" r:id="rId4000" tooltip="Завантажити сертифікат" display="Завантажити сертифікат"/>
    <hyperlink ref="E4004" r:id="rId4001" tooltip="Завантажити сертифікат" display="Завантажити сертифікат"/>
    <hyperlink ref="E4005" r:id="rId4002" tooltip="Завантажити сертифікат" display="Завантажити сертифікат"/>
    <hyperlink ref="E4006" r:id="rId4003" tooltip="Завантажити сертифікат" display="Завантажити сертифікат"/>
    <hyperlink ref="E4007" r:id="rId4004" tooltip="Завантажити сертифікат" display="Завантажити сертифікат"/>
    <hyperlink ref="E4008" r:id="rId4005" tooltip="Завантажити сертифікат" display="Завантажити сертифікат"/>
    <hyperlink ref="E4009" r:id="rId4006" tooltip="Завантажити сертифікат" display="Завантажити сертифікат"/>
    <hyperlink ref="E4010" r:id="rId4007" tooltip="Завантажити сертифікат" display="Завантажити сертифікат"/>
    <hyperlink ref="E4011" r:id="rId4008" tooltip="Завантажити сертифікат" display="Завантажити сертифікат"/>
    <hyperlink ref="E4012" r:id="rId4009" tooltip="Завантажити сертифікат" display="Завантажити сертифікат"/>
    <hyperlink ref="E4013" r:id="rId4010" tooltip="Завантажити сертифікат" display="Завантажити сертифікат"/>
    <hyperlink ref="E4014" r:id="rId4011" tooltip="Завантажити сертифікат" display="Завантажити сертифікат"/>
    <hyperlink ref="E4015" r:id="rId4012" tooltip="Завантажити сертифікат" display="Завантажити сертифікат"/>
    <hyperlink ref="E4016" r:id="rId4013" tooltip="Завантажити сертифікат" display="Завантажити сертифікат"/>
    <hyperlink ref="E4017" r:id="rId4014" tooltip="Завантажити сертифікат" display="Завантажити сертифікат"/>
    <hyperlink ref="E4018" r:id="rId4015" tooltip="Завантажити сертифікат" display="Завантажити сертифікат"/>
    <hyperlink ref="E4019" r:id="rId4016" tooltip="Завантажити сертифікат" display="Завантажити сертифікат"/>
    <hyperlink ref="E4020" r:id="rId4017" tooltip="Завантажити сертифікат" display="Завантажити сертифікат"/>
    <hyperlink ref="E4021" r:id="rId4018" tooltip="Завантажити сертифікат" display="Завантажити сертифікат"/>
    <hyperlink ref="E4022" r:id="rId4019" tooltip="Завантажити сертифікат" display="Завантажити сертифікат"/>
    <hyperlink ref="E4023" r:id="rId4020" tooltip="Завантажити сертифікат" display="Завантажити сертифікат"/>
    <hyperlink ref="E4024" r:id="rId4021" tooltip="Завантажити сертифікат" display="Завантажити сертифікат"/>
    <hyperlink ref="E4025" r:id="rId4022" tooltip="Завантажити сертифікат" display="Завантажити сертифікат"/>
    <hyperlink ref="E4026" r:id="rId4023" tooltip="Завантажити сертифікат" display="Завантажити сертифікат"/>
    <hyperlink ref="E4027" r:id="rId4024" tooltip="Завантажити сертифікат" display="Завантажити сертифікат"/>
    <hyperlink ref="E4028" r:id="rId4025" tooltip="Завантажити сертифікат" display="Завантажити сертифікат"/>
    <hyperlink ref="E4029" r:id="rId4026" tooltip="Завантажити сертифікат" display="Завантажити сертифікат"/>
    <hyperlink ref="E4030" r:id="rId4027" tooltip="Завантажити сертифікат" display="Завантажити сертифікат"/>
    <hyperlink ref="E4031" r:id="rId4028" tooltip="Завантажити сертифікат" display="Завантажити сертифікат"/>
    <hyperlink ref="E4032" r:id="rId4029" tooltip="Завантажити сертифікат" display="Завантажити сертифікат"/>
    <hyperlink ref="E4033" r:id="rId4030" tooltip="Завантажити сертифікат" display="Завантажити сертифікат"/>
    <hyperlink ref="E4034" r:id="rId4031" tooltip="Завантажити сертифікат" display="Завантажити сертифікат"/>
    <hyperlink ref="E4035" r:id="rId4032" tooltip="Завантажити сертифікат" display="Завантажити сертифікат"/>
    <hyperlink ref="E4036" r:id="rId4033" tooltip="Завантажити сертифікат" display="Завантажити сертифікат"/>
    <hyperlink ref="E4037" r:id="rId4034" tooltip="Завантажити сертифікат" display="Завантажити сертифікат"/>
    <hyperlink ref="E4038" r:id="rId4035" tooltip="Завантажити сертифікат" display="Завантажити сертифікат"/>
    <hyperlink ref="E4039" r:id="rId4036" tooltip="Завантажити сертифікат" display="Завантажити сертифікат"/>
    <hyperlink ref="E4040" r:id="rId4037" tooltip="Завантажити сертифікат" display="Завантажити сертифікат"/>
    <hyperlink ref="E4041" r:id="rId4038" tooltip="Завантажити сертифікат" display="Завантажити сертифікат"/>
    <hyperlink ref="E4042" r:id="rId4039" tooltip="Завантажити сертифікат" display="Завантажити сертифікат"/>
    <hyperlink ref="E4043" r:id="rId4040" tooltip="Завантажити сертифікат" display="Завантажити сертифікат"/>
    <hyperlink ref="E4044" r:id="rId4041" tooltip="Завантажити сертифікат" display="Завантажити сертифікат"/>
    <hyperlink ref="E4045" r:id="rId4042" tooltip="Завантажити сертифікат" display="Завантажити сертифікат"/>
    <hyperlink ref="E4046" r:id="rId4043" tooltip="Завантажити сертифікат" display="Завантажити сертифікат"/>
    <hyperlink ref="E4047" r:id="rId4044" tooltip="Завантажити сертифікат" display="Завантажити сертифікат"/>
    <hyperlink ref="E4048" r:id="rId4045" tooltip="Завантажити сертифікат" display="Завантажити сертифікат"/>
    <hyperlink ref="E4049" r:id="rId4046" tooltip="Завантажити сертифікат" display="Завантажити сертифікат"/>
    <hyperlink ref="E4050" r:id="rId4047" tooltip="Завантажити сертифікат" display="Завантажити сертифікат"/>
    <hyperlink ref="E4051" r:id="rId4048" tooltip="Завантажити сертифікат" display="Завантажити сертифікат"/>
    <hyperlink ref="E4052" r:id="rId4049" tooltip="Завантажити сертифікат" display="Завантажити сертифікат"/>
    <hyperlink ref="E4053" r:id="rId4050" tooltip="Завантажити сертифікат" display="Завантажити сертифікат"/>
    <hyperlink ref="E4054" r:id="rId4051" tooltip="Завантажити сертифікат" display="Завантажити сертифікат"/>
    <hyperlink ref="E4055" r:id="rId4052" tooltip="Завантажити сертифікат" display="Завантажити сертифікат"/>
    <hyperlink ref="E4056" r:id="rId4053" tooltip="Завантажити сертифікат" display="Завантажити сертифікат"/>
    <hyperlink ref="E4057" r:id="rId4054" tooltip="Завантажити сертифікат" display="Завантажити сертифікат"/>
    <hyperlink ref="E4058" r:id="rId4055" tooltip="Завантажити сертифікат" display="Завантажити сертифікат"/>
    <hyperlink ref="E4059" r:id="rId4056" tooltip="Завантажити сертифікат" display="Завантажити сертифікат"/>
    <hyperlink ref="E4060" r:id="rId4057" tooltip="Завантажити сертифікат" display="Завантажити сертифікат"/>
    <hyperlink ref="E4061" r:id="rId4058" tooltip="Завантажити сертифікат" display="Завантажити сертифікат"/>
    <hyperlink ref="E4062" r:id="rId4059" tooltip="Завантажити сертифікат" display="Завантажити сертифікат"/>
    <hyperlink ref="E4063" r:id="rId4060" tooltip="Завантажити сертифікат" display="Завантажити сертифікат"/>
    <hyperlink ref="E4064" r:id="rId4061" tooltip="Завантажити сертифікат" display="Завантажити сертифікат"/>
    <hyperlink ref="E4065" r:id="rId4062" tooltip="Завантажити сертифікат" display="Завантажити сертифікат"/>
    <hyperlink ref="E4066" r:id="rId4063" tooltip="Завантажити сертифікат" display="Завантажити сертифікат"/>
    <hyperlink ref="E4067" r:id="rId4064" tooltip="Завантажити сертифікат" display="Завантажити сертифікат"/>
    <hyperlink ref="E4068" r:id="rId4065" tooltip="Завантажити сертифікат" display="Завантажити сертифікат"/>
    <hyperlink ref="E4069" r:id="rId4066" tooltip="Завантажити сертифікат" display="Завантажити сертифікат"/>
    <hyperlink ref="E4070" r:id="rId4067" tooltip="Завантажити сертифікат" display="Завантажити сертифікат"/>
    <hyperlink ref="E4071" r:id="rId4068" tooltip="Завантажити сертифікат" display="Завантажити сертифікат"/>
    <hyperlink ref="E4072" r:id="rId4069" tooltip="Завантажити сертифікат" display="Завантажити сертифікат"/>
    <hyperlink ref="E4073" r:id="rId4070" tooltip="Завантажити сертифікат" display="Завантажити сертифікат"/>
    <hyperlink ref="E4074" r:id="rId4071" tooltip="Завантажити сертифікат" display="Завантажити сертифікат"/>
    <hyperlink ref="E4075" r:id="rId4072" tooltip="Завантажити сертифікат" display="Завантажити сертифікат"/>
    <hyperlink ref="E4076" r:id="rId4073" tooltip="Завантажити сертифікат" display="Завантажити сертифікат"/>
    <hyperlink ref="E4077" r:id="rId4074" tooltip="Завантажити сертифікат" display="Завантажити сертифікат"/>
    <hyperlink ref="E4078" r:id="rId4075" tooltip="Завантажити сертифікат" display="Завантажити сертифікат"/>
    <hyperlink ref="E4079" r:id="rId4076" tooltip="Завантажити сертифікат" display="Завантажити сертифікат"/>
    <hyperlink ref="E4080" r:id="rId4077" tooltip="Завантажити сертифікат" display="Завантажити сертифікат"/>
    <hyperlink ref="E4081" r:id="rId4078" tooltip="Завантажити сертифікат" display="Завантажити сертифікат"/>
    <hyperlink ref="E4082" r:id="rId4079" tooltip="Завантажити сертифікат" display="Завантажити сертифікат"/>
    <hyperlink ref="E4083" r:id="rId4080" tooltip="Завантажити сертифікат" display="Завантажити сертифікат"/>
    <hyperlink ref="E4084" r:id="rId4081" tooltip="Завантажити сертифікат" display="Завантажити сертифікат"/>
    <hyperlink ref="E4085" r:id="rId4082" tooltip="Завантажити сертифікат" display="Завантажити сертифікат"/>
    <hyperlink ref="E4086" r:id="rId4083" tooltip="Завантажити сертифікат" display="Завантажити сертифікат"/>
    <hyperlink ref="E4087" r:id="rId4084" tooltip="Завантажити сертифікат" display="Завантажити сертифікат"/>
    <hyperlink ref="E4088" r:id="rId4085" tooltip="Завантажити сертифікат" display="Завантажити сертифікат"/>
    <hyperlink ref="E4089" r:id="rId4086" tooltip="Завантажити сертифікат" display="Завантажити сертифікат"/>
    <hyperlink ref="E4090" r:id="rId4087" tooltip="Завантажити сертифікат" display="Завантажити сертифікат"/>
    <hyperlink ref="E4091" r:id="rId4088" tooltip="Завантажити сертифікат" display="Завантажити сертифікат"/>
    <hyperlink ref="E4092" r:id="rId4089" tooltip="Завантажити сертифікат" display="Завантажити сертифікат"/>
    <hyperlink ref="E4093" r:id="rId4090" tooltip="Завантажити сертифікат" display="Завантажити сертифікат"/>
    <hyperlink ref="E4094" r:id="rId4091" tooltip="Завантажити сертифікат" display="Завантажити сертифікат"/>
    <hyperlink ref="E4095" r:id="rId4092" tooltip="Завантажити сертифікат" display="Завантажити сертифікат"/>
    <hyperlink ref="E4096" r:id="rId4093" tooltip="Завантажити сертифікат" display="Завантажити сертифікат"/>
    <hyperlink ref="E4097" r:id="rId4094" tooltip="Завантажити сертифікат" display="Завантажити сертифікат"/>
    <hyperlink ref="E4098" r:id="rId4095" tooltip="Завантажити сертифікат" display="Завантажити сертифікат"/>
    <hyperlink ref="E4099" r:id="rId4096" tooltip="Завантажити сертифікат" display="Завантажити сертифікат"/>
    <hyperlink ref="E4100" r:id="rId4097" tooltip="Завантажити сертифікат" display="Завантажити сертифікат"/>
    <hyperlink ref="E4101" r:id="rId4098" tooltip="Завантажити сертифікат" display="Завантажити сертифікат"/>
    <hyperlink ref="E4102" r:id="rId4099" tooltip="Завантажити сертифікат" display="Завантажити сертифікат"/>
    <hyperlink ref="E4103" r:id="rId4100" tooltip="Завантажити сертифікат" display="Завантажити сертифікат"/>
    <hyperlink ref="E4104" r:id="rId4101" tooltip="Завантажити сертифікат" display="Завантажити сертифікат"/>
    <hyperlink ref="E4105" r:id="rId4102" tooltip="Завантажити сертифікат" display="Завантажити сертифікат"/>
    <hyperlink ref="E4106" r:id="rId4103" tooltip="Завантажити сертифікат" display="Завантажити сертифікат"/>
    <hyperlink ref="E4107" r:id="rId4104" tooltip="Завантажити сертифікат" display="Завантажити сертифікат"/>
    <hyperlink ref="E4108" r:id="rId4105" tooltip="Завантажити сертифікат" display="Завантажити сертифікат"/>
    <hyperlink ref="E4109" r:id="rId4106" tooltip="Завантажити сертифікат" display="Завантажити сертифікат"/>
    <hyperlink ref="E4110" r:id="rId4107" tooltip="Завантажити сертифікат" display="Завантажити сертифікат"/>
    <hyperlink ref="E4111" r:id="rId4108" tooltip="Завантажити сертифікат" display="Завантажити сертифікат"/>
    <hyperlink ref="E4112" r:id="rId4109" tooltip="Завантажити сертифікат" display="Завантажити сертифікат"/>
    <hyperlink ref="E4113" r:id="rId4110" tooltip="Завантажити сертифікат" display="Завантажити сертифікат"/>
    <hyperlink ref="E4114" r:id="rId4111" tooltip="Завантажити сертифікат" display="Завантажити сертифікат"/>
    <hyperlink ref="E4115" r:id="rId4112" tooltip="Завантажити сертифікат" display="Завантажити сертифікат"/>
    <hyperlink ref="E4116" r:id="rId4113" tooltip="Завантажити сертифікат" display="Завантажити сертифікат"/>
    <hyperlink ref="E4117" r:id="rId4114" tooltip="Завантажити сертифікат" display="Завантажити сертифікат"/>
    <hyperlink ref="E4118" r:id="rId4115" tooltip="Завантажити сертифікат" display="Завантажити сертифікат"/>
    <hyperlink ref="E4119" r:id="rId4116" tooltip="Завантажити сертифікат" display="Завантажити сертифікат"/>
    <hyperlink ref="E4120" r:id="rId4117" tooltip="Завантажити сертифікат" display="Завантажити сертифікат"/>
    <hyperlink ref="E4121" r:id="rId4118" tooltip="Завантажити сертифікат" display="Завантажити сертифікат"/>
    <hyperlink ref="E4122" r:id="rId4119" tooltip="Завантажити сертифікат" display="Завантажити сертифікат"/>
    <hyperlink ref="E4123" r:id="rId4120" tooltip="Завантажити сертифікат" display="Завантажити сертифікат"/>
    <hyperlink ref="E4124" r:id="rId4121" tooltip="Завантажити сертифікат" display="Завантажити сертифікат"/>
    <hyperlink ref="E4125" r:id="rId4122" tooltip="Завантажити сертифікат" display="Завантажити сертифікат"/>
    <hyperlink ref="E4126" r:id="rId4123" tooltip="Завантажити сертифікат" display="Завантажити сертифікат"/>
    <hyperlink ref="E4127" r:id="rId4124" tooltip="Завантажити сертифікат" display="Завантажити сертифікат"/>
    <hyperlink ref="E4128" r:id="rId4125" tooltip="Завантажити сертифікат" display="Завантажити сертифікат"/>
    <hyperlink ref="E4129" r:id="rId4126" tooltip="Завантажити сертифікат" display="Завантажити сертифікат"/>
    <hyperlink ref="E4130" r:id="rId4127" tooltip="Завантажити сертифікат" display="Завантажити сертифікат"/>
    <hyperlink ref="E4131" r:id="rId4128" tooltip="Завантажити сертифікат" display="Завантажити сертифікат"/>
    <hyperlink ref="E4132" r:id="rId4129" tooltip="Завантажити сертифікат" display="Завантажити сертифікат"/>
    <hyperlink ref="E4133" r:id="rId4130" tooltip="Завантажити сертифікат" display="Завантажити сертифікат"/>
    <hyperlink ref="E4134" r:id="rId4131" tooltip="Завантажити сертифікат" display="Завантажити сертифікат"/>
    <hyperlink ref="E4135" r:id="rId4132" tooltip="Завантажити сертифікат" display="Завантажити сертифікат"/>
    <hyperlink ref="E4136" r:id="rId4133" tooltip="Завантажити сертифікат" display="Завантажити сертифікат"/>
    <hyperlink ref="E4137" r:id="rId4134" tooltip="Завантажити сертифікат" display="Завантажити сертифікат"/>
    <hyperlink ref="E4138" r:id="rId4135" tooltip="Завантажити сертифікат" display="Завантажити сертифікат"/>
    <hyperlink ref="E4139" r:id="rId4136" tooltip="Завантажити сертифікат" display="Завантажити сертифікат"/>
    <hyperlink ref="E4140" r:id="rId4137" tooltip="Завантажити сертифікат" display="Завантажити сертифікат"/>
    <hyperlink ref="E4141" r:id="rId4138" tooltip="Завантажити сертифікат" display="Завантажити сертифікат"/>
    <hyperlink ref="E4142" r:id="rId4139" tooltip="Завантажити сертифікат" display="Завантажити сертифікат"/>
    <hyperlink ref="E4143" r:id="rId4140" tooltip="Завантажити сертифікат" display="Завантажити сертифікат"/>
    <hyperlink ref="E4144" r:id="rId4141" tooltip="Завантажити сертифікат" display="Завантажити сертифікат"/>
    <hyperlink ref="E4145" r:id="rId4142" tooltip="Завантажити сертифікат" display="Завантажити сертифікат"/>
    <hyperlink ref="E4146" r:id="rId4143" tooltip="Завантажити сертифікат" display="Завантажити сертифікат"/>
    <hyperlink ref="E4147" r:id="rId4144" tooltip="Завантажити сертифікат" display="Завантажити сертифікат"/>
    <hyperlink ref="E4148" r:id="rId4145" tooltip="Завантажити сертифікат" display="Завантажити сертифікат"/>
    <hyperlink ref="E4149" r:id="rId4146" tooltip="Завантажити сертифікат" display="Завантажити сертифікат"/>
    <hyperlink ref="E4150" r:id="rId4147" tooltip="Завантажити сертифікат" display="Завантажити сертифікат"/>
    <hyperlink ref="E4151" r:id="rId4148" tooltip="Завантажити сертифікат" display="Завантажити сертифікат"/>
    <hyperlink ref="E4152" r:id="rId4149" tooltip="Завантажити сертифікат" display="Завантажити сертифікат"/>
    <hyperlink ref="E4153" r:id="rId4150" tooltip="Завантажити сертифікат" display="Завантажити сертифікат"/>
    <hyperlink ref="E4154" r:id="rId4151" tooltip="Завантажити сертифікат" display="Завантажити сертифікат"/>
    <hyperlink ref="E4155" r:id="rId4152" tooltip="Завантажити сертифікат" display="Завантажити сертифікат"/>
    <hyperlink ref="E4156" r:id="rId4153" tooltip="Завантажити сертифікат" display="Завантажити сертифікат"/>
    <hyperlink ref="E4157" r:id="rId4154" tooltip="Завантажити сертифікат" display="Завантажити сертифікат"/>
    <hyperlink ref="E4158" r:id="rId4155" tooltip="Завантажити сертифікат" display="Завантажити сертифікат"/>
    <hyperlink ref="E4159" r:id="rId4156" tooltip="Завантажити сертифікат" display="Завантажити сертифікат"/>
    <hyperlink ref="E4160" r:id="rId4157" tooltip="Завантажити сертифікат" display="Завантажити сертифікат"/>
    <hyperlink ref="E4161" r:id="rId4158" tooltip="Завантажити сертифікат" display="Завантажити сертифікат"/>
    <hyperlink ref="E4162" r:id="rId4159" tooltip="Завантажити сертифікат" display="Завантажити сертифікат"/>
    <hyperlink ref="E4163" r:id="rId4160" tooltip="Завантажити сертифікат" display="Завантажити сертифікат"/>
    <hyperlink ref="E4164" r:id="rId4161" tooltip="Завантажити сертифікат" display="Завантажити сертифікат"/>
    <hyperlink ref="E4165" r:id="rId4162" tooltip="Завантажити сертифікат" display="Завантажити сертифікат"/>
    <hyperlink ref="E4166" r:id="rId4163" tooltip="Завантажити сертифікат" display="Завантажити сертифікат"/>
    <hyperlink ref="E4167" r:id="rId4164" tooltip="Завантажити сертифікат" display="Завантажити сертифікат"/>
    <hyperlink ref="E4168" r:id="rId4165" tooltip="Завантажити сертифікат" display="Завантажити сертифікат"/>
    <hyperlink ref="E4169" r:id="rId4166" tooltip="Завантажити сертифікат" display="Завантажити сертифікат"/>
    <hyperlink ref="E4170" r:id="rId4167" tooltip="Завантажити сертифікат" display="Завантажити сертифікат"/>
    <hyperlink ref="E4171" r:id="rId4168" tooltip="Завантажити сертифікат" display="Завантажити сертифікат"/>
    <hyperlink ref="E4172" r:id="rId4169" tooltip="Завантажити сертифікат" display="Завантажити сертифікат"/>
    <hyperlink ref="E4173" r:id="rId4170" tooltip="Завантажити сертифікат" display="Завантажити сертифікат"/>
    <hyperlink ref="E4174" r:id="rId4171" tooltip="Завантажити сертифікат" display="Завантажити сертифікат"/>
    <hyperlink ref="E4175" r:id="rId4172" tooltip="Завантажити сертифікат" display="Завантажити сертифікат"/>
    <hyperlink ref="E4176" r:id="rId4173" tooltip="Завантажити сертифікат" display="Завантажити сертифікат"/>
    <hyperlink ref="E4177" r:id="rId4174" tooltip="Завантажити сертифікат" display="Завантажити сертифікат"/>
    <hyperlink ref="E4178" r:id="rId4175" tooltip="Завантажити сертифікат" display="Завантажити сертифікат"/>
    <hyperlink ref="E4179" r:id="rId4176" tooltip="Завантажити сертифікат" display="Завантажити сертифікат"/>
    <hyperlink ref="E4180" r:id="rId4177" tooltip="Завантажити сертифікат" display="Завантажити сертифікат"/>
    <hyperlink ref="E4181" r:id="rId4178" tooltip="Завантажити сертифікат" display="Завантажити сертифікат"/>
    <hyperlink ref="E4182" r:id="rId4179" tooltip="Завантажити сертифікат" display="Завантажити сертифікат"/>
    <hyperlink ref="E4183" r:id="rId4180" tooltip="Завантажити сертифікат" display="Завантажити сертифікат"/>
    <hyperlink ref="E4184" r:id="rId4181" tooltip="Завантажити сертифікат" display="Завантажити сертифікат"/>
    <hyperlink ref="E4185" r:id="rId4182" tooltip="Завантажити сертифікат" display="Завантажити сертифікат"/>
    <hyperlink ref="E4186" r:id="rId4183" tooltip="Завантажити сертифікат" display="Завантажити сертифікат"/>
    <hyperlink ref="E4187" r:id="rId4184" tooltip="Завантажити сертифікат" display="Завантажити сертифікат"/>
    <hyperlink ref="E4188" r:id="rId4185" tooltip="Завантажити сертифікат" display="Завантажити сертифікат"/>
    <hyperlink ref="E4189" r:id="rId4186" tooltip="Завантажити сертифікат" display="Завантажити сертифікат"/>
    <hyperlink ref="E4190" r:id="rId4187" tooltip="Завантажити сертифікат" display="Завантажити сертифікат"/>
    <hyperlink ref="E4191" r:id="rId4188" tooltip="Завантажити сертифікат" display="Завантажити сертифікат"/>
    <hyperlink ref="E4192" r:id="rId4189" tooltip="Завантажити сертифікат" display="Завантажити сертифікат"/>
    <hyperlink ref="E4193" r:id="rId4190" tooltip="Завантажити сертифікат" display="Завантажити сертифікат"/>
    <hyperlink ref="E4194" r:id="rId4191" tooltip="Завантажити сертифікат" display="Завантажити сертифікат"/>
    <hyperlink ref="E4195" r:id="rId4192" tooltip="Завантажити сертифікат" display="Завантажити сертифікат"/>
    <hyperlink ref="E4196" r:id="rId4193" tooltip="Завантажити сертифікат" display="Завантажити сертифікат"/>
    <hyperlink ref="E4197" r:id="rId4194" tooltip="Завантажити сертифікат" display="Завантажити сертифікат"/>
    <hyperlink ref="E4198" r:id="rId4195" tooltip="Завантажити сертифікат" display="Завантажити сертифікат"/>
    <hyperlink ref="E4199" r:id="rId4196" tooltip="Завантажити сертифікат" display="Завантажити сертифікат"/>
    <hyperlink ref="E4200" r:id="rId4197" tooltip="Завантажити сертифікат" display="Завантажити сертифікат"/>
    <hyperlink ref="E4201" r:id="rId4198" tooltip="Завантажити сертифікат" display="Завантажити сертифікат"/>
    <hyperlink ref="E4202" r:id="rId4199" tooltip="Завантажити сертифікат" display="Завантажити сертифікат"/>
    <hyperlink ref="E4203" r:id="rId4200" tooltip="Завантажити сертифікат" display="Завантажити сертифікат"/>
    <hyperlink ref="E4204" r:id="rId4201" tooltip="Завантажити сертифікат" display="Завантажити сертифікат"/>
    <hyperlink ref="E4205" r:id="rId4202" tooltip="Завантажити сертифікат" display="Завантажити сертифікат"/>
    <hyperlink ref="E4206" r:id="rId4203" tooltip="Завантажити сертифікат" display="Завантажити сертифікат"/>
    <hyperlink ref="E4207" r:id="rId4204" tooltip="Завантажити сертифікат" display="Завантажити сертифікат"/>
    <hyperlink ref="E4208" r:id="rId4205" tooltip="Завантажити сертифікат" display="Завантажити сертифікат"/>
    <hyperlink ref="E4209" r:id="rId4206" tooltip="Завантажити сертифікат" display="Завантажити сертифікат"/>
    <hyperlink ref="E4210" r:id="rId4207" tooltip="Завантажити сертифікат" display="Завантажити сертифікат"/>
    <hyperlink ref="E4211" r:id="rId4208" tooltip="Завантажити сертифікат" display="Завантажити сертифікат"/>
    <hyperlink ref="E4212" r:id="rId4209" tooltip="Завантажити сертифікат" display="Завантажити сертифікат"/>
    <hyperlink ref="E4213" r:id="rId4210" tooltip="Завантажити сертифікат" display="Завантажити сертифікат"/>
    <hyperlink ref="E4214" r:id="rId4211" tooltip="Завантажити сертифікат" display="Завантажити сертифікат"/>
    <hyperlink ref="E4215" r:id="rId4212" tooltip="Завантажити сертифікат" display="Завантажити сертифікат"/>
    <hyperlink ref="E4216" r:id="rId4213" tooltip="Завантажити сертифікат" display="Завантажити сертифікат"/>
    <hyperlink ref="E4217" r:id="rId4214" tooltip="Завантажити сертифікат" display="Завантажити сертифікат"/>
    <hyperlink ref="E4218" r:id="rId4215" tooltip="Завантажити сертифікат" display="Завантажити сертифікат"/>
    <hyperlink ref="E4219" r:id="rId4216" tooltip="Завантажити сертифікат" display="Завантажити сертифікат"/>
    <hyperlink ref="E4220" r:id="rId4217" tooltip="Завантажити сертифікат" display="Завантажити сертифікат"/>
    <hyperlink ref="E4221" r:id="rId4218" tooltip="Завантажити сертифікат" display="Завантажити сертифікат"/>
    <hyperlink ref="E4222" r:id="rId4219" tooltip="Завантажити сертифікат" display="Завантажити сертифікат"/>
    <hyperlink ref="E4223" r:id="rId4220" tooltip="Завантажити сертифікат" display="Завантажити сертифікат"/>
    <hyperlink ref="E4224" r:id="rId4221" tooltip="Завантажити сертифікат" display="Завантажити сертифікат"/>
    <hyperlink ref="E4225" r:id="rId4222" tooltip="Завантажити сертифікат" display="Завантажити сертифікат"/>
    <hyperlink ref="E4226" r:id="rId4223" tooltip="Завантажити сертифікат" display="Завантажити сертифікат"/>
    <hyperlink ref="E4227" r:id="rId4224" tooltip="Завантажити сертифікат" display="Завантажити сертифікат"/>
    <hyperlink ref="E4228" r:id="rId4225" tooltip="Завантажити сертифікат" display="Завантажити сертифікат"/>
    <hyperlink ref="E4229" r:id="rId4226" tooltip="Завантажити сертифікат" display="Завантажити сертифікат"/>
    <hyperlink ref="E4230" r:id="rId4227" tooltip="Завантажити сертифікат" display="Завантажити сертифікат"/>
    <hyperlink ref="E4231" r:id="rId4228" tooltip="Завантажити сертифікат" display="Завантажити сертифікат"/>
    <hyperlink ref="E4232" r:id="rId4229" tooltip="Завантажити сертифікат" display="Завантажити сертифікат"/>
    <hyperlink ref="E4233" r:id="rId4230" tooltip="Завантажити сертифікат" display="Завантажити сертифікат"/>
    <hyperlink ref="E4234" r:id="rId4231" tooltip="Завантажити сертифікат" display="Завантажити сертифікат"/>
    <hyperlink ref="E4235" r:id="rId4232" tooltip="Завантажити сертифікат" display="Завантажити сертифікат"/>
    <hyperlink ref="E4236" r:id="rId4233" tooltip="Завантажити сертифікат" display="Завантажити сертифікат"/>
    <hyperlink ref="E4237" r:id="rId4234" tooltip="Завантажити сертифікат" display="Завантажити сертифікат"/>
    <hyperlink ref="E4238" r:id="rId4235" tooltip="Завантажити сертифікат" display="Завантажити сертифікат"/>
    <hyperlink ref="E4239" r:id="rId4236" tooltip="Завантажити сертифікат" display="Завантажити сертифікат"/>
    <hyperlink ref="E4240" r:id="rId4237" tooltip="Завантажити сертифікат" display="Завантажити сертифікат"/>
    <hyperlink ref="E4241" r:id="rId4238" tooltip="Завантажити сертифікат" display="Завантажити сертифікат"/>
    <hyperlink ref="E4242" r:id="rId4239" tooltip="Завантажити сертифікат" display="Завантажити сертифікат"/>
    <hyperlink ref="E4243" r:id="rId4240" tooltip="Завантажити сертифікат" display="Завантажити сертифікат"/>
    <hyperlink ref="E4244" r:id="rId4241" tooltip="Завантажити сертифікат" display="Завантажити сертифікат"/>
    <hyperlink ref="E4245" r:id="rId4242" tooltip="Завантажити сертифікат" display="Завантажити сертифікат"/>
    <hyperlink ref="E4246" r:id="rId4243" tooltip="Завантажити сертифікат" display="Завантажити сертифікат"/>
    <hyperlink ref="E4247" r:id="rId4244" tooltip="Завантажити сертифікат" display="Завантажити сертифікат"/>
    <hyperlink ref="E4248" r:id="rId4245" tooltip="Завантажити сертифікат" display="Завантажити сертифікат"/>
    <hyperlink ref="E4249" r:id="rId4246" tooltip="Завантажити сертифікат" display="Завантажити сертифікат"/>
    <hyperlink ref="E4250" r:id="rId4247" tooltip="Завантажити сертифікат" display="Завантажити сертифікат"/>
    <hyperlink ref="E4251" r:id="rId4248" tooltip="Завантажити сертифікат" display="Завантажити сертифікат"/>
    <hyperlink ref="E4252" r:id="rId4249" tooltip="Завантажити сертифікат" display="Завантажити сертифікат"/>
    <hyperlink ref="E4253" r:id="rId4250" tooltip="Завантажити сертифікат" display="Завантажити сертифікат"/>
    <hyperlink ref="E4254" r:id="rId4251" tooltip="Завантажити сертифікат" display="Завантажити сертифікат"/>
    <hyperlink ref="E4255" r:id="rId4252" tooltip="Завантажити сертифікат" display="Завантажити сертифікат"/>
    <hyperlink ref="E4256" r:id="rId4253" tooltip="Завантажити сертифікат" display="Завантажити сертифікат"/>
    <hyperlink ref="E4257" r:id="rId4254" tooltip="Завантажити сертифікат" display="Завантажити сертифікат"/>
    <hyperlink ref="E4258" r:id="rId4255" tooltip="Завантажити сертифікат" display="Завантажити сертифікат"/>
    <hyperlink ref="E4259" r:id="rId4256" tooltip="Завантажити сертифікат" display="Завантажити сертифікат"/>
    <hyperlink ref="E4260" r:id="rId4257" tooltip="Завантажити сертифікат" display="Завантажити сертифікат"/>
    <hyperlink ref="E4261" r:id="rId4258" tooltip="Завантажити сертифікат" display="Завантажити сертифікат"/>
    <hyperlink ref="E4262" r:id="rId4259" tooltip="Завантажити сертифікат" display="Завантажити сертифікат"/>
    <hyperlink ref="E4263" r:id="rId4260" tooltip="Завантажити сертифікат" display="Завантажити сертифікат"/>
    <hyperlink ref="E4264" r:id="rId4261" tooltip="Завантажити сертифікат" display="Завантажити сертифікат"/>
    <hyperlink ref="E4265" r:id="rId4262" tooltip="Завантажити сертифікат" display="Завантажити сертифікат"/>
    <hyperlink ref="E4266" r:id="rId4263" tooltip="Завантажити сертифікат" display="Завантажити сертифікат"/>
    <hyperlink ref="E4267" r:id="rId4264" tooltip="Завантажити сертифікат" display="Завантажити сертифікат"/>
    <hyperlink ref="E4268" r:id="rId4265" tooltip="Завантажити сертифікат" display="Завантажити сертифікат"/>
    <hyperlink ref="E4269" r:id="rId4266" tooltip="Завантажити сертифікат" display="Завантажити сертифікат"/>
    <hyperlink ref="E4270" r:id="rId4267" tooltip="Завантажити сертифікат" display="Завантажити сертифікат"/>
    <hyperlink ref="E4271" r:id="rId4268" tooltip="Завантажити сертифікат" display="Завантажити сертифікат"/>
    <hyperlink ref="E4272" r:id="rId4269" tooltip="Завантажити сертифікат" display="Завантажити сертифікат"/>
    <hyperlink ref="E4273" r:id="rId4270" tooltip="Завантажити сертифікат" display="Завантажити сертифікат"/>
    <hyperlink ref="E4274" r:id="rId4271" tooltip="Завантажити сертифікат" display="Завантажити сертифікат"/>
    <hyperlink ref="E4275" r:id="rId4272" tooltip="Завантажити сертифікат" display="Завантажити сертифікат"/>
    <hyperlink ref="E4276" r:id="rId4273" tooltip="Завантажити сертифікат" display="Завантажити сертифікат"/>
    <hyperlink ref="E4277" r:id="rId4274" tooltip="Завантажити сертифікат" display="Завантажити сертифікат"/>
    <hyperlink ref="E4278" r:id="rId4275" tooltip="Завантажити сертифікат" display="Завантажити сертифікат"/>
    <hyperlink ref="E4279" r:id="rId4276" tooltip="Завантажити сертифікат" display="Завантажити сертифікат"/>
    <hyperlink ref="E4280" r:id="rId4277" tooltip="Завантажити сертифікат" display="Завантажити сертифікат"/>
    <hyperlink ref="E4281" r:id="rId4278" tooltip="Завантажити сертифікат" display="Завантажити сертифікат"/>
    <hyperlink ref="E4282" r:id="rId4279" tooltip="Завантажити сертифікат" display="Завантажити сертифікат"/>
    <hyperlink ref="E4283" r:id="rId4280" tooltip="Завантажити сертифікат" display="Завантажити сертифікат"/>
    <hyperlink ref="E4284" r:id="rId4281" tooltip="Завантажити сертифікат" display="Завантажити сертифікат"/>
    <hyperlink ref="E4285" r:id="rId4282" tooltip="Завантажити сертифікат" display="Завантажити сертифікат"/>
    <hyperlink ref="E4286" r:id="rId4283" tooltip="Завантажити сертифікат" display="Завантажити сертифікат"/>
    <hyperlink ref="E4287" r:id="rId4284" tooltip="Завантажити сертифікат" display="Завантажити сертифікат"/>
    <hyperlink ref="E4288" r:id="rId4285" tooltip="Завантажити сертифікат" display="Завантажити сертифікат"/>
    <hyperlink ref="E4289" r:id="rId4286" tooltip="Завантажити сертифікат" display="Завантажити сертифікат"/>
    <hyperlink ref="E4290" r:id="rId4287" tooltip="Завантажити сертифікат" display="Завантажити сертифікат"/>
    <hyperlink ref="E4291" r:id="rId4288" tooltip="Завантажити сертифікат" display="Завантажити сертифікат"/>
    <hyperlink ref="E4292" r:id="rId4289" tooltip="Завантажити сертифікат" display="Завантажити сертифікат"/>
    <hyperlink ref="E4293" r:id="rId4290" tooltip="Завантажити сертифікат" display="Завантажити сертифікат"/>
    <hyperlink ref="E4294" r:id="rId4291" tooltip="Завантажити сертифікат" display="Завантажити сертифікат"/>
    <hyperlink ref="E4295" r:id="rId4292" tooltip="Завантажити сертифікат" display="Завантажити сертифікат"/>
    <hyperlink ref="E4296" r:id="rId4293" tooltip="Завантажити сертифікат" display="Завантажити сертифікат"/>
    <hyperlink ref="E4297" r:id="rId4294" tooltip="Завантажити сертифікат" display="Завантажити сертифікат"/>
    <hyperlink ref="E4298" r:id="rId4295" tooltip="Завантажити сертифікат" display="Завантажити сертифікат"/>
    <hyperlink ref="E4299" r:id="rId4296" tooltip="Завантажити сертифікат" display="Завантажити сертифікат"/>
    <hyperlink ref="E4300" r:id="rId4297" tooltip="Завантажити сертифікат" display="Завантажити сертифікат"/>
    <hyperlink ref="E4301" r:id="rId4298" tooltip="Завантажити сертифікат" display="Завантажити сертифікат"/>
    <hyperlink ref="E4302" r:id="rId4299" tooltip="Завантажити сертифікат" display="Завантажити сертифікат"/>
    <hyperlink ref="E4303" r:id="rId4300" tooltip="Завантажити сертифікат" display="Завантажити сертифікат"/>
    <hyperlink ref="E4304" r:id="rId4301" tooltip="Завантажити сертифікат" display="Завантажити сертифікат"/>
    <hyperlink ref="E4305" r:id="rId4302" tooltip="Завантажити сертифікат" display="Завантажити сертифікат"/>
    <hyperlink ref="E4306" r:id="rId4303" tooltip="Завантажити сертифікат" display="Завантажити сертифікат"/>
    <hyperlink ref="E4307" r:id="rId4304" tooltip="Завантажити сертифікат" display="Завантажити сертифікат"/>
    <hyperlink ref="E4308" r:id="rId4305" tooltip="Завантажити сертифікат" display="Завантажити сертифікат"/>
    <hyperlink ref="E4309" r:id="rId4306" tooltip="Завантажити сертифікат" display="Завантажити сертифікат"/>
    <hyperlink ref="E4310" r:id="rId4307" tooltip="Завантажити сертифікат" display="Завантажити сертифікат"/>
    <hyperlink ref="E4311" r:id="rId4308" tooltip="Завантажити сертифікат" display="Завантажити сертифікат"/>
    <hyperlink ref="E4312" r:id="rId4309" tooltip="Завантажити сертифікат" display="Завантажити сертифікат"/>
    <hyperlink ref="E4313" r:id="rId4310" tooltip="Завантажити сертифікат" display="Завантажити сертифікат"/>
    <hyperlink ref="E4314" r:id="rId4311" tooltip="Завантажити сертифікат" display="Завантажити сертифікат"/>
    <hyperlink ref="E4315" r:id="rId4312" tooltip="Завантажити сертифікат" display="Завантажити сертифікат"/>
    <hyperlink ref="E4316" r:id="rId4313" tooltip="Завантажити сертифікат" display="Завантажити сертифікат"/>
    <hyperlink ref="E4317" r:id="rId4314" tooltip="Завантажити сертифікат" display="Завантажити сертифікат"/>
    <hyperlink ref="E4318" r:id="rId4315" tooltip="Завантажити сертифікат" display="Завантажити сертифікат"/>
    <hyperlink ref="E4319" r:id="rId4316" tooltip="Завантажити сертифікат" display="Завантажити сертифікат"/>
    <hyperlink ref="E4320" r:id="rId4317" tooltip="Завантажити сертифікат" display="Завантажити сертифікат"/>
    <hyperlink ref="E4321" r:id="rId4318" tooltip="Завантажити сертифікат" display="Завантажити сертифікат"/>
    <hyperlink ref="E4322" r:id="rId4319" tooltip="Завантажити сертифікат" display="Завантажити сертифікат"/>
    <hyperlink ref="E4323" r:id="rId4320" tooltip="Завантажити сертифікат" display="Завантажити сертифікат"/>
    <hyperlink ref="E4324" r:id="rId4321" tooltip="Завантажити сертифікат" display="Завантажити сертифікат"/>
    <hyperlink ref="E4325" r:id="rId4322" tooltip="Завантажити сертифікат" display="Завантажити сертифікат"/>
    <hyperlink ref="E4326" r:id="rId4323" tooltip="Завантажити сертифікат" display="Завантажити сертифікат"/>
    <hyperlink ref="E4327" r:id="rId4324" tooltip="Завантажити сертифікат" display="Завантажити сертифікат"/>
    <hyperlink ref="E4328" r:id="rId4325" tooltip="Завантажити сертифікат" display="Завантажити сертифікат"/>
    <hyperlink ref="E4329" r:id="rId4326" tooltip="Завантажити сертифікат" display="Завантажити сертифікат"/>
    <hyperlink ref="E4330" r:id="rId4327" tooltip="Завантажити сертифікат" display="Завантажити сертифікат"/>
    <hyperlink ref="E4331" r:id="rId4328" tooltip="Завантажити сертифікат" display="Завантажити сертифікат"/>
    <hyperlink ref="E4332" r:id="rId4329" tooltip="Завантажити сертифікат" display="Завантажити сертифікат"/>
    <hyperlink ref="E4333" r:id="rId4330" tooltip="Завантажити сертифікат" display="Завантажити сертифікат"/>
    <hyperlink ref="E4334" r:id="rId4331" tooltip="Завантажити сертифікат" display="Завантажити сертифікат"/>
    <hyperlink ref="E4335" r:id="rId4332" tooltip="Завантажити сертифікат" display="Завантажити сертифікат"/>
    <hyperlink ref="E4336" r:id="rId4333" tooltip="Завантажити сертифікат" display="Завантажити сертифікат"/>
    <hyperlink ref="E4337" r:id="rId4334" tooltip="Завантажити сертифікат" display="Завантажити сертифікат"/>
    <hyperlink ref="E4338" r:id="rId4335" tooltip="Завантажити сертифікат" display="Завантажити сертифікат"/>
    <hyperlink ref="E4339" r:id="rId4336" tooltip="Завантажити сертифікат" display="Завантажити сертифікат"/>
    <hyperlink ref="E4340" r:id="rId4337" tooltip="Завантажити сертифікат" display="Завантажити сертифікат"/>
    <hyperlink ref="E4341" r:id="rId4338" tooltip="Завантажити сертифікат" display="Завантажити сертифікат"/>
    <hyperlink ref="E4342" r:id="rId4339" tooltip="Завантажити сертифікат" display="Завантажити сертифікат"/>
    <hyperlink ref="E4343" r:id="rId4340" tooltip="Завантажити сертифікат" display="Завантажити сертифікат"/>
    <hyperlink ref="E4344" r:id="rId4341" tooltip="Завантажити сертифікат" display="Завантажити сертифікат"/>
    <hyperlink ref="E4345" r:id="rId4342" tooltip="Завантажити сертифікат" display="Завантажити сертифікат"/>
    <hyperlink ref="E4346" r:id="rId4343" tooltip="Завантажити сертифікат" display="Завантажити сертифікат"/>
    <hyperlink ref="E4347" r:id="rId4344" tooltip="Завантажити сертифікат" display="Завантажити сертифікат"/>
    <hyperlink ref="E4348" r:id="rId4345" tooltip="Завантажити сертифікат" display="Завантажити сертифікат"/>
    <hyperlink ref="E4349" r:id="rId4346" tooltip="Завантажити сертифікат" display="Завантажити сертифікат"/>
    <hyperlink ref="E4350" r:id="rId4347" tooltip="Завантажити сертифікат" display="Завантажити сертифікат"/>
    <hyperlink ref="E4351" r:id="rId4348" tooltip="Завантажити сертифікат" display="Завантажити сертифікат"/>
    <hyperlink ref="E4352" r:id="rId4349" tooltip="Завантажити сертифікат" display="Завантажити сертифікат"/>
    <hyperlink ref="E4353" r:id="rId4350" tooltip="Завантажити сертифікат" display="Завантажити сертифікат"/>
    <hyperlink ref="E4354" r:id="rId4351" tooltip="Завантажити сертифікат" display="Завантажити сертифікат"/>
    <hyperlink ref="E4355" r:id="rId4352" tooltip="Завантажити сертифікат" display="Завантажити сертифікат"/>
    <hyperlink ref="E4356" r:id="rId4353" tooltip="Завантажити сертифікат" display="Завантажити сертифікат"/>
    <hyperlink ref="E4357" r:id="rId4354" tooltip="Завантажити сертифікат" display="Завантажити сертифікат"/>
    <hyperlink ref="E4358" r:id="rId4355" tooltip="Завантажити сертифікат" display="Завантажити сертифікат"/>
    <hyperlink ref="E4359" r:id="rId4356" tooltip="Завантажити сертифікат" display="Завантажити сертифікат"/>
    <hyperlink ref="E4360" r:id="rId4357" tooltip="Завантажити сертифікат" display="Завантажити сертифікат"/>
    <hyperlink ref="E4361" r:id="rId4358" tooltip="Завантажити сертифікат" display="Завантажити сертифікат"/>
    <hyperlink ref="E4362" r:id="rId4359" tooltip="Завантажити сертифікат" display="Завантажити сертифікат"/>
    <hyperlink ref="E4363" r:id="rId4360" tooltip="Завантажити сертифікат" display="Завантажити сертифікат"/>
    <hyperlink ref="E4364" r:id="rId4361" tooltip="Завантажити сертифікат" display="Завантажити сертифікат"/>
    <hyperlink ref="E4365" r:id="rId4362" tooltip="Завантажити сертифікат" display="Завантажити сертифікат"/>
    <hyperlink ref="E4366" r:id="rId4363" tooltip="Завантажити сертифікат" display="Завантажити сертифікат"/>
    <hyperlink ref="E4367" r:id="rId4364" tooltip="Завантажити сертифікат" display="Завантажити сертифікат"/>
    <hyperlink ref="E4368" r:id="rId4365" tooltip="Завантажити сертифікат" display="Завантажити сертифікат"/>
    <hyperlink ref="E4369" r:id="rId4366" tooltip="Завантажити сертифікат" display="Завантажити сертифікат"/>
    <hyperlink ref="E4370" r:id="rId4367" tooltip="Завантажити сертифікат" display="Завантажити сертифікат"/>
    <hyperlink ref="E4371" r:id="rId4368" tooltip="Завантажити сертифікат" display="Завантажити сертифікат"/>
    <hyperlink ref="E4372" r:id="rId4369" tooltip="Завантажити сертифікат" display="Завантажити сертифікат"/>
    <hyperlink ref="E4373" r:id="rId4370" tooltip="Завантажити сертифікат" display="Завантажити сертифікат"/>
    <hyperlink ref="E4374" r:id="rId4371" tooltip="Завантажити сертифікат" display="Завантажити сертифікат"/>
    <hyperlink ref="E4375" r:id="rId4372" tooltip="Завантажити сертифікат" display="Завантажити сертифікат"/>
    <hyperlink ref="E4376" r:id="rId4373" tooltip="Завантажити сертифікат" display="Завантажити сертифікат"/>
    <hyperlink ref="E4377" r:id="rId4374" tooltip="Завантажити сертифікат" display="Завантажити сертифікат"/>
    <hyperlink ref="E4378" r:id="rId4375" tooltip="Завантажити сертифікат" display="Завантажити сертифікат"/>
    <hyperlink ref="E4379" r:id="rId4376" tooltip="Завантажити сертифікат" display="Завантажити сертифікат"/>
    <hyperlink ref="E4380" r:id="rId4377" tooltip="Завантажити сертифікат" display="Завантажити сертифікат"/>
    <hyperlink ref="E4381" r:id="rId4378" tooltip="Завантажити сертифікат" display="Завантажити сертифікат"/>
    <hyperlink ref="E4382" r:id="rId4379" tooltip="Завантажити сертифікат" display="Завантажити сертифікат"/>
    <hyperlink ref="E4383" r:id="rId4380" tooltip="Завантажити сертифікат" display="Завантажити сертифікат"/>
    <hyperlink ref="E4384" r:id="rId4381" tooltip="Завантажити сертифікат" display="Завантажити сертифікат"/>
    <hyperlink ref="E4385" r:id="rId4382" tooltip="Завантажити сертифікат" display="Завантажити сертифікат"/>
    <hyperlink ref="E4386" r:id="rId4383" tooltip="Завантажити сертифікат" display="Завантажити сертифікат"/>
    <hyperlink ref="E4387" r:id="rId4384" tooltip="Завантажити сертифікат" display="Завантажити сертифікат"/>
    <hyperlink ref="E4388" r:id="rId4385" tooltip="Завантажити сертифікат" display="Завантажити сертифікат"/>
    <hyperlink ref="E4389" r:id="rId4386" tooltip="Завантажити сертифікат" display="Завантажити сертифікат"/>
    <hyperlink ref="E4390" r:id="rId4387" tooltip="Завантажити сертифікат" display="Завантажити сертифікат"/>
    <hyperlink ref="E4391" r:id="rId4388" tooltip="Завантажити сертифікат" display="Завантажити сертифікат"/>
    <hyperlink ref="E4392" r:id="rId4389" tooltip="Завантажити сертифікат" display="Завантажити сертифікат"/>
    <hyperlink ref="E4393" r:id="rId4390" tooltip="Завантажити сертифікат" display="Завантажити сертифікат"/>
    <hyperlink ref="E4394" r:id="rId4391" tooltip="Завантажити сертифікат" display="Завантажити сертифікат"/>
    <hyperlink ref="E4395" r:id="rId4392" tooltip="Завантажити сертифікат" display="Завантажити сертифікат"/>
    <hyperlink ref="E4396" r:id="rId4393" tooltip="Завантажити сертифікат" display="Завантажити сертифікат"/>
    <hyperlink ref="E4397" r:id="rId4394" tooltip="Завантажити сертифікат" display="Завантажити сертифікат"/>
    <hyperlink ref="E4398" r:id="rId4395" tooltip="Завантажити сертифікат" display="Завантажити сертифікат"/>
    <hyperlink ref="E4399" r:id="rId4396" tooltip="Завантажити сертифікат" display="Завантажити сертифікат"/>
    <hyperlink ref="E4400" r:id="rId4397" tooltip="Завантажити сертифікат" display="Завантажити сертифікат"/>
    <hyperlink ref="E4401" r:id="rId4398" tooltip="Завантажити сертифікат" display="Завантажити сертифікат"/>
    <hyperlink ref="E4402" r:id="rId4399" tooltip="Завантажити сертифікат" display="Завантажити сертифікат"/>
    <hyperlink ref="E4403" r:id="rId4400" tooltip="Завантажити сертифікат" display="Завантажити сертифікат"/>
    <hyperlink ref="E4404" r:id="rId4401" tooltip="Завантажити сертифікат" display="Завантажити сертифікат"/>
    <hyperlink ref="E4405" r:id="rId4402" tooltip="Завантажити сертифікат" display="Завантажити сертифікат"/>
    <hyperlink ref="E4406" r:id="rId4403" tooltip="Завантажити сертифікат" display="Завантажити сертифікат"/>
    <hyperlink ref="E4407" r:id="rId4404" tooltip="Завантажити сертифікат" display="Завантажити сертифікат"/>
    <hyperlink ref="E4408" r:id="rId4405" tooltip="Завантажити сертифікат" display="Завантажити сертифікат"/>
    <hyperlink ref="E4409" r:id="rId4406" tooltip="Завантажити сертифікат" display="Завантажити сертифікат"/>
    <hyperlink ref="E4410" r:id="rId4407" tooltip="Завантажити сертифікат" display="Завантажити сертифікат"/>
    <hyperlink ref="E4411" r:id="rId4408" tooltip="Завантажити сертифікат" display="Завантажити сертифікат"/>
    <hyperlink ref="E4412" r:id="rId4409" tooltip="Завантажити сертифікат" display="Завантажити сертифікат"/>
    <hyperlink ref="E4413" r:id="rId4410" tooltip="Завантажити сертифікат" display="Завантажити сертифікат"/>
    <hyperlink ref="E4414" r:id="rId4411" tooltip="Завантажити сертифікат" display="Завантажити сертифікат"/>
    <hyperlink ref="E4415" r:id="rId4412" tooltip="Завантажити сертифікат" display="Завантажити сертифікат"/>
    <hyperlink ref="E4416" r:id="rId4413" tooltip="Завантажити сертифікат" display="Завантажити сертифікат"/>
    <hyperlink ref="E4417" r:id="rId4414" tooltip="Завантажити сертифікат" display="Завантажити сертифікат"/>
    <hyperlink ref="E4418" r:id="rId4415" tooltip="Завантажити сертифікат" display="Завантажити сертифікат"/>
    <hyperlink ref="E4419" r:id="rId4416" tooltip="Завантажити сертифікат" display="Завантажити сертифікат"/>
    <hyperlink ref="E4420" r:id="rId4417" tooltip="Завантажити сертифікат" display="Завантажити сертифікат"/>
    <hyperlink ref="E4421" r:id="rId4418" tooltip="Завантажити сертифікат" display="Завантажити сертифікат"/>
    <hyperlink ref="E4422" r:id="rId4419" tooltip="Завантажити сертифікат" display="Завантажити сертифікат"/>
    <hyperlink ref="E4423" r:id="rId4420" tooltip="Завантажити сертифікат" display="Завантажити сертифікат"/>
    <hyperlink ref="E4424" r:id="rId4421" tooltip="Завантажити сертифікат" display="Завантажити сертифікат"/>
    <hyperlink ref="E4425" r:id="rId4422" tooltip="Завантажити сертифікат" display="Завантажити сертифікат"/>
    <hyperlink ref="E4426" r:id="rId4423" tooltip="Завантажити сертифікат" display="Завантажити сертифікат"/>
    <hyperlink ref="E4427" r:id="rId4424" tooltip="Завантажити сертифікат" display="Завантажити сертифікат"/>
    <hyperlink ref="E4428" r:id="rId4425" tooltip="Завантажити сертифікат" display="Завантажити сертифікат"/>
    <hyperlink ref="E4429" r:id="rId4426" tooltip="Завантажити сертифікат" display="Завантажити сертифікат"/>
    <hyperlink ref="E4430" r:id="rId4427" tooltip="Завантажити сертифікат" display="Завантажити сертифікат"/>
    <hyperlink ref="E4431" r:id="rId4428" tooltip="Завантажити сертифікат" display="Завантажити сертифікат"/>
    <hyperlink ref="E4432" r:id="rId4429" tooltip="Завантажити сертифікат" display="Завантажити сертифікат"/>
    <hyperlink ref="E4433" r:id="rId4430" tooltip="Завантажити сертифікат" display="Завантажити сертифікат"/>
    <hyperlink ref="E4434" r:id="rId4431" tooltip="Завантажити сертифікат" display="Завантажити сертифікат"/>
    <hyperlink ref="E4435" r:id="rId4432" tooltip="Завантажити сертифікат" display="Завантажити сертифікат"/>
    <hyperlink ref="E4436" r:id="rId4433" tooltip="Завантажити сертифікат" display="Завантажити сертифікат"/>
    <hyperlink ref="E4437" r:id="rId4434" tooltip="Завантажити сертифікат" display="Завантажити сертифікат"/>
    <hyperlink ref="E4438" r:id="rId4435" tooltip="Завантажити сертифікат" display="Завантажити сертифікат"/>
    <hyperlink ref="E4439" r:id="rId4436" tooltip="Завантажити сертифікат" display="Завантажити сертифікат"/>
    <hyperlink ref="E4440" r:id="rId4437" tooltip="Завантажити сертифікат" display="Завантажити сертифікат"/>
    <hyperlink ref="E4441" r:id="rId4438" tooltip="Завантажити сертифікат" display="Завантажити сертифікат"/>
    <hyperlink ref="E4442" r:id="rId4439" tooltip="Завантажити сертифікат" display="Завантажити сертифікат"/>
    <hyperlink ref="E4443" r:id="rId4440" tooltip="Завантажити сертифікат" display="Завантажити сертифікат"/>
    <hyperlink ref="E4444" r:id="rId4441" tooltip="Завантажити сертифікат" display="Завантажити сертифікат"/>
    <hyperlink ref="E4445" r:id="rId4442" tooltip="Завантажити сертифікат" display="Завантажити сертифікат"/>
    <hyperlink ref="E4446" r:id="rId4443" tooltip="Завантажити сертифікат" display="Завантажити сертифікат"/>
    <hyperlink ref="E4447" r:id="rId4444" tooltip="Завантажити сертифікат" display="Завантажити сертифікат"/>
    <hyperlink ref="E4448" r:id="rId4445" tooltip="Завантажити сертифікат" display="Завантажити сертифікат"/>
    <hyperlink ref="E4449" r:id="rId4446" tooltip="Завантажити сертифікат" display="Завантажити сертифікат"/>
    <hyperlink ref="E4450" r:id="rId4447" tooltip="Завантажити сертифікат" display="Завантажити сертифікат"/>
    <hyperlink ref="E4451" r:id="rId4448" tooltip="Завантажити сертифікат" display="Завантажити сертифікат"/>
    <hyperlink ref="E4452" r:id="rId4449" tooltip="Завантажити сертифікат" display="Завантажити сертифікат"/>
    <hyperlink ref="E4453" r:id="rId4450" tooltip="Завантажити сертифікат" display="Завантажити сертифікат"/>
    <hyperlink ref="E4454" r:id="rId4451" tooltip="Завантажити сертифікат" display="Завантажити сертифікат"/>
    <hyperlink ref="E4455" r:id="rId4452" tooltip="Завантажити сертифікат" display="Завантажити сертифікат"/>
    <hyperlink ref="E4456" r:id="rId4453" tooltip="Завантажити сертифікат" display="Завантажити сертифікат"/>
    <hyperlink ref="E4457" r:id="rId4454" tooltip="Завантажити сертифікат" display="Завантажити сертифікат"/>
    <hyperlink ref="E4458" r:id="rId4455" tooltip="Завантажити сертифікат" display="Завантажити сертифікат"/>
    <hyperlink ref="E4459" r:id="rId4456" tooltip="Завантажити сертифікат" display="Завантажити сертифікат"/>
    <hyperlink ref="E4460" r:id="rId4457" tooltip="Завантажити сертифікат" display="Завантажити сертифікат"/>
    <hyperlink ref="E4461" r:id="rId4458" tooltip="Завантажити сертифікат" display="Завантажити сертифікат"/>
    <hyperlink ref="E4462" r:id="rId4459" tooltip="Завантажити сертифікат" display="Завантажити сертифікат"/>
    <hyperlink ref="E4463" r:id="rId4460" tooltip="Завантажити сертифікат" display="Завантажити сертифікат"/>
    <hyperlink ref="E4464" r:id="rId4461" tooltip="Завантажити сертифікат" display="Завантажити сертифікат"/>
    <hyperlink ref="E4465" r:id="rId4462" tooltip="Завантажити сертифікат" display="Завантажити сертифікат"/>
    <hyperlink ref="E4466" r:id="rId4463" tooltip="Завантажити сертифікат" display="Завантажити сертифікат"/>
    <hyperlink ref="E4467" r:id="rId4464" tooltip="Завантажити сертифікат" display="Завантажити сертифікат"/>
    <hyperlink ref="E4468" r:id="rId4465" tooltip="Завантажити сертифікат" display="Завантажити сертифікат"/>
    <hyperlink ref="E4469" r:id="rId4466" tooltip="Завантажити сертифікат" display="Завантажити сертифікат"/>
    <hyperlink ref="E4470" r:id="rId4467" tooltip="Завантажити сертифікат" display="Завантажити сертифікат"/>
    <hyperlink ref="E4471" r:id="rId4468" tooltip="Завантажити сертифікат" display="Завантажити сертифікат"/>
    <hyperlink ref="E4472" r:id="rId4469" tooltip="Завантажити сертифікат" display="Завантажити сертифікат"/>
    <hyperlink ref="E4473" r:id="rId4470" tooltip="Завантажити сертифікат" display="Завантажити сертифікат"/>
    <hyperlink ref="E4474" r:id="rId4471" tooltip="Завантажити сертифікат" display="Завантажити сертифікат"/>
    <hyperlink ref="E4475" r:id="rId4472" tooltip="Завантажити сертифікат" display="Завантажити сертифікат"/>
    <hyperlink ref="E4476" r:id="rId4473" tooltip="Завантажити сертифікат" display="Завантажити сертифікат"/>
    <hyperlink ref="E4477" r:id="rId4474" tooltip="Завантажити сертифікат" display="Завантажити сертифікат"/>
    <hyperlink ref="E4478" r:id="rId4475" tooltip="Завантажити сертифікат" display="Завантажити сертифікат"/>
    <hyperlink ref="E4479" r:id="rId4476" tooltip="Завантажити сертифікат" display="Завантажити сертифікат"/>
    <hyperlink ref="E4480" r:id="rId4477" tooltip="Завантажити сертифікат" display="Завантажити сертифікат"/>
    <hyperlink ref="E4481" r:id="rId4478" tooltip="Завантажити сертифікат" display="Завантажити сертифікат"/>
    <hyperlink ref="E4482" r:id="rId4479" tooltip="Завантажити сертифікат" display="Завантажити сертифікат"/>
    <hyperlink ref="E4483" r:id="rId4480" tooltip="Завантажити сертифікат" display="Завантажити сертифікат"/>
    <hyperlink ref="E4484" r:id="rId4481" tooltip="Завантажити сертифікат" display="Завантажити сертифікат"/>
    <hyperlink ref="E4485" r:id="rId4482" tooltip="Завантажити сертифікат" display="Завантажити сертифікат"/>
    <hyperlink ref="E4486" r:id="rId4483" tooltip="Завантажити сертифікат" display="Завантажити сертифікат"/>
    <hyperlink ref="E4487" r:id="rId4484" tooltip="Завантажити сертифікат" display="Завантажити сертифікат"/>
    <hyperlink ref="E4488" r:id="rId4485" tooltip="Завантажити сертифікат" display="Завантажити сертифікат"/>
    <hyperlink ref="E4489" r:id="rId4486" tooltip="Завантажити сертифікат" display="Завантажити сертифікат"/>
    <hyperlink ref="E4490" r:id="rId4487" tooltip="Завантажити сертифікат" display="Завантажити сертифікат"/>
    <hyperlink ref="E4491" r:id="rId4488" tooltip="Завантажити сертифікат" display="Завантажити сертифікат"/>
    <hyperlink ref="E4492" r:id="rId4489" tooltip="Завантажити сертифікат" display="Завантажити сертифікат"/>
    <hyperlink ref="E4493" r:id="rId4490" tooltip="Завантажити сертифікат" display="Завантажити сертифікат"/>
    <hyperlink ref="E4494" r:id="rId4491" tooltip="Завантажити сертифікат" display="Завантажити сертифікат"/>
    <hyperlink ref="E4495" r:id="rId4492" tooltip="Завантажити сертифікат" display="Завантажити сертифікат"/>
    <hyperlink ref="E4496" r:id="rId4493" tooltip="Завантажити сертифікат" display="Завантажити сертифікат"/>
    <hyperlink ref="E4497" r:id="rId4494" tooltip="Завантажити сертифікат" display="Завантажити сертифікат"/>
    <hyperlink ref="E4498" r:id="rId4495" tooltip="Завантажити сертифікат" display="Завантажити сертифікат"/>
    <hyperlink ref="E4499" r:id="rId4496" tooltip="Завантажити сертифікат" display="Завантажити сертифікат"/>
    <hyperlink ref="E4500" r:id="rId4497" tooltip="Завантажити сертифікат" display="Завантажити сертифікат"/>
    <hyperlink ref="E4501" r:id="rId4498" tooltip="Завантажити сертифікат" display="Завантажити сертифікат"/>
    <hyperlink ref="E4502" r:id="rId4499" tooltip="Завантажити сертифікат" display="Завантажити сертифікат"/>
    <hyperlink ref="E4503" r:id="rId4500" tooltip="Завантажити сертифікат" display="Завантажити сертифікат"/>
    <hyperlink ref="E4504" r:id="rId4501" tooltip="Завантажити сертифікат" display="Завантажити сертифікат"/>
    <hyperlink ref="E4505" r:id="rId4502" tooltip="Завантажити сертифікат" display="Завантажити сертифікат"/>
    <hyperlink ref="E4506" r:id="rId4503" tooltip="Завантажити сертифікат" display="Завантажити сертифікат"/>
    <hyperlink ref="E4507" r:id="rId4504" tooltip="Завантажити сертифікат" display="Завантажити сертифікат"/>
    <hyperlink ref="E4508" r:id="rId4505" tooltip="Завантажити сертифікат" display="Завантажити сертифікат"/>
    <hyperlink ref="E4509" r:id="rId4506" tooltip="Завантажити сертифікат" display="Завантажити сертифікат"/>
    <hyperlink ref="E4510" r:id="rId4507" tooltip="Завантажити сертифікат" display="Завантажити сертифікат"/>
    <hyperlink ref="E4511" r:id="rId4508" tooltip="Завантажити сертифікат" display="Завантажити сертифікат"/>
    <hyperlink ref="E4512" r:id="rId4509" tooltip="Завантажити сертифікат" display="Завантажити сертифікат"/>
    <hyperlink ref="E4513" r:id="rId4510" tooltip="Завантажити сертифікат" display="Завантажити сертифікат"/>
    <hyperlink ref="E4514" r:id="rId4511" tooltip="Завантажити сертифікат" display="Завантажити сертифікат"/>
    <hyperlink ref="E4515" r:id="rId4512" tooltip="Завантажити сертифікат" display="Завантажити сертифікат"/>
    <hyperlink ref="E4516" r:id="rId4513" tooltip="Завантажити сертифікат" display="Завантажити сертифікат"/>
    <hyperlink ref="E4517" r:id="rId4514" tooltip="Завантажити сертифікат" display="Завантажити сертифікат"/>
    <hyperlink ref="E4518" r:id="rId4515" tooltip="Завантажити сертифікат" display="Завантажити сертифікат"/>
    <hyperlink ref="E4519" r:id="rId4516" tooltip="Завантажити сертифікат" display="Завантажити сертифікат"/>
    <hyperlink ref="E4520" r:id="rId4517" tooltip="Завантажити сертифікат" display="Завантажити сертифікат"/>
    <hyperlink ref="E4521" r:id="rId4518" tooltip="Завантажити сертифікат" display="Завантажити сертифікат"/>
    <hyperlink ref="E4522" r:id="rId4519" tooltip="Завантажити сертифікат" display="Завантажити сертифікат"/>
    <hyperlink ref="E4523" r:id="rId4520" tooltip="Завантажити сертифікат" display="Завантажити сертифікат"/>
    <hyperlink ref="E4524" r:id="rId4521" tooltip="Завантажити сертифікат" display="Завантажити сертифікат"/>
    <hyperlink ref="E4525" r:id="rId4522" tooltip="Завантажити сертифікат" display="Завантажити сертифікат"/>
    <hyperlink ref="E4526" r:id="rId4523" tooltip="Завантажити сертифікат" display="Завантажити сертифікат"/>
    <hyperlink ref="E4527" r:id="rId4524" tooltip="Завантажити сертифікат" display="Завантажити сертифікат"/>
    <hyperlink ref="E4528" r:id="rId4525" tooltip="Завантажити сертифікат" display="Завантажити сертифікат"/>
    <hyperlink ref="E4529" r:id="rId4526" tooltip="Завантажити сертифікат" display="Завантажити сертифікат"/>
    <hyperlink ref="E4530" r:id="rId4527" tooltip="Завантажити сертифікат" display="Завантажити сертифікат"/>
    <hyperlink ref="E4531" r:id="rId4528" tooltip="Завантажити сертифікат" display="Завантажити сертифікат"/>
    <hyperlink ref="E4532" r:id="rId4529" tooltip="Завантажити сертифікат" display="Завантажити сертифікат"/>
    <hyperlink ref="E4533" r:id="rId4530" tooltip="Завантажити сертифікат" display="Завантажити сертифікат"/>
    <hyperlink ref="E4534" r:id="rId4531" tooltip="Завантажити сертифікат" display="Завантажити сертифікат"/>
    <hyperlink ref="E4535" r:id="rId4532" tooltip="Завантажити сертифікат" display="Завантажити сертифікат"/>
    <hyperlink ref="E4536" r:id="rId4533" tooltip="Завантажити сертифікат" display="Завантажити сертифікат"/>
    <hyperlink ref="E4537" r:id="rId4534" tooltip="Завантажити сертифікат" display="Завантажити сертифікат"/>
    <hyperlink ref="E4538" r:id="rId4535" tooltip="Завантажити сертифікат" display="Завантажити сертифікат"/>
    <hyperlink ref="E4539" r:id="rId4536" tooltip="Завантажити сертифікат" display="Завантажити сертифікат"/>
    <hyperlink ref="E4540" r:id="rId4537" tooltip="Завантажити сертифікат" display="Завантажити сертифікат"/>
    <hyperlink ref="E4541" r:id="rId4538" tooltip="Завантажити сертифікат" display="Завантажити сертифікат"/>
    <hyperlink ref="E4542" r:id="rId4539" tooltip="Завантажити сертифікат" display="Завантажити сертифікат"/>
    <hyperlink ref="E4543" r:id="rId4540" tooltip="Завантажити сертифікат" display="Завантажити сертифікат"/>
    <hyperlink ref="E4544" r:id="rId4541" tooltip="Завантажити сертифікат" display="Завантажити сертифікат"/>
    <hyperlink ref="E4545" r:id="rId4542" tooltip="Завантажити сертифікат" display="Завантажити сертифікат"/>
    <hyperlink ref="E4546" r:id="rId4543" tooltip="Завантажити сертифікат" display="Завантажити сертифікат"/>
    <hyperlink ref="E4547" r:id="rId4544" tooltip="Завантажити сертифікат" display="Завантажити сертифікат"/>
    <hyperlink ref="E4548" r:id="rId4545" tooltip="Завантажити сертифікат" display="Завантажити сертифікат"/>
    <hyperlink ref="E4549" r:id="rId4546" tooltip="Завантажити сертифікат" display="Завантажити сертифікат"/>
    <hyperlink ref="E4550" r:id="rId4547" tooltip="Завантажити сертифікат" display="Завантажити сертифікат"/>
    <hyperlink ref="E4551" r:id="rId4548" tooltip="Завантажити сертифікат" display="Завантажити сертифікат"/>
    <hyperlink ref="E4552" r:id="rId4549" tooltip="Завантажити сертифікат" display="Завантажити сертифікат"/>
    <hyperlink ref="E4553" r:id="rId4550" tooltip="Завантажити сертифікат" display="Завантажити сертифікат"/>
    <hyperlink ref="E4554" r:id="rId4551" tooltip="Завантажити сертифікат" display="Завантажити сертифікат"/>
    <hyperlink ref="E4555" r:id="rId4552" tooltip="Завантажити сертифікат" display="Завантажити сертифікат"/>
    <hyperlink ref="E4556" r:id="rId4553" tooltip="Завантажити сертифікат" display="Завантажити сертифікат"/>
    <hyperlink ref="E4557" r:id="rId4554" tooltip="Завантажити сертифікат" display="Завантажити сертифікат"/>
    <hyperlink ref="E4558" r:id="rId4555" tooltip="Завантажити сертифікат" display="Завантажити сертифікат"/>
    <hyperlink ref="E4559" r:id="rId4556" tooltip="Завантажити сертифікат" display="Завантажити сертифікат"/>
    <hyperlink ref="E4560" r:id="rId4557" tooltip="Завантажити сертифікат" display="Завантажити сертифікат"/>
    <hyperlink ref="E4561" r:id="rId4558" tooltip="Завантажити сертифікат" display="Завантажити сертифікат"/>
    <hyperlink ref="E4562" r:id="rId4559" tooltip="Завантажити сертифікат" display="Завантажити сертифікат"/>
    <hyperlink ref="E4563" r:id="rId4560" tooltip="Завантажити сертифікат" display="Завантажити сертифікат"/>
    <hyperlink ref="E4564" r:id="rId4561" tooltip="Завантажити сертифікат" display="Завантажити сертифікат"/>
    <hyperlink ref="E4565" r:id="rId4562" tooltip="Завантажити сертифікат" display="Завантажити сертифікат"/>
    <hyperlink ref="E4566" r:id="rId4563" tooltip="Завантажити сертифікат" display="Завантажити сертифікат"/>
    <hyperlink ref="E4567" r:id="rId4564" tooltip="Завантажити сертифікат" display="Завантажити сертифікат"/>
    <hyperlink ref="E4568" r:id="rId4565" tooltip="Завантажити сертифікат" display="Завантажити сертифікат"/>
    <hyperlink ref="E4569" r:id="rId4566" tooltip="Завантажити сертифікат" display="Завантажити сертифікат"/>
    <hyperlink ref="E4570" r:id="rId4567" tooltip="Завантажити сертифікат" display="Завантажити сертифікат"/>
    <hyperlink ref="E4571" r:id="rId4568" tooltip="Завантажити сертифікат" display="Завантажити сертифікат"/>
    <hyperlink ref="E4572" r:id="rId4569" tooltip="Завантажити сертифікат" display="Завантажити сертифікат"/>
    <hyperlink ref="E4573" r:id="rId4570" tooltip="Завантажити сертифікат" display="Завантажити сертифікат"/>
    <hyperlink ref="E4574" r:id="rId4571" tooltip="Завантажити сертифікат" display="Завантажити сертифікат"/>
    <hyperlink ref="E4575" r:id="rId4572" tooltip="Завантажити сертифікат" display="Завантажити сертифікат"/>
    <hyperlink ref="E4576" r:id="rId4573" tooltip="Завантажити сертифікат" display="Завантажити сертифікат"/>
    <hyperlink ref="E4577" r:id="rId4574" tooltip="Завантажити сертифікат" display="Завантажити сертифікат"/>
    <hyperlink ref="E4578" r:id="rId4575" tooltip="Завантажити сертифікат" display="Завантажити сертифікат"/>
    <hyperlink ref="E4579" r:id="rId4576" tooltip="Завантажити сертифікат" display="Завантажити сертифікат"/>
    <hyperlink ref="E4580" r:id="rId4577" tooltip="Завантажити сертифікат" display="Завантажити сертифікат"/>
    <hyperlink ref="E4581" r:id="rId4578" tooltip="Завантажити сертифікат" display="Завантажити сертифікат"/>
    <hyperlink ref="E4582" r:id="rId4579" tooltip="Завантажити сертифікат" display="Завантажити сертифікат"/>
    <hyperlink ref="E4583" r:id="rId4580" tooltip="Завантажити сертифікат" display="Завантажити сертифікат"/>
    <hyperlink ref="E4584" r:id="rId4581" tooltip="Завантажити сертифікат" display="Завантажити сертифікат"/>
    <hyperlink ref="E4585" r:id="rId4582" tooltip="Завантажити сертифікат" display="Завантажити сертифікат"/>
    <hyperlink ref="E4586" r:id="rId4583" tooltip="Завантажити сертифікат" display="Завантажити сертифікат"/>
    <hyperlink ref="E4587" r:id="rId4584" tooltip="Завантажити сертифікат" display="Завантажити сертифікат"/>
    <hyperlink ref="E4588" r:id="rId4585" tooltip="Завантажити сертифікат" display="Завантажити сертифікат"/>
    <hyperlink ref="E4589" r:id="rId4586" tooltip="Завантажити сертифікат" display="Завантажити сертифікат"/>
    <hyperlink ref="E4590" r:id="rId4587" tooltip="Завантажити сертифікат" display="Завантажити сертифікат"/>
    <hyperlink ref="E4591" r:id="rId4588" tooltip="Завантажити сертифікат" display="Завантажити сертифікат"/>
    <hyperlink ref="E4592" r:id="rId4589" tooltip="Завантажити сертифікат" display="Завантажити сертифікат"/>
    <hyperlink ref="E4593" r:id="rId4590" tooltip="Завантажити сертифікат" display="Завантажити сертифікат"/>
    <hyperlink ref="E4594" r:id="rId4591" tooltip="Завантажити сертифікат" display="Завантажити сертифікат"/>
    <hyperlink ref="E4595" r:id="rId4592" tooltip="Завантажити сертифікат" display="Завантажити сертифікат"/>
    <hyperlink ref="E4596" r:id="rId4593" tooltip="Завантажити сертифікат" display="Завантажити сертифікат"/>
    <hyperlink ref="E4597" r:id="rId4594" tooltip="Завантажити сертифікат" display="Завантажити сертифікат"/>
    <hyperlink ref="E4598" r:id="rId4595" tooltip="Завантажити сертифікат" display="Завантажити сертифікат"/>
    <hyperlink ref="E4599" r:id="rId4596" tooltip="Завантажити сертифікат" display="Завантажити сертифікат"/>
    <hyperlink ref="E4600" r:id="rId4597" tooltip="Завантажити сертифікат" display="Завантажити сертифікат"/>
    <hyperlink ref="E4601" r:id="rId4598" tooltip="Завантажити сертифікат" display="Завантажити сертифікат"/>
    <hyperlink ref="E4602" r:id="rId4599" tooltip="Завантажити сертифікат" display="Завантажити сертифікат"/>
    <hyperlink ref="E4603" r:id="rId4600" tooltip="Завантажити сертифікат" display="Завантажити сертифікат"/>
    <hyperlink ref="E4604" r:id="rId4601" tooltip="Завантажити сертифікат" display="Завантажити сертифікат"/>
    <hyperlink ref="E4605" r:id="rId4602" tooltip="Завантажити сертифікат" display="Завантажити сертифікат"/>
    <hyperlink ref="E4606" r:id="rId4603" tooltip="Завантажити сертифікат" display="Завантажити сертифікат"/>
    <hyperlink ref="E4607" r:id="rId4604" tooltip="Завантажити сертифікат" display="Завантажити сертифікат"/>
    <hyperlink ref="E4608" r:id="rId4605" tooltip="Завантажити сертифікат" display="Завантажити сертифікат"/>
    <hyperlink ref="E4609" r:id="rId4606" tooltip="Завантажити сертифікат" display="Завантажити сертифікат"/>
    <hyperlink ref="E4610" r:id="rId4607" tooltip="Завантажити сертифікат" display="Завантажити сертифікат"/>
    <hyperlink ref="E4611" r:id="rId4608" tooltip="Завантажити сертифікат" display="Завантажити сертифікат"/>
    <hyperlink ref="E4612" r:id="rId4609" tooltip="Завантажити сертифікат" display="Завантажити сертифікат"/>
    <hyperlink ref="E4613" r:id="rId4610" tooltip="Завантажити сертифікат" display="Завантажити сертифікат"/>
    <hyperlink ref="E4614" r:id="rId4611" tooltip="Завантажити сертифікат" display="Завантажити сертифікат"/>
    <hyperlink ref="E4615" r:id="rId4612" tooltip="Завантажити сертифікат" display="Завантажити сертифікат"/>
    <hyperlink ref="E4616" r:id="rId4613" tooltip="Завантажити сертифікат" display="Завантажити сертифікат"/>
    <hyperlink ref="E4617" r:id="rId4614" tooltip="Завантажити сертифікат" display="Завантажити сертифікат"/>
    <hyperlink ref="E4618" r:id="rId4615" tooltip="Завантажити сертифікат" display="Завантажити сертифікат"/>
    <hyperlink ref="E4619" r:id="rId4616" tooltip="Завантажити сертифікат" display="Завантажити сертифікат"/>
    <hyperlink ref="E4620" r:id="rId4617" tooltip="Завантажити сертифікат" display="Завантажити сертифікат"/>
    <hyperlink ref="E4621" r:id="rId4618" tooltip="Завантажити сертифікат" display="Завантажити сертифікат"/>
    <hyperlink ref="E4622" r:id="rId4619" tooltip="Завантажити сертифікат" display="Завантажити сертифікат"/>
    <hyperlink ref="E4623" r:id="rId4620" tooltip="Завантажити сертифікат" display="Завантажити сертифікат"/>
    <hyperlink ref="E4624" r:id="rId4621" tooltip="Завантажити сертифікат" display="Завантажити сертифікат"/>
    <hyperlink ref="E4625" r:id="rId4622" tooltip="Завантажити сертифікат" display="Завантажити сертифікат"/>
    <hyperlink ref="E4626" r:id="rId4623" tooltip="Завантажити сертифікат" display="Завантажити сертифікат"/>
    <hyperlink ref="E4627" r:id="rId4624" tooltip="Завантажити сертифікат" display="Завантажити сертифікат"/>
    <hyperlink ref="E4628" r:id="rId4625" tooltip="Завантажити сертифікат" display="Завантажити сертифікат"/>
    <hyperlink ref="E4629" r:id="rId4626" tooltip="Завантажити сертифікат" display="Завантажити сертифікат"/>
    <hyperlink ref="E4630" r:id="rId4627" tooltip="Завантажити сертифікат" display="Завантажити сертифікат"/>
    <hyperlink ref="E4631" r:id="rId4628" tooltip="Завантажити сертифікат" display="Завантажити сертифікат"/>
    <hyperlink ref="E4632" r:id="rId4629" tooltip="Завантажити сертифікат" display="Завантажити сертифікат"/>
    <hyperlink ref="E4633" r:id="rId4630" tooltip="Завантажити сертифікат" display="Завантажити сертифікат"/>
    <hyperlink ref="E4634" r:id="rId4631" tooltip="Завантажити сертифікат" display="Завантажити сертифікат"/>
    <hyperlink ref="E4635" r:id="rId4632" tooltip="Завантажити сертифікат" display="Завантажити сертифікат"/>
    <hyperlink ref="E4636" r:id="rId4633" tooltip="Завантажити сертифікат" display="Завантажити сертифікат"/>
    <hyperlink ref="E4637" r:id="rId4634" tooltip="Завантажити сертифікат" display="Завантажити сертифікат"/>
    <hyperlink ref="E4638" r:id="rId4635" tooltip="Завантажити сертифікат" display="Завантажити сертифікат"/>
    <hyperlink ref="E4639" r:id="rId4636" tooltip="Завантажити сертифікат" display="Завантажити сертифікат"/>
    <hyperlink ref="E4640" r:id="rId4637" tooltip="Завантажити сертифікат" display="Завантажити сертифікат"/>
    <hyperlink ref="E4641" r:id="rId4638" tooltip="Завантажити сертифікат" display="Завантажити сертифікат"/>
    <hyperlink ref="E4642" r:id="rId4639" tooltip="Завантажити сертифікат" display="Завантажити сертифікат"/>
    <hyperlink ref="E4643" r:id="rId4640" tooltip="Завантажити сертифікат" display="Завантажити сертифікат"/>
    <hyperlink ref="E4644" r:id="rId4641" tooltip="Завантажити сертифікат" display="Завантажити сертифікат"/>
    <hyperlink ref="E4645" r:id="rId4642" tooltip="Завантажити сертифікат" display="Завантажити сертифікат"/>
    <hyperlink ref="E4646" r:id="rId4643" tooltip="Завантажити сертифікат" display="Завантажити сертифікат"/>
    <hyperlink ref="E4647" r:id="rId4644" tooltip="Завантажити сертифікат" display="Завантажити сертифікат"/>
    <hyperlink ref="E4648" r:id="rId4645" tooltip="Завантажити сертифікат" display="Завантажити сертифікат"/>
    <hyperlink ref="E4649" r:id="rId4646" tooltip="Завантажити сертифікат" display="Завантажити сертифікат"/>
    <hyperlink ref="E4650" r:id="rId4647" tooltip="Завантажити сертифікат" display="Завантажити сертифікат"/>
    <hyperlink ref="E4651" r:id="rId4648" tooltip="Завантажити сертифікат" display="Завантажити сертифікат"/>
    <hyperlink ref="E4652" r:id="rId4649" tooltip="Завантажити сертифікат" display="Завантажити сертифікат"/>
    <hyperlink ref="E4653" r:id="rId4650" tooltip="Завантажити сертифікат" display="Завантажити сертифікат"/>
    <hyperlink ref="E4654" r:id="rId4651" tooltip="Завантажити сертифікат" display="Завантажити сертифікат"/>
    <hyperlink ref="E4655" r:id="rId4652" tooltip="Завантажити сертифікат" display="Завантажити сертифікат"/>
    <hyperlink ref="E4656" r:id="rId4653" tooltip="Завантажити сертифікат" display="Завантажити сертифікат"/>
    <hyperlink ref="E4657" r:id="rId4654" tooltip="Завантажити сертифікат" display="Завантажити сертифікат"/>
    <hyperlink ref="E4658" r:id="rId4655" tooltip="Завантажити сертифікат" display="Завантажити сертифікат"/>
    <hyperlink ref="E4659" r:id="rId4656" tooltip="Завантажити сертифікат" display="Завантажити сертифікат"/>
    <hyperlink ref="E4660" r:id="rId4657" tooltip="Завантажити сертифікат" display="Завантажити сертифікат"/>
    <hyperlink ref="E4661" r:id="rId4658" tooltip="Завантажити сертифікат" display="Завантажити сертифікат"/>
    <hyperlink ref="E4662" r:id="rId4659" tooltip="Завантажити сертифікат" display="Завантажити сертифікат"/>
    <hyperlink ref="E4663" r:id="rId4660" tooltip="Завантажити сертифікат" display="Завантажити сертифікат"/>
    <hyperlink ref="E4664" r:id="rId4661" tooltip="Завантажити сертифікат" display="Завантажити сертифікат"/>
    <hyperlink ref="E4665" r:id="rId4662" tooltip="Завантажити сертифікат" display="Завантажити сертифікат"/>
    <hyperlink ref="E4666" r:id="rId4663" tooltip="Завантажити сертифікат" display="Завантажити сертифікат"/>
    <hyperlink ref="E4667" r:id="rId4664" tooltip="Завантажити сертифікат" display="Завантажити сертифікат"/>
    <hyperlink ref="E4668" r:id="rId4665" tooltip="Завантажити сертифікат" display="Завантажити сертифікат"/>
    <hyperlink ref="E4669" r:id="rId4666" tooltip="Завантажити сертифікат" display="Завантажити сертифікат"/>
    <hyperlink ref="E4670" r:id="rId4667" tooltip="Завантажити сертифікат" display="Завантажити сертифікат"/>
    <hyperlink ref="E4671" r:id="rId4668" tooltip="Завантажити сертифікат" display="Завантажити сертифікат"/>
    <hyperlink ref="E4672" r:id="rId4669" tooltip="Завантажити сертифікат" display="Завантажити сертифікат"/>
    <hyperlink ref="E4673" r:id="rId4670" tooltip="Завантажити сертифікат" display="Завантажити сертифікат"/>
    <hyperlink ref="E4674" r:id="rId4671" tooltip="Завантажити сертифікат" display="Завантажити сертифікат"/>
    <hyperlink ref="E4675" r:id="rId4672" tooltip="Завантажити сертифікат" display="Завантажити сертифікат"/>
    <hyperlink ref="E4676" r:id="rId4673" tooltip="Завантажити сертифікат" display="Завантажити сертифікат"/>
    <hyperlink ref="E4677" r:id="rId4674" tooltip="Завантажити сертифікат" display="Завантажити сертифікат"/>
    <hyperlink ref="E4678" r:id="rId4675" tooltip="Завантажити сертифікат" display="Завантажити сертифікат"/>
    <hyperlink ref="E4679" r:id="rId4676" tooltip="Завантажити сертифікат" display="Завантажити сертифікат"/>
    <hyperlink ref="E4680" r:id="rId4677" tooltip="Завантажити сертифікат" display="Завантажити сертифікат"/>
    <hyperlink ref="E4681" r:id="rId4678" tooltip="Завантажити сертифікат" display="Завантажити сертифікат"/>
    <hyperlink ref="E4682" r:id="rId4679" tooltip="Завантажити сертифікат" display="Завантажити сертифікат"/>
    <hyperlink ref="E4683" r:id="rId4680" tooltip="Завантажити сертифікат" display="Завантажити сертифікат"/>
    <hyperlink ref="E4684" r:id="rId4681" tooltip="Завантажити сертифікат" display="Завантажити сертифікат"/>
    <hyperlink ref="E4685" r:id="rId4682" tooltip="Завантажити сертифікат" display="Завантажити сертифікат"/>
    <hyperlink ref="E4686" r:id="rId4683" tooltip="Завантажити сертифікат" display="Завантажити сертифікат"/>
    <hyperlink ref="E4687" r:id="rId4684" tooltip="Завантажити сертифікат" display="Завантажити сертифікат"/>
    <hyperlink ref="E4688" r:id="rId4685" tooltip="Завантажити сертифікат" display="Завантажити сертифікат"/>
    <hyperlink ref="E4689" r:id="rId4686" tooltip="Завантажити сертифікат" display="Завантажити сертифікат"/>
    <hyperlink ref="E4690" r:id="rId4687" tooltip="Завантажити сертифікат" display="Завантажити сертифікат"/>
    <hyperlink ref="E4691" r:id="rId4688" tooltip="Завантажити сертифікат" display="Завантажити сертифікат"/>
    <hyperlink ref="E4692" r:id="rId4689" tooltip="Завантажити сертифікат" display="Завантажити сертифікат"/>
    <hyperlink ref="E4693" r:id="rId4690" tooltip="Завантажити сертифікат" display="Завантажити сертифікат"/>
    <hyperlink ref="E4694" r:id="rId4691" tooltip="Завантажити сертифікат" display="Завантажити сертифікат"/>
    <hyperlink ref="E4695" r:id="rId4692" tooltip="Завантажити сертифікат" display="Завантажити сертифікат"/>
    <hyperlink ref="E4696" r:id="rId4693" tooltip="Завантажити сертифікат" display="Завантажити сертифікат"/>
    <hyperlink ref="E4697" r:id="rId4694" tooltip="Завантажити сертифікат" display="Завантажити сертифікат"/>
    <hyperlink ref="E4698" r:id="rId4695" tooltip="Завантажити сертифікат" display="Завантажити сертифікат"/>
    <hyperlink ref="E4699" r:id="rId4696" tooltip="Завантажити сертифікат" display="Завантажити сертифікат"/>
    <hyperlink ref="E4700" r:id="rId4697" tooltip="Завантажити сертифікат" display="Завантажити сертифікат"/>
    <hyperlink ref="E4701" r:id="rId4698" tooltip="Завантажити сертифікат" display="Завантажити сертифікат"/>
    <hyperlink ref="E4702" r:id="rId4699" tooltip="Завантажити сертифікат" display="Завантажити сертифікат"/>
    <hyperlink ref="E4703" r:id="rId4700" tooltip="Завантажити сертифікат" display="Завантажити сертифікат"/>
    <hyperlink ref="E4704" r:id="rId4701" tooltip="Завантажити сертифікат" display="Завантажити сертифікат"/>
    <hyperlink ref="E4705" r:id="rId4702" tooltip="Завантажити сертифікат" display="Завантажити сертифікат"/>
    <hyperlink ref="E4706" r:id="rId4703" tooltip="Завантажити сертифікат" display="Завантажити сертифікат"/>
    <hyperlink ref="E4707" r:id="rId4704" tooltip="Завантажити сертифікат" display="Завантажити сертифікат"/>
    <hyperlink ref="E4708" r:id="rId4705" tooltip="Завантажити сертифікат" display="Завантажити сертифікат"/>
    <hyperlink ref="E4709" r:id="rId4706" tooltip="Завантажити сертифікат" display="Завантажити сертифікат"/>
    <hyperlink ref="E4710" r:id="rId4707" tooltip="Завантажити сертифікат" display="Завантажити сертифікат"/>
    <hyperlink ref="E4711" r:id="rId4708" tooltip="Завантажити сертифікат" display="Завантажити сертифікат"/>
    <hyperlink ref="E4712" r:id="rId4709" tooltip="Завантажити сертифікат" display="Завантажити сертифікат"/>
    <hyperlink ref="E4713" r:id="rId4710" tooltip="Завантажити сертифікат" display="Завантажити сертифікат"/>
    <hyperlink ref="E4714" r:id="rId4711" tooltip="Завантажити сертифікат" display="Завантажити сертифікат"/>
    <hyperlink ref="E4715" r:id="rId4712" tooltip="Завантажити сертифікат" display="Завантажити сертифікат"/>
    <hyperlink ref="E4716" r:id="rId4713" tooltip="Завантажити сертифікат" display="Завантажити сертифікат"/>
    <hyperlink ref="E4717" r:id="rId4714" tooltip="Завантажити сертифікат" display="Завантажити сертифікат"/>
    <hyperlink ref="E4718" r:id="rId4715" tooltip="Завантажити сертифікат" display="Завантажити сертифікат"/>
    <hyperlink ref="E4719" r:id="rId4716" tooltip="Завантажити сертифікат" display="Завантажити сертифікат"/>
    <hyperlink ref="E4720" r:id="rId4717" tooltip="Завантажити сертифікат" display="Завантажити сертифікат"/>
    <hyperlink ref="E4721" r:id="rId4718" tooltip="Завантажити сертифікат" display="Завантажити сертифікат"/>
    <hyperlink ref="E4722" r:id="rId4719" tooltip="Завантажити сертифікат" display="Завантажити сертифікат"/>
    <hyperlink ref="E4723" r:id="rId4720" tooltip="Завантажити сертифікат" display="Завантажити сертифікат"/>
    <hyperlink ref="E4724" r:id="rId4721" tooltip="Завантажити сертифікат" display="Завантажити сертифікат"/>
    <hyperlink ref="E4725" r:id="rId4722" tooltip="Завантажити сертифікат" display="Завантажити сертифікат"/>
    <hyperlink ref="E4726" r:id="rId4723" tooltip="Завантажити сертифікат" display="Завантажити сертифікат"/>
    <hyperlink ref="E4727" r:id="rId4724" tooltip="Завантажити сертифікат" display="Завантажити сертифікат"/>
    <hyperlink ref="E4728" r:id="rId4725" tooltip="Завантажити сертифікат" display="Завантажити сертифікат"/>
    <hyperlink ref="E4729" r:id="rId4726" tooltip="Завантажити сертифікат" display="Завантажити сертифікат"/>
    <hyperlink ref="E4730" r:id="rId4727" tooltip="Завантажити сертифікат" display="Завантажити сертифікат"/>
    <hyperlink ref="E4731" r:id="rId4728" tooltip="Завантажити сертифікат" display="Завантажити сертифікат"/>
    <hyperlink ref="E4732" r:id="rId4729" tooltip="Завантажити сертифікат" display="Завантажити сертифікат"/>
    <hyperlink ref="E4733" r:id="rId4730" tooltip="Завантажити сертифікат" display="Завантажити сертифікат"/>
    <hyperlink ref="E4734" r:id="rId4731" tooltip="Завантажити сертифікат" display="Завантажити сертифікат"/>
    <hyperlink ref="E4735" r:id="rId4732" tooltip="Завантажити сертифікат" display="Завантажити сертифікат"/>
    <hyperlink ref="E4736" r:id="rId4733" tooltip="Завантажити сертифікат" display="Завантажити сертифікат"/>
    <hyperlink ref="E4737" r:id="rId4734" tooltip="Завантажити сертифікат" display="Завантажити сертифікат"/>
    <hyperlink ref="E4738" r:id="rId4735" tooltip="Завантажити сертифікат" display="Завантажити сертифікат"/>
    <hyperlink ref="E4739" r:id="rId4736" tooltip="Завантажити сертифікат" display="Завантажити сертифікат"/>
    <hyperlink ref="E4740" r:id="rId4737" tooltip="Завантажити сертифікат" display="Завантажити сертифікат"/>
    <hyperlink ref="E4741" r:id="rId4738" tooltip="Завантажити сертифікат" display="Завантажити сертифікат"/>
    <hyperlink ref="E4742" r:id="rId4739" tooltip="Завантажити сертифікат" display="Завантажити сертифікат"/>
    <hyperlink ref="E4743" r:id="rId4740" tooltip="Завантажити сертифікат" display="Завантажити сертифікат"/>
    <hyperlink ref="E4744" r:id="rId4741" tooltip="Завантажити сертифікат" display="Завантажити сертифікат"/>
    <hyperlink ref="E4745" r:id="rId4742" tooltip="Завантажити сертифікат" display="Завантажити сертифікат"/>
    <hyperlink ref="E4746" r:id="rId4743" tooltip="Завантажити сертифікат" display="Завантажити сертифікат"/>
    <hyperlink ref="E4747" r:id="rId4744" tooltip="Завантажити сертифікат" display="Завантажити сертифікат"/>
    <hyperlink ref="E4748" r:id="rId4745" tooltip="Завантажити сертифікат" display="Завантажити сертифікат"/>
    <hyperlink ref="E4749" r:id="rId4746" tooltip="Завантажити сертифікат" display="Завантажити сертифікат"/>
    <hyperlink ref="E4750" r:id="rId4747" tooltip="Завантажити сертифікат" display="Завантажити сертифікат"/>
    <hyperlink ref="E4751" r:id="rId4748" tooltip="Завантажити сертифікат" display="Завантажити сертифікат"/>
    <hyperlink ref="E4752" r:id="rId4749" tooltip="Завантажити сертифікат" display="Завантажити сертифікат"/>
    <hyperlink ref="E4753" r:id="rId4750" tooltip="Завантажити сертифікат" display="Завантажити сертифікат"/>
    <hyperlink ref="E4754" r:id="rId4751" tooltip="Завантажити сертифікат" display="Завантажити сертифікат"/>
    <hyperlink ref="E4755" r:id="rId4752" tooltip="Завантажити сертифікат" display="Завантажити сертифікат"/>
    <hyperlink ref="E4756" r:id="rId4753" tooltip="Завантажити сертифікат" display="Завантажити сертифікат"/>
    <hyperlink ref="E4757" r:id="rId4754" tooltip="Завантажити сертифікат" display="Завантажити сертифікат"/>
    <hyperlink ref="E4758" r:id="rId4755" tooltip="Завантажити сертифікат" display="Завантажити сертифікат"/>
    <hyperlink ref="E4759" r:id="rId4756" tooltip="Завантажити сертифікат" display="Завантажити сертифікат"/>
    <hyperlink ref="E4760" r:id="rId4757" tooltip="Завантажити сертифікат" display="Завантажити сертифікат"/>
    <hyperlink ref="E4761" r:id="rId4758" tooltip="Завантажити сертифікат" display="Завантажити сертифікат"/>
    <hyperlink ref="E4762" r:id="rId4759" tooltip="Завантажити сертифікат" display="Завантажити сертифікат"/>
    <hyperlink ref="E4763" r:id="rId4760" tooltip="Завантажити сертифікат" display="Завантажити сертифікат"/>
    <hyperlink ref="E4764" r:id="rId4761" tooltip="Завантажити сертифікат" display="Завантажити сертифікат"/>
    <hyperlink ref="E4765" r:id="rId4762" tooltip="Завантажити сертифікат" display="Завантажити сертифікат"/>
    <hyperlink ref="E4766" r:id="rId4763" tooltip="Завантажити сертифікат" display="Завантажити сертифікат"/>
    <hyperlink ref="E4767" r:id="rId4764" tooltip="Завантажити сертифікат" display="Завантажити сертифікат"/>
    <hyperlink ref="E4768" r:id="rId4765" tooltip="Завантажити сертифікат" display="Завантажити сертифікат"/>
    <hyperlink ref="E4769" r:id="rId4766" tooltip="Завантажити сертифікат" display="Завантажити сертифікат"/>
    <hyperlink ref="E4770" r:id="rId4767" tooltip="Завантажити сертифікат" display="Завантажити сертифікат"/>
    <hyperlink ref="E4771" r:id="rId4768" tooltip="Завантажити сертифікат" display="Завантажити сертифікат"/>
    <hyperlink ref="E4772" r:id="rId4769" tooltip="Завантажити сертифікат" display="Завантажити сертифікат"/>
    <hyperlink ref="E4773" r:id="rId4770" tooltip="Завантажити сертифікат" display="Завантажити сертифікат"/>
    <hyperlink ref="E4774" r:id="rId4771" tooltip="Завантажити сертифікат" display="Завантажити сертифікат"/>
    <hyperlink ref="E4775" r:id="rId4772" tooltip="Завантажити сертифікат" display="Завантажити сертифікат"/>
    <hyperlink ref="E4776" r:id="rId4773" tooltip="Завантажити сертифікат" display="Завантажити сертифікат"/>
    <hyperlink ref="E4777" r:id="rId4774" tooltip="Завантажити сертифікат" display="Завантажити сертифікат"/>
    <hyperlink ref="E4778" r:id="rId4775" tooltip="Завантажити сертифікат" display="Завантажити сертифікат"/>
    <hyperlink ref="E4779" r:id="rId4776" tooltip="Завантажити сертифікат" display="Завантажити сертифікат"/>
    <hyperlink ref="E4780" r:id="rId4777" tooltip="Завантажити сертифікат" display="Завантажити сертифікат"/>
    <hyperlink ref="E4781" r:id="rId4778" tooltip="Завантажити сертифікат" display="Завантажити сертифікат"/>
    <hyperlink ref="E4782" r:id="rId4779" tooltip="Завантажити сертифікат" display="Завантажити сертифікат"/>
    <hyperlink ref="E4783" r:id="rId4780" tooltip="Завантажити сертифікат" display="Завантажити сертифікат"/>
    <hyperlink ref="E4784" r:id="rId4781" tooltip="Завантажити сертифікат" display="Завантажити сертифікат"/>
    <hyperlink ref="E4785" r:id="rId4782" tooltip="Завантажити сертифікат" display="Завантажити сертифікат"/>
    <hyperlink ref="E4786" r:id="rId4783" tooltip="Завантажити сертифікат" display="Завантажити сертифікат"/>
    <hyperlink ref="E4787" r:id="rId4784" tooltip="Завантажити сертифікат" display="Завантажити сертифікат"/>
    <hyperlink ref="E4788" r:id="rId4785" tooltip="Завантажити сертифікат" display="Завантажити сертифікат"/>
    <hyperlink ref="E4789" r:id="rId4786" tooltip="Завантажити сертифікат" display="Завантажити сертифікат"/>
    <hyperlink ref="E4790" r:id="rId4787" tooltip="Завантажити сертифікат" display="Завантажити сертифікат"/>
    <hyperlink ref="E4791" r:id="rId4788" tooltip="Завантажити сертифікат" display="Завантажити сертифікат"/>
    <hyperlink ref="E4792" r:id="rId4789" tooltip="Завантажити сертифікат" display="Завантажити сертифікат"/>
    <hyperlink ref="E4793" r:id="rId4790" tooltip="Завантажити сертифікат" display="Завантажити сертифікат"/>
    <hyperlink ref="E4794" r:id="rId4791" tooltip="Завантажити сертифікат" display="Завантажити сертифікат"/>
    <hyperlink ref="E4795" r:id="rId4792" tooltip="Завантажити сертифікат" display="Завантажити сертифікат"/>
    <hyperlink ref="E4796" r:id="rId4793" tooltip="Завантажити сертифікат" display="Завантажити сертифікат"/>
    <hyperlink ref="E4797" r:id="rId4794" tooltip="Завантажити сертифікат" display="Завантажити сертифікат"/>
    <hyperlink ref="E4798" r:id="rId4795" tooltip="Завантажити сертифікат" display="Завантажити сертифікат"/>
    <hyperlink ref="E4799" r:id="rId4796" tooltip="Завантажити сертифікат" display="Завантажити сертифікат"/>
    <hyperlink ref="E4800" r:id="rId4797" tooltip="Завантажити сертифікат" display="Завантажити сертифікат"/>
    <hyperlink ref="E4801" r:id="rId4798" tooltip="Завантажити сертифікат" display="Завантажити сертифікат"/>
    <hyperlink ref="E4802" r:id="rId4799" tooltip="Завантажити сертифікат" display="Завантажити сертифікат"/>
    <hyperlink ref="E4803" r:id="rId4800" tooltip="Завантажити сертифікат" display="Завантажити сертифікат"/>
    <hyperlink ref="E4804" r:id="rId4801" tooltip="Завантажити сертифікат" display="Завантажити сертифікат"/>
    <hyperlink ref="E4805" r:id="rId4802" tooltip="Завантажити сертифікат" display="Завантажити сертифікат"/>
    <hyperlink ref="E4806" r:id="rId4803" tooltip="Завантажити сертифікат" display="Завантажити сертифікат"/>
    <hyperlink ref="E4807" r:id="rId4804" tooltip="Завантажити сертифікат" display="Завантажити сертифікат"/>
    <hyperlink ref="E4808" r:id="rId4805" tooltip="Завантажити сертифікат" display="Завантажити сертифікат"/>
    <hyperlink ref="E4809" r:id="rId4806" tooltip="Завантажити сертифікат" display="Завантажити сертифікат"/>
    <hyperlink ref="E4810" r:id="rId4807" tooltip="Завантажити сертифікат" display="Завантажити сертифікат"/>
    <hyperlink ref="E4811" r:id="rId4808" tooltip="Завантажити сертифікат" display="Завантажити сертифікат"/>
    <hyperlink ref="E4812" r:id="rId4809" tooltip="Завантажити сертифікат" display="Завантажити сертифікат"/>
    <hyperlink ref="E4813" r:id="rId4810" tooltip="Завантажити сертифікат" display="Завантажити сертифікат"/>
    <hyperlink ref="E4814" r:id="rId4811" tooltip="Завантажити сертифікат" display="Завантажити сертифікат"/>
    <hyperlink ref="E4815" r:id="rId4812" tooltip="Завантажити сертифікат" display="Завантажити сертифікат"/>
    <hyperlink ref="E4816" r:id="rId4813" tooltip="Завантажити сертифікат" display="Завантажити сертифікат"/>
    <hyperlink ref="E4817" r:id="rId4814" tooltip="Завантажити сертифікат" display="Завантажити сертифікат"/>
    <hyperlink ref="E4818" r:id="rId4815" tooltip="Завантажити сертифікат" display="Завантажити сертифікат"/>
    <hyperlink ref="E4819" r:id="rId4816" tooltip="Завантажити сертифікат" display="Завантажити сертифікат"/>
    <hyperlink ref="E4820" r:id="rId4817" tooltip="Завантажити сертифікат" display="Завантажити сертифікат"/>
    <hyperlink ref="E4821" r:id="rId4818" tooltip="Завантажити сертифікат" display="Завантажити сертифікат"/>
    <hyperlink ref="E4822" r:id="rId4819" tooltip="Завантажити сертифікат" display="Завантажити сертифікат"/>
    <hyperlink ref="E4823" r:id="rId4820" tooltip="Завантажити сертифікат" display="Завантажити сертифікат"/>
    <hyperlink ref="E4824" r:id="rId4821" tooltip="Завантажити сертифікат" display="Завантажити сертифікат"/>
    <hyperlink ref="E4825" r:id="rId4822" tooltip="Завантажити сертифікат" display="Завантажити сертифікат"/>
    <hyperlink ref="E4826" r:id="rId4823" tooltip="Завантажити сертифікат" display="Завантажити сертифікат"/>
    <hyperlink ref="E4827" r:id="rId4824" tooltip="Завантажити сертифікат" display="Завантажити сертифікат"/>
    <hyperlink ref="E4828" r:id="rId4825" tooltip="Завантажити сертифікат" display="Завантажити сертифікат"/>
    <hyperlink ref="E4829" r:id="rId4826" tooltip="Завантажити сертифікат" display="Завантажити сертифікат"/>
    <hyperlink ref="E4830" r:id="rId4827" tooltip="Завантажити сертифікат" display="Завантажити сертифікат"/>
    <hyperlink ref="E4831" r:id="rId4828" tooltip="Завантажити сертифікат" display="Завантажити сертифікат"/>
    <hyperlink ref="E4832" r:id="rId4829" tooltip="Завантажити сертифікат" display="Завантажити сертифікат"/>
    <hyperlink ref="E4833" r:id="rId4830" tooltip="Завантажити сертифікат" display="Завантажити сертифікат"/>
    <hyperlink ref="E4834" r:id="rId4831" tooltip="Завантажити сертифікат" display="Завантажити сертифікат"/>
    <hyperlink ref="E4835" r:id="rId4832" tooltip="Завантажити сертифікат" display="Завантажити сертифікат"/>
    <hyperlink ref="E4836" r:id="rId4833" tooltip="Завантажити сертифікат" display="Завантажити сертифікат"/>
    <hyperlink ref="E4837" r:id="rId4834" tooltip="Завантажити сертифікат" display="Завантажити сертифікат"/>
    <hyperlink ref="E4838" r:id="rId4835" tooltip="Завантажити сертифікат" display="Завантажити сертифікат"/>
    <hyperlink ref="E4839" r:id="rId4836" tooltip="Завантажити сертифікат" display="Завантажити сертифікат"/>
    <hyperlink ref="E4840" r:id="rId4837" tooltip="Завантажити сертифікат" display="Завантажити сертифікат"/>
    <hyperlink ref="E4841" r:id="rId4838" tooltip="Завантажити сертифікат" display="Завантажити сертифікат"/>
    <hyperlink ref="E4842" r:id="rId4839" tooltip="Завантажити сертифікат" display="Завантажити сертифікат"/>
    <hyperlink ref="E4843" r:id="rId4840" tooltip="Завантажити сертифікат" display="Завантажити сертифікат"/>
    <hyperlink ref="E4844" r:id="rId4841" tooltip="Завантажити сертифікат" display="Завантажити сертифікат"/>
    <hyperlink ref="E4845" r:id="rId4842" tooltip="Завантажити сертифікат" display="Завантажити сертифікат"/>
    <hyperlink ref="E4846" r:id="rId4843" tooltip="Завантажити сертифікат" display="Завантажити сертифікат"/>
    <hyperlink ref="E4847" r:id="rId4844" tooltip="Завантажити сертифікат" display="Завантажити сертифікат"/>
    <hyperlink ref="E4848" r:id="rId4845" tooltip="Завантажити сертифікат" display="Завантажити сертифікат"/>
    <hyperlink ref="E4849" r:id="rId4846" tooltip="Завантажити сертифікат" display="Завантажити сертифікат"/>
    <hyperlink ref="E4850" r:id="rId4847" tooltip="Завантажити сертифікат" display="Завантажити сертифікат"/>
    <hyperlink ref="E4851" r:id="rId4848" tooltip="Завантажити сертифікат" display="Завантажити сертифікат"/>
    <hyperlink ref="E4852" r:id="rId4849" tooltip="Завантажити сертифікат" display="Завантажити сертифікат"/>
    <hyperlink ref="E4853" r:id="rId4850" tooltip="Завантажити сертифікат" display="Завантажити сертифікат"/>
    <hyperlink ref="E4854" r:id="rId4851" tooltip="Завантажити сертифікат" display="Завантажити сертифікат"/>
    <hyperlink ref="E4855" r:id="rId4852" tooltip="Завантажити сертифікат" display="Завантажити сертифікат"/>
    <hyperlink ref="E4856" r:id="rId4853" tooltip="Завантажити сертифікат" display="Завантажити сертифікат"/>
    <hyperlink ref="E4857" r:id="rId4854" tooltip="Завантажити сертифікат" display="Завантажити сертифікат"/>
    <hyperlink ref="E4858" r:id="rId4855" tooltip="Завантажити сертифікат" display="Завантажити сертифікат"/>
    <hyperlink ref="E4859" r:id="rId4856" tooltip="Завантажити сертифікат" display="Завантажити сертифікат"/>
    <hyperlink ref="E4860" r:id="rId4857" tooltip="Завантажити сертифікат" display="Завантажити сертифікат"/>
    <hyperlink ref="E4861" r:id="rId4858" tooltip="Завантажити сертифікат" display="Завантажити сертифікат"/>
    <hyperlink ref="E4862" r:id="rId4859" tooltip="Завантажити сертифікат" display="Завантажити сертифікат"/>
    <hyperlink ref="E4863" r:id="rId4860" tooltip="Завантажити сертифікат" display="Завантажити сертифікат"/>
    <hyperlink ref="E4864" r:id="rId4861" tooltip="Завантажити сертифікат" display="Завантажити сертифікат"/>
    <hyperlink ref="E4865" r:id="rId4862" tooltip="Завантажити сертифікат" display="Завантажити сертифікат"/>
    <hyperlink ref="E4866" r:id="rId4863" tooltip="Завантажити сертифікат" display="Завантажити сертифікат"/>
    <hyperlink ref="E4867" r:id="rId4864" tooltip="Завантажити сертифікат" display="Завантажити сертифікат"/>
    <hyperlink ref="E4868" r:id="rId4865" tooltip="Завантажити сертифікат" display="Завантажити сертифікат"/>
    <hyperlink ref="E4869" r:id="rId4866" tooltip="Завантажити сертифікат" display="Завантажити сертифікат"/>
    <hyperlink ref="E4870" r:id="rId4867" tooltip="Завантажити сертифікат" display="Завантажити сертифікат"/>
    <hyperlink ref="E4871" r:id="rId4868" tooltip="Завантажити сертифікат" display="Завантажити сертифікат"/>
    <hyperlink ref="E4872" r:id="rId4869" tooltip="Завантажити сертифікат" display="Завантажити сертифікат"/>
    <hyperlink ref="E4873" r:id="rId4870" tooltip="Завантажити сертифікат" display="Завантажити сертифікат"/>
    <hyperlink ref="E4874" r:id="rId4871" tooltip="Завантажити сертифікат" display="Завантажити сертифікат"/>
    <hyperlink ref="E4875" r:id="rId4872" tooltip="Завантажити сертифікат" display="Завантажити сертифікат"/>
    <hyperlink ref="E4876" r:id="rId4873" tooltip="Завантажити сертифікат" display="Завантажити сертифікат"/>
    <hyperlink ref="E4877" r:id="rId4874" tooltip="Завантажити сертифікат" display="Завантажити сертифікат"/>
    <hyperlink ref="E4878" r:id="rId4875" tooltip="Завантажити сертифікат" display="Завантажити сертифікат"/>
    <hyperlink ref="E4879" r:id="rId4876" tooltip="Завантажити сертифікат" display="Завантажити сертифікат"/>
    <hyperlink ref="E4880" r:id="rId4877" tooltip="Завантажити сертифікат" display="Завантажити сертифікат"/>
    <hyperlink ref="E4881" r:id="rId4878" tooltip="Завантажити сертифікат" display="Завантажити сертифікат"/>
    <hyperlink ref="E4882" r:id="rId4879" tooltip="Завантажити сертифікат" display="Завантажити сертифікат"/>
    <hyperlink ref="E4883" r:id="rId4880" tooltip="Завантажити сертифікат" display="Завантажити сертифікат"/>
    <hyperlink ref="E4884" r:id="rId4881" tooltip="Завантажити сертифікат" display="Завантажити сертифікат"/>
    <hyperlink ref="E4885" r:id="rId4882" tooltip="Завантажити сертифікат" display="Завантажити сертифікат"/>
    <hyperlink ref="E4886" r:id="rId4883" tooltip="Завантажити сертифікат" display="Завантажити сертифікат"/>
    <hyperlink ref="E4887" r:id="rId4884" tooltip="Завантажити сертифікат" display="Завантажити сертифікат"/>
    <hyperlink ref="E4888" r:id="rId4885" tooltip="Завантажити сертифікат" display="Завантажити сертифікат"/>
    <hyperlink ref="E4889" r:id="rId4886" tooltip="Завантажити сертифікат" display="Завантажити сертифікат"/>
    <hyperlink ref="E4890" r:id="rId4887" tooltip="Завантажити сертифікат" display="Завантажити сертифікат"/>
    <hyperlink ref="E4891" r:id="rId4888" tooltip="Завантажити сертифікат" display="Завантажити сертифікат"/>
    <hyperlink ref="E4892" r:id="rId4889" tooltip="Завантажити сертифікат" display="Завантажити сертифікат"/>
    <hyperlink ref="E4893" r:id="rId4890" tooltip="Завантажити сертифікат" display="Завантажити сертифікат"/>
    <hyperlink ref="E4894" r:id="rId4891" tooltip="Завантажити сертифікат" display="Завантажити сертифікат"/>
    <hyperlink ref="E4895" r:id="rId4892" tooltip="Завантажити сертифікат" display="Завантажити сертифікат"/>
    <hyperlink ref="E4896" r:id="rId4893" tooltip="Завантажити сертифікат" display="Завантажити сертифікат"/>
    <hyperlink ref="E4897" r:id="rId4894" tooltip="Завантажити сертифікат" display="Завантажити сертифікат"/>
    <hyperlink ref="E4898" r:id="rId4895" tooltip="Завантажити сертифікат" display="Завантажити сертифікат"/>
    <hyperlink ref="E4899" r:id="rId4896" tooltip="Завантажити сертифікат" display="Завантажити сертифікат"/>
    <hyperlink ref="E4900" r:id="rId4897" tooltip="Завантажити сертифікат" display="Завантажити сертифікат"/>
    <hyperlink ref="E4901" r:id="rId4898" tooltip="Завантажити сертифікат" display="Завантажити сертифікат"/>
    <hyperlink ref="E4902" r:id="rId4899" tooltip="Завантажити сертифікат" display="Завантажити сертифікат"/>
    <hyperlink ref="E4903" r:id="rId4900" tooltip="Завантажити сертифікат" display="Завантажити сертифікат"/>
    <hyperlink ref="E4904" r:id="rId4901" tooltip="Завантажити сертифікат" display="Завантажити сертифікат"/>
    <hyperlink ref="E4905" r:id="rId4902" tooltip="Завантажити сертифікат" display="Завантажити сертифікат"/>
    <hyperlink ref="E4906" r:id="rId4903" tooltip="Завантажити сертифікат" display="Завантажити сертифікат"/>
    <hyperlink ref="E4907" r:id="rId4904" tooltip="Завантажити сертифікат" display="Завантажити сертифікат"/>
    <hyperlink ref="E4908" r:id="rId4905" tooltip="Завантажити сертифікат" display="Завантажити сертифікат"/>
    <hyperlink ref="E4909" r:id="rId4906" tooltip="Завантажити сертифікат" display="Завантажити сертифікат"/>
    <hyperlink ref="E4910" r:id="rId4907" tooltip="Завантажити сертифікат" display="Завантажити сертифікат"/>
    <hyperlink ref="E4911" r:id="rId4908" tooltip="Завантажити сертифікат" display="Завантажити сертифікат"/>
    <hyperlink ref="E4912" r:id="rId4909" tooltip="Завантажити сертифікат" display="Завантажити сертифікат"/>
    <hyperlink ref="E4913" r:id="rId4910" tooltip="Завантажити сертифікат" display="Завантажити сертифікат"/>
    <hyperlink ref="E4914" r:id="rId4911" tooltip="Завантажити сертифікат" display="Завантажити сертифікат"/>
    <hyperlink ref="E4915" r:id="rId4912" tooltip="Завантажити сертифікат" display="Завантажити сертифікат"/>
    <hyperlink ref="E4916" r:id="rId4913" tooltip="Завантажити сертифікат" display="Завантажити сертифікат"/>
    <hyperlink ref="E4917" r:id="rId4914" tooltip="Завантажити сертифікат" display="Завантажити сертифікат"/>
    <hyperlink ref="E4918" r:id="rId4915" tooltip="Завантажити сертифікат" display="Завантажити сертифікат"/>
    <hyperlink ref="E4919" r:id="rId4916" tooltip="Завантажити сертифікат" display="Завантажити сертифікат"/>
    <hyperlink ref="E4920" r:id="rId4917" tooltip="Завантажити сертифікат" display="Завантажити сертифікат"/>
    <hyperlink ref="E4921" r:id="rId4918" tooltip="Завантажити сертифікат" display="Завантажити сертифікат"/>
    <hyperlink ref="E4922" r:id="rId4919" tooltip="Завантажити сертифікат" display="Завантажити сертифікат"/>
    <hyperlink ref="E4923" r:id="rId4920" tooltip="Завантажити сертифікат" display="Завантажити сертифікат"/>
    <hyperlink ref="E4924" r:id="rId4921" tooltip="Завантажити сертифікат" display="Завантажити сертифікат"/>
    <hyperlink ref="E4925" r:id="rId4922" tooltip="Завантажити сертифікат" display="Завантажити сертифікат"/>
    <hyperlink ref="E4926" r:id="rId4923" tooltip="Завантажити сертифікат" display="Завантажити сертифікат"/>
    <hyperlink ref="E4927" r:id="rId4924" tooltip="Завантажити сертифікат" display="Завантажити сертифікат"/>
    <hyperlink ref="E4928" r:id="rId4925" tooltip="Завантажити сертифікат" display="Завантажити сертифікат"/>
    <hyperlink ref="E4929" r:id="rId4926" tooltip="Завантажити сертифікат" display="Завантажити сертифікат"/>
    <hyperlink ref="E4930" r:id="rId4927" tooltip="Завантажити сертифікат" display="Завантажити сертифікат"/>
    <hyperlink ref="E4931" r:id="rId4928" tooltip="Завантажити сертифікат" display="Завантажити сертифікат"/>
    <hyperlink ref="E4932" r:id="rId4929" tooltip="Завантажити сертифікат" display="Завантажити сертифікат"/>
    <hyperlink ref="E4933" r:id="rId4930" tooltip="Завантажити сертифікат" display="Завантажити сертифікат"/>
    <hyperlink ref="E4934" r:id="rId4931" tooltip="Завантажити сертифікат" display="Завантажити сертифікат"/>
    <hyperlink ref="E4935" r:id="rId4932" tooltip="Завантажити сертифікат" display="Завантажити сертифікат"/>
    <hyperlink ref="E4936" r:id="rId4933" tooltip="Завантажити сертифікат" display="Завантажити сертифікат"/>
    <hyperlink ref="E4937" r:id="rId4934" tooltip="Завантажити сертифікат" display="Завантажити сертифікат"/>
    <hyperlink ref="E4938" r:id="rId4935" tooltip="Завантажити сертифікат" display="Завантажити сертифікат"/>
    <hyperlink ref="E4939" r:id="rId4936" tooltip="Завантажити сертифікат" display="Завантажити сертифікат"/>
    <hyperlink ref="E4940" r:id="rId4937" tooltip="Завантажити сертифікат" display="Завантажити сертифікат"/>
    <hyperlink ref="E4941" r:id="rId4938" tooltip="Завантажити сертифікат" display="Завантажити сертифікат"/>
    <hyperlink ref="E4942" r:id="rId4939" tooltip="Завантажити сертифікат" display="Завантажити сертифікат"/>
    <hyperlink ref="E4943" r:id="rId4940" tooltip="Завантажити сертифікат" display="Завантажити сертифікат"/>
    <hyperlink ref="E4944" r:id="rId4941" tooltip="Завантажити сертифікат" display="Завантажити сертифікат"/>
    <hyperlink ref="E4945" r:id="rId4942" tooltip="Завантажити сертифікат" display="Завантажити сертифікат"/>
    <hyperlink ref="E4946" r:id="rId4943" tooltip="Завантажити сертифікат" display="Завантажити сертифікат"/>
    <hyperlink ref="E4947" r:id="rId4944" tooltip="Завантажити сертифікат" display="Завантажити сертифікат"/>
    <hyperlink ref="E4948" r:id="rId4945" tooltip="Завантажити сертифікат" display="Завантажити сертифікат"/>
    <hyperlink ref="E4949" r:id="rId4946" tooltip="Завантажити сертифікат" display="Завантажити сертифікат"/>
    <hyperlink ref="E4950" r:id="rId4947" tooltip="Завантажити сертифікат" display="Завантажити сертифікат"/>
    <hyperlink ref="E4951" r:id="rId4948" tooltip="Завантажити сертифікат" display="Завантажити сертифікат"/>
    <hyperlink ref="E4952" r:id="rId4949" tooltip="Завантажити сертифікат" display="Завантажити сертифікат"/>
    <hyperlink ref="E4953" r:id="rId4950" tooltip="Завантажити сертифікат" display="Завантажити сертифікат"/>
    <hyperlink ref="E4954" r:id="rId4951" tooltip="Завантажити сертифікат" display="Завантажити сертифікат"/>
    <hyperlink ref="E4955" r:id="rId4952" tooltip="Завантажити сертифікат" display="Завантажити сертифікат"/>
    <hyperlink ref="E4956" r:id="rId4953" tooltip="Завантажити сертифікат" display="Завантажити сертифікат"/>
    <hyperlink ref="E4957" r:id="rId4954" tooltip="Завантажити сертифікат" display="Завантажити сертифікат"/>
    <hyperlink ref="E4958" r:id="rId4955" tooltip="Завантажити сертифікат" display="Завантажити сертифікат"/>
    <hyperlink ref="E4959" r:id="rId4956" tooltip="Завантажити сертифікат" display="Завантажити сертифікат"/>
    <hyperlink ref="E4960" r:id="rId4957" tooltip="Завантажити сертифікат" display="Завантажити сертифікат"/>
    <hyperlink ref="E4961" r:id="rId4958" tooltip="Завантажити сертифікат" display="Завантажити сертифікат"/>
    <hyperlink ref="E4962" r:id="rId4959" tooltip="Завантажити сертифікат" display="Завантажити сертифікат"/>
    <hyperlink ref="E4963" r:id="rId4960" tooltip="Завантажити сертифікат" display="Завантажити сертифікат"/>
    <hyperlink ref="E4964" r:id="rId4961" tooltip="Завантажити сертифікат" display="Завантажити сертифікат"/>
    <hyperlink ref="E4965" r:id="rId4962" tooltip="Завантажити сертифікат" display="Завантажити сертифікат"/>
    <hyperlink ref="E4966" r:id="rId4963" tooltip="Завантажити сертифікат" display="Завантажити сертифікат"/>
    <hyperlink ref="E4967" r:id="rId4964" tooltip="Завантажити сертифікат" display="Завантажити сертифікат"/>
    <hyperlink ref="E4968" r:id="rId4965" tooltip="Завантажити сертифікат" display="Завантажити сертифікат"/>
    <hyperlink ref="E4969" r:id="rId4966" tooltip="Завантажити сертифікат" display="Завантажити сертифікат"/>
    <hyperlink ref="E4970" r:id="rId4967" tooltip="Завантажити сертифікат" display="Завантажити сертифікат"/>
    <hyperlink ref="E4971" r:id="rId4968" tooltip="Завантажити сертифікат" display="Завантажити сертифікат"/>
    <hyperlink ref="E4972" r:id="rId4969" tooltip="Завантажити сертифікат" display="Завантажити сертифікат"/>
    <hyperlink ref="E4973" r:id="rId4970" tooltip="Завантажити сертифікат" display="Завантажити сертифікат"/>
    <hyperlink ref="E4974" r:id="rId4971" tooltip="Завантажити сертифікат" display="Завантажити сертифікат"/>
    <hyperlink ref="E4975" r:id="rId4972" tooltip="Завантажити сертифікат" display="Завантажити сертифікат"/>
    <hyperlink ref="E4976" r:id="rId4973" tooltip="Завантажити сертифікат" display="Завантажити сертифікат"/>
    <hyperlink ref="E4977" r:id="rId4974" tooltip="Завантажити сертифікат" display="Завантажити сертифікат"/>
    <hyperlink ref="E4978" r:id="rId4975" tooltip="Завантажити сертифікат" display="Завантажити сертифікат"/>
    <hyperlink ref="E4979" r:id="rId4976" tooltip="Завантажити сертифікат" display="Завантажити сертифікат"/>
    <hyperlink ref="E4980" r:id="rId4977" tooltip="Завантажити сертифікат" display="Завантажити сертифікат"/>
    <hyperlink ref="E4981" r:id="rId4978" tooltip="Завантажити сертифікат" display="Завантажити сертифікат"/>
    <hyperlink ref="E4982" r:id="rId4979" tooltip="Завантажити сертифікат" display="Завантажити сертифікат"/>
    <hyperlink ref="E4983" r:id="rId4980" tooltip="Завантажити сертифікат" display="Завантажити сертифікат"/>
    <hyperlink ref="E4984" r:id="rId4981" tooltip="Завантажити сертифікат" display="Завантажити сертифікат"/>
    <hyperlink ref="E4985" r:id="rId4982" tooltip="Завантажити сертифікат" display="Завантажити сертифікат"/>
    <hyperlink ref="E4986" r:id="rId4983" tooltip="Завантажити сертифікат" display="Завантажити сертифікат"/>
    <hyperlink ref="E4987" r:id="rId4984" tooltip="Завантажити сертифікат" display="Завантажити сертифікат"/>
    <hyperlink ref="E4988" r:id="rId4985" tooltip="Завантажити сертифікат" display="Завантажити сертифікат"/>
    <hyperlink ref="E4989" r:id="rId4986" tooltip="Завантажити сертифікат" display="Завантажити сертифікат"/>
    <hyperlink ref="E4990" r:id="rId4987" tooltip="Завантажити сертифікат" display="Завантажити сертифікат"/>
    <hyperlink ref="E4991" r:id="rId4988" tooltip="Завантажити сертифікат" display="Завантажити сертифікат"/>
    <hyperlink ref="E4992" r:id="rId4989" tooltip="Завантажити сертифікат" display="Завантажити сертифікат"/>
    <hyperlink ref="E4993" r:id="rId4990" tooltip="Завантажити сертифікат" display="Завантажити сертифікат"/>
    <hyperlink ref="E4994" r:id="rId4991" tooltip="Завантажити сертифікат" display="Завантажити сертифікат"/>
    <hyperlink ref="E4995" r:id="rId4992" tooltip="Завантажити сертифікат" display="Завантажити сертифікат"/>
    <hyperlink ref="E4996" r:id="rId4993" tooltip="Завантажити сертифікат" display="Завантажити сертифікат"/>
    <hyperlink ref="E4997" r:id="rId4994" tooltip="Завантажити сертифікат" display="Завантажити сертифікат"/>
    <hyperlink ref="E4998" r:id="rId4995" tooltip="Завантажити сертифікат" display="Завантажити сертифікат"/>
    <hyperlink ref="E4999" r:id="rId4996" tooltip="Завантажити сертифікат" display="Завантажити сертифікат"/>
    <hyperlink ref="E5000" r:id="rId4997" tooltip="Завантажити сертифікат" display="Завантажити сертифікат"/>
    <hyperlink ref="E5001" r:id="rId4998" tooltip="Завантажити сертифікат" display="Завантажити сертифікат"/>
    <hyperlink ref="E5002" r:id="rId4999" tooltip="Завантажити сертифікат" display="Завантажити сертифікат"/>
    <hyperlink ref="E5003" r:id="rId5000" tooltip="Завантажити сертифікат" display="Завантажити сертифікат"/>
    <hyperlink ref="E5004" r:id="rId5001" tooltip="Завантажити сертифікат" display="Завантажити сертифікат"/>
    <hyperlink ref="E5005" r:id="rId5002" tooltip="Завантажити сертифікат" display="Завантажити сертифікат"/>
    <hyperlink ref="E5006" r:id="rId5003" tooltip="Завантажити сертифікат" display="Завантажити сертифікат"/>
    <hyperlink ref="E5007" r:id="rId5004" tooltip="Завантажити сертифікат" display="Завантажити сертифікат"/>
    <hyperlink ref="E5008" r:id="rId5005" tooltip="Завантажити сертифікат" display="Завантажити сертифікат"/>
    <hyperlink ref="E5009" r:id="rId5006" tooltip="Завантажити сертифікат" display="Завантажити сертифікат"/>
    <hyperlink ref="E5010" r:id="rId5007" tooltip="Завантажити сертифікат" display="Завантажити сертифікат"/>
    <hyperlink ref="E5011" r:id="rId5008" tooltip="Завантажити сертифікат" display="Завантажити сертифікат"/>
    <hyperlink ref="E5012" r:id="rId5009" tooltip="Завантажити сертифікат" display="Завантажити сертифікат"/>
    <hyperlink ref="E5013" r:id="rId5010" tooltip="Завантажити сертифікат" display="Завантажити сертифікат"/>
    <hyperlink ref="E5014" r:id="rId5011" tooltip="Завантажити сертифікат" display="Завантажити сертифікат"/>
    <hyperlink ref="E5015" r:id="rId5012" tooltip="Завантажити сертифікат" display="Завантажити сертифікат"/>
    <hyperlink ref="E5016" r:id="rId5013" tooltip="Завантажити сертифікат" display="Завантажити сертифікат"/>
    <hyperlink ref="E5017" r:id="rId5014" tooltip="Завантажити сертифікат" display="Завантажити сертифікат"/>
    <hyperlink ref="E5018" r:id="rId5015" tooltip="Завантажити сертифікат" display="Завантажити сертифікат"/>
    <hyperlink ref="E5019" r:id="rId5016" tooltip="Завантажити сертифікат" display="Завантажити сертифікат"/>
    <hyperlink ref="E5020" r:id="rId5017" tooltip="Завантажити сертифікат" display="Завантажити сертифікат"/>
    <hyperlink ref="E5021" r:id="rId5018" tooltip="Завантажити сертифікат" display="Завантажити сертифікат"/>
    <hyperlink ref="E5022" r:id="rId5019" tooltip="Завантажити сертифікат" display="Завантажити сертифікат"/>
    <hyperlink ref="E5023" r:id="rId5020" tooltip="Завантажити сертифікат" display="Завантажити сертифікат"/>
    <hyperlink ref="E5024" r:id="rId5021" tooltip="Завантажити сертифікат" display="Завантажити сертифікат"/>
    <hyperlink ref="E5025" r:id="rId5022" tooltip="Завантажити сертифікат" display="Завантажити сертифікат"/>
    <hyperlink ref="E5026" r:id="rId5023" tooltip="Завантажити сертифікат" display="Завантажити сертифікат"/>
    <hyperlink ref="E2033" r:id="rId5024" tooltip="Завантажити сертифікат" display="Завантажити сертифікат"/>
    <hyperlink ref="E748" r:id="rId5025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2025-10-09T07:59:25Z</dcterms:created>
  <dcterms:modified xsi:type="dcterms:W3CDTF">2025-10-22T11:49:15Z</dcterms:modified>
  <cp:category/>
</cp:coreProperties>
</file>